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24226"/>
  <mc:AlternateContent xmlns:mc="http://schemas.openxmlformats.org/markup-compatibility/2006">
    <mc:Choice Requires="x15">
      <x15ac:absPath xmlns:x15ac="http://schemas.microsoft.com/office/spreadsheetml/2010/11/ac" url="https://d.docs.live.net/2b2ac35c38374568/Documents/AFSEasy/Financials/"/>
    </mc:Choice>
  </mc:AlternateContent>
  <xr:revisionPtr revIDLastSave="17" documentId="13_ncr:1_{842D3DBD-B4BC-4003-8EF1-8336DFE52ADF}" xr6:coauthVersionLast="47" xr6:coauthVersionMax="47" xr10:uidLastSave="{AA789FD4-6E96-483D-BFC6-C1734A7836A5}"/>
  <bookViews>
    <workbookView xWindow="-120" yWindow="-120" windowWidth="20730" windowHeight="11160" xr2:uid="{00000000-000D-0000-FFFF-FFFF00000000}"/>
  </bookViews>
  <sheets>
    <sheet name="Instructions" sheetId="247" r:id="rId1"/>
    <sheet name="FS" sheetId="1" r:id="rId2"/>
    <sheet name="SARS" sheetId="234" r:id="rId3"/>
    <sheet name="FS2" sheetId="246" r:id="rId4"/>
    <sheet name="Criteria" sheetId="4" r:id="rId5"/>
    <sheet name="TrialBalance" sheetId="5" r:id="rId6"/>
    <sheet name="Journals" sheetId="26" r:id="rId7"/>
    <sheet name="TBClient" sheetId="112" r:id="rId8"/>
    <sheet name="GLClient" sheetId="115" r:id="rId9"/>
    <sheet name="FARegister" sheetId="89" r:id="rId10"/>
    <sheet name="TARegister" sheetId="242" r:id="rId11"/>
    <sheet name="VAT" sheetId="80" r:id="rId12"/>
    <sheet name="ILoans" sheetId="168" r:id="rId13"/>
    <sheet name="IFree" sheetId="169" r:id="rId14"/>
    <sheet name="DTax" sheetId="170" r:id="rId15"/>
    <sheet name="NC Receivables" sheetId="229" r:id="rId16"/>
    <sheet name="Stock" sheetId="206" r:id="rId17"/>
    <sheet name="Debtors" sheetId="187" r:id="rId18"/>
    <sheet name="Bank" sheetId="178" r:id="rId19"/>
    <sheet name="Creditors" sheetId="167" r:id="rId20"/>
    <sheet name="Expenses" sheetId="240" r:id="rId21"/>
    <sheet name="Open" sheetId="124" r:id="rId22"/>
    <sheet name="Loan 1" sheetId="230" r:id="rId23"/>
    <sheet name="FLease1" sheetId="231" r:id="rId24"/>
    <sheet name="TrialBalanceA" sheetId="136" r:id="rId25"/>
    <sheet name="JournalsA" sheetId="149" r:id="rId26"/>
    <sheet name="TrialBalanceB" sheetId="190" r:id="rId27"/>
    <sheet name="JournalsB" sheetId="189" r:id="rId28"/>
    <sheet name="TrialBalanceC" sheetId="192" r:id="rId29"/>
    <sheet name="JournalsC" sheetId="193" r:id="rId30"/>
    <sheet name="Analytical" sheetId="248" r:id="rId31"/>
  </sheets>
  <externalReferences>
    <externalReference r:id="rId32"/>
    <externalReference r:id="rId33"/>
    <externalReference r:id="rId34"/>
    <externalReference r:id="rId35"/>
    <externalReference r:id="rId36"/>
    <externalReference r:id="rId37"/>
    <externalReference r:id="rId38"/>
  </externalReferences>
  <definedNames>
    <definedName name="_ftn1" localSheetId="1">FS!#REF!</definedName>
    <definedName name="_ftnref1" localSheetId="1">FS!#REF!</definedName>
    <definedName name="_Movesheet" localSheetId="30">#REF!</definedName>
    <definedName name="_Movesheet" localSheetId="17">#REF!</definedName>
    <definedName name="_Movesheet" localSheetId="0">#REF!</definedName>
    <definedName name="_Movesheet" localSheetId="27">#REF!</definedName>
    <definedName name="_Movesheet" localSheetId="29">#REF!</definedName>
    <definedName name="_Movesheet" localSheetId="16">#REF!</definedName>
    <definedName name="_Movesheet" localSheetId="26">#REF!</definedName>
    <definedName name="_Movesheet" localSheetId="28">#REF!</definedName>
    <definedName name="_Movesheet">#REF!</definedName>
    <definedName name="_MoveSheet2" localSheetId="30">#REF!</definedName>
    <definedName name="_MoveSheet2" localSheetId="17">#REF!</definedName>
    <definedName name="_MoveSheet2" localSheetId="0">#REF!</definedName>
    <definedName name="_MoveSheet2" localSheetId="27">#REF!</definedName>
    <definedName name="_MoveSheet2" localSheetId="29">#REF!</definedName>
    <definedName name="_MoveSheet2" localSheetId="16">#REF!</definedName>
    <definedName name="_MoveSheet2" localSheetId="26">#REF!</definedName>
    <definedName name="_MoveSheet2" localSheetId="28">#REF!</definedName>
    <definedName name="_MoveSheet2">#REF!</definedName>
    <definedName name="_MoveSheet3" localSheetId="30">#REF!</definedName>
    <definedName name="_MoveSheet3" localSheetId="17">#REF!</definedName>
    <definedName name="_MoveSheet3" localSheetId="0">#REF!</definedName>
    <definedName name="_MoveSheet3" localSheetId="27">#REF!</definedName>
    <definedName name="_MoveSheet3" localSheetId="29">#REF!</definedName>
    <definedName name="_MoveSheet3" localSheetId="16">#REF!</definedName>
    <definedName name="_MoveSheet3" localSheetId="26">#REF!</definedName>
    <definedName name="_MoveSheet3" localSheetId="28">#REF!</definedName>
    <definedName name="_MoveSheet3">#REF!</definedName>
    <definedName name="_MoveSheet4" localSheetId="30">#REF!</definedName>
    <definedName name="_MoveSheet4" localSheetId="17">#REF!</definedName>
    <definedName name="_MoveSheet4" localSheetId="0">#REF!</definedName>
    <definedName name="_MoveSheet4" localSheetId="27">#REF!</definedName>
    <definedName name="_MoveSheet4" localSheetId="29">#REF!</definedName>
    <definedName name="_MoveSheet4" localSheetId="16">#REF!</definedName>
    <definedName name="_MoveSheet4" localSheetId="26">#REF!</definedName>
    <definedName name="_MoveSheet4" localSheetId="28">#REF!</definedName>
    <definedName name="_MoveSheet4">#REF!</definedName>
    <definedName name="_MoveSheet5" localSheetId="30">#REF!</definedName>
    <definedName name="_MoveSheet5" localSheetId="17">#REF!</definedName>
    <definedName name="_MoveSheet5" localSheetId="0">#REF!</definedName>
    <definedName name="_MoveSheet5" localSheetId="27">#REF!</definedName>
    <definedName name="_MoveSheet5" localSheetId="29">#REF!</definedName>
    <definedName name="_MoveSheet5" localSheetId="16">#REF!</definedName>
    <definedName name="_MoveSheet5" localSheetId="26">#REF!</definedName>
    <definedName name="_MoveSheet5" localSheetId="28">#REF!</definedName>
    <definedName name="_MoveSheet5">#REF!</definedName>
    <definedName name="_MoveSheet6" localSheetId="30">#REF!</definedName>
    <definedName name="_MoveSheet6" localSheetId="17">#REF!</definedName>
    <definedName name="_MoveSheet6" localSheetId="0">#REF!</definedName>
    <definedName name="_MoveSheet6" localSheetId="27">#REF!</definedName>
    <definedName name="_MoveSheet6" localSheetId="29">#REF!</definedName>
    <definedName name="_MoveSheet6" localSheetId="16">#REF!</definedName>
    <definedName name="_MoveSheet6" localSheetId="26">#REF!</definedName>
    <definedName name="_MoveSheet6" localSheetId="28">#REF!</definedName>
    <definedName name="_MoveSheet6">#REF!</definedName>
    <definedName name="_MoveSheet7" localSheetId="30">#REF!</definedName>
    <definedName name="_MoveSheet7" localSheetId="17">#REF!</definedName>
    <definedName name="_MoveSheet7" localSheetId="0">#REF!</definedName>
    <definedName name="_MoveSheet7" localSheetId="27">#REF!</definedName>
    <definedName name="_MoveSheet7" localSheetId="29">#REF!</definedName>
    <definedName name="_MoveSheet7" localSheetId="16">#REF!</definedName>
    <definedName name="_MoveSheet7" localSheetId="26">#REF!</definedName>
    <definedName name="_MoveSheet7" localSheetId="28">#REF!</definedName>
    <definedName name="_MoveSheet7">#REF!</definedName>
    <definedName name="_MoveSheet8" localSheetId="30">#REF!</definedName>
    <definedName name="_MoveSheet8" localSheetId="17">#REF!</definedName>
    <definedName name="_MoveSheet8" localSheetId="0">#REF!</definedName>
    <definedName name="_MoveSheet8" localSheetId="27">#REF!</definedName>
    <definedName name="_MoveSheet8" localSheetId="29">#REF!</definedName>
    <definedName name="_MoveSheet8" localSheetId="16">#REF!</definedName>
    <definedName name="_MoveSheet8" localSheetId="26">#REF!</definedName>
    <definedName name="_MoveSheet8" localSheetId="28">#REF!</definedName>
    <definedName name="_MoveSheet8">#REF!</definedName>
    <definedName name="_MoveSheet9" localSheetId="30">#REF!</definedName>
    <definedName name="_MoveSheet9" localSheetId="17">#REF!</definedName>
    <definedName name="_MoveSheet9" localSheetId="0">#REF!</definedName>
    <definedName name="_MoveSheet9" localSheetId="27">#REF!</definedName>
    <definedName name="_MoveSheet9" localSheetId="29">#REF!</definedName>
    <definedName name="_MoveSheet9" localSheetId="16">#REF!</definedName>
    <definedName name="_MoveSheet9" localSheetId="26">#REF!</definedName>
    <definedName name="_MoveSheet9" localSheetId="28">#REF!</definedName>
    <definedName name="_MoveSheet9">#REF!</definedName>
    <definedName name="Audit___Trail_balance_this_Year" localSheetId="30">#REF!</definedName>
    <definedName name="Audit___Trail_balance_this_Year" localSheetId="0">#REF!</definedName>
    <definedName name="Audit___Trail_balance_this_Year" localSheetId="16">#REF!</definedName>
    <definedName name="Audit___Trail_balance_this_Year">#REF!</definedName>
    <definedName name="BalanceSheet" localSheetId="30">[1]TrialBalance!$P$157:$P$356</definedName>
    <definedName name="BalanceSheet" localSheetId="9">[2]TrialBalance!$K$147:$K$374</definedName>
    <definedName name="BalanceSheet" localSheetId="0">[3]TrialBalance!$P$158:$P$346</definedName>
    <definedName name="BalanceSheet" localSheetId="10">[2]TrialBalance!$K$147:$K$374</definedName>
    <definedName name="BalanceSheet" localSheetId="7">[4]TrialBalance!$M$151:$M$346</definedName>
    <definedName name="BalanceSheet" localSheetId="24">TrialBalanceA!#REF!</definedName>
    <definedName name="BalanceSheet" localSheetId="26">TrialBalanceB!#REF!</definedName>
    <definedName name="BalanceSheet" localSheetId="28">TrialBalanceC!#REF!</definedName>
    <definedName name="BalanceSheet">TrialBalance!$P$168:$P$401</definedName>
    <definedName name="BalanceSheet2" localSheetId="9">[2]TrialBalance!$C$148:$C$374</definedName>
    <definedName name="BalanceSheet2" localSheetId="10">[2]TrialBalance!$C$148:$C$374</definedName>
    <definedName name="BalanceSheet2" localSheetId="7">[4]TrialBalance!$C$152:$C$346</definedName>
    <definedName name="BalanceSheet2" localSheetId="24">TrialBalanceA!#REF!</definedName>
    <definedName name="BalanceSheet2" localSheetId="26">TrialBalanceB!#REF!</definedName>
    <definedName name="BalanceSheet2" localSheetId="28">TrialBalanceC!#REF!</definedName>
    <definedName name="BalanceSheet2">TrialBalance!$C$169:$C$401</definedName>
    <definedName name="BalanceSheet3" localSheetId="30">[1]TrialBalanceB!$M$158:$M$356</definedName>
    <definedName name="BalanceSheet3" localSheetId="0">[3]TrialBalanceB!$M$159:$M$346</definedName>
    <definedName name="BalanceSheet3" localSheetId="28">TrialBalanceC!$M$169:$M$401</definedName>
    <definedName name="BalanceSheet3">TrialBalanceB!$M$169:$M$401</definedName>
    <definedName name="BalanceSheet4" localSheetId="30">[1]TrialBalanceC!$M$158:$M$356</definedName>
    <definedName name="BalanceSheet4" localSheetId="0">[3]TrialBalanceC!$M$159:$M$346</definedName>
    <definedName name="BalanceSheet4">TrialBalanceC!$M$169:$M$401</definedName>
    <definedName name="BalanceSheetA" localSheetId="30">[1]TrialBalanceA!$M$158:$M$356</definedName>
    <definedName name="BalanceSheetA" localSheetId="0">[3]TrialBalanceA!$M$159:$M$346</definedName>
    <definedName name="BalanceSheetA" localSheetId="26">TrialBalanceB!$M$169:$M$401</definedName>
    <definedName name="BalanceSheetA" localSheetId="28">TrialBalanceC!$M$169:$M$401</definedName>
    <definedName name="BalanceSheetA">TrialBalanceA!$M$169:$M$401</definedName>
    <definedName name="BalanceSheetB">[5]TrialBalanceB!$L$159:$L$365</definedName>
    <definedName name="DELETE" localSheetId="3">'FS2'!$A$1:$R$3041</definedName>
    <definedName name="DELETE">FS!$A$1:$R$3109</definedName>
    <definedName name="df" localSheetId="18">[6]TrialBalance!$K$4:$K$144</definedName>
    <definedName name="df" localSheetId="19">[6]TrialBalance!$K$4:$K$144</definedName>
    <definedName name="df" localSheetId="17">[6]TrialBalance!$K$4:$K$144</definedName>
    <definedName name="df" localSheetId="14">[6]TrialBalance!$K$4:$K$144</definedName>
    <definedName name="df" localSheetId="20">[6]TrialBalance!$K$4:$K$144</definedName>
    <definedName name="df" localSheetId="23">[6]TrialBalance!$K$4:$K$144</definedName>
    <definedName name="df" localSheetId="13">[6]TrialBalance!$K$4:$K$144</definedName>
    <definedName name="df" localSheetId="12">[6]TrialBalance!$K$4:$K$144</definedName>
    <definedName name="df" localSheetId="22">[6]TrialBalance!$K$4:$K$144</definedName>
    <definedName name="df" localSheetId="15">[6]TrialBalance!$K$4:$K$144</definedName>
    <definedName name="df" localSheetId="21">[6]TrialBalance!$K$4:$K$144</definedName>
    <definedName name="df" localSheetId="16">[6]TrialBalance!$K$4:$K$144</definedName>
    <definedName name="df" localSheetId="24">TrialBalanceA!$L$4:$L$165</definedName>
    <definedName name="df" localSheetId="26">TrialBalanceB!$L$4:$L$165</definedName>
    <definedName name="df" localSheetId="28">TrialBalanceC!$L$4:$L$165</definedName>
    <definedName name="df">TrialBalance!$O$4:$O$165</definedName>
    <definedName name="Excel_BuiltIn_Print_Area_1" localSheetId="30">#REF!</definedName>
    <definedName name="Excel_BuiltIn_Print_Area_1" localSheetId="18">#REF!</definedName>
    <definedName name="Excel_BuiltIn_Print_Area_1" localSheetId="19">#REF!</definedName>
    <definedName name="Excel_BuiltIn_Print_Area_1" localSheetId="17">#REF!</definedName>
    <definedName name="Excel_BuiltIn_Print_Area_1" localSheetId="14">#REF!</definedName>
    <definedName name="Excel_BuiltIn_Print_Area_1" localSheetId="13">#REF!</definedName>
    <definedName name="Excel_BuiltIn_Print_Area_1" localSheetId="12">#REF!</definedName>
    <definedName name="Excel_BuiltIn_Print_Area_1" localSheetId="0">#REF!</definedName>
    <definedName name="Excel_BuiltIn_Print_Area_1" localSheetId="25">#REF!</definedName>
    <definedName name="Excel_BuiltIn_Print_Area_1" localSheetId="27">#REF!</definedName>
    <definedName name="Excel_BuiltIn_Print_Area_1" localSheetId="29">#REF!</definedName>
    <definedName name="Excel_BuiltIn_Print_Area_1" localSheetId="16">#REF!</definedName>
    <definedName name="Excel_BuiltIn_Print_Area_1" localSheetId="24">#REF!</definedName>
    <definedName name="Excel_BuiltIn_Print_Area_1" localSheetId="26">#REF!</definedName>
    <definedName name="Excel_BuiltIn_Print_Area_1" localSheetId="28">#REF!</definedName>
    <definedName name="Excel_BuiltIn_Print_Area_1">#REF!</definedName>
    <definedName name="Fixproperty" localSheetId="9">[7]StateENG!#REF!</definedName>
    <definedName name="Fixproperty" localSheetId="3">'FS2'!#REF!</definedName>
    <definedName name="Fixproperty" localSheetId="10">[7]StateENG!#REF!</definedName>
    <definedName name="Fixproperty">FS!#REF!</definedName>
    <definedName name="GameGrowth1" localSheetId="30">#REF!</definedName>
    <definedName name="GameGrowth1" localSheetId="18">#REF!</definedName>
    <definedName name="GameGrowth1" localSheetId="19">#REF!</definedName>
    <definedName name="GameGrowth1" localSheetId="17">#REF!</definedName>
    <definedName name="GameGrowth1" localSheetId="14">#REF!</definedName>
    <definedName name="GameGrowth1" localSheetId="13">#REF!</definedName>
    <definedName name="GameGrowth1" localSheetId="12">#REF!</definedName>
    <definedName name="GameGrowth1" localSheetId="0">#REF!</definedName>
    <definedName name="GameGrowth1" localSheetId="25">#REF!</definedName>
    <definedName name="GameGrowth1" localSheetId="27">#REF!</definedName>
    <definedName name="GameGrowth1" localSheetId="29">#REF!</definedName>
    <definedName name="GameGrowth1" localSheetId="16">#REF!</definedName>
    <definedName name="GameGrowth1" localSheetId="24">#REF!</definedName>
    <definedName name="GameGrowth1" localSheetId="26">#REF!</definedName>
    <definedName name="GameGrowth1" localSheetId="28">#REF!</definedName>
    <definedName name="GameGrowth1">#REF!</definedName>
    <definedName name="GameGrowth2" localSheetId="30">#REF!</definedName>
    <definedName name="GameGrowth2" localSheetId="18">#REF!</definedName>
    <definedName name="GameGrowth2" localSheetId="19">#REF!</definedName>
    <definedName name="GameGrowth2" localSheetId="17">#REF!</definedName>
    <definedName name="GameGrowth2" localSheetId="14">#REF!</definedName>
    <definedName name="GameGrowth2" localSheetId="13">#REF!</definedName>
    <definedName name="GameGrowth2" localSheetId="12">#REF!</definedName>
    <definedName name="GameGrowth2" localSheetId="0">#REF!</definedName>
    <definedName name="GameGrowth2" localSheetId="25">#REF!</definedName>
    <definedName name="GameGrowth2" localSheetId="27">#REF!</definedName>
    <definedName name="GameGrowth2" localSheetId="29">#REF!</definedName>
    <definedName name="GameGrowth2" localSheetId="16">#REF!</definedName>
    <definedName name="GameGrowth2" localSheetId="24">#REF!</definedName>
    <definedName name="GameGrowth2" localSheetId="26">#REF!</definedName>
    <definedName name="GameGrowth2" localSheetId="28">#REF!</definedName>
    <definedName name="GameGrowth2">#REF!</definedName>
    <definedName name="GameGrowth3" localSheetId="30">#REF!</definedName>
    <definedName name="GameGrowth3" localSheetId="18">#REF!</definedName>
    <definedName name="GameGrowth3" localSheetId="19">#REF!</definedName>
    <definedName name="GameGrowth3" localSheetId="17">#REF!</definedName>
    <definedName name="GameGrowth3" localSheetId="14">#REF!</definedName>
    <definedName name="GameGrowth3" localSheetId="13">#REF!</definedName>
    <definedName name="GameGrowth3" localSheetId="12">#REF!</definedName>
    <definedName name="GameGrowth3" localSheetId="0">#REF!</definedName>
    <definedName name="GameGrowth3" localSheetId="25">#REF!</definedName>
    <definedName name="GameGrowth3" localSheetId="27">#REF!</definedName>
    <definedName name="GameGrowth3" localSheetId="29">#REF!</definedName>
    <definedName name="GameGrowth3" localSheetId="16">#REF!</definedName>
    <definedName name="GameGrowth3" localSheetId="24">#REF!</definedName>
    <definedName name="GameGrowth3" localSheetId="26">#REF!</definedName>
    <definedName name="GameGrowth3" localSheetId="28">#REF!</definedName>
    <definedName name="GameGrowth3">#REF!</definedName>
    <definedName name="GameGrowth4" localSheetId="30">#REF!</definedName>
    <definedName name="GameGrowth4" localSheetId="18">#REF!</definedName>
    <definedName name="GameGrowth4" localSheetId="19">#REF!</definedName>
    <definedName name="GameGrowth4" localSheetId="17">#REF!</definedName>
    <definedName name="GameGrowth4" localSheetId="14">#REF!</definedName>
    <definedName name="GameGrowth4" localSheetId="13">#REF!</definedName>
    <definedName name="GameGrowth4" localSheetId="12">#REF!</definedName>
    <definedName name="GameGrowth4" localSheetId="0">#REF!</definedName>
    <definedName name="GameGrowth4" localSheetId="25">#REF!</definedName>
    <definedName name="GameGrowth4" localSheetId="27">#REF!</definedName>
    <definedName name="GameGrowth4" localSheetId="29">#REF!</definedName>
    <definedName name="GameGrowth4" localSheetId="16">#REF!</definedName>
    <definedName name="GameGrowth4" localSheetId="24">#REF!</definedName>
    <definedName name="GameGrowth4" localSheetId="26">#REF!</definedName>
    <definedName name="GameGrowth4" localSheetId="28">#REF!</definedName>
    <definedName name="GameGrowth4">#REF!</definedName>
    <definedName name="GameLoan" localSheetId="30">#REF!</definedName>
    <definedName name="GameLoan" localSheetId="18">#REF!</definedName>
    <definedName name="GameLoan" localSheetId="19">#REF!</definedName>
    <definedName name="GameLoan" localSheetId="17">#REF!</definedName>
    <definedName name="GameLoan" localSheetId="14">#REF!</definedName>
    <definedName name="GameLoan" localSheetId="13">#REF!</definedName>
    <definedName name="GameLoan" localSheetId="12">#REF!</definedName>
    <definedName name="GameLoan" localSheetId="0">#REF!</definedName>
    <definedName name="GameLoan" localSheetId="25">#REF!</definedName>
    <definedName name="GameLoan" localSheetId="27">#REF!</definedName>
    <definedName name="GameLoan" localSheetId="29">#REF!</definedName>
    <definedName name="GameLoan" localSheetId="16">#REF!</definedName>
    <definedName name="GameLoan" localSheetId="24">#REF!</definedName>
    <definedName name="GameLoan" localSheetId="26">#REF!</definedName>
    <definedName name="GameLoan" localSheetId="28">#REF!</definedName>
    <definedName name="GameLoan">#REF!</definedName>
    <definedName name="Gamesurvey" localSheetId="30">#REF!</definedName>
    <definedName name="Gamesurvey" localSheetId="18">#REF!</definedName>
    <definedName name="Gamesurvey" localSheetId="19">#REF!</definedName>
    <definedName name="Gamesurvey" localSheetId="17">#REF!</definedName>
    <definedName name="Gamesurvey" localSheetId="14">#REF!</definedName>
    <definedName name="Gamesurvey" localSheetId="13">#REF!</definedName>
    <definedName name="Gamesurvey" localSheetId="12">#REF!</definedName>
    <definedName name="Gamesurvey" localSheetId="0">#REF!</definedName>
    <definedName name="Gamesurvey" localSheetId="25">#REF!</definedName>
    <definedName name="Gamesurvey" localSheetId="27">#REF!</definedName>
    <definedName name="Gamesurvey" localSheetId="29">#REF!</definedName>
    <definedName name="Gamesurvey" localSheetId="16">#REF!</definedName>
    <definedName name="Gamesurvey" localSheetId="24">#REF!</definedName>
    <definedName name="Gamesurvey" localSheetId="26">#REF!</definedName>
    <definedName name="Gamesurvey" localSheetId="28">#REF!</definedName>
    <definedName name="Gamesurvey">#REF!</definedName>
    <definedName name="HPLoan" localSheetId="30">#REF!</definedName>
    <definedName name="HPLoan" localSheetId="18">#REF!</definedName>
    <definedName name="HPLoan" localSheetId="19">#REF!</definedName>
    <definedName name="HPLoan" localSheetId="17">#REF!</definedName>
    <definedName name="HPLoan" localSheetId="14">#REF!</definedName>
    <definedName name="HPLoan" localSheetId="13">#REF!</definedName>
    <definedName name="HPLoan" localSheetId="12">#REF!</definedName>
    <definedName name="HPLoan" localSheetId="0">#REF!</definedName>
    <definedName name="HPLoan" localSheetId="25">#REF!</definedName>
    <definedName name="HPLoan" localSheetId="27">#REF!</definedName>
    <definedName name="HPLoan" localSheetId="29">#REF!</definedName>
    <definedName name="HPLoan" localSheetId="16">#REF!</definedName>
    <definedName name="HPLoan" localSheetId="24">#REF!</definedName>
    <definedName name="HPLoan" localSheetId="26">#REF!</definedName>
    <definedName name="HPLoan" localSheetId="28">#REF!</definedName>
    <definedName name="HPLoan">#REF!</definedName>
    <definedName name="JOURNALS" localSheetId="25">JournalsA!$D$13:$G$741</definedName>
    <definedName name="JOURNALS" localSheetId="27">JournalsB!$D$13:$G$741</definedName>
    <definedName name="JOURNALS" localSheetId="29">JournalsC!$D$13:$G$741</definedName>
    <definedName name="JOURNALS">Journals!$D$13:$G$741</definedName>
    <definedName name="Loan" localSheetId="30">#REF!</definedName>
    <definedName name="Loan" localSheetId="18">#REF!</definedName>
    <definedName name="Loan" localSheetId="19">#REF!</definedName>
    <definedName name="Loan" localSheetId="17">#REF!</definedName>
    <definedName name="Loan" localSheetId="14">#REF!</definedName>
    <definedName name="Loan" localSheetId="13">#REF!</definedName>
    <definedName name="Loan" localSheetId="12">#REF!</definedName>
    <definedName name="Loan" localSheetId="0">#REF!</definedName>
    <definedName name="Loan" localSheetId="25">#REF!</definedName>
    <definedName name="Loan" localSheetId="27">#REF!</definedName>
    <definedName name="Loan" localSheetId="29">#REF!</definedName>
    <definedName name="Loan" localSheetId="16">#REF!</definedName>
    <definedName name="Loan" localSheetId="24">#REF!</definedName>
    <definedName name="Loan" localSheetId="26">#REF!</definedName>
    <definedName name="Loan" localSheetId="28">#REF!</definedName>
    <definedName name="Loan">#REF!</definedName>
    <definedName name="LoanPrivate" localSheetId="30">#REF!</definedName>
    <definedName name="LoanPrivate" localSheetId="18">#REF!</definedName>
    <definedName name="LoanPrivate" localSheetId="19">#REF!</definedName>
    <definedName name="LoanPrivate" localSheetId="17">#REF!</definedName>
    <definedName name="LoanPrivate" localSheetId="14">#REF!</definedName>
    <definedName name="LoanPrivate" localSheetId="13">#REF!</definedName>
    <definedName name="LoanPrivate" localSheetId="12">#REF!</definedName>
    <definedName name="LoanPrivate" localSheetId="0">#REF!</definedName>
    <definedName name="LoanPrivate" localSheetId="25">#REF!</definedName>
    <definedName name="LoanPrivate" localSheetId="27">#REF!</definedName>
    <definedName name="LoanPrivate" localSheetId="29">#REF!</definedName>
    <definedName name="LoanPrivate" localSheetId="16">#REF!</definedName>
    <definedName name="LoanPrivate" localSheetId="24">#REF!</definedName>
    <definedName name="LoanPrivate" localSheetId="26">#REF!</definedName>
    <definedName name="LoanPrivate" localSheetId="28">#REF!</definedName>
    <definedName name="LoanPrivate">#REF!</definedName>
    <definedName name="_xlnm.Print_Area" localSheetId="17">Debtors!$B$2:$H$93</definedName>
    <definedName name="_xlnm.Print_Area" localSheetId="20">Expenses!$B$2:$H$18</definedName>
    <definedName name="_xlnm.Print_Area" localSheetId="23">FLease1!$B$2:$H$22</definedName>
    <definedName name="_xlnm.Print_Area" localSheetId="1">FS!$A$1:$Q$4093</definedName>
    <definedName name="_xlnm.Print_Area" localSheetId="3">'FS2'!$A$1:$Q$3533</definedName>
    <definedName name="_xlnm.Print_Area" localSheetId="8">GLClient!$A$1748:$P$1851</definedName>
    <definedName name="_xlnm.Print_Area" localSheetId="6">Journals!$A$1:$I$486</definedName>
    <definedName name="_xlnm.Print_Area" localSheetId="25">JournalsA!$A$1:$I$486</definedName>
    <definedName name="_xlnm.Print_Area" localSheetId="27">JournalsB!$A$1:$I$486</definedName>
    <definedName name="_xlnm.Print_Area" localSheetId="29">JournalsC!$A$1:$I$486</definedName>
    <definedName name="_xlnm.Print_Area" localSheetId="22">'Loan 1'!$B$2:$H$22</definedName>
    <definedName name="_xlnm.Print_Area" localSheetId="15">'NC Receivables'!$B$2:$H$33</definedName>
    <definedName name="_xlnm.Print_Area" localSheetId="21">Open!$B$2:$H$18</definedName>
    <definedName name="_xlnm.Print_Area" localSheetId="16">Stock!$B$2:$H$18</definedName>
    <definedName name="_xlnm.Print_Area" localSheetId="11">VAT!$C$36:$F$57</definedName>
    <definedName name="Profit" localSheetId="24">TrialBalanceA!$B$4:$C$165</definedName>
    <definedName name="Profit" localSheetId="26">TrialBalanceB!$B$4:$C$165</definedName>
    <definedName name="Profit" localSheetId="28">TrialBalanceC!$B$4:$C$165</definedName>
    <definedName name="Profit">TrialBalance!$B$4:$C$165</definedName>
    <definedName name="ProfitLoss" localSheetId="30">[1]TrialBalance!$P$4:$P$154</definedName>
    <definedName name="ProfitLoss" localSheetId="9">[2]TrialBalance!$K$4:$K$144</definedName>
    <definedName name="ProfitLoss" localSheetId="0">[3]TrialBalance!$P$4:$P$155</definedName>
    <definedName name="ProfitLoss" localSheetId="10">[2]TrialBalance!$K$4:$K$144</definedName>
    <definedName name="ProfitLoss" localSheetId="7">[4]TrialBalance!$M$4:$M$148</definedName>
    <definedName name="ProfitLoss" localSheetId="24">TrialBalanceA!$M$4:$M$165</definedName>
    <definedName name="ProfitLoss" localSheetId="26">TrialBalanceB!$M$4:$M$165</definedName>
    <definedName name="ProfitLoss" localSheetId="28">TrialBalanceC!$M$4:$M$165</definedName>
    <definedName name="ProfitLoss">TrialBalance!$P$4:$P$165</definedName>
    <definedName name="ProfitLoss2" localSheetId="30">[1]TrialBalanceA!$M$5:$M$154</definedName>
    <definedName name="ProfitLoss2" localSheetId="0">[3]TrialBalanceA!$M$5:$M$155</definedName>
    <definedName name="ProfitLoss2" localSheetId="26">TrialBalanceB!$M$5:$M$165</definedName>
    <definedName name="ProfitLoss2" localSheetId="28">TrialBalanceC!$M$5:$M$165</definedName>
    <definedName name="ProfitLoss2">TrialBalanceA!$M$5:$M$165</definedName>
    <definedName name="ProfitLoss3" localSheetId="30">[1]TrialBalanceB!$M$5:$M$154</definedName>
    <definedName name="ProfitLoss3" localSheetId="0">[3]TrialBalanceB!$M$5:$M$155</definedName>
    <definedName name="ProfitLoss3" localSheetId="28">TrialBalanceC!$M$5:$M$165</definedName>
    <definedName name="ProfitLoss3">TrialBalanceB!$M$5:$M$165</definedName>
    <definedName name="ProfitLoss4" localSheetId="30">[1]TrialBalanceC!$M$5:$M$154</definedName>
    <definedName name="ProfitLoss4" localSheetId="0">[3]TrialBalanceC!$M$5:$M$155</definedName>
    <definedName name="ProfitLoss4">TrialBalanceC!$M$5:$M$165</definedName>
    <definedName name="ProfitLossA" localSheetId="26">TrialBalanceB!$M$5:$M$401</definedName>
    <definedName name="ProfitLossA" localSheetId="28">TrialBalanceC!$M$5:$M$401</definedName>
    <definedName name="ProfitLossA">TrialBalanceA!$M$5:$M$401</definedName>
    <definedName name="ProfitLossB" localSheetId="28">TrialBalanceC!$M$5:$M$165</definedName>
    <definedName name="ProfitLossB">TrialBalanceB!$M$5:$M$165</definedName>
    <definedName name="sd" localSheetId="18">[6]TrialBalance!$K$147:$K$374</definedName>
    <definedName name="sd" localSheetId="19">[6]TrialBalance!$K$147:$K$374</definedName>
    <definedName name="sd" localSheetId="17">[6]TrialBalance!$K$147:$K$374</definedName>
    <definedName name="sd" localSheetId="14">[6]TrialBalance!$K$147:$K$374</definedName>
    <definedName name="sd" localSheetId="20">[6]TrialBalance!$K$147:$K$374</definedName>
    <definedName name="sd" localSheetId="23">[6]TrialBalance!$K$147:$K$374</definedName>
    <definedName name="sd" localSheetId="13">[6]TrialBalance!$K$147:$K$374</definedName>
    <definedName name="sd" localSheetId="12">[6]TrialBalance!$K$147:$K$374</definedName>
    <definedName name="sd" localSheetId="22">[6]TrialBalance!$K$147:$K$374</definedName>
    <definedName name="sd" localSheetId="15">[6]TrialBalance!$K$147:$K$374</definedName>
    <definedName name="sd" localSheetId="21">[6]TrialBalance!$K$147:$K$374</definedName>
    <definedName name="sd" localSheetId="16">[6]TrialBalance!$K$147:$K$374</definedName>
    <definedName name="sd" localSheetId="24">TrialBalanceA!#REF!</definedName>
    <definedName name="sd" localSheetId="26">TrialBalanceB!#REF!</definedName>
    <definedName name="sd" localSheetId="28">TrialBalanceC!#REF!</definedName>
    <definedName name="sd">TrialBalance!$O$168:$O$401</definedName>
    <definedName name="STATE" localSheetId="3">'FS2'!$A$1:$Q$3041</definedName>
    <definedName name="STATE">FS!$A$1:$Q$3109</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2" i="4" l="1"/>
  <c r="H45" i="187"/>
  <c r="G21" i="4"/>
  <c r="K3480" i="246"/>
  <c r="K3479" i="246"/>
  <c r="K3430" i="246"/>
  <c r="K3422" i="246"/>
  <c r="K3316" i="246"/>
  <c r="K3315" i="246"/>
  <c r="K3266" i="246"/>
  <c r="K3258" i="246"/>
  <c r="K3152" i="246"/>
  <c r="K3151" i="246"/>
  <c r="K3102" i="246"/>
  <c r="K3094" i="246"/>
  <c r="K2845" i="246"/>
  <c r="K2844" i="246"/>
  <c r="K2795" i="246"/>
  <c r="K2787" i="246"/>
  <c r="C2715" i="246"/>
  <c r="K4040" i="1"/>
  <c r="K4039" i="1"/>
  <c r="K3990" i="1"/>
  <c r="K3982" i="1"/>
  <c r="K3876" i="1"/>
  <c r="K3875" i="1"/>
  <c r="K3826" i="1"/>
  <c r="K3818" i="1"/>
  <c r="K3712" i="1"/>
  <c r="K3711" i="1"/>
  <c r="K3662" i="1"/>
  <c r="K3654" i="1"/>
  <c r="K3548" i="1"/>
  <c r="K3547" i="1"/>
  <c r="K3498" i="1"/>
  <c r="K3490" i="1"/>
  <c r="K3384" i="1"/>
  <c r="K3383" i="1"/>
  <c r="K3334" i="1"/>
  <c r="K3326" i="1"/>
  <c r="K3220" i="1"/>
  <c r="K3219" i="1"/>
  <c r="K3170" i="1"/>
  <c r="K3162" i="1"/>
  <c r="K2913" i="1"/>
  <c r="K2912" i="1"/>
  <c r="K2862" i="1"/>
  <c r="K2854" i="1"/>
  <c r="C2782" i="1"/>
  <c r="O1255" i="1"/>
  <c r="O1257" i="1"/>
  <c r="O1259" i="1"/>
  <c r="O1261" i="1"/>
  <c r="O1263" i="1"/>
  <c r="D1268" i="1"/>
  <c r="D1269" i="1"/>
  <c r="D1272" i="1"/>
  <c r="M1275" i="1"/>
  <c r="D1229" i="246"/>
  <c r="D1230" i="246"/>
  <c r="D1233" i="246"/>
  <c r="O1236" i="246"/>
  <c r="M108" i="192"/>
  <c r="K108" i="192"/>
  <c r="O3874" i="1" s="1"/>
  <c r="M108" i="190"/>
  <c r="K108" i="190"/>
  <c r="O3546" i="1" s="1"/>
  <c r="M108" i="136"/>
  <c r="K108" i="136"/>
  <c r="O3218" i="1" s="1"/>
  <c r="P108" i="5"/>
  <c r="N108" i="5"/>
  <c r="O2911" i="1" s="1"/>
  <c r="M65" i="192"/>
  <c r="G65" i="192" s="1"/>
  <c r="I65" i="192" s="1"/>
  <c r="M3828" i="1" s="1"/>
  <c r="K65" i="192"/>
  <c r="O3828" i="1" s="1"/>
  <c r="M65" i="190"/>
  <c r="G65" i="190" s="1"/>
  <c r="I65" i="190" s="1"/>
  <c r="O3268" i="246" s="1"/>
  <c r="K65" i="190"/>
  <c r="O3500" i="1" s="1"/>
  <c r="M65" i="136"/>
  <c r="G65" i="136" s="1"/>
  <c r="I65" i="136" s="1"/>
  <c r="O3104" i="246" s="1"/>
  <c r="K65" i="136"/>
  <c r="O3172" i="1" s="1"/>
  <c r="P65" i="5"/>
  <c r="J65" i="5" s="1"/>
  <c r="L65" i="5" s="1"/>
  <c r="M2864" i="1" s="1"/>
  <c r="N65" i="5"/>
  <c r="O2864" i="1" s="1"/>
  <c r="O823" i="1"/>
  <c r="M1257" i="1" l="1"/>
  <c r="R1257" i="1" s="1"/>
  <c r="R1258" i="1" s="1"/>
  <c r="O1218" i="246"/>
  <c r="R1218" i="246" s="1"/>
  <c r="R1219" i="246" s="1"/>
  <c r="O3432" i="246"/>
  <c r="O3992" i="1"/>
  <c r="M3500" i="1"/>
  <c r="O3664" i="1"/>
  <c r="O3336" i="1"/>
  <c r="M3172" i="1"/>
  <c r="O2797" i="246"/>
  <c r="R2797" i="246" s="1"/>
  <c r="R2864" i="1"/>
  <c r="M21" i="89"/>
  <c r="C1450" i="246"/>
  <c r="O1446" i="246"/>
  <c r="D1443" i="246"/>
  <c r="D1440" i="246"/>
  <c r="D1439" i="246"/>
  <c r="C1489" i="1"/>
  <c r="M1485" i="1"/>
  <c r="D1482" i="1"/>
  <c r="D1479" i="1"/>
  <c r="D1478" i="1"/>
  <c r="D2983" i="246"/>
  <c r="D3051" i="1"/>
  <c r="C2772" i="1" l="1"/>
  <c r="C2773" i="1"/>
  <c r="D920" i="246"/>
  <c r="D917" i="246"/>
  <c r="R917" i="246" s="1"/>
  <c r="D916" i="246"/>
  <c r="D916" i="1"/>
  <c r="D913" i="1"/>
  <c r="R913" i="1" s="1"/>
  <c r="D912" i="1"/>
  <c r="D879" i="1"/>
  <c r="D880" i="1"/>
  <c r="R880" i="1" s="1"/>
  <c r="A22" i="246"/>
  <c r="A22" i="1"/>
  <c r="D585" i="246"/>
  <c r="D586" i="246"/>
  <c r="D589" i="246"/>
  <c r="D594" i="246"/>
  <c r="R594" i="246" s="1"/>
  <c r="D595" i="246"/>
  <c r="R595" i="246" s="1"/>
  <c r="D596" i="246"/>
  <c r="R596" i="246" s="1"/>
  <c r="D569" i="246"/>
  <c r="D570" i="246"/>
  <c r="D573" i="246"/>
  <c r="D578" i="246"/>
  <c r="R578" i="246" s="1"/>
  <c r="D579" i="246"/>
  <c r="R579" i="246" s="1"/>
  <c r="D580" i="246"/>
  <c r="R580" i="246" s="1"/>
  <c r="D584" i="1"/>
  <c r="D585" i="1"/>
  <c r="D588" i="1"/>
  <c r="D593" i="1"/>
  <c r="R593" i="1" s="1"/>
  <c r="D594" i="1"/>
  <c r="R594" i="1" s="1"/>
  <c r="D595" i="1"/>
  <c r="R595" i="1" s="1"/>
  <c r="D567" i="1"/>
  <c r="D568" i="1"/>
  <c r="D571" i="1"/>
  <c r="D576" i="1"/>
  <c r="R576" i="1" s="1"/>
  <c r="D577" i="1"/>
  <c r="R577" i="1" s="1"/>
  <c r="D578" i="1"/>
  <c r="R578" i="1" s="1"/>
  <c r="D556" i="246"/>
  <c r="D553" i="246"/>
  <c r="R553" i="246" s="1"/>
  <c r="D552" i="246"/>
  <c r="D554" i="1"/>
  <c r="D551" i="1"/>
  <c r="R551" i="1" s="1"/>
  <c r="D550" i="1"/>
  <c r="D562" i="246"/>
  <c r="D563" i="246"/>
  <c r="D560" i="1"/>
  <c r="D561" i="1"/>
  <c r="D561" i="246"/>
  <c r="D559" i="1"/>
  <c r="R592" i="246" l="1"/>
  <c r="R591" i="246" s="1"/>
  <c r="R593" i="246"/>
  <c r="R577" i="246"/>
  <c r="R576" i="246"/>
  <c r="R583" i="1"/>
  <c r="R591" i="1"/>
  <c r="R590" i="1" s="1"/>
  <c r="R592" i="1"/>
  <c r="R575" i="1"/>
  <c r="R566" i="1"/>
  <c r="R574" i="1"/>
  <c r="R573" i="1" s="1"/>
  <c r="D539" i="246"/>
  <c r="R539" i="246" s="1"/>
  <c r="D537" i="1"/>
  <c r="R537" i="1" s="1"/>
  <c r="D525" i="246"/>
  <c r="D526" i="246"/>
  <c r="D523" i="1"/>
  <c r="D524" i="1"/>
  <c r="R524" i="1" s="1"/>
  <c r="D520" i="246"/>
  <c r="D521" i="246"/>
  <c r="D518" i="1"/>
  <c r="D519" i="1"/>
  <c r="D462" i="246"/>
  <c r="D461" i="246"/>
  <c r="D460" i="246"/>
  <c r="D458" i="246"/>
  <c r="D461" i="1"/>
  <c r="D462" i="1"/>
  <c r="D460" i="1"/>
  <c r="D458" i="1"/>
  <c r="R584" i="246" l="1"/>
  <c r="R588" i="246" s="1"/>
  <c r="R575" i="246"/>
  <c r="R568" i="246"/>
  <c r="R587" i="1"/>
  <c r="R598" i="1"/>
  <c r="R585" i="1"/>
  <c r="R599" i="1"/>
  <c r="R584" i="1"/>
  <c r="R589" i="1"/>
  <c r="R586" i="1"/>
  <c r="R588" i="1"/>
  <c r="R596" i="1"/>
  <c r="R600" i="1"/>
  <c r="R597" i="1"/>
  <c r="R570" i="1"/>
  <c r="R581" i="1"/>
  <c r="R567" i="1"/>
  <c r="R572" i="1"/>
  <c r="R580" i="1"/>
  <c r="R568" i="1"/>
  <c r="R582" i="1"/>
  <c r="R569" i="1"/>
  <c r="R571" i="1"/>
  <c r="R579" i="1"/>
  <c r="R204" i="246"/>
  <c r="D216" i="246"/>
  <c r="D242" i="246"/>
  <c r="R251" i="246"/>
  <c r="D263" i="246"/>
  <c r="L320" i="246"/>
  <c r="R347" i="246"/>
  <c r="D359" i="246"/>
  <c r="D415" i="246"/>
  <c r="R204" i="1"/>
  <c r="D216" i="1"/>
  <c r="D242" i="1"/>
  <c r="R251" i="1"/>
  <c r="D263" i="1"/>
  <c r="L320" i="1"/>
  <c r="R347" i="1"/>
  <c r="D359" i="1"/>
  <c r="D415" i="1"/>
  <c r="R364" i="246" l="1"/>
  <c r="R361" i="246"/>
  <c r="R365" i="246"/>
  <c r="R362" i="246"/>
  <c r="R366" i="246"/>
  <c r="R363" i="246"/>
  <c r="R367" i="246"/>
  <c r="R350" i="246"/>
  <c r="R305" i="246"/>
  <c r="R309" i="246"/>
  <c r="R306" i="246"/>
  <c r="R310" i="246"/>
  <c r="R307" i="246"/>
  <c r="R308" i="246"/>
  <c r="R252" i="246"/>
  <c r="R267" i="246"/>
  <c r="R270" i="246"/>
  <c r="R266" i="246"/>
  <c r="R269" i="246"/>
  <c r="R268" i="246"/>
  <c r="R233" i="246"/>
  <c r="R232" i="246"/>
  <c r="R231" i="246"/>
  <c r="R230" i="246"/>
  <c r="R205" i="246"/>
  <c r="R224" i="246"/>
  <c r="R227" i="246"/>
  <c r="R223" i="246"/>
  <c r="R226" i="246"/>
  <c r="R225" i="246"/>
  <c r="R348" i="1"/>
  <c r="R364" i="1"/>
  <c r="R362" i="1"/>
  <c r="R367" i="1"/>
  <c r="R363" i="1"/>
  <c r="R366" i="1"/>
  <c r="R365" i="1"/>
  <c r="R304" i="1"/>
  <c r="R308" i="1"/>
  <c r="R305" i="1"/>
  <c r="R309" i="1"/>
  <c r="R306" i="1"/>
  <c r="R310" i="1"/>
  <c r="R307" i="1"/>
  <c r="R252" i="1"/>
  <c r="R265" i="1"/>
  <c r="R269" i="1"/>
  <c r="R266" i="1"/>
  <c r="R270" i="1"/>
  <c r="R267" i="1"/>
  <c r="R271" i="1"/>
  <c r="R268" i="1"/>
  <c r="R230" i="1"/>
  <c r="R233" i="1"/>
  <c r="R232" i="1"/>
  <c r="R231" i="1"/>
  <c r="R221" i="1"/>
  <c r="R224" i="1"/>
  <c r="R228" i="1"/>
  <c r="R225" i="1"/>
  <c r="R222" i="1"/>
  <c r="R226" i="1"/>
  <c r="R223" i="1"/>
  <c r="R227" i="1"/>
  <c r="R207" i="1"/>
  <c r="R585" i="246"/>
  <c r="R598" i="246"/>
  <c r="R597" i="246"/>
  <c r="R600" i="246"/>
  <c r="R589" i="246"/>
  <c r="R586" i="246"/>
  <c r="R587" i="246"/>
  <c r="R590" i="246"/>
  <c r="R599" i="246"/>
  <c r="R572" i="246"/>
  <c r="R583" i="246"/>
  <c r="R582" i="246"/>
  <c r="R570" i="246"/>
  <c r="R571" i="246"/>
  <c r="R573" i="246"/>
  <c r="R581" i="246"/>
  <c r="R569" i="246"/>
  <c r="R574" i="246"/>
  <c r="R312" i="246"/>
  <c r="R343" i="246"/>
  <c r="R321" i="246"/>
  <c r="R301" i="246"/>
  <c r="R426" i="246"/>
  <c r="R327" i="246"/>
  <c r="R337" i="246"/>
  <c r="R241" i="246"/>
  <c r="R206" i="246"/>
  <c r="R332" i="246"/>
  <c r="R317" i="246"/>
  <c r="R341" i="246"/>
  <c r="R325" i="246"/>
  <c r="R345" i="246"/>
  <c r="R340" i="246"/>
  <c r="R335" i="246"/>
  <c r="R329" i="246"/>
  <c r="R324" i="246"/>
  <c r="R314" i="246"/>
  <c r="R297" i="246"/>
  <c r="R290" i="246"/>
  <c r="R283" i="246"/>
  <c r="R275" i="246"/>
  <c r="R265" i="246"/>
  <c r="R254" i="246"/>
  <c r="R245" i="246"/>
  <c r="R229" i="246"/>
  <c r="R294" i="246"/>
  <c r="R286" i="246"/>
  <c r="R279" i="246"/>
  <c r="R273" i="246"/>
  <c r="R258" i="246"/>
  <c r="R336" i="246"/>
  <c r="R331" i="246"/>
  <c r="R320" i="246"/>
  <c r="R316" i="246"/>
  <c r="R300" i="246"/>
  <c r="R291" i="246"/>
  <c r="R285" i="246"/>
  <c r="R278" i="246"/>
  <c r="R262" i="246"/>
  <c r="R257" i="246"/>
  <c r="R248" i="246"/>
  <c r="R238" i="246"/>
  <c r="R222" i="246"/>
  <c r="R431" i="246"/>
  <c r="R344" i="246"/>
  <c r="R339" i="246"/>
  <c r="R333" i="246"/>
  <c r="R328" i="246"/>
  <c r="R323" i="246"/>
  <c r="R318" i="246"/>
  <c r="R313" i="246"/>
  <c r="R302" i="246"/>
  <c r="R295" i="246"/>
  <c r="R289" i="246"/>
  <c r="R281" i="246"/>
  <c r="R274" i="246"/>
  <c r="R264" i="246"/>
  <c r="R259" i="246"/>
  <c r="R253" i="246"/>
  <c r="R228" i="246"/>
  <c r="R332" i="1"/>
  <c r="R244" i="246"/>
  <c r="R237" i="246"/>
  <c r="R221" i="246"/>
  <c r="R212" i="246"/>
  <c r="R346" i="246"/>
  <c r="R342" i="246"/>
  <c r="R338" i="246"/>
  <c r="R334" i="246"/>
  <c r="R330" i="246"/>
  <c r="R326" i="246"/>
  <c r="R322" i="246"/>
  <c r="R319" i="246"/>
  <c r="R315" i="246"/>
  <c r="R311" i="246"/>
  <c r="R304" i="246"/>
  <c r="R298" i="246"/>
  <c r="R293" i="246"/>
  <c r="R287" i="246"/>
  <c r="R282" i="246"/>
  <c r="R277" i="246"/>
  <c r="R271" i="246"/>
  <c r="R263" i="246"/>
  <c r="R261" i="246"/>
  <c r="R255" i="246"/>
  <c r="R249" i="246"/>
  <c r="R234" i="246"/>
  <c r="R217" i="246"/>
  <c r="R211" i="246"/>
  <c r="R247" i="246"/>
  <c r="R243" i="246"/>
  <c r="R240" i="246"/>
  <c r="R236" i="246"/>
  <c r="R219" i="246"/>
  <c r="R215" i="246"/>
  <c r="R210" i="246"/>
  <c r="R250" i="246"/>
  <c r="R246" i="246"/>
  <c r="R242" i="246"/>
  <c r="R239" i="246"/>
  <c r="R235" i="246"/>
  <c r="R218" i="246"/>
  <c r="R207" i="246"/>
  <c r="R358" i="246"/>
  <c r="R220" i="246"/>
  <c r="R216" i="246"/>
  <c r="R214" i="246"/>
  <c r="R208" i="246"/>
  <c r="R318" i="1"/>
  <c r="R302" i="1"/>
  <c r="R341" i="1"/>
  <c r="R325" i="1"/>
  <c r="R313" i="1"/>
  <c r="R297" i="1"/>
  <c r="R340" i="1"/>
  <c r="R324" i="1"/>
  <c r="R286" i="1"/>
  <c r="R333" i="1"/>
  <c r="R281" i="1"/>
  <c r="R358" i="1"/>
  <c r="R235" i="1"/>
  <c r="R294" i="1"/>
  <c r="R278" i="1"/>
  <c r="R248" i="1"/>
  <c r="R240" i="1"/>
  <c r="R289" i="1"/>
  <c r="R272" i="1"/>
  <c r="R262" i="1"/>
  <c r="R442" i="246"/>
  <c r="R421" i="246"/>
  <c r="R303" i="246"/>
  <c r="R299" i="246"/>
  <c r="R296" i="246"/>
  <c r="R292" i="246"/>
  <c r="R288" i="246"/>
  <c r="R284" i="246"/>
  <c r="R280" i="246"/>
  <c r="R276" i="246"/>
  <c r="R272" i="246"/>
  <c r="R260" i="246"/>
  <c r="R256" i="246"/>
  <c r="R213" i="246"/>
  <c r="R209" i="246"/>
  <c r="R437" i="246"/>
  <c r="R415" i="246"/>
  <c r="R411" i="246"/>
  <c r="R406" i="246"/>
  <c r="R400" i="246"/>
  <c r="R395" i="246"/>
  <c r="R390" i="246"/>
  <c r="R385" i="246"/>
  <c r="R379" i="246"/>
  <c r="R371" i="246"/>
  <c r="R345" i="1"/>
  <c r="R337" i="1"/>
  <c r="R329" i="1"/>
  <c r="R321" i="1"/>
  <c r="R317" i="1"/>
  <c r="R301" i="1"/>
  <c r="R293" i="1"/>
  <c r="R285" i="1"/>
  <c r="R277" i="1"/>
  <c r="R243" i="1"/>
  <c r="R441" i="246"/>
  <c r="R435" i="246"/>
  <c r="R430" i="246"/>
  <c r="R425" i="246"/>
  <c r="R419" i="246"/>
  <c r="R410" i="246"/>
  <c r="R404" i="246"/>
  <c r="R399" i="246"/>
  <c r="R394" i="246"/>
  <c r="R388" i="246"/>
  <c r="R384" i="246"/>
  <c r="R376" i="246"/>
  <c r="R368" i="246"/>
  <c r="R344" i="1"/>
  <c r="R336" i="1"/>
  <c r="R328" i="1"/>
  <c r="R320" i="1"/>
  <c r="R314" i="1"/>
  <c r="R298" i="1"/>
  <c r="R290" i="1"/>
  <c r="R282" i="1"/>
  <c r="R273" i="1"/>
  <c r="R258" i="1"/>
  <c r="R439" i="246"/>
  <c r="R434" i="246"/>
  <c r="R429" i="246"/>
  <c r="R423" i="246"/>
  <c r="R418" i="246"/>
  <c r="R414" i="246"/>
  <c r="R408" i="246"/>
  <c r="R403" i="246"/>
  <c r="R398" i="246"/>
  <c r="R392" i="246"/>
  <c r="R383" i="246"/>
  <c r="R375" i="246"/>
  <c r="R355" i="246"/>
  <c r="R438" i="246"/>
  <c r="R433" i="246"/>
  <c r="R427" i="246"/>
  <c r="R422" i="246"/>
  <c r="R417" i="246"/>
  <c r="R412" i="246"/>
  <c r="R407" i="246"/>
  <c r="R402" i="246"/>
  <c r="R396" i="246"/>
  <c r="R391" i="246"/>
  <c r="R387" i="246"/>
  <c r="R380" i="246"/>
  <c r="R372" i="246"/>
  <c r="R360" i="246"/>
  <c r="R353" i="246"/>
  <c r="R440" i="246"/>
  <c r="R436" i="246"/>
  <c r="R432" i="246"/>
  <c r="R428" i="246"/>
  <c r="R424" i="246"/>
  <c r="R420" i="246"/>
  <c r="R416" i="246"/>
  <c r="R413" i="246"/>
  <c r="R409" i="246"/>
  <c r="R405" i="246"/>
  <c r="R401" i="246"/>
  <c r="R397" i="246"/>
  <c r="R393" i="246"/>
  <c r="R389" i="246"/>
  <c r="R386" i="246"/>
  <c r="R382" i="246"/>
  <c r="R378" i="246"/>
  <c r="R374" i="246"/>
  <c r="R370" i="246"/>
  <c r="R351" i="246"/>
  <c r="R381" i="246"/>
  <c r="R377" i="246"/>
  <c r="R373" i="246"/>
  <c r="R369" i="246"/>
  <c r="R349" i="246"/>
  <c r="R359" i="246"/>
  <c r="R356" i="246"/>
  <c r="R352" i="246"/>
  <c r="R348" i="246"/>
  <c r="R357" i="246"/>
  <c r="R354" i="246"/>
  <c r="R214" i="1"/>
  <c r="R253" i="1"/>
  <c r="R247" i="1"/>
  <c r="R242" i="1"/>
  <c r="R239" i="1"/>
  <c r="R216" i="1"/>
  <c r="R212" i="1"/>
  <c r="R246" i="1"/>
  <c r="R237" i="1"/>
  <c r="R220" i="1"/>
  <c r="R208" i="1"/>
  <c r="R217" i="1"/>
  <c r="R250" i="1"/>
  <c r="R244" i="1"/>
  <c r="R241" i="1"/>
  <c r="R236" i="1"/>
  <c r="R219" i="1"/>
  <c r="R206" i="1"/>
  <c r="R264" i="1"/>
  <c r="R257" i="1"/>
  <c r="R339" i="1"/>
  <c r="R327" i="1"/>
  <c r="R316" i="1"/>
  <c r="R296" i="1"/>
  <c r="R288" i="1"/>
  <c r="R284" i="1"/>
  <c r="R280" i="1"/>
  <c r="R263" i="1"/>
  <c r="R261" i="1"/>
  <c r="R255" i="1"/>
  <c r="R343" i="1"/>
  <c r="R335" i="1"/>
  <c r="R331" i="1"/>
  <c r="R323" i="1"/>
  <c r="R312" i="1"/>
  <c r="R300" i="1"/>
  <c r="R292" i="1"/>
  <c r="R276" i="1"/>
  <c r="R346" i="1"/>
  <c r="R342" i="1"/>
  <c r="R338" i="1"/>
  <c r="R334" i="1"/>
  <c r="R330" i="1"/>
  <c r="R326" i="1"/>
  <c r="R322" i="1"/>
  <c r="R319" i="1"/>
  <c r="R315" i="1"/>
  <c r="R311" i="1"/>
  <c r="R303" i="1"/>
  <c r="R299" i="1"/>
  <c r="R295" i="1"/>
  <c r="R291" i="1"/>
  <c r="R287" i="1"/>
  <c r="R283" i="1"/>
  <c r="R279" i="1"/>
  <c r="R274" i="1"/>
  <c r="R259" i="1"/>
  <c r="R254" i="1"/>
  <c r="R249" i="1"/>
  <c r="R245" i="1"/>
  <c r="R238" i="1"/>
  <c r="R234" i="1"/>
  <c r="R229" i="1"/>
  <c r="R218" i="1"/>
  <c r="R215" i="1"/>
  <c r="R210" i="1"/>
  <c r="R275" i="1"/>
  <c r="R260" i="1"/>
  <c r="R256" i="1"/>
  <c r="R213" i="1"/>
  <c r="R209" i="1"/>
  <c r="R205" i="1"/>
  <c r="R211" i="1"/>
  <c r="R442" i="1"/>
  <c r="R437" i="1"/>
  <c r="R431" i="1"/>
  <c r="R426" i="1"/>
  <c r="R421" i="1"/>
  <c r="R414" i="1"/>
  <c r="R406" i="1"/>
  <c r="R398" i="1"/>
  <c r="R383" i="1"/>
  <c r="R375" i="1"/>
  <c r="R438" i="1"/>
  <c r="R427" i="1"/>
  <c r="R407" i="1"/>
  <c r="R391" i="1"/>
  <c r="R384" i="1"/>
  <c r="R368" i="1"/>
  <c r="R441" i="1"/>
  <c r="R435" i="1"/>
  <c r="R430" i="1"/>
  <c r="R425" i="1"/>
  <c r="R418" i="1"/>
  <c r="R411" i="1"/>
  <c r="R403" i="1"/>
  <c r="R395" i="1"/>
  <c r="R388" i="1"/>
  <c r="R380" i="1"/>
  <c r="R372" i="1"/>
  <c r="R361" i="1"/>
  <c r="R353" i="1"/>
  <c r="R433" i="1"/>
  <c r="R422" i="1"/>
  <c r="R399" i="1"/>
  <c r="R376" i="1"/>
  <c r="R357" i="1"/>
  <c r="R439" i="1"/>
  <c r="R434" i="1"/>
  <c r="R429" i="1"/>
  <c r="R423" i="1"/>
  <c r="R417" i="1"/>
  <c r="R410" i="1"/>
  <c r="R402" i="1"/>
  <c r="R394" i="1"/>
  <c r="R387" i="1"/>
  <c r="R379" i="1"/>
  <c r="R371" i="1"/>
  <c r="R351" i="1"/>
  <c r="R440" i="1"/>
  <c r="R436" i="1"/>
  <c r="R432" i="1"/>
  <c r="R428" i="1"/>
  <c r="R424" i="1"/>
  <c r="R420" i="1"/>
  <c r="R416" i="1"/>
  <c r="R413" i="1"/>
  <c r="R409" i="1"/>
  <c r="R405" i="1"/>
  <c r="R401" i="1"/>
  <c r="R397" i="1"/>
  <c r="R393" i="1"/>
  <c r="R390" i="1"/>
  <c r="R386" i="1"/>
  <c r="R382" i="1"/>
  <c r="R378" i="1"/>
  <c r="R374" i="1"/>
  <c r="R370" i="1"/>
  <c r="R360" i="1"/>
  <c r="R355" i="1"/>
  <c r="R350" i="1"/>
  <c r="R419" i="1"/>
  <c r="R415" i="1"/>
  <c r="R412" i="1"/>
  <c r="R408" i="1"/>
  <c r="R404" i="1"/>
  <c r="R400" i="1"/>
  <c r="R396" i="1"/>
  <c r="R392" i="1"/>
  <c r="R389" i="1"/>
  <c r="R385" i="1"/>
  <c r="R381" i="1"/>
  <c r="R377" i="1"/>
  <c r="R373" i="1"/>
  <c r="R369" i="1"/>
  <c r="R354" i="1"/>
  <c r="R349" i="1"/>
  <c r="R359" i="1"/>
  <c r="R356" i="1"/>
  <c r="R352" i="1"/>
  <c r="D171" i="246" l="1"/>
  <c r="D171" i="1"/>
  <c r="O2411" i="246" l="1"/>
  <c r="D2408" i="246"/>
  <c r="D2405" i="246"/>
  <c r="D2404" i="246"/>
  <c r="M2478" i="1" l="1"/>
  <c r="D2475" i="1"/>
  <c r="D2472" i="1"/>
  <c r="D2471" i="1"/>
  <c r="D936" i="1"/>
  <c r="D933" i="1"/>
  <c r="R933" i="1" s="1"/>
  <c r="D932" i="1"/>
  <c r="O2639" i="246"/>
  <c r="R2639" i="246" s="1"/>
  <c r="C2629" i="246"/>
  <c r="R2629" i="246" s="1"/>
  <c r="C2628" i="246"/>
  <c r="R2628" i="246" s="1"/>
  <c r="C2627" i="246"/>
  <c r="R2627" i="246" s="1"/>
  <c r="C2626" i="246"/>
  <c r="R2626" i="246" s="1"/>
  <c r="R2630" i="246" s="1"/>
  <c r="O2706" i="1"/>
  <c r="C2696" i="1"/>
  <c r="R2696" i="1" s="1"/>
  <c r="C2695" i="1"/>
  <c r="R2695" i="1" s="1"/>
  <c r="C2694" i="1"/>
  <c r="R2694" i="1" s="1"/>
  <c r="C2693" i="1"/>
  <c r="R2693" i="1" s="1"/>
  <c r="R2697" i="1" s="1"/>
  <c r="C154" i="192"/>
  <c r="C154" i="190"/>
  <c r="C154" i="136"/>
  <c r="C154" i="5"/>
  <c r="D514" i="246"/>
  <c r="R514" i="246" s="1"/>
  <c r="D512" i="1"/>
  <c r="R512" i="1" s="1"/>
  <c r="D936" i="246" l="1"/>
  <c r="D933" i="246"/>
  <c r="R933" i="246" s="1"/>
  <c r="D932" i="246"/>
  <c r="R526" i="246"/>
  <c r="R519" i="1"/>
  <c r="H1795" i="1"/>
  <c r="Q3456" i="246" l="1"/>
  <c r="Q3292" i="246"/>
  <c r="Q3128" i="246"/>
  <c r="Q155" i="246"/>
  <c r="Q204" i="246" l="1"/>
  <c r="Q251" i="246" s="1"/>
  <c r="Q4016" i="1"/>
  <c r="Q3852" i="1"/>
  <c r="Q3688" i="1"/>
  <c r="Q3524" i="1"/>
  <c r="Q3360" i="1"/>
  <c r="Q3196" i="1"/>
  <c r="Q155" i="1"/>
  <c r="Q299" i="246" l="1"/>
  <c r="Q204" i="1"/>
  <c r="Q251" i="1" s="1"/>
  <c r="Q347" i="246" l="1"/>
  <c r="Q394" i="246" s="1"/>
  <c r="Q298" i="1"/>
  <c r="Q347" i="1" s="1"/>
  <c r="Q394" i="1" l="1"/>
  <c r="Q443" i="246"/>
  <c r="Q503" i="246" s="1"/>
  <c r="E96" i="246"/>
  <c r="E95" i="246"/>
  <c r="E94" i="246"/>
  <c r="D73" i="246"/>
  <c r="E96" i="1"/>
  <c r="E95" i="1"/>
  <c r="E94" i="1"/>
  <c r="Q551" i="246" l="1"/>
  <c r="Q443" i="1"/>
  <c r="D73" i="1"/>
  <c r="O1542" i="246"/>
  <c r="O1580" i="1"/>
  <c r="M1580" i="1"/>
  <c r="B123" i="248"/>
  <c r="B122" i="248"/>
  <c r="B121" i="248"/>
  <c r="B120" i="248"/>
  <c r="B119" i="248"/>
  <c r="B118" i="248"/>
  <c r="B117" i="248"/>
  <c r="B116" i="248"/>
  <c r="B115" i="248"/>
  <c r="B114" i="248"/>
  <c r="B113" i="248"/>
  <c r="B112" i="248"/>
  <c r="B111" i="248"/>
  <c r="B110" i="248"/>
  <c r="B109" i="248"/>
  <c r="B108" i="248"/>
  <c r="B107" i="248"/>
  <c r="B106" i="248"/>
  <c r="B105" i="248"/>
  <c r="B104" i="248"/>
  <c r="B103" i="248"/>
  <c r="B102" i="248"/>
  <c r="B96" i="248"/>
  <c r="B95" i="248"/>
  <c r="B94" i="248"/>
  <c r="B93" i="248"/>
  <c r="B92" i="248"/>
  <c r="B91" i="248"/>
  <c r="B90" i="248"/>
  <c r="B89" i="248"/>
  <c r="B88" i="248"/>
  <c r="B87" i="248"/>
  <c r="B86" i="248"/>
  <c r="B85" i="248"/>
  <c r="B84" i="248"/>
  <c r="B83" i="248"/>
  <c r="B82" i="248"/>
  <c r="B81" i="248"/>
  <c r="B80" i="248"/>
  <c r="B79" i="248"/>
  <c r="B78" i="248"/>
  <c r="B77" i="248"/>
  <c r="B76" i="248"/>
  <c r="B75" i="248"/>
  <c r="B74" i="248"/>
  <c r="B73" i="248"/>
  <c r="B72" i="248"/>
  <c r="B71" i="248"/>
  <c r="B70" i="248"/>
  <c r="B69" i="248"/>
  <c r="B68" i="248"/>
  <c r="B67" i="248"/>
  <c r="B66" i="248"/>
  <c r="B65" i="248"/>
  <c r="B64" i="248"/>
  <c r="B63" i="248"/>
  <c r="B62" i="248"/>
  <c r="B61" i="248"/>
  <c r="B60" i="248"/>
  <c r="B59" i="248"/>
  <c r="B58" i="248"/>
  <c r="B57" i="248"/>
  <c r="B56" i="248"/>
  <c r="B55" i="248"/>
  <c r="B54" i="248"/>
  <c r="B53" i="248"/>
  <c r="B52" i="248"/>
  <c r="B51" i="248"/>
  <c r="B50" i="248"/>
  <c r="B49" i="248"/>
  <c r="B48" i="248"/>
  <c r="B47" i="248"/>
  <c r="B46" i="248"/>
  <c r="B45" i="248"/>
  <c r="B44" i="248"/>
  <c r="O1906" i="246"/>
  <c r="D1903" i="246"/>
  <c r="D1900" i="246"/>
  <c r="D1899" i="246"/>
  <c r="M1971" i="1"/>
  <c r="D1968" i="1"/>
  <c r="D1965" i="1"/>
  <c r="D1964" i="1"/>
  <c r="O1848" i="246"/>
  <c r="R1848" i="246" s="1"/>
  <c r="C1848" i="246"/>
  <c r="O1847" i="246"/>
  <c r="R1847" i="246" s="1"/>
  <c r="C1847" i="246"/>
  <c r="O1846" i="246"/>
  <c r="R1846" i="246" s="1"/>
  <c r="C1846" i="246"/>
  <c r="O1845" i="246"/>
  <c r="R1845" i="246" s="1"/>
  <c r="C1845" i="246"/>
  <c r="O1844" i="246"/>
  <c r="R1844" i="246" s="1"/>
  <c r="C1844" i="246"/>
  <c r="O1843" i="246"/>
  <c r="R1843" i="246" s="1"/>
  <c r="C1843" i="246"/>
  <c r="O1842" i="246"/>
  <c r="R1842" i="246" s="1"/>
  <c r="C1842" i="246"/>
  <c r="O1841" i="246"/>
  <c r="R1841" i="246" s="1"/>
  <c r="C1841" i="246"/>
  <c r="O1840" i="246"/>
  <c r="R1840" i="246" s="1"/>
  <c r="C1840" i="246"/>
  <c r="O1839" i="246"/>
  <c r="R1839" i="246" s="1"/>
  <c r="C1839" i="246"/>
  <c r="O1838" i="246"/>
  <c r="R1838" i="246" s="1"/>
  <c r="C1838" i="246"/>
  <c r="O1837" i="246"/>
  <c r="R1837" i="246" s="1"/>
  <c r="C1837" i="246"/>
  <c r="O1836" i="246"/>
  <c r="R1836" i="246" s="1"/>
  <c r="C1836" i="246"/>
  <c r="O1835" i="246"/>
  <c r="R1835" i="246" s="1"/>
  <c r="C1835" i="246"/>
  <c r="O1834" i="246"/>
  <c r="R1834" i="246" s="1"/>
  <c r="C1834" i="246"/>
  <c r="O1833" i="246"/>
  <c r="R1833" i="246" s="1"/>
  <c r="C1833" i="246"/>
  <c r="O1832" i="246"/>
  <c r="R1832" i="246" s="1"/>
  <c r="C1832" i="246"/>
  <c r="O1831" i="246"/>
  <c r="R1831" i="246" s="1"/>
  <c r="C1831" i="246"/>
  <c r="O1830" i="246"/>
  <c r="R1830" i="246" s="1"/>
  <c r="C1830" i="246"/>
  <c r="O1829" i="246"/>
  <c r="R1829" i="246" s="1"/>
  <c r="C1829" i="246"/>
  <c r="O1828" i="246"/>
  <c r="R1828" i="246" s="1"/>
  <c r="C1828" i="246"/>
  <c r="O1827" i="246"/>
  <c r="R1827" i="246" s="1"/>
  <c r="C1827" i="246"/>
  <c r="O1826" i="246"/>
  <c r="R1826" i="246" s="1"/>
  <c r="C1826" i="246"/>
  <c r="O1825" i="246"/>
  <c r="R1825" i="246" s="1"/>
  <c r="C1825" i="246"/>
  <c r="O1824" i="246"/>
  <c r="R1824" i="246" s="1"/>
  <c r="C1824" i="246"/>
  <c r="O1823" i="246"/>
  <c r="R1823" i="246" s="1"/>
  <c r="C1823" i="246"/>
  <c r="O1822" i="246"/>
  <c r="R1822" i="246" s="1"/>
  <c r="C1822" i="246"/>
  <c r="O1821" i="246"/>
  <c r="R1821" i="246" s="1"/>
  <c r="C1821" i="246"/>
  <c r="O1820" i="246"/>
  <c r="R1820" i="246" s="1"/>
  <c r="C1820" i="246"/>
  <c r="O1819" i="246"/>
  <c r="R1819" i="246" s="1"/>
  <c r="C1819" i="246"/>
  <c r="O1818" i="246"/>
  <c r="R1818" i="246" s="1"/>
  <c r="C1818" i="246"/>
  <c r="O1817" i="246"/>
  <c r="R1817" i="246" s="1"/>
  <c r="C1817" i="246"/>
  <c r="O1816" i="246"/>
  <c r="R1816" i="246" s="1"/>
  <c r="C1816" i="246"/>
  <c r="O1815" i="246"/>
  <c r="R1815" i="246" s="1"/>
  <c r="C1815" i="246"/>
  <c r="O1814" i="246"/>
  <c r="R1814" i="246" s="1"/>
  <c r="C1814" i="246"/>
  <c r="O1813" i="246"/>
  <c r="R1813" i="246" s="1"/>
  <c r="C1813" i="246"/>
  <c r="O1812" i="246"/>
  <c r="R1812" i="246" s="1"/>
  <c r="C1812" i="246"/>
  <c r="O1811" i="246"/>
  <c r="R1811" i="246" s="1"/>
  <c r="C1811" i="246"/>
  <c r="O1807" i="246"/>
  <c r="D1804" i="246"/>
  <c r="D1801" i="246"/>
  <c r="D1800" i="246"/>
  <c r="O1665" i="246"/>
  <c r="R1665" i="246" s="1"/>
  <c r="C1665" i="246"/>
  <c r="O1664" i="246"/>
  <c r="R1664" i="246" s="1"/>
  <c r="C1664" i="246"/>
  <c r="O1663" i="246"/>
  <c r="R1663" i="246" s="1"/>
  <c r="C1663" i="246"/>
  <c r="O1662" i="246"/>
  <c r="R1662" i="246" s="1"/>
  <c r="C1662" i="246"/>
  <c r="O1661" i="246"/>
  <c r="R1661" i="246" s="1"/>
  <c r="C1661" i="246"/>
  <c r="O1660" i="246"/>
  <c r="R1660" i="246" s="1"/>
  <c r="C1660" i="246"/>
  <c r="O1659" i="246"/>
  <c r="R1659" i="246" s="1"/>
  <c r="C1659" i="246"/>
  <c r="O1658" i="246"/>
  <c r="R1658" i="246" s="1"/>
  <c r="C1658" i="246"/>
  <c r="O1657" i="246"/>
  <c r="R1657" i="246" s="1"/>
  <c r="C1657" i="246"/>
  <c r="O1656" i="246"/>
  <c r="R1656" i="246" s="1"/>
  <c r="C1656" i="246"/>
  <c r="O1655" i="246"/>
  <c r="R1655" i="246" s="1"/>
  <c r="C1655" i="246"/>
  <c r="O1654" i="246"/>
  <c r="R1654" i="246" s="1"/>
  <c r="C1654" i="246"/>
  <c r="O1653" i="246"/>
  <c r="R1653" i="246" s="1"/>
  <c r="C1653" i="246"/>
  <c r="O1652" i="246"/>
  <c r="R1652" i="246" s="1"/>
  <c r="C1652" i="246"/>
  <c r="O1651" i="246"/>
  <c r="R1651" i="246" s="1"/>
  <c r="C1651" i="246"/>
  <c r="O1650" i="246"/>
  <c r="R1650" i="246" s="1"/>
  <c r="C1650" i="246"/>
  <c r="O1649" i="246"/>
  <c r="R1649" i="246" s="1"/>
  <c r="C1649" i="246"/>
  <c r="O1648" i="246"/>
  <c r="R1648" i="246" s="1"/>
  <c r="C1648" i="246"/>
  <c r="O1647" i="246"/>
  <c r="R1647" i="246" s="1"/>
  <c r="C1647" i="246"/>
  <c r="O1646" i="246"/>
  <c r="R1646" i="246" s="1"/>
  <c r="C1646" i="246"/>
  <c r="O1645" i="246"/>
  <c r="R1645" i="246" s="1"/>
  <c r="C1645" i="246"/>
  <c r="O1644" i="246"/>
  <c r="R1644" i="246" s="1"/>
  <c r="C1644" i="246"/>
  <c r="O1643" i="246"/>
  <c r="R1643" i="246" s="1"/>
  <c r="C1643" i="246"/>
  <c r="O1642" i="246"/>
  <c r="R1642" i="246" s="1"/>
  <c r="C1642" i="246"/>
  <c r="O1641" i="246"/>
  <c r="R1641" i="246" s="1"/>
  <c r="C1641" i="246"/>
  <c r="O1640" i="246"/>
  <c r="R1640" i="246" s="1"/>
  <c r="C1640" i="246"/>
  <c r="O1639" i="246"/>
  <c r="R1639" i="246" s="1"/>
  <c r="C1639" i="246"/>
  <c r="O1638" i="246"/>
  <c r="R1638" i="246" s="1"/>
  <c r="C1638" i="246"/>
  <c r="O1637" i="246"/>
  <c r="R1637" i="246" s="1"/>
  <c r="C1637" i="246"/>
  <c r="O1636" i="246"/>
  <c r="R1636" i="246" s="1"/>
  <c r="C1636" i="246"/>
  <c r="O1635" i="246"/>
  <c r="R1635" i="246" s="1"/>
  <c r="C1635" i="246"/>
  <c r="O1634" i="246"/>
  <c r="R1634" i="246" s="1"/>
  <c r="C1634" i="246"/>
  <c r="O1633" i="246"/>
  <c r="R1633" i="246" s="1"/>
  <c r="C1633" i="246"/>
  <c r="O1632" i="246"/>
  <c r="R1632" i="246" s="1"/>
  <c r="C1632" i="246"/>
  <c r="O1631" i="246"/>
  <c r="R1631" i="246" s="1"/>
  <c r="C1631" i="246"/>
  <c r="O1630" i="246"/>
  <c r="R1630" i="246" s="1"/>
  <c r="C1630" i="246"/>
  <c r="O1629" i="246"/>
  <c r="R1629" i="246" s="1"/>
  <c r="C1629" i="246"/>
  <c r="O1628" i="246"/>
  <c r="C1628" i="246"/>
  <c r="O1624" i="246"/>
  <c r="D1621" i="246"/>
  <c r="D1618" i="246"/>
  <c r="D1617" i="246"/>
  <c r="O1913" i="1"/>
  <c r="M1913" i="1"/>
  <c r="C1913" i="1"/>
  <c r="O1912" i="1"/>
  <c r="M1912" i="1"/>
  <c r="C1912" i="1"/>
  <c r="O1911" i="1"/>
  <c r="M1911" i="1"/>
  <c r="C1911" i="1"/>
  <c r="O1910" i="1"/>
  <c r="M1910" i="1"/>
  <c r="C1910" i="1"/>
  <c r="O1909" i="1"/>
  <c r="M1909" i="1"/>
  <c r="C1909" i="1"/>
  <c r="O1908" i="1"/>
  <c r="M1908" i="1"/>
  <c r="C1908" i="1"/>
  <c r="O1907" i="1"/>
  <c r="M1907" i="1"/>
  <c r="C1907" i="1"/>
  <c r="O1906" i="1"/>
  <c r="M1906" i="1"/>
  <c r="C1906" i="1"/>
  <c r="O1905" i="1"/>
  <c r="M1905" i="1"/>
  <c r="C1905" i="1"/>
  <c r="O1904" i="1"/>
  <c r="M1904" i="1"/>
  <c r="C1904" i="1"/>
  <c r="O1903" i="1"/>
  <c r="M1903" i="1"/>
  <c r="C1903" i="1"/>
  <c r="O1902" i="1"/>
  <c r="M1902" i="1"/>
  <c r="C1902" i="1"/>
  <c r="O1901" i="1"/>
  <c r="M1901" i="1"/>
  <c r="C1901" i="1"/>
  <c r="O1900" i="1"/>
  <c r="M1900" i="1"/>
  <c r="C1900" i="1"/>
  <c r="O1899" i="1"/>
  <c r="M1899" i="1"/>
  <c r="C1899" i="1"/>
  <c r="O1898" i="1"/>
  <c r="M1898" i="1"/>
  <c r="C1898" i="1"/>
  <c r="O1897" i="1"/>
  <c r="M1897" i="1"/>
  <c r="C1897" i="1"/>
  <c r="O1896" i="1"/>
  <c r="M1896" i="1"/>
  <c r="C1896" i="1"/>
  <c r="O1895" i="1"/>
  <c r="M1895" i="1"/>
  <c r="C1895" i="1"/>
  <c r="O1894" i="1"/>
  <c r="M1894" i="1"/>
  <c r="C1894" i="1"/>
  <c r="O1893" i="1"/>
  <c r="M1893" i="1"/>
  <c r="C1893" i="1"/>
  <c r="O1892" i="1"/>
  <c r="M1892" i="1"/>
  <c r="C1892" i="1"/>
  <c r="O1891" i="1"/>
  <c r="M1891" i="1"/>
  <c r="C1891" i="1"/>
  <c r="O1890" i="1"/>
  <c r="M1890" i="1"/>
  <c r="C1890" i="1"/>
  <c r="O1889" i="1"/>
  <c r="M1889" i="1"/>
  <c r="C1889" i="1"/>
  <c r="O1888" i="1"/>
  <c r="M1888" i="1"/>
  <c r="C1888" i="1"/>
  <c r="O1887" i="1"/>
  <c r="M1887" i="1"/>
  <c r="C1887" i="1"/>
  <c r="O1886" i="1"/>
  <c r="M1886" i="1"/>
  <c r="C1886" i="1"/>
  <c r="O1885" i="1"/>
  <c r="M1885" i="1"/>
  <c r="C1885" i="1"/>
  <c r="O1884" i="1"/>
  <c r="M1884" i="1"/>
  <c r="C1884" i="1"/>
  <c r="O1883" i="1"/>
  <c r="M1883" i="1"/>
  <c r="C1883" i="1"/>
  <c r="O1882" i="1"/>
  <c r="M1882" i="1"/>
  <c r="C1882" i="1"/>
  <c r="O1881" i="1"/>
  <c r="M1881" i="1"/>
  <c r="C1881" i="1"/>
  <c r="O1880" i="1"/>
  <c r="M1880" i="1"/>
  <c r="C1880" i="1"/>
  <c r="O1879" i="1"/>
  <c r="M1879" i="1"/>
  <c r="C1879" i="1"/>
  <c r="O1878" i="1"/>
  <c r="M1878" i="1"/>
  <c r="C1878" i="1"/>
  <c r="O1877" i="1"/>
  <c r="M1877" i="1"/>
  <c r="C1877" i="1"/>
  <c r="O1876" i="1"/>
  <c r="M1876" i="1"/>
  <c r="C1876" i="1"/>
  <c r="M1872" i="1"/>
  <c r="D1869" i="1"/>
  <c r="D1866" i="1"/>
  <c r="D1865" i="1"/>
  <c r="O1703" i="1"/>
  <c r="M1703" i="1"/>
  <c r="C1703" i="1"/>
  <c r="O1702" i="1"/>
  <c r="M1702" i="1"/>
  <c r="C1702" i="1"/>
  <c r="O1701" i="1"/>
  <c r="M1701" i="1"/>
  <c r="C1701" i="1"/>
  <c r="O1700" i="1"/>
  <c r="M1700" i="1"/>
  <c r="C1700" i="1"/>
  <c r="O1699" i="1"/>
  <c r="M1699" i="1"/>
  <c r="C1699" i="1"/>
  <c r="O1698" i="1"/>
  <c r="M1698" i="1"/>
  <c r="C1698" i="1"/>
  <c r="O1697" i="1"/>
  <c r="M1697" i="1"/>
  <c r="C1697" i="1"/>
  <c r="O1696" i="1"/>
  <c r="M1696" i="1"/>
  <c r="C1696" i="1"/>
  <c r="O1695" i="1"/>
  <c r="M1695" i="1"/>
  <c r="C1695" i="1"/>
  <c r="O1694" i="1"/>
  <c r="M1694" i="1"/>
  <c r="C1694" i="1"/>
  <c r="O1693" i="1"/>
  <c r="M1693" i="1"/>
  <c r="C1693" i="1"/>
  <c r="O1692" i="1"/>
  <c r="M1692" i="1"/>
  <c r="C1692" i="1"/>
  <c r="O1691" i="1"/>
  <c r="M1691" i="1"/>
  <c r="C1691" i="1"/>
  <c r="O1690" i="1"/>
  <c r="M1690" i="1"/>
  <c r="C1690" i="1"/>
  <c r="O1689" i="1"/>
  <c r="M1689" i="1"/>
  <c r="C1689" i="1"/>
  <c r="O1688" i="1"/>
  <c r="M1688" i="1"/>
  <c r="C1688" i="1"/>
  <c r="O1687" i="1"/>
  <c r="M1687" i="1"/>
  <c r="C1687" i="1"/>
  <c r="O1686" i="1"/>
  <c r="M1686" i="1"/>
  <c r="C1686" i="1"/>
  <c r="O1685" i="1"/>
  <c r="M1685" i="1"/>
  <c r="C1685" i="1"/>
  <c r="O1684" i="1"/>
  <c r="M1684" i="1"/>
  <c r="C1684" i="1"/>
  <c r="O1683" i="1"/>
  <c r="M1683" i="1"/>
  <c r="C1683" i="1"/>
  <c r="O1682" i="1"/>
  <c r="M1682" i="1"/>
  <c r="C1682" i="1"/>
  <c r="O1681" i="1"/>
  <c r="M1681" i="1"/>
  <c r="C1681" i="1"/>
  <c r="O1680" i="1"/>
  <c r="M1680" i="1"/>
  <c r="C1680" i="1"/>
  <c r="O1679" i="1"/>
  <c r="M1679" i="1"/>
  <c r="C1679" i="1"/>
  <c r="O1678" i="1"/>
  <c r="M1678" i="1"/>
  <c r="C1678" i="1"/>
  <c r="O1677" i="1"/>
  <c r="M1677" i="1"/>
  <c r="C1677" i="1"/>
  <c r="O1676" i="1"/>
  <c r="M1676" i="1"/>
  <c r="C1676" i="1"/>
  <c r="O1675" i="1"/>
  <c r="M1675" i="1"/>
  <c r="C1675" i="1"/>
  <c r="O1674" i="1"/>
  <c r="M1674" i="1"/>
  <c r="C1674" i="1"/>
  <c r="O1673" i="1"/>
  <c r="M1673" i="1"/>
  <c r="C1673" i="1"/>
  <c r="O1672" i="1"/>
  <c r="M1672" i="1"/>
  <c r="C1672" i="1"/>
  <c r="O1671" i="1"/>
  <c r="M1671" i="1"/>
  <c r="C1671" i="1"/>
  <c r="O1670" i="1"/>
  <c r="M1670" i="1"/>
  <c r="C1670" i="1"/>
  <c r="O1669" i="1"/>
  <c r="M1669" i="1"/>
  <c r="C1669" i="1"/>
  <c r="O1668" i="1"/>
  <c r="M1668" i="1"/>
  <c r="C1668" i="1"/>
  <c r="O1667" i="1"/>
  <c r="M1667" i="1"/>
  <c r="C1667" i="1"/>
  <c r="O1666" i="1"/>
  <c r="M1666" i="1"/>
  <c r="C1666" i="1"/>
  <c r="M1662" i="1"/>
  <c r="D1659" i="1"/>
  <c r="D1656" i="1"/>
  <c r="D1655" i="1"/>
  <c r="F137" i="4"/>
  <c r="G220" i="4"/>
  <c r="F220" i="4"/>
  <c r="G178" i="4"/>
  <c r="F178" i="4"/>
  <c r="O2568" i="246"/>
  <c r="D2565" i="246"/>
  <c r="D2562" i="246"/>
  <c r="D2561" i="246"/>
  <c r="M2635" i="1"/>
  <c r="D2632" i="1"/>
  <c r="D2629" i="1"/>
  <c r="D2628" i="1"/>
  <c r="Q501" i="1" l="1"/>
  <c r="Q549" i="1" s="1"/>
  <c r="Q568" i="246"/>
  <c r="Q584" i="246" s="1"/>
  <c r="R1880" i="1"/>
  <c r="R1884" i="1"/>
  <c r="R1888" i="1"/>
  <c r="R1892" i="1"/>
  <c r="R1896" i="1"/>
  <c r="R1900" i="1"/>
  <c r="R1904" i="1"/>
  <c r="R1908" i="1"/>
  <c r="R1912" i="1"/>
  <c r="R1666" i="1"/>
  <c r="R1878" i="1"/>
  <c r="R1879" i="1"/>
  <c r="R1883" i="1"/>
  <c r="R1895" i="1"/>
  <c r="R1899" i="1"/>
  <c r="R1911" i="1"/>
  <c r="R1877" i="1"/>
  <c r="R1876" i="1"/>
  <c r="R1668" i="1"/>
  <c r="R1667" i="1"/>
  <c r="R1672" i="1"/>
  <c r="R1676" i="1"/>
  <c r="R1680" i="1"/>
  <c r="R1684" i="1"/>
  <c r="R1688" i="1"/>
  <c r="R1881" i="1"/>
  <c r="R1885" i="1"/>
  <c r="O1668" i="246"/>
  <c r="R1668" i="246" s="1"/>
  <c r="R1673" i="246" s="1"/>
  <c r="O1851" i="246"/>
  <c r="R1851" i="246" s="1"/>
  <c r="R1889" i="1"/>
  <c r="R1893" i="1"/>
  <c r="R1897" i="1"/>
  <c r="R1901" i="1"/>
  <c r="R1905" i="1"/>
  <c r="R1909" i="1"/>
  <c r="R1913" i="1"/>
  <c r="R1887" i="1"/>
  <c r="R1891" i="1"/>
  <c r="R1903" i="1"/>
  <c r="R1907" i="1"/>
  <c r="R1898" i="1"/>
  <c r="R1910" i="1"/>
  <c r="R1894" i="1"/>
  <c r="R1902" i="1"/>
  <c r="R1906" i="1"/>
  <c r="R1882" i="1"/>
  <c r="R1886" i="1"/>
  <c r="R1890" i="1"/>
  <c r="O1916" i="1"/>
  <c r="M1916" i="1"/>
  <c r="R1628" i="246"/>
  <c r="R1692" i="1"/>
  <c r="R1696" i="1"/>
  <c r="R1700" i="1"/>
  <c r="R1671" i="1"/>
  <c r="R1675" i="1"/>
  <c r="R1679" i="1"/>
  <c r="R1683" i="1"/>
  <c r="R1687" i="1"/>
  <c r="R1691" i="1"/>
  <c r="R1695" i="1"/>
  <c r="R1699" i="1"/>
  <c r="R1703" i="1"/>
  <c r="R1670" i="1"/>
  <c r="R1674" i="1"/>
  <c r="R1678" i="1"/>
  <c r="R1682" i="1"/>
  <c r="R1686" i="1"/>
  <c r="R1690" i="1"/>
  <c r="R1694" i="1"/>
  <c r="R1698" i="1"/>
  <c r="R1702" i="1"/>
  <c r="R1669" i="1"/>
  <c r="R1673" i="1"/>
  <c r="R1677" i="1"/>
  <c r="R1681" i="1"/>
  <c r="R1685" i="1"/>
  <c r="R1689" i="1"/>
  <c r="R1693" i="1"/>
  <c r="R1697" i="1"/>
  <c r="R1701" i="1"/>
  <c r="O1706" i="1"/>
  <c r="M1706" i="1"/>
  <c r="C2193" i="246"/>
  <c r="C2192" i="246"/>
  <c r="C2191" i="246"/>
  <c r="C2190" i="246"/>
  <c r="C2189" i="246"/>
  <c r="C2188" i="246"/>
  <c r="C2187" i="246"/>
  <c r="O2182" i="246"/>
  <c r="D2179" i="246"/>
  <c r="D2176" i="246"/>
  <c r="D2175" i="246"/>
  <c r="C2260" i="1"/>
  <c r="C2259" i="1"/>
  <c r="C2258" i="1"/>
  <c r="C2257" i="1"/>
  <c r="C2256" i="1"/>
  <c r="C2255" i="1"/>
  <c r="C2254" i="1"/>
  <c r="M2249" i="1"/>
  <c r="D2246" i="1"/>
  <c r="D2243" i="1"/>
  <c r="D2242" i="1"/>
  <c r="Q566" i="1" l="1"/>
  <c r="Q583" i="1" s="1"/>
  <c r="O75" i="246"/>
  <c r="R1621" i="246"/>
  <c r="R1617" i="246"/>
  <c r="R1623" i="246"/>
  <c r="R1624" i="246"/>
  <c r="R1625" i="246"/>
  <c r="R1626" i="246"/>
  <c r="R1627" i="246"/>
  <c r="R1618" i="246"/>
  <c r="R1670" i="246"/>
  <c r="R1666" i="246"/>
  <c r="R1667" i="246"/>
  <c r="R1669" i="246"/>
  <c r="R1616" i="246"/>
  <c r="R1671" i="246"/>
  <c r="R1672" i="246"/>
  <c r="R1620" i="246"/>
  <c r="R1622" i="246"/>
  <c r="R1619" i="246"/>
  <c r="R1810" i="246"/>
  <c r="R1806" i="246"/>
  <c r="R1802" i="246"/>
  <c r="R1855" i="246"/>
  <c r="R1850" i="246"/>
  <c r="R1809" i="246"/>
  <c r="R1805" i="246"/>
  <c r="R1800" i="246"/>
  <c r="R1854" i="246"/>
  <c r="R1849" i="246"/>
  <c r="R1801" i="246"/>
  <c r="R1803" i="246"/>
  <c r="R1852" i="246"/>
  <c r="R1808" i="246"/>
  <c r="R1804" i="246"/>
  <c r="R1799" i="246"/>
  <c r="R1853" i="246"/>
  <c r="R1807" i="246"/>
  <c r="R1856" i="246"/>
  <c r="R1916" i="1"/>
  <c r="R1706" i="1"/>
  <c r="Q601" i="246" l="1"/>
  <c r="Q601" i="1"/>
  <c r="R1866" i="1"/>
  <c r="R1872" i="1"/>
  <c r="R1868" i="1"/>
  <c r="R1921" i="1"/>
  <c r="R1917" i="1"/>
  <c r="R1875" i="1"/>
  <c r="R1871" i="1"/>
  <c r="R1867" i="1"/>
  <c r="R1920" i="1"/>
  <c r="R1915" i="1"/>
  <c r="R1874" i="1"/>
  <c r="R1870" i="1"/>
  <c r="R1865" i="1"/>
  <c r="R1919" i="1"/>
  <c r="R1914" i="1"/>
  <c r="R1873" i="1"/>
  <c r="R1869" i="1"/>
  <c r="R1864" i="1"/>
  <c r="R1918" i="1"/>
  <c r="R1656" i="1"/>
  <c r="R1662" i="1"/>
  <c r="R1658" i="1"/>
  <c r="R1711" i="1"/>
  <c r="R1707" i="1"/>
  <c r="R1654" i="1"/>
  <c r="R1665" i="1"/>
  <c r="R1661" i="1"/>
  <c r="R1657" i="1"/>
  <c r="R1710" i="1"/>
  <c r="R1705" i="1"/>
  <c r="R1659" i="1"/>
  <c r="R1664" i="1"/>
  <c r="R1660" i="1"/>
  <c r="R1655" i="1"/>
  <c r="R1709" i="1"/>
  <c r="R1704" i="1"/>
  <c r="R1663" i="1"/>
  <c r="R1708" i="1"/>
  <c r="F26" i="80"/>
  <c r="D952" i="1"/>
  <c r="D949" i="1"/>
  <c r="R949" i="1" s="1"/>
  <c r="D948" i="1"/>
  <c r="J25" i="170"/>
  <c r="I25" i="26" s="1"/>
  <c r="W24" i="242"/>
  <c r="V24" i="242"/>
  <c r="U24" i="242"/>
  <c r="T24" i="242"/>
  <c r="S24" i="242"/>
  <c r="R24" i="242"/>
  <c r="Q24" i="242"/>
  <c r="P24" i="242"/>
  <c r="O24" i="242"/>
  <c r="N24" i="242"/>
  <c r="L24" i="242"/>
  <c r="J24" i="242"/>
  <c r="I24" i="242"/>
  <c r="W23" i="242"/>
  <c r="V23" i="242"/>
  <c r="U23" i="242"/>
  <c r="T23" i="242"/>
  <c r="S23" i="242"/>
  <c r="R23" i="242"/>
  <c r="Q23" i="242"/>
  <c r="P23" i="242"/>
  <c r="O23" i="242"/>
  <c r="N23" i="242"/>
  <c r="L23" i="242"/>
  <c r="K23" i="242"/>
  <c r="J23" i="242"/>
  <c r="I23" i="242"/>
  <c r="C11" i="89"/>
  <c r="C10" i="89"/>
  <c r="O2641" i="246"/>
  <c r="R2641" i="246" s="1"/>
  <c r="O2640" i="246"/>
  <c r="R2640" i="246" s="1"/>
  <c r="O2622" i="246"/>
  <c r="D2619" i="246"/>
  <c r="D2616" i="246"/>
  <c r="D2615" i="246"/>
  <c r="O2604" i="246"/>
  <c r="R2604" i="246" s="1"/>
  <c r="O2603" i="246"/>
  <c r="R2603" i="246" s="1"/>
  <c r="O2602" i="246"/>
  <c r="O2596" i="246"/>
  <c r="D2593" i="246"/>
  <c r="D2590" i="246"/>
  <c r="D2589" i="246"/>
  <c r="M2708" i="1"/>
  <c r="M2707" i="1"/>
  <c r="M2706" i="1"/>
  <c r="O2708" i="1"/>
  <c r="O2707" i="1"/>
  <c r="M2689" i="1"/>
  <c r="D2686" i="1"/>
  <c r="D2683" i="1"/>
  <c r="D2682" i="1"/>
  <c r="M2671" i="1"/>
  <c r="M2670" i="1"/>
  <c r="M2669" i="1"/>
  <c r="O2671" i="1"/>
  <c r="O2670" i="1"/>
  <c r="O2669" i="1"/>
  <c r="F385" i="4"/>
  <c r="M2663" i="1"/>
  <c r="D2660" i="1"/>
  <c r="D2657" i="1"/>
  <c r="D2656" i="1"/>
  <c r="C11" i="170"/>
  <c r="C10" i="170"/>
  <c r="AD13" i="89"/>
  <c r="Q660" i="246" l="1"/>
  <c r="Q734" i="246" s="1"/>
  <c r="R2708" i="1"/>
  <c r="O2711" i="1"/>
  <c r="R2707" i="1"/>
  <c r="R2670" i="1"/>
  <c r="R2671" i="1"/>
  <c r="K24" i="242"/>
  <c r="R2706" i="1"/>
  <c r="O2607" i="246"/>
  <c r="R2607" i="246" s="1"/>
  <c r="O2644" i="246"/>
  <c r="R2602" i="246"/>
  <c r="M2711" i="1"/>
  <c r="R2669" i="1"/>
  <c r="M2674" i="1"/>
  <c r="O2674" i="1"/>
  <c r="M162" i="192"/>
  <c r="G162" i="192" s="1"/>
  <c r="I162" i="192" s="1"/>
  <c r="K162" i="192"/>
  <c r="M162" i="190"/>
  <c r="G162" i="190" s="1"/>
  <c r="I162" i="190" s="1"/>
  <c r="K162" i="190"/>
  <c r="M162" i="136"/>
  <c r="G162" i="136" s="1"/>
  <c r="I162" i="136" s="1"/>
  <c r="K162" i="136"/>
  <c r="P162" i="5"/>
  <c r="N162" i="5"/>
  <c r="O1523" i="1" s="1"/>
  <c r="G224" i="5"/>
  <c r="M224" i="192"/>
  <c r="G224" i="192" s="1"/>
  <c r="I224" i="192" s="1"/>
  <c r="H224" i="5" s="1"/>
  <c r="K224" i="192"/>
  <c r="M223" i="192"/>
  <c r="G223" i="192" s="1"/>
  <c r="I223" i="192" s="1"/>
  <c r="H223" i="5" s="1"/>
  <c r="K223" i="192"/>
  <c r="M224" i="190"/>
  <c r="G224" i="190" s="1"/>
  <c r="I224" i="190" s="1"/>
  <c r="K224" i="190"/>
  <c r="M223" i="190"/>
  <c r="G223" i="190" s="1"/>
  <c r="I223" i="190" s="1"/>
  <c r="G223" i="5" s="1"/>
  <c r="K223" i="190"/>
  <c r="M224" i="136"/>
  <c r="G224" i="136" s="1"/>
  <c r="I224" i="136" s="1"/>
  <c r="F224" i="5" s="1"/>
  <c r="K224" i="136"/>
  <c r="M223" i="136"/>
  <c r="G223" i="136" s="1"/>
  <c r="I223" i="136" s="1"/>
  <c r="F223" i="5" s="1"/>
  <c r="K223" i="136"/>
  <c r="P224" i="5"/>
  <c r="N224" i="5"/>
  <c r="P223" i="5"/>
  <c r="N223" i="5"/>
  <c r="O2492" i="1" s="1"/>
  <c r="U2492" i="1" s="1"/>
  <c r="M2957" i="246"/>
  <c r="Q790" i="246" l="1"/>
  <c r="Q865" i="246" s="1"/>
  <c r="Q915" i="246" s="1"/>
  <c r="Q931" i="246" s="1"/>
  <c r="Q952" i="246" s="1"/>
  <c r="Q978" i="246" s="1"/>
  <c r="Q996" i="246" s="1"/>
  <c r="H11" i="170"/>
  <c r="O2493" i="1"/>
  <c r="U2493" i="1" s="1"/>
  <c r="O2489" i="1" s="1"/>
  <c r="R2588" i="246"/>
  <c r="R2599" i="246"/>
  <c r="R2644" i="246"/>
  <c r="R2608" i="246"/>
  <c r="R2613" i="246"/>
  <c r="R2611" i="246"/>
  <c r="R2591" i="246"/>
  <c r="R2605" i="246"/>
  <c r="R2612" i="246"/>
  <c r="R2592" i="246"/>
  <c r="R2589" i="246"/>
  <c r="R2600" i="246"/>
  <c r="R2593" i="246"/>
  <c r="R2711" i="1"/>
  <c r="R2598" i="246"/>
  <c r="R2595" i="246"/>
  <c r="R2596" i="246"/>
  <c r="R2597" i="246"/>
  <c r="R2594" i="246"/>
  <c r="H10" i="170"/>
  <c r="O1585" i="1"/>
  <c r="R2609" i="246"/>
  <c r="R2601" i="246"/>
  <c r="R2610" i="246"/>
  <c r="R2590" i="246"/>
  <c r="R2606" i="246"/>
  <c r="R2674" i="1"/>
  <c r="R2666" i="1" s="1"/>
  <c r="M3025" i="1"/>
  <c r="F476" i="4"/>
  <c r="Q1015" i="246" l="1"/>
  <c r="Q1034" i="246" s="1"/>
  <c r="Q1057" i="246" s="1"/>
  <c r="Q1073" i="246" s="1"/>
  <c r="Q1093" i="246" s="1"/>
  <c r="Q1114" i="246" s="1"/>
  <c r="Q1129" i="246" s="1"/>
  <c r="Q1157" i="246" s="1"/>
  <c r="Q1202" i="246" s="1"/>
  <c r="Q1228" i="246" s="1"/>
  <c r="R2643" i="246"/>
  <c r="R2645" i="246"/>
  <c r="R2646" i="246"/>
  <c r="R2642" i="246"/>
  <c r="R2637" i="246"/>
  <c r="R2636" i="246"/>
  <c r="R2638" i="246"/>
  <c r="R2709" i="1"/>
  <c r="R2712" i="1"/>
  <c r="R2710" i="1"/>
  <c r="R2704" i="1"/>
  <c r="R2713" i="1"/>
  <c r="R2705" i="1"/>
  <c r="R2703" i="1"/>
  <c r="R2657" i="1"/>
  <c r="R2664" i="1"/>
  <c r="R2660" i="1"/>
  <c r="R2655" i="1"/>
  <c r="R2677" i="1"/>
  <c r="R2672" i="1"/>
  <c r="R2661" i="1"/>
  <c r="R2668" i="1"/>
  <c r="R2663" i="1"/>
  <c r="R2659" i="1"/>
  <c r="R2680" i="1"/>
  <c r="R2676" i="1"/>
  <c r="R2656" i="1"/>
  <c r="R2673" i="1"/>
  <c r="R2667" i="1"/>
  <c r="R2662" i="1"/>
  <c r="R2658" i="1"/>
  <c r="R2679" i="1"/>
  <c r="R2675" i="1"/>
  <c r="R2665" i="1"/>
  <c r="R2678" i="1"/>
  <c r="AF16" i="89"/>
  <c r="AE16" i="89"/>
  <c r="AD16" i="89"/>
  <c r="AF15" i="89"/>
  <c r="AE15" i="89"/>
  <c r="AD15" i="89"/>
  <c r="AF14" i="89"/>
  <c r="AE14" i="89"/>
  <c r="AD14" i="89"/>
  <c r="AF13" i="89"/>
  <c r="AE13" i="89"/>
  <c r="Y17" i="89"/>
  <c r="V17" i="89"/>
  <c r="N17" i="89"/>
  <c r="Y373" i="89"/>
  <c r="X373" i="89"/>
  <c r="V373" i="89"/>
  <c r="O373" i="89"/>
  <c r="X11" i="89"/>
  <c r="X17" i="89" s="1"/>
  <c r="W11" i="89"/>
  <c r="S11" i="89"/>
  <c r="O11" i="89"/>
  <c r="U34" i="89"/>
  <c r="U373" i="89" s="1"/>
  <c r="I34" i="89"/>
  <c r="AA33" i="89"/>
  <c r="AC33" i="89" s="1"/>
  <c r="AA32" i="89"/>
  <c r="AC32" i="89" s="1"/>
  <c r="AA31" i="89"/>
  <c r="AC31" i="89" s="1"/>
  <c r="AA30" i="89"/>
  <c r="AC30" i="89" s="1"/>
  <c r="AA29" i="89"/>
  <c r="AC29" i="89" s="1"/>
  <c r="AA28" i="89"/>
  <c r="AC28" i="89" s="1"/>
  <c r="AA27" i="89"/>
  <c r="AC27" i="89" s="1"/>
  <c r="AA41" i="89"/>
  <c r="AC41" i="89" s="1"/>
  <c r="AA59" i="89"/>
  <c r="AC59" i="89" s="1"/>
  <c r="AA58" i="89"/>
  <c r="AC58" i="89" s="1"/>
  <c r="AA57" i="89"/>
  <c r="AC57" i="89" s="1"/>
  <c r="AA56" i="89"/>
  <c r="AC56" i="89" s="1"/>
  <c r="AA55" i="89"/>
  <c r="AC55" i="89" s="1"/>
  <c r="AA54" i="89"/>
  <c r="AC54" i="89" s="1"/>
  <c r="AA53" i="89"/>
  <c r="AC53" i="89" s="1"/>
  <c r="AA52" i="89"/>
  <c r="AC52" i="89" s="1"/>
  <c r="AA51" i="89"/>
  <c r="AC51" i="89" s="1"/>
  <c r="AA50" i="89"/>
  <c r="AC50" i="89" s="1"/>
  <c r="AA49" i="89"/>
  <c r="AC49" i="89" s="1"/>
  <c r="AA48" i="89"/>
  <c r="AC48" i="89" s="1"/>
  <c r="AA47" i="89"/>
  <c r="AC47" i="89" s="1"/>
  <c r="AA46" i="89"/>
  <c r="AC46" i="89" s="1"/>
  <c r="AA45" i="89"/>
  <c r="AC45" i="89" s="1"/>
  <c r="AA44" i="89"/>
  <c r="AC44" i="89" s="1"/>
  <c r="AA43" i="89"/>
  <c r="AC43" i="89" s="1"/>
  <c r="AA42" i="89"/>
  <c r="AC42" i="89" s="1"/>
  <c r="AA40" i="89"/>
  <c r="AA39" i="89"/>
  <c r="AC39" i="89" s="1"/>
  <c r="K59" i="89"/>
  <c r="K58" i="89"/>
  <c r="K57" i="89"/>
  <c r="K56" i="89"/>
  <c r="K55" i="89"/>
  <c r="K54" i="89"/>
  <c r="K53" i="89"/>
  <c r="K52" i="89"/>
  <c r="K51" i="89"/>
  <c r="K50" i="89"/>
  <c r="K49" i="89"/>
  <c r="K48" i="89"/>
  <c r="K47" i="89"/>
  <c r="K46" i="89"/>
  <c r="K45" i="89"/>
  <c r="K44" i="89"/>
  <c r="K43" i="89"/>
  <c r="K42" i="89"/>
  <c r="K41" i="89"/>
  <c r="K40" i="89"/>
  <c r="K60" i="89" s="1"/>
  <c r="K11" i="89" s="1"/>
  <c r="X60" i="89"/>
  <c r="W60" i="89"/>
  <c r="T60" i="89"/>
  <c r="T11" i="89" s="1"/>
  <c r="S60" i="89"/>
  <c r="Q60" i="89"/>
  <c r="O60" i="89"/>
  <c r="M60" i="89"/>
  <c r="L60" i="89"/>
  <c r="L11" i="89" s="1"/>
  <c r="I60" i="89"/>
  <c r="I11" i="89" s="1"/>
  <c r="AA72" i="89"/>
  <c r="Z75" i="89"/>
  <c r="AB75" i="89" s="1"/>
  <c r="AA74" i="89"/>
  <c r="AA147" i="89"/>
  <c r="AA146" i="89"/>
  <c r="AA145" i="89"/>
  <c r="AA144" i="89"/>
  <c r="AA143" i="89"/>
  <c r="AA142" i="89"/>
  <c r="AA141" i="89"/>
  <c r="AA140" i="89"/>
  <c r="AA139" i="89"/>
  <c r="AA138" i="89"/>
  <c r="AA137" i="89"/>
  <c r="AA136" i="89"/>
  <c r="AA135" i="89"/>
  <c r="AA134" i="89"/>
  <c r="AA133" i="89"/>
  <c r="AA132" i="89"/>
  <c r="AA131" i="89"/>
  <c r="AA130" i="89"/>
  <c r="AA129" i="89"/>
  <c r="AA128" i="89"/>
  <c r="AA127" i="89"/>
  <c r="AA126" i="89"/>
  <c r="AA125" i="89"/>
  <c r="AA124" i="89"/>
  <c r="AA123" i="89"/>
  <c r="AA122" i="89"/>
  <c r="AA121" i="89"/>
  <c r="AA120" i="89"/>
  <c r="AA119" i="89"/>
  <c r="AA118" i="89"/>
  <c r="AA117" i="89"/>
  <c r="AA116" i="89"/>
  <c r="AA115" i="89"/>
  <c r="AA114" i="89"/>
  <c r="AA113" i="89"/>
  <c r="AA112" i="89"/>
  <c r="AA111" i="89"/>
  <c r="AA110" i="89"/>
  <c r="AA109" i="89"/>
  <c r="AA108" i="89"/>
  <c r="AA107" i="89"/>
  <c r="AA106" i="89"/>
  <c r="AA105" i="89"/>
  <c r="AA104" i="89"/>
  <c r="AA103" i="89"/>
  <c r="AA102" i="89"/>
  <c r="AA101" i="89"/>
  <c r="AA100" i="89"/>
  <c r="AA99" i="89"/>
  <c r="AA98" i="89"/>
  <c r="AA97" i="89"/>
  <c r="AA96" i="89"/>
  <c r="AA95" i="89"/>
  <c r="AA94" i="89"/>
  <c r="AA93" i="89"/>
  <c r="AA92" i="89"/>
  <c r="AA91" i="89"/>
  <c r="AA90" i="89"/>
  <c r="AA89" i="89"/>
  <c r="AA88" i="89"/>
  <c r="AA87" i="89"/>
  <c r="AA86" i="89"/>
  <c r="AA85" i="89"/>
  <c r="AA84" i="89"/>
  <c r="AA83" i="89"/>
  <c r="AA82" i="89"/>
  <c r="AA81" i="89"/>
  <c r="AA80" i="89"/>
  <c r="AA79" i="89"/>
  <c r="AA78" i="89"/>
  <c r="AA77" i="89"/>
  <c r="AA76" i="89"/>
  <c r="AA75" i="89"/>
  <c r="AA73" i="89"/>
  <c r="AA71" i="89"/>
  <c r="AA70" i="89"/>
  <c r="AA69" i="89"/>
  <c r="AA68" i="89"/>
  <c r="AA67" i="89"/>
  <c r="Z74" i="89"/>
  <c r="AB74" i="89" s="1"/>
  <c r="P149" i="89"/>
  <c r="P12" i="89" s="1"/>
  <c r="P17" i="89" s="1"/>
  <c r="O149" i="89"/>
  <c r="O12" i="89" s="1"/>
  <c r="M149" i="89"/>
  <c r="M12" i="89" s="1"/>
  <c r="O1752" i="246"/>
  <c r="D1749" i="246"/>
  <c r="D1746" i="246"/>
  <c r="D1745" i="246"/>
  <c r="M1817" i="1"/>
  <c r="D1814" i="1"/>
  <c r="D1811" i="1"/>
  <c r="D1810" i="1"/>
  <c r="M249" i="192"/>
  <c r="G249" i="192" s="1"/>
  <c r="I249" i="192" s="1"/>
  <c r="H249" i="5" s="1"/>
  <c r="K249" i="192"/>
  <c r="M249" i="190"/>
  <c r="G249" i="190" s="1"/>
  <c r="I249" i="190" s="1"/>
  <c r="G249" i="5" s="1"/>
  <c r="K249" i="190"/>
  <c r="M249" i="136"/>
  <c r="G249" i="136" s="1"/>
  <c r="I249" i="136" s="1"/>
  <c r="F249" i="5" s="1"/>
  <c r="K249" i="136"/>
  <c r="P249" i="5"/>
  <c r="J249" i="5" s="1"/>
  <c r="N249" i="5"/>
  <c r="O1838" i="1" s="1"/>
  <c r="U1838" i="1" s="1"/>
  <c r="M245" i="192"/>
  <c r="G245" i="192" s="1"/>
  <c r="I245" i="192" s="1"/>
  <c r="H245" i="5" s="1"/>
  <c r="K245" i="192"/>
  <c r="M234" i="192"/>
  <c r="G234" i="192" s="1"/>
  <c r="I234" i="192" s="1"/>
  <c r="H234" i="5" s="1"/>
  <c r="K234" i="192"/>
  <c r="M245" i="190"/>
  <c r="G245" i="190" s="1"/>
  <c r="I245" i="190" s="1"/>
  <c r="G245" i="5" s="1"/>
  <c r="K245" i="190"/>
  <c r="M234" i="190"/>
  <c r="G234" i="190" s="1"/>
  <c r="I234" i="190" s="1"/>
  <c r="G234" i="5" s="1"/>
  <c r="K234" i="190"/>
  <c r="M245" i="136"/>
  <c r="G245" i="136" s="1"/>
  <c r="I245" i="136" s="1"/>
  <c r="F245" i="5" s="1"/>
  <c r="K245" i="136"/>
  <c r="M234" i="136"/>
  <c r="G234" i="136" s="1"/>
  <c r="I234" i="136" s="1"/>
  <c r="F234" i="5" s="1"/>
  <c r="K234" i="136"/>
  <c r="P245" i="5"/>
  <c r="N245" i="5"/>
  <c r="O1844" i="1" s="1"/>
  <c r="U1844" i="1" s="1"/>
  <c r="P234" i="5"/>
  <c r="N234" i="5"/>
  <c r="O1619" i="1" s="1"/>
  <c r="U1619" i="1" s="1"/>
  <c r="O1569" i="246"/>
  <c r="M1607" i="1"/>
  <c r="D3410" i="246"/>
  <c r="D3246" i="246"/>
  <c r="D3082" i="246"/>
  <c r="D2775" i="246"/>
  <c r="D3970" i="1"/>
  <c r="D3806" i="1"/>
  <c r="D3642" i="1"/>
  <c r="D3478" i="1"/>
  <c r="D3314" i="1"/>
  <c r="D3150" i="1"/>
  <c r="D2842" i="1"/>
  <c r="C1192" i="246"/>
  <c r="C1186" i="246"/>
  <c r="C1180" i="246"/>
  <c r="C1174" i="246"/>
  <c r="C1230" i="1"/>
  <c r="C1224" i="1"/>
  <c r="C1218" i="1"/>
  <c r="C1212" i="1"/>
  <c r="M97" i="192"/>
  <c r="G97" i="192" s="1"/>
  <c r="I97" i="192" s="1"/>
  <c r="K97" i="192"/>
  <c r="M97" i="190"/>
  <c r="G97" i="190" s="1"/>
  <c r="I97" i="190" s="1"/>
  <c r="K97" i="190"/>
  <c r="M97" i="136"/>
  <c r="G97" i="136" s="1"/>
  <c r="I97" i="136" s="1"/>
  <c r="K97" i="136"/>
  <c r="P97" i="5"/>
  <c r="N97" i="5"/>
  <c r="M33" i="192"/>
  <c r="G33" i="192" s="1"/>
  <c r="I33" i="192" s="1"/>
  <c r="K33" i="192"/>
  <c r="O3806" i="1" s="1"/>
  <c r="M33" i="190"/>
  <c r="G33" i="190" s="1"/>
  <c r="I33" i="190" s="1"/>
  <c r="O3246" i="246" s="1"/>
  <c r="K33" i="190"/>
  <c r="O3478" i="1" s="1"/>
  <c r="M33" i="136"/>
  <c r="G33" i="136" s="1"/>
  <c r="I33" i="136" s="1"/>
  <c r="O3314" i="1" s="1"/>
  <c r="K33" i="136"/>
  <c r="O1218" i="1" s="1"/>
  <c r="P33" i="5"/>
  <c r="N33" i="5"/>
  <c r="M239" i="192"/>
  <c r="G239" i="192" s="1"/>
  <c r="I239" i="192" s="1"/>
  <c r="H239" i="5" s="1"/>
  <c r="K239" i="192"/>
  <c r="M239" i="190"/>
  <c r="G239" i="190" s="1"/>
  <c r="I239" i="190" s="1"/>
  <c r="G239" i="5" s="1"/>
  <c r="K239" i="190"/>
  <c r="M239" i="136"/>
  <c r="G239" i="136" s="1"/>
  <c r="I239" i="136" s="1"/>
  <c r="F239" i="5" s="1"/>
  <c r="K239" i="136"/>
  <c r="P239" i="5"/>
  <c r="N239" i="5"/>
  <c r="O1627" i="1" s="1"/>
  <c r="U1627" i="1" s="1"/>
  <c r="M244" i="192"/>
  <c r="G244" i="192" s="1"/>
  <c r="I244" i="192" s="1"/>
  <c r="H244" i="5" s="1"/>
  <c r="K244" i="192"/>
  <c r="M243" i="192"/>
  <c r="G243" i="192" s="1"/>
  <c r="I243" i="192" s="1"/>
  <c r="H243" i="5" s="1"/>
  <c r="K243" i="192"/>
  <c r="M242" i="192"/>
  <c r="G242" i="192" s="1"/>
  <c r="I242" i="192" s="1"/>
  <c r="H242" i="5" s="1"/>
  <c r="K242" i="192"/>
  <c r="M241" i="192"/>
  <c r="G241" i="192" s="1"/>
  <c r="K241" i="192"/>
  <c r="M240" i="192"/>
  <c r="G240" i="192" s="1"/>
  <c r="I240" i="192" s="1"/>
  <c r="K240" i="192"/>
  <c r="M244" i="190"/>
  <c r="G244" i="190" s="1"/>
  <c r="I244" i="190" s="1"/>
  <c r="G244" i="5" s="1"/>
  <c r="K244" i="190"/>
  <c r="M243" i="190"/>
  <c r="G243" i="190" s="1"/>
  <c r="I243" i="190" s="1"/>
  <c r="G243" i="5" s="1"/>
  <c r="K243" i="190"/>
  <c r="M242" i="190"/>
  <c r="G242" i="190" s="1"/>
  <c r="I242" i="190" s="1"/>
  <c r="G242" i="5" s="1"/>
  <c r="K242" i="190"/>
  <c r="M241" i="190"/>
  <c r="G241" i="190" s="1"/>
  <c r="K241" i="190"/>
  <c r="M240" i="190"/>
  <c r="G240" i="190" s="1"/>
  <c r="I240" i="190" s="1"/>
  <c r="K240" i="190"/>
  <c r="M244" i="136"/>
  <c r="G244" i="136" s="1"/>
  <c r="I244" i="136" s="1"/>
  <c r="F244" i="5" s="1"/>
  <c r="K244" i="136"/>
  <c r="M243" i="136"/>
  <c r="G243" i="136" s="1"/>
  <c r="I243" i="136" s="1"/>
  <c r="F243" i="5" s="1"/>
  <c r="K243" i="136"/>
  <c r="M242" i="136"/>
  <c r="G242" i="136" s="1"/>
  <c r="I242" i="136" s="1"/>
  <c r="F242" i="5" s="1"/>
  <c r="K242" i="136"/>
  <c r="M241" i="136"/>
  <c r="G241" i="136" s="1"/>
  <c r="K241" i="136"/>
  <c r="M240" i="136"/>
  <c r="G240" i="136" s="1"/>
  <c r="I240" i="136" s="1"/>
  <c r="K240" i="136"/>
  <c r="P244" i="5"/>
  <c r="N244" i="5"/>
  <c r="O1832" i="1" s="1"/>
  <c r="U1832" i="1" s="1"/>
  <c r="P243" i="5"/>
  <c r="N243" i="5"/>
  <c r="O1837" i="1" s="1"/>
  <c r="U1837" i="1" s="1"/>
  <c r="P242" i="5"/>
  <c r="J242" i="5" s="1"/>
  <c r="N242" i="5"/>
  <c r="O1828" i="1" s="1"/>
  <c r="U1828" i="1" s="1"/>
  <c r="P241" i="5"/>
  <c r="J241" i="5" s="1"/>
  <c r="N241" i="5"/>
  <c r="O1824" i="1" s="1"/>
  <c r="P240" i="5"/>
  <c r="J240" i="5" s="1"/>
  <c r="L240" i="5" s="1"/>
  <c r="N240" i="5"/>
  <c r="B1139" i="246"/>
  <c r="B1153" i="1"/>
  <c r="Q1256" i="246" l="1"/>
  <c r="Q1289" i="246" s="1"/>
  <c r="Q1315" i="246" s="1"/>
  <c r="Q1374" i="246" s="1"/>
  <c r="F241" i="192"/>
  <c r="O2842" i="1"/>
  <c r="O2740" i="1"/>
  <c r="O641" i="1"/>
  <c r="O2963" i="1"/>
  <c r="U2963" i="1" s="1"/>
  <c r="O1489" i="1"/>
  <c r="O1492" i="1" s="1"/>
  <c r="O17" i="89"/>
  <c r="O21" i="89" s="1"/>
  <c r="P373" i="89"/>
  <c r="M373" i="89"/>
  <c r="Q11" i="89"/>
  <c r="M11" i="89"/>
  <c r="M17" i="89" s="1"/>
  <c r="U10" i="89"/>
  <c r="U17" i="89" s="1"/>
  <c r="B1177" i="1"/>
  <c r="B1205" i="1" s="1"/>
  <c r="B1250" i="1" s="1"/>
  <c r="F241" i="190"/>
  <c r="I241" i="190" s="1"/>
  <c r="L249" i="5"/>
  <c r="M1838" i="1" s="1"/>
  <c r="R1838" i="1" s="1"/>
  <c r="F241" i="136"/>
  <c r="I241" i="136" s="1"/>
  <c r="O1854" i="1"/>
  <c r="I241" i="5"/>
  <c r="L241" i="5" s="1"/>
  <c r="U1824" i="1"/>
  <c r="AA60" i="89"/>
  <c r="AC40" i="89"/>
  <c r="AC60" i="89"/>
  <c r="AC11" i="89" s="1"/>
  <c r="AF11" i="89" s="1"/>
  <c r="O1834" i="1"/>
  <c r="O1212" i="1"/>
  <c r="O1230" i="1"/>
  <c r="O1224" i="1"/>
  <c r="M1230" i="1"/>
  <c r="O3410" i="246"/>
  <c r="M3806" i="1"/>
  <c r="O3970" i="1"/>
  <c r="O1192" i="246"/>
  <c r="R1192" i="246" s="1"/>
  <c r="O3642" i="1"/>
  <c r="M1224" i="1"/>
  <c r="O1186" i="246"/>
  <c r="R1186" i="246" s="1"/>
  <c r="M3478" i="1"/>
  <c r="O3150" i="1"/>
  <c r="O1180" i="246"/>
  <c r="R1180" i="246" s="1"/>
  <c r="M3150" i="1"/>
  <c r="O3082" i="246"/>
  <c r="M1218" i="1"/>
  <c r="R1218" i="1" s="1"/>
  <c r="B1167" i="246"/>
  <c r="L242" i="5"/>
  <c r="I241" i="192"/>
  <c r="Q1438" i="246" l="1"/>
  <c r="Q1459" i="246" s="1"/>
  <c r="Q1500" i="246" s="1"/>
  <c r="Q1523" i="246" s="1"/>
  <c r="Q1561" i="246" s="1"/>
  <c r="Q1616" i="246" s="1"/>
  <c r="Q1674" i="246" s="1"/>
  <c r="Q1721" i="246" s="1"/>
  <c r="Q1744" i="246" s="1"/>
  <c r="Q1799" i="246" s="1"/>
  <c r="Q1857" i="246" s="1"/>
  <c r="Q1898" i="246" s="1"/>
  <c r="Q1942" i="246" s="1"/>
  <c r="Q1967" i="246" s="1"/>
  <c r="Q1999" i="246" s="1"/>
  <c r="Q2030" i="246" s="1"/>
  <c r="Q2089" i="246" s="1"/>
  <c r="Q2114" i="246" s="1"/>
  <c r="Q2146" i="246" s="1"/>
  <c r="Q2174" i="246" s="1"/>
  <c r="Q2203" i="246" s="1"/>
  <c r="Q2226" i="246" s="1"/>
  <c r="Q2250" i="246" s="1"/>
  <c r="Q2286" i="246" s="1"/>
  <c r="Q2326" i="246" s="1"/>
  <c r="Q2365" i="246" s="1"/>
  <c r="O1574" i="1"/>
  <c r="U641" i="1"/>
  <c r="X641" i="1"/>
  <c r="X2963" i="1"/>
  <c r="O1759" i="246"/>
  <c r="M1824" i="1"/>
  <c r="AA11" i="89"/>
  <c r="O1773" i="246"/>
  <c r="R1773" i="246" s="1"/>
  <c r="S1838" i="1"/>
  <c r="M1828" i="1"/>
  <c r="S1828" i="1" s="1"/>
  <c r="O1763" i="246"/>
  <c r="S1763" i="246" s="1"/>
  <c r="R1224" i="1"/>
  <c r="R1230" i="1"/>
  <c r="B1212" i="246"/>
  <c r="B1364" i="1"/>
  <c r="D3504" i="246"/>
  <c r="D3340" i="246"/>
  <c r="D3176" i="246"/>
  <c r="D2869" i="246"/>
  <c r="D4064" i="1"/>
  <c r="D3900" i="1"/>
  <c r="D3736" i="1"/>
  <c r="D3572" i="1"/>
  <c r="D3408" i="1"/>
  <c r="D3244" i="1"/>
  <c r="D2937" i="1"/>
  <c r="M301" i="192"/>
  <c r="G301" i="192" s="1"/>
  <c r="I301" i="192" s="1"/>
  <c r="H301" i="5" s="1"/>
  <c r="K301" i="192"/>
  <c r="M300" i="192"/>
  <c r="G300" i="192" s="1"/>
  <c r="K300" i="192"/>
  <c r="M299" i="192"/>
  <c r="G299" i="192" s="1"/>
  <c r="I299" i="192" s="1"/>
  <c r="K299" i="192"/>
  <c r="M298" i="192"/>
  <c r="G298" i="192" s="1"/>
  <c r="I298" i="192" s="1"/>
  <c r="H298" i="5" s="1"/>
  <c r="K298" i="192"/>
  <c r="M297" i="192"/>
  <c r="G297" i="192" s="1"/>
  <c r="K297" i="192"/>
  <c r="M296" i="192"/>
  <c r="G296" i="192" s="1"/>
  <c r="I296" i="192" s="1"/>
  <c r="K296" i="192"/>
  <c r="M295" i="192"/>
  <c r="G295" i="192" s="1"/>
  <c r="I295" i="192" s="1"/>
  <c r="H295" i="5" s="1"/>
  <c r="K295" i="192"/>
  <c r="M294" i="192"/>
  <c r="G294" i="192" s="1"/>
  <c r="K294" i="192"/>
  <c r="M293" i="192"/>
  <c r="G293" i="192" s="1"/>
  <c r="I293" i="192" s="1"/>
  <c r="K293" i="192"/>
  <c r="M292" i="192"/>
  <c r="G292" i="192" s="1"/>
  <c r="I292" i="192" s="1"/>
  <c r="H292" i="5" s="1"/>
  <c r="K292" i="192"/>
  <c r="M291" i="192"/>
  <c r="G291" i="192" s="1"/>
  <c r="K291" i="192"/>
  <c r="M290" i="192"/>
  <c r="G290" i="192" s="1"/>
  <c r="I290" i="192" s="1"/>
  <c r="K290" i="192"/>
  <c r="M289" i="192"/>
  <c r="G289" i="192" s="1"/>
  <c r="I289" i="192" s="1"/>
  <c r="H289" i="5" s="1"/>
  <c r="K289" i="192"/>
  <c r="M288" i="192"/>
  <c r="G288" i="192" s="1"/>
  <c r="K288" i="192"/>
  <c r="M287" i="192"/>
  <c r="G287" i="192" s="1"/>
  <c r="I287" i="192" s="1"/>
  <c r="K287" i="192"/>
  <c r="M286" i="192"/>
  <c r="G286" i="192" s="1"/>
  <c r="I286" i="192" s="1"/>
  <c r="H286" i="5" s="1"/>
  <c r="K286" i="192"/>
  <c r="M285" i="192"/>
  <c r="G285" i="192" s="1"/>
  <c r="K285" i="192"/>
  <c r="M284" i="192"/>
  <c r="G284" i="192" s="1"/>
  <c r="I284" i="192" s="1"/>
  <c r="K284" i="192"/>
  <c r="M141" i="192"/>
  <c r="G141" i="192" s="1"/>
  <c r="I141" i="192" s="1"/>
  <c r="O3504" i="246" s="1"/>
  <c r="K141" i="192"/>
  <c r="O3900" i="1" s="1"/>
  <c r="K301" i="190"/>
  <c r="M301" i="190"/>
  <c r="G301" i="190" s="1"/>
  <c r="I301" i="190" s="1"/>
  <c r="G301" i="5" s="1"/>
  <c r="M300" i="190"/>
  <c r="G300" i="190" s="1"/>
  <c r="K300" i="190"/>
  <c r="M299" i="190"/>
  <c r="G299" i="190" s="1"/>
  <c r="I299" i="190" s="1"/>
  <c r="K299" i="190"/>
  <c r="M298" i="190"/>
  <c r="G298" i="190" s="1"/>
  <c r="I298" i="190" s="1"/>
  <c r="G298" i="5" s="1"/>
  <c r="K298" i="190"/>
  <c r="M297" i="190"/>
  <c r="G297" i="190" s="1"/>
  <c r="K297" i="190"/>
  <c r="M296" i="190"/>
  <c r="G296" i="190" s="1"/>
  <c r="I296" i="190" s="1"/>
  <c r="K296" i="190"/>
  <c r="M295" i="190"/>
  <c r="G295" i="190" s="1"/>
  <c r="I295" i="190" s="1"/>
  <c r="G295" i="5" s="1"/>
  <c r="K295" i="190"/>
  <c r="M294" i="190"/>
  <c r="G294" i="190" s="1"/>
  <c r="K294" i="190"/>
  <c r="M293" i="190"/>
  <c r="G293" i="190" s="1"/>
  <c r="I293" i="190" s="1"/>
  <c r="K293" i="190"/>
  <c r="M292" i="190"/>
  <c r="G292" i="190" s="1"/>
  <c r="I292" i="190" s="1"/>
  <c r="G292" i="5" s="1"/>
  <c r="K292" i="190"/>
  <c r="M291" i="190"/>
  <c r="G291" i="190" s="1"/>
  <c r="K291" i="190"/>
  <c r="M290" i="190"/>
  <c r="G290" i="190" s="1"/>
  <c r="I290" i="190" s="1"/>
  <c r="K290" i="190"/>
  <c r="M289" i="190"/>
  <c r="G289" i="190" s="1"/>
  <c r="I289" i="190" s="1"/>
  <c r="G289" i="5" s="1"/>
  <c r="K289" i="190"/>
  <c r="M288" i="190"/>
  <c r="G288" i="190" s="1"/>
  <c r="K288" i="190"/>
  <c r="M287" i="190"/>
  <c r="G287" i="190" s="1"/>
  <c r="I287" i="190" s="1"/>
  <c r="K287" i="190"/>
  <c r="M286" i="190"/>
  <c r="G286" i="190" s="1"/>
  <c r="I286" i="190" s="1"/>
  <c r="G286" i="5" s="1"/>
  <c r="K286" i="190"/>
  <c r="M285" i="190"/>
  <c r="G285" i="190" s="1"/>
  <c r="K285" i="190"/>
  <c r="M284" i="190"/>
  <c r="G284" i="190" s="1"/>
  <c r="I284" i="190" s="1"/>
  <c r="K284" i="190"/>
  <c r="M141" i="190"/>
  <c r="G141" i="190" s="1"/>
  <c r="I141" i="190" s="1"/>
  <c r="O3736" i="1" s="1"/>
  <c r="K141" i="190"/>
  <c r="O3572" i="1" s="1"/>
  <c r="M301" i="136"/>
  <c r="G301" i="136" s="1"/>
  <c r="I301" i="136" s="1"/>
  <c r="F301" i="5" s="1"/>
  <c r="K301" i="136"/>
  <c r="M300" i="136"/>
  <c r="G300" i="136" s="1"/>
  <c r="K300" i="136"/>
  <c r="M299" i="136"/>
  <c r="G299" i="136" s="1"/>
  <c r="I299" i="136" s="1"/>
  <c r="K299" i="136"/>
  <c r="M298" i="136"/>
  <c r="G298" i="136" s="1"/>
  <c r="I298" i="136" s="1"/>
  <c r="F298" i="5" s="1"/>
  <c r="K298" i="136"/>
  <c r="M297" i="136"/>
  <c r="G297" i="136" s="1"/>
  <c r="K297" i="136"/>
  <c r="M296" i="136"/>
  <c r="G296" i="136" s="1"/>
  <c r="I296" i="136" s="1"/>
  <c r="K296" i="136"/>
  <c r="M295" i="136"/>
  <c r="G295" i="136" s="1"/>
  <c r="I295" i="136" s="1"/>
  <c r="F295" i="5" s="1"/>
  <c r="K295" i="136"/>
  <c r="M294" i="136"/>
  <c r="G294" i="136" s="1"/>
  <c r="K294" i="136"/>
  <c r="M293" i="136"/>
  <c r="G293" i="136" s="1"/>
  <c r="I293" i="136" s="1"/>
  <c r="K293" i="136"/>
  <c r="M292" i="136"/>
  <c r="G292" i="136" s="1"/>
  <c r="I292" i="136" s="1"/>
  <c r="F292" i="5" s="1"/>
  <c r="K292" i="136"/>
  <c r="M291" i="136"/>
  <c r="G291" i="136" s="1"/>
  <c r="K291" i="136"/>
  <c r="M290" i="136"/>
  <c r="G290" i="136" s="1"/>
  <c r="I290" i="136" s="1"/>
  <c r="K290" i="136"/>
  <c r="M289" i="136"/>
  <c r="G289" i="136" s="1"/>
  <c r="I289" i="136" s="1"/>
  <c r="F289" i="5" s="1"/>
  <c r="K289" i="136"/>
  <c r="M288" i="136"/>
  <c r="G288" i="136" s="1"/>
  <c r="K288" i="136"/>
  <c r="M287" i="136"/>
  <c r="G287" i="136" s="1"/>
  <c r="I287" i="136" s="1"/>
  <c r="K287" i="136"/>
  <c r="M286" i="136"/>
  <c r="G286" i="136" s="1"/>
  <c r="I286" i="136" s="1"/>
  <c r="F286" i="5" s="1"/>
  <c r="K286" i="136"/>
  <c r="M285" i="136"/>
  <c r="G285" i="136" s="1"/>
  <c r="K285" i="136"/>
  <c r="M284" i="136"/>
  <c r="G284" i="136" s="1"/>
  <c r="I284" i="136" s="1"/>
  <c r="K284" i="136"/>
  <c r="M141" i="136"/>
  <c r="G141" i="136" s="1"/>
  <c r="I141" i="136" s="1"/>
  <c r="O3176" i="246" s="1"/>
  <c r="K141" i="136"/>
  <c r="O3244" i="1" s="1"/>
  <c r="P301" i="5"/>
  <c r="J301" i="5" s="1"/>
  <c r="N301" i="5"/>
  <c r="O1985" i="1" s="1"/>
  <c r="P300" i="5"/>
  <c r="J300" i="5" s="1"/>
  <c r="N300" i="5"/>
  <c r="O1980" i="1" s="1"/>
  <c r="P299" i="5"/>
  <c r="J299" i="5" s="1"/>
  <c r="L299" i="5" s="1"/>
  <c r="N299" i="5"/>
  <c r="P298" i="5"/>
  <c r="N298" i="5"/>
  <c r="P297" i="5"/>
  <c r="J297" i="5" s="1"/>
  <c r="N297" i="5"/>
  <c r="O1979" i="1" s="1"/>
  <c r="U1979" i="1" s="1"/>
  <c r="P296" i="5"/>
  <c r="J296" i="5" s="1"/>
  <c r="L296" i="5" s="1"/>
  <c r="N296" i="5"/>
  <c r="P295" i="5"/>
  <c r="J295" i="5" s="1"/>
  <c r="N295" i="5"/>
  <c r="O1983" i="1" s="1"/>
  <c r="P294" i="5"/>
  <c r="J294" i="5" s="1"/>
  <c r="N294" i="5"/>
  <c r="O1978" i="1" s="1"/>
  <c r="U1978" i="1" s="1"/>
  <c r="P293" i="5"/>
  <c r="J293" i="5" s="1"/>
  <c r="L293" i="5" s="1"/>
  <c r="N293" i="5"/>
  <c r="P292" i="5"/>
  <c r="N292" i="5"/>
  <c r="O1947" i="1" s="1"/>
  <c r="P291" i="5"/>
  <c r="J291" i="5" s="1"/>
  <c r="N291" i="5"/>
  <c r="O1942" i="1" s="1"/>
  <c r="P290" i="5"/>
  <c r="J290" i="5" s="1"/>
  <c r="L290" i="5" s="1"/>
  <c r="N290" i="5"/>
  <c r="P289" i="5"/>
  <c r="N289" i="5"/>
  <c r="P288" i="5"/>
  <c r="J288" i="5" s="1"/>
  <c r="N288" i="5"/>
  <c r="P287" i="5"/>
  <c r="J287" i="5" s="1"/>
  <c r="L287" i="5" s="1"/>
  <c r="N287" i="5"/>
  <c r="P286" i="5"/>
  <c r="J286" i="5" s="1"/>
  <c r="N286" i="5"/>
  <c r="P285" i="5"/>
  <c r="J285" i="5" s="1"/>
  <c r="N285" i="5"/>
  <c r="O1940" i="1" s="1"/>
  <c r="U1940" i="1" s="1"/>
  <c r="P284" i="5"/>
  <c r="J284" i="5" s="1"/>
  <c r="L284" i="5" s="1"/>
  <c r="N284" i="5"/>
  <c r="P141" i="5"/>
  <c r="N141" i="5"/>
  <c r="Q2403" i="246" l="1"/>
  <c r="Q2456" i="246" s="1"/>
  <c r="Q2483" i="246" s="1"/>
  <c r="Q2510" i="246" s="1"/>
  <c r="Q2534" i="246" s="1"/>
  <c r="Q2560" i="246" s="1"/>
  <c r="Q2588" i="246" s="1"/>
  <c r="Q2614" i="246" s="1"/>
  <c r="Q2651" i="246" s="1"/>
  <c r="Q2695" i="246" s="1"/>
  <c r="AD11" i="89"/>
  <c r="S1773" i="246"/>
  <c r="S1759" i="246"/>
  <c r="S1824" i="1"/>
  <c r="V1824" i="1"/>
  <c r="F291" i="192"/>
  <c r="I291" i="192" s="1"/>
  <c r="B1325" i="246"/>
  <c r="B1384" i="246" s="1"/>
  <c r="B1448" i="246" s="1"/>
  <c r="K2895" i="246" s="1"/>
  <c r="B1423" i="1"/>
  <c r="B1487" i="1" s="1"/>
  <c r="I297" i="5"/>
  <c r="L297" i="5" s="1"/>
  <c r="F297" i="192"/>
  <c r="I297" i="192" s="1"/>
  <c r="F300" i="192"/>
  <c r="F294" i="192"/>
  <c r="I294" i="192" s="1"/>
  <c r="F285" i="192"/>
  <c r="I285" i="192" s="1"/>
  <c r="F288" i="192"/>
  <c r="I288" i="192" s="1"/>
  <c r="I300" i="192"/>
  <c r="M3900" i="1"/>
  <c r="O4064" i="1"/>
  <c r="F297" i="190"/>
  <c r="I297" i="190" s="1"/>
  <c r="F291" i="190"/>
  <c r="I291" i="190" s="1"/>
  <c r="F294" i="190"/>
  <c r="I294" i="190" s="1"/>
  <c r="F300" i="190"/>
  <c r="I300" i="190" s="1"/>
  <c r="F285" i="190"/>
  <c r="I285" i="190" s="1"/>
  <c r="F288" i="190"/>
  <c r="I288" i="190" s="1"/>
  <c r="O3340" i="246"/>
  <c r="M3572" i="1"/>
  <c r="F294" i="136"/>
  <c r="I294" i="136" s="1"/>
  <c r="F297" i="136"/>
  <c r="I297" i="136" s="1"/>
  <c r="F300" i="136"/>
  <c r="I300" i="136" s="1"/>
  <c r="F285" i="136"/>
  <c r="I285" i="136" s="1"/>
  <c r="F288" i="136"/>
  <c r="I288" i="136" s="1"/>
  <c r="F291" i="136"/>
  <c r="I291" i="136" s="1"/>
  <c r="L295" i="5"/>
  <c r="M1983" i="1" s="1"/>
  <c r="R1983" i="1" s="1"/>
  <c r="M3244" i="1"/>
  <c r="O3408" i="1"/>
  <c r="O2735" i="1"/>
  <c r="L286" i="5"/>
  <c r="O1880" i="246" s="1"/>
  <c r="R1880" i="246" s="1"/>
  <c r="I288" i="5"/>
  <c r="L288" i="5" s="1"/>
  <c r="I285" i="5"/>
  <c r="L285" i="5" s="1"/>
  <c r="O2937" i="1"/>
  <c r="O1994" i="1"/>
  <c r="U1994" i="1" s="1"/>
  <c r="O1955" i="1"/>
  <c r="U1955" i="1" s="1"/>
  <c r="O1993" i="1"/>
  <c r="U1993" i="1" s="1"/>
  <c r="O1941" i="1"/>
  <c r="U1941" i="1" s="1"/>
  <c r="L301" i="5"/>
  <c r="O1920" i="246" s="1"/>
  <c r="R1920" i="246" s="1"/>
  <c r="I291" i="5"/>
  <c r="L291" i="5" s="1"/>
  <c r="I294" i="5"/>
  <c r="L294" i="5" s="1"/>
  <c r="I300" i="5"/>
  <c r="L300" i="5" s="1"/>
  <c r="O673" i="1"/>
  <c r="O1956" i="1"/>
  <c r="U1956" i="1" s="1"/>
  <c r="O1946" i="1"/>
  <c r="O2000" i="1"/>
  <c r="O1954" i="1"/>
  <c r="U1954" i="1" s="1"/>
  <c r="O1984" i="1"/>
  <c r="O1992" i="1"/>
  <c r="U1992" i="1" s="1"/>
  <c r="O1945" i="1"/>
  <c r="U1980" i="1"/>
  <c r="O1975" i="1" s="1"/>
  <c r="U1942" i="1"/>
  <c r="Q2737" i="246" l="1"/>
  <c r="Q2820" i="246" s="1"/>
  <c r="Q2904" i="246" s="1"/>
  <c r="Q2978" i="246" s="1"/>
  <c r="O85" i="246"/>
  <c r="K641" i="246"/>
  <c r="K641" i="1"/>
  <c r="K2963" i="1"/>
  <c r="X673" i="1"/>
  <c r="B1469" i="246"/>
  <c r="B1508" i="1"/>
  <c r="B1609" i="1" s="1"/>
  <c r="O1918" i="246"/>
  <c r="R1918" i="246" s="1"/>
  <c r="O834" i="246"/>
  <c r="M832" i="1"/>
  <c r="M1945" i="1"/>
  <c r="R1945" i="1" s="1"/>
  <c r="O1950" i="1"/>
  <c r="O1937" i="1"/>
  <c r="O1988" i="1"/>
  <c r="X1988" i="1" s="1"/>
  <c r="M1985" i="1"/>
  <c r="R1985" i="1" s="1"/>
  <c r="M1942" i="1"/>
  <c r="O1877" i="246"/>
  <c r="O1914" i="246"/>
  <c r="S1914" i="246" s="1"/>
  <c r="M1979" i="1"/>
  <c r="S1979" i="1" s="1"/>
  <c r="O1915" i="246"/>
  <c r="O1929" i="246"/>
  <c r="M1980" i="1"/>
  <c r="M1994" i="1"/>
  <c r="O1927" i="246"/>
  <c r="S1927" i="246" s="1"/>
  <c r="O1913" i="246"/>
  <c r="S1913" i="246" s="1"/>
  <c r="M1978" i="1"/>
  <c r="S1978" i="1" s="1"/>
  <c r="M1992" i="1"/>
  <c r="S1992" i="1" s="1"/>
  <c r="O1876" i="246"/>
  <c r="S1876" i="246" s="1"/>
  <c r="M1941" i="1"/>
  <c r="S1941" i="1" s="1"/>
  <c r="O1889" i="246"/>
  <c r="S1889" i="246" s="1"/>
  <c r="O1875" i="246"/>
  <c r="S1875" i="246" s="1"/>
  <c r="M1940" i="1"/>
  <c r="S1940" i="1" s="1"/>
  <c r="M1954" i="1"/>
  <c r="S1954" i="1" s="1"/>
  <c r="O87" i="246" l="1"/>
  <c r="B1571" i="246"/>
  <c r="B1682" i="246" s="1"/>
  <c r="B1754" i="246" s="1"/>
  <c r="K674" i="246" s="1"/>
  <c r="X1950" i="1"/>
  <c r="B1720" i="1"/>
  <c r="S1980" i="1"/>
  <c r="M1975" i="1" s="1"/>
  <c r="V1975" i="1" s="1"/>
  <c r="R1980" i="1"/>
  <c r="R1877" i="246"/>
  <c r="S1877" i="246"/>
  <c r="O1872" i="246" s="1"/>
  <c r="R1929" i="246"/>
  <c r="S1929" i="246"/>
  <c r="S1994" i="1"/>
  <c r="R1994" i="1"/>
  <c r="S1915" i="246"/>
  <c r="O1910" i="246" s="1"/>
  <c r="R1915" i="246"/>
  <c r="S1942" i="1"/>
  <c r="M1937" i="1" s="1"/>
  <c r="V1937" i="1" s="1"/>
  <c r="R1942" i="1"/>
  <c r="D1679" i="246"/>
  <c r="D1676" i="246"/>
  <c r="D1675" i="246"/>
  <c r="D1717" i="1"/>
  <c r="D1714" i="1"/>
  <c r="D1713" i="1"/>
  <c r="O1210" i="246"/>
  <c r="D1207" i="246"/>
  <c r="D1204" i="246"/>
  <c r="R1204" i="246" s="1"/>
  <c r="D1203" i="246"/>
  <c r="O1165" i="246"/>
  <c r="D1162" i="246"/>
  <c r="D1159" i="246"/>
  <c r="D1158" i="246"/>
  <c r="D789" i="1"/>
  <c r="D790" i="1"/>
  <c r="R790" i="1" s="1"/>
  <c r="D793" i="1"/>
  <c r="M796" i="1"/>
  <c r="M1248" i="1"/>
  <c r="D1245" i="1"/>
  <c r="D1242" i="1"/>
  <c r="R1242" i="1" s="1"/>
  <c r="D1241" i="1"/>
  <c r="M1203" i="1"/>
  <c r="D1200" i="1"/>
  <c r="D1197" i="1"/>
  <c r="D1196" i="1"/>
  <c r="B1867" i="246" l="1"/>
  <c r="B1952" i="246" s="1"/>
  <c r="B1977" i="246" s="1"/>
  <c r="B1819" i="1"/>
  <c r="D1119" i="246"/>
  <c r="D1116" i="246"/>
  <c r="R1116" i="246" s="1"/>
  <c r="D1115" i="246"/>
  <c r="D1098" i="246"/>
  <c r="D1095" i="246"/>
  <c r="R1095" i="246" s="1"/>
  <c r="D1094" i="246"/>
  <c r="D1078" i="246"/>
  <c r="D1075" i="246"/>
  <c r="R1075" i="246" s="1"/>
  <c r="D1074" i="246"/>
  <c r="D1062" i="246"/>
  <c r="D1059" i="246"/>
  <c r="R1059" i="246" s="1"/>
  <c r="D1058" i="246"/>
  <c r="D1039" i="246"/>
  <c r="D1036" i="246"/>
  <c r="R1036" i="246" s="1"/>
  <c r="D1035" i="246"/>
  <c r="D1020" i="246"/>
  <c r="D1017" i="246"/>
  <c r="R1017" i="246" s="1"/>
  <c r="D1016" i="246"/>
  <c r="D1001" i="246"/>
  <c r="D998" i="246"/>
  <c r="R998" i="246" s="1"/>
  <c r="D997" i="246"/>
  <c r="D983" i="246"/>
  <c r="D980" i="246"/>
  <c r="R980" i="246" s="1"/>
  <c r="D979" i="246"/>
  <c r="D957" i="246"/>
  <c r="D954" i="246"/>
  <c r="R954" i="246" s="1"/>
  <c r="D953" i="246"/>
  <c r="B1932" i="1" l="1"/>
  <c r="B2017" i="1" s="1"/>
  <c r="B2042" i="1" s="1"/>
  <c r="B2074" i="1" s="1"/>
  <c r="B2106" i="1" s="1"/>
  <c r="B2165" i="1" s="1"/>
  <c r="B2191" i="1" s="1"/>
  <c r="B2223" i="1" s="1"/>
  <c r="K858" i="1" s="1"/>
  <c r="K672" i="1"/>
  <c r="B2009" i="246"/>
  <c r="D1150" i="1"/>
  <c r="D1147" i="1"/>
  <c r="R1147" i="1" s="1"/>
  <c r="D1146" i="1"/>
  <c r="D1135" i="1"/>
  <c r="D1132" i="1"/>
  <c r="R1132" i="1" s="1"/>
  <c r="D1131" i="1"/>
  <c r="D1114" i="1"/>
  <c r="D1111" i="1"/>
  <c r="R1111" i="1" s="1"/>
  <c r="D1110" i="1"/>
  <c r="D1094" i="1"/>
  <c r="D1091" i="1"/>
  <c r="R1091" i="1" s="1"/>
  <c r="D1090" i="1"/>
  <c r="D1078" i="1"/>
  <c r="D1075" i="1"/>
  <c r="R1075" i="1" s="1"/>
  <c r="D1074" i="1"/>
  <c r="D1055" i="1"/>
  <c r="D1052" i="1"/>
  <c r="R1052" i="1" s="1"/>
  <c r="D1051" i="1"/>
  <c r="D1036" i="1"/>
  <c r="D1033" i="1"/>
  <c r="R1033" i="1" s="1"/>
  <c r="D1032" i="1"/>
  <c r="D1017" i="1"/>
  <c r="D1014" i="1"/>
  <c r="R1014" i="1" s="1"/>
  <c r="D1013" i="1"/>
  <c r="D999" i="1"/>
  <c r="D996" i="1"/>
  <c r="R996" i="1" s="1"/>
  <c r="D995" i="1"/>
  <c r="D973" i="1"/>
  <c r="D970" i="1"/>
  <c r="R970" i="1" s="1"/>
  <c r="D969" i="1"/>
  <c r="M233" i="192"/>
  <c r="K233" i="192"/>
  <c r="M233" i="190"/>
  <c r="K233" i="190"/>
  <c r="M233" i="136"/>
  <c r="K233" i="136"/>
  <c r="P233" i="5"/>
  <c r="N233" i="5"/>
  <c r="O1626" i="1" s="1"/>
  <c r="U1626" i="1" s="1"/>
  <c r="O1623" i="1" s="1"/>
  <c r="D1029" i="246"/>
  <c r="D1045" i="1"/>
  <c r="K963" i="246"/>
  <c r="J963" i="246"/>
  <c r="D963" i="246"/>
  <c r="K979" i="1"/>
  <c r="J979" i="1"/>
  <c r="D979" i="1"/>
  <c r="C881" i="246"/>
  <c r="C886" i="1"/>
  <c r="C1161" i="1"/>
  <c r="C1159" i="1"/>
  <c r="R1159" i="1" s="1"/>
  <c r="C1158" i="1"/>
  <c r="R1158" i="1" s="1"/>
  <c r="C1157" i="1"/>
  <c r="R1157" i="1" s="1"/>
  <c r="C1156" i="1"/>
  <c r="R1156" i="1" s="1"/>
  <c r="C1155" i="1"/>
  <c r="R1155" i="1" s="1"/>
  <c r="R1160" i="1" s="1"/>
  <c r="R884" i="1"/>
  <c r="R883" i="1"/>
  <c r="R882" i="1"/>
  <c r="R881" i="1"/>
  <c r="R879" i="1"/>
  <c r="C1956" i="246"/>
  <c r="C1955" i="246"/>
  <c r="C1954" i="246"/>
  <c r="B2040" i="246" l="1"/>
  <c r="B2099" i="246" s="1"/>
  <c r="B2124" i="246" s="1"/>
  <c r="B2156" i="246" s="1"/>
  <c r="B2280" i="1"/>
  <c r="D516" i="1" s="1"/>
  <c r="C895" i="246"/>
  <c r="C939" i="246" s="1"/>
  <c r="C900" i="1"/>
  <c r="C955" i="1" s="1"/>
  <c r="C2021" i="1"/>
  <c r="C2020" i="1"/>
  <c r="C2019" i="1"/>
  <c r="K306" i="192"/>
  <c r="F306" i="192" s="1"/>
  <c r="K305" i="192"/>
  <c r="F305" i="192" s="1"/>
  <c r="K304" i="192"/>
  <c r="F304" i="192" s="1"/>
  <c r="M303" i="192"/>
  <c r="G303" i="192" s="1"/>
  <c r="I303" i="192" s="1"/>
  <c r="K303" i="192"/>
  <c r="C306" i="192"/>
  <c r="M306" i="192" s="1"/>
  <c r="G306" i="192" s="1"/>
  <c r="C305" i="192"/>
  <c r="M305" i="192" s="1"/>
  <c r="G305" i="192" s="1"/>
  <c r="C304" i="192"/>
  <c r="M304" i="192" s="1"/>
  <c r="M303" i="190"/>
  <c r="G303" i="190" s="1"/>
  <c r="I303" i="190" s="1"/>
  <c r="K303" i="190"/>
  <c r="K306" i="190"/>
  <c r="F306" i="190" s="1"/>
  <c r="K305" i="190"/>
  <c r="F305" i="190" s="1"/>
  <c r="K304" i="190"/>
  <c r="F304" i="190" s="1"/>
  <c r="C306" i="190"/>
  <c r="M306" i="190" s="1"/>
  <c r="G306" i="190" s="1"/>
  <c r="C305" i="190"/>
  <c r="M305" i="190" s="1"/>
  <c r="G305" i="190" s="1"/>
  <c r="C304" i="190"/>
  <c r="M304" i="190" s="1"/>
  <c r="G304" i="190" s="1"/>
  <c r="P306" i="5"/>
  <c r="J306" i="5" s="1"/>
  <c r="N306" i="5"/>
  <c r="I306" i="5" s="1"/>
  <c r="P305" i="5"/>
  <c r="J305" i="5" s="1"/>
  <c r="N305" i="5"/>
  <c r="P304" i="5"/>
  <c r="J304" i="5" s="1"/>
  <c r="N304" i="5"/>
  <c r="P303" i="5"/>
  <c r="J303" i="5" s="1"/>
  <c r="L303" i="5" s="1"/>
  <c r="N303" i="5"/>
  <c r="C305" i="136"/>
  <c r="M305" i="136" s="1"/>
  <c r="G305" i="136" s="1"/>
  <c r="C306" i="136"/>
  <c r="M306" i="136" s="1"/>
  <c r="G306" i="136" s="1"/>
  <c r="K304" i="136"/>
  <c r="F304" i="136" s="1"/>
  <c r="K306" i="136"/>
  <c r="F306" i="136" s="1"/>
  <c r="K305" i="136"/>
  <c r="F305" i="136" s="1"/>
  <c r="M303" i="136"/>
  <c r="G303" i="136" s="1"/>
  <c r="I303" i="136" s="1"/>
  <c r="K303" i="136"/>
  <c r="C304" i="136"/>
  <c r="M304" i="136" s="1"/>
  <c r="G304" i="136" s="1"/>
  <c r="O1950" i="246"/>
  <c r="D1947" i="246"/>
  <c r="D1944" i="246"/>
  <c r="D1943" i="246"/>
  <c r="M92" i="192"/>
  <c r="G92" i="192" s="1"/>
  <c r="I92" i="192" s="1"/>
  <c r="K92" i="192"/>
  <c r="M92" i="190"/>
  <c r="G92" i="190" s="1"/>
  <c r="I92" i="190" s="1"/>
  <c r="K92" i="190"/>
  <c r="M92" i="136"/>
  <c r="K92" i="136"/>
  <c r="P92" i="5"/>
  <c r="J92" i="5" s="1"/>
  <c r="L92" i="5" s="1"/>
  <c r="N92" i="5"/>
  <c r="M2015" i="1"/>
  <c r="D2012" i="1"/>
  <c r="D2009" i="1"/>
  <c r="D2008" i="1"/>
  <c r="D1726" i="246"/>
  <c r="D1723" i="246"/>
  <c r="D1722" i="246"/>
  <c r="D1604" i="1"/>
  <c r="D1601" i="1"/>
  <c r="D1600" i="1"/>
  <c r="B2303" i="1" l="1"/>
  <c r="B2327" i="1" s="1"/>
  <c r="B2363" i="1" s="1"/>
  <c r="B2213" i="246"/>
  <c r="D518" i="246" s="1"/>
  <c r="K860" i="246"/>
  <c r="C986" i="246"/>
  <c r="I306" i="192"/>
  <c r="H306" i="5" s="1"/>
  <c r="I305" i="192"/>
  <c r="H305" i="5" s="1"/>
  <c r="O2021" i="1"/>
  <c r="O2019" i="1"/>
  <c r="I305" i="5"/>
  <c r="O2020" i="1"/>
  <c r="O674" i="1"/>
  <c r="I304" i="5"/>
  <c r="I306" i="190"/>
  <c r="G306" i="5" s="1"/>
  <c r="I305" i="190"/>
  <c r="G305" i="5" s="1"/>
  <c r="I304" i="190"/>
  <c r="G304" i="5" s="1"/>
  <c r="I306" i="136"/>
  <c r="F306" i="5" s="1"/>
  <c r="I305" i="136"/>
  <c r="F305" i="5" s="1"/>
  <c r="I304" i="136"/>
  <c r="F304" i="5" s="1"/>
  <c r="O1371" i="1"/>
  <c r="C1147" i="246"/>
  <c r="C1146" i="246"/>
  <c r="C1145" i="246"/>
  <c r="C1144" i="246"/>
  <c r="C1143" i="246"/>
  <c r="C1142" i="246"/>
  <c r="C1141" i="246"/>
  <c r="O1137" i="246"/>
  <c r="D1566" i="246"/>
  <c r="D1563" i="246"/>
  <c r="D1562" i="246"/>
  <c r="C1185" i="1"/>
  <c r="C1184" i="1"/>
  <c r="C1183" i="1"/>
  <c r="C1182" i="1"/>
  <c r="C1181" i="1"/>
  <c r="C1180" i="1"/>
  <c r="C1179" i="1"/>
  <c r="M1175" i="1"/>
  <c r="B2236" i="246" l="1"/>
  <c r="B2260" i="246" s="1"/>
  <c r="B2296" i="246" s="1"/>
  <c r="B2336" i="246" s="1"/>
  <c r="B2375" i="246" s="1"/>
  <c r="B2466" i="246" s="1"/>
  <c r="B2493" i="246" s="1"/>
  <c r="B2520" i="246" s="1"/>
  <c r="B2544" i="246" s="1"/>
  <c r="B2570" i="246" s="1"/>
  <c r="B2403" i="1"/>
  <c r="B2442" i="1" s="1"/>
  <c r="B2533" i="1" s="1"/>
  <c r="B2560" i="1" s="1"/>
  <c r="B2587" i="1" s="1"/>
  <c r="B2611" i="1" s="1"/>
  <c r="B2637" i="1" s="1"/>
  <c r="K722" i="1" s="1"/>
  <c r="C1004" i="246"/>
  <c r="C1042" i="246" s="1"/>
  <c r="C1065" i="246" s="1"/>
  <c r="C1002" i="1"/>
  <c r="C1020" i="1" s="1"/>
  <c r="L306" i="5"/>
  <c r="O1956" i="246" s="1"/>
  <c r="R1956" i="246" s="1"/>
  <c r="L305" i="5"/>
  <c r="O1955" i="246" s="1"/>
  <c r="R1955" i="246" s="1"/>
  <c r="O2024" i="1"/>
  <c r="X674" i="1" s="1"/>
  <c r="K611" i="246"/>
  <c r="K611" i="1"/>
  <c r="C10" i="192"/>
  <c r="C9" i="192"/>
  <c r="C8" i="192"/>
  <c r="M8" i="192" s="1"/>
  <c r="G8" i="192" s="1"/>
  <c r="I8" i="192" s="1"/>
  <c r="C10" i="190"/>
  <c r="C9" i="190"/>
  <c r="C8" i="190"/>
  <c r="M8" i="190" s="1"/>
  <c r="G8" i="190" s="1"/>
  <c r="I8" i="190" s="1"/>
  <c r="C10" i="136"/>
  <c r="C9" i="136"/>
  <c r="M9" i="136" s="1"/>
  <c r="G9" i="136" s="1"/>
  <c r="I9" i="136" s="1"/>
  <c r="C8" i="136"/>
  <c r="M8" i="136" s="1"/>
  <c r="G8" i="136" s="1"/>
  <c r="I8" i="136" s="1"/>
  <c r="M9" i="192"/>
  <c r="G9" i="192" s="1"/>
  <c r="I9" i="192" s="1"/>
  <c r="K9" i="192"/>
  <c r="K8" i="192"/>
  <c r="M7" i="192"/>
  <c r="G7" i="192" s="1"/>
  <c r="I7" i="192" s="1"/>
  <c r="K7" i="192"/>
  <c r="M6" i="192"/>
  <c r="K6" i="192"/>
  <c r="M9" i="190"/>
  <c r="G9" i="190" s="1"/>
  <c r="I9" i="190" s="1"/>
  <c r="K9" i="190"/>
  <c r="K8" i="190"/>
  <c r="M7" i="190"/>
  <c r="G7" i="190" s="1"/>
  <c r="I7" i="190" s="1"/>
  <c r="K7" i="190"/>
  <c r="M6" i="190"/>
  <c r="K6" i="190"/>
  <c r="K9" i="136"/>
  <c r="K8" i="136"/>
  <c r="M7" i="136"/>
  <c r="G7" i="136" s="1"/>
  <c r="I7" i="136" s="1"/>
  <c r="K7" i="136"/>
  <c r="M6" i="136"/>
  <c r="K6" i="136"/>
  <c r="P9" i="5"/>
  <c r="J9" i="5" s="1"/>
  <c r="L9" i="5" s="1"/>
  <c r="N9" i="5"/>
  <c r="P8" i="5"/>
  <c r="J8" i="5" s="1"/>
  <c r="L8" i="5" s="1"/>
  <c r="N8" i="5"/>
  <c r="P7" i="5"/>
  <c r="J7" i="5" s="1"/>
  <c r="L7" i="5" s="1"/>
  <c r="N7" i="5"/>
  <c r="P6" i="5"/>
  <c r="J6" i="5" s="1"/>
  <c r="L6" i="5" s="1"/>
  <c r="N6" i="5"/>
  <c r="R562" i="246"/>
  <c r="R560" i="1"/>
  <c r="R563" i="246"/>
  <c r="R561" i="1"/>
  <c r="B2665" i="1" l="1"/>
  <c r="B2691" i="1" s="1"/>
  <c r="B2728" i="1" s="1"/>
  <c r="B2770" i="1" s="1"/>
  <c r="K687" i="1"/>
  <c r="K689" i="246"/>
  <c r="K724" i="246"/>
  <c r="B2598" i="246"/>
  <c r="B2624" i="246" s="1"/>
  <c r="B2661" i="246" s="1"/>
  <c r="B2703" i="246" s="1"/>
  <c r="M2021" i="1"/>
  <c r="R2021" i="1" s="1"/>
  <c r="K673" i="246"/>
  <c r="C1081" i="246"/>
  <c r="C1122" i="246" s="1"/>
  <c r="K822" i="1"/>
  <c r="C1058" i="1"/>
  <c r="C1081" i="1" s="1"/>
  <c r="M2020" i="1"/>
  <c r="R2020" i="1" s="1"/>
  <c r="O1181" i="1"/>
  <c r="O1180" i="1"/>
  <c r="O1183" i="1"/>
  <c r="O1182" i="1"/>
  <c r="O1143" i="246"/>
  <c r="R1143" i="246" s="1"/>
  <c r="M1181" i="1"/>
  <c r="O1145" i="246"/>
  <c r="R1145" i="246" s="1"/>
  <c r="M1183" i="1"/>
  <c r="M1182" i="1"/>
  <c r="O1144" i="246"/>
  <c r="R1144" i="246" s="1"/>
  <c r="C282" i="4"/>
  <c r="C279" i="4"/>
  <c r="C276" i="4"/>
  <c r="C273" i="4"/>
  <c r="C270" i="4"/>
  <c r="C267" i="4"/>
  <c r="C1684" i="246" l="1"/>
  <c r="C1729" i="246" s="1"/>
  <c r="K671" i="1"/>
  <c r="R1181" i="1"/>
  <c r="C1097" i="1"/>
  <c r="C1138" i="1" s="1"/>
  <c r="R1183" i="1"/>
  <c r="R1182" i="1"/>
  <c r="C2072" i="246"/>
  <c r="C2071" i="246"/>
  <c r="C2070" i="246"/>
  <c r="C2069" i="246"/>
  <c r="C2068" i="246"/>
  <c r="C2067" i="246"/>
  <c r="C2053" i="246"/>
  <c r="C2052" i="246"/>
  <c r="C2051" i="246"/>
  <c r="C2050" i="246"/>
  <c r="C2049" i="246"/>
  <c r="C2048" i="246"/>
  <c r="C2138" i="1"/>
  <c r="C2137" i="1"/>
  <c r="C2136" i="1"/>
  <c r="C2135" i="1"/>
  <c r="C2134" i="1"/>
  <c r="C2133" i="1"/>
  <c r="C2119" i="1"/>
  <c r="C2118" i="1"/>
  <c r="C2117" i="1"/>
  <c r="C2116" i="1"/>
  <c r="C2115" i="1"/>
  <c r="C2114" i="1"/>
  <c r="P340" i="5"/>
  <c r="J340" i="5" s="1"/>
  <c r="N340" i="5"/>
  <c r="I340" i="5" s="1"/>
  <c r="P339" i="5"/>
  <c r="J339" i="5" s="1"/>
  <c r="N339" i="5"/>
  <c r="I339" i="5" s="1"/>
  <c r="P338" i="5"/>
  <c r="J338" i="5" s="1"/>
  <c r="N338" i="5"/>
  <c r="I338" i="5" s="1"/>
  <c r="P337" i="5"/>
  <c r="J337" i="5" s="1"/>
  <c r="N337" i="5"/>
  <c r="I337" i="5" s="1"/>
  <c r="P336" i="5"/>
  <c r="J336" i="5" s="1"/>
  <c r="N336" i="5"/>
  <c r="I336" i="5" s="1"/>
  <c r="P335" i="5"/>
  <c r="J335" i="5" s="1"/>
  <c r="N335" i="5"/>
  <c r="I335" i="5" s="1"/>
  <c r="P329" i="5"/>
  <c r="J329" i="5" s="1"/>
  <c r="N329" i="5"/>
  <c r="I329" i="5" s="1"/>
  <c r="P328" i="5"/>
  <c r="J328" i="5" s="1"/>
  <c r="N328" i="5"/>
  <c r="I328" i="5" s="1"/>
  <c r="P327" i="5"/>
  <c r="J327" i="5" s="1"/>
  <c r="N327" i="5"/>
  <c r="I327" i="5" s="1"/>
  <c r="P326" i="5"/>
  <c r="J326" i="5" s="1"/>
  <c r="N326" i="5"/>
  <c r="I326" i="5" s="1"/>
  <c r="P325" i="5"/>
  <c r="J325" i="5" s="1"/>
  <c r="N325" i="5"/>
  <c r="I325" i="5" s="1"/>
  <c r="P324" i="5"/>
  <c r="J324" i="5" s="1"/>
  <c r="N324" i="5"/>
  <c r="I324" i="5" s="1"/>
  <c r="K340" i="192"/>
  <c r="F340" i="192" s="1"/>
  <c r="C340" i="192"/>
  <c r="M340" i="192" s="1"/>
  <c r="G340" i="192" s="1"/>
  <c r="K339" i="192"/>
  <c r="F339" i="192" s="1"/>
  <c r="C339" i="192"/>
  <c r="M339" i="192" s="1"/>
  <c r="G339" i="192" s="1"/>
  <c r="K338" i="192"/>
  <c r="F338" i="192" s="1"/>
  <c r="C338" i="192"/>
  <c r="M338" i="192" s="1"/>
  <c r="G338" i="192" s="1"/>
  <c r="K337" i="192"/>
  <c r="F337" i="192" s="1"/>
  <c r="C337" i="192"/>
  <c r="M337" i="192" s="1"/>
  <c r="G337" i="192" s="1"/>
  <c r="K336" i="192"/>
  <c r="F336" i="192" s="1"/>
  <c r="C336" i="192"/>
  <c r="M336" i="192" s="1"/>
  <c r="G336" i="192" s="1"/>
  <c r="K335" i="192"/>
  <c r="F335" i="192" s="1"/>
  <c r="C335" i="192"/>
  <c r="M335" i="192" s="1"/>
  <c r="G335" i="192" s="1"/>
  <c r="K329" i="192"/>
  <c r="F329" i="192" s="1"/>
  <c r="C329" i="192"/>
  <c r="M329" i="192" s="1"/>
  <c r="G329" i="192" s="1"/>
  <c r="K328" i="192"/>
  <c r="F328" i="192" s="1"/>
  <c r="C328" i="192"/>
  <c r="M328" i="192" s="1"/>
  <c r="G328" i="192" s="1"/>
  <c r="K327" i="192"/>
  <c r="F327" i="192" s="1"/>
  <c r="C327" i="192"/>
  <c r="M327" i="192" s="1"/>
  <c r="G327" i="192" s="1"/>
  <c r="K326" i="192"/>
  <c r="F326" i="192" s="1"/>
  <c r="C326" i="192"/>
  <c r="M326" i="192" s="1"/>
  <c r="G326" i="192" s="1"/>
  <c r="K325" i="192"/>
  <c r="F325" i="192" s="1"/>
  <c r="C325" i="192"/>
  <c r="M325" i="192" s="1"/>
  <c r="G325" i="192" s="1"/>
  <c r="K324" i="192"/>
  <c r="F324" i="192" s="1"/>
  <c r="C324" i="192"/>
  <c r="M324" i="192" s="1"/>
  <c r="G324" i="192" s="1"/>
  <c r="K340" i="190"/>
  <c r="F340" i="190" s="1"/>
  <c r="C340" i="190"/>
  <c r="M340" i="190" s="1"/>
  <c r="G340" i="190" s="1"/>
  <c r="K339" i="190"/>
  <c r="F339" i="190" s="1"/>
  <c r="C339" i="190"/>
  <c r="M339" i="190" s="1"/>
  <c r="G339" i="190" s="1"/>
  <c r="K338" i="190"/>
  <c r="F338" i="190" s="1"/>
  <c r="C338" i="190"/>
  <c r="M338" i="190" s="1"/>
  <c r="G338" i="190" s="1"/>
  <c r="K337" i="190"/>
  <c r="F337" i="190" s="1"/>
  <c r="C337" i="190"/>
  <c r="M337" i="190" s="1"/>
  <c r="G337" i="190" s="1"/>
  <c r="K336" i="190"/>
  <c r="F336" i="190" s="1"/>
  <c r="C336" i="190"/>
  <c r="M336" i="190" s="1"/>
  <c r="G336" i="190" s="1"/>
  <c r="K335" i="190"/>
  <c r="F335" i="190" s="1"/>
  <c r="C335" i="190"/>
  <c r="M335" i="190" s="1"/>
  <c r="G335" i="190" s="1"/>
  <c r="K329" i="190"/>
  <c r="F329" i="190" s="1"/>
  <c r="C329" i="190"/>
  <c r="M329" i="190" s="1"/>
  <c r="G329" i="190" s="1"/>
  <c r="K328" i="190"/>
  <c r="F328" i="190" s="1"/>
  <c r="C328" i="190"/>
  <c r="M328" i="190" s="1"/>
  <c r="G328" i="190" s="1"/>
  <c r="K327" i="190"/>
  <c r="F327" i="190" s="1"/>
  <c r="C327" i="190"/>
  <c r="M327" i="190" s="1"/>
  <c r="G327" i="190" s="1"/>
  <c r="K326" i="190"/>
  <c r="F326" i="190" s="1"/>
  <c r="C326" i="190"/>
  <c r="M326" i="190" s="1"/>
  <c r="G326" i="190" s="1"/>
  <c r="K325" i="190"/>
  <c r="F325" i="190" s="1"/>
  <c r="C325" i="190"/>
  <c r="M325" i="190" s="1"/>
  <c r="G325" i="190" s="1"/>
  <c r="K324" i="190"/>
  <c r="F324" i="190" s="1"/>
  <c r="C324" i="190"/>
  <c r="M324" i="190" s="1"/>
  <c r="G324" i="190" s="1"/>
  <c r="K340" i="136"/>
  <c r="F340" i="136" s="1"/>
  <c r="C340" i="136"/>
  <c r="M340" i="136" s="1"/>
  <c r="G340" i="136" s="1"/>
  <c r="K339" i="136"/>
  <c r="F339" i="136" s="1"/>
  <c r="C339" i="136"/>
  <c r="M339" i="136" s="1"/>
  <c r="G339" i="136" s="1"/>
  <c r="K338" i="136"/>
  <c r="F338" i="136" s="1"/>
  <c r="C338" i="136"/>
  <c r="M338" i="136" s="1"/>
  <c r="G338" i="136" s="1"/>
  <c r="K337" i="136"/>
  <c r="F337" i="136" s="1"/>
  <c r="C337" i="136"/>
  <c r="M337" i="136" s="1"/>
  <c r="G337" i="136" s="1"/>
  <c r="K336" i="136"/>
  <c r="F336" i="136" s="1"/>
  <c r="C336" i="136"/>
  <c r="M336" i="136" s="1"/>
  <c r="G336" i="136" s="1"/>
  <c r="K335" i="136"/>
  <c r="F335" i="136" s="1"/>
  <c r="C335" i="136"/>
  <c r="M335" i="136" s="1"/>
  <c r="G335" i="136" s="1"/>
  <c r="K329" i="136"/>
  <c r="F329" i="136" s="1"/>
  <c r="C329" i="136"/>
  <c r="M329" i="136" s="1"/>
  <c r="G329" i="136" s="1"/>
  <c r="K328" i="136"/>
  <c r="F328" i="136" s="1"/>
  <c r="C328" i="136"/>
  <c r="M328" i="136" s="1"/>
  <c r="G328" i="136" s="1"/>
  <c r="K327" i="136"/>
  <c r="F327" i="136" s="1"/>
  <c r="C327" i="136"/>
  <c r="M327" i="136" s="1"/>
  <c r="G327" i="136" s="1"/>
  <c r="K326" i="136"/>
  <c r="F326" i="136" s="1"/>
  <c r="C326" i="136"/>
  <c r="M326" i="136" s="1"/>
  <c r="G326" i="136" s="1"/>
  <c r="K325" i="136"/>
  <c r="F325" i="136" s="1"/>
  <c r="C325" i="136"/>
  <c r="M325" i="136" s="1"/>
  <c r="G325" i="136" s="1"/>
  <c r="K324" i="136"/>
  <c r="F324" i="136" s="1"/>
  <c r="C324" i="136"/>
  <c r="M324" i="136" s="1"/>
  <c r="G324" i="136" s="1"/>
  <c r="C1868" i="246" l="1"/>
  <c r="I325" i="192"/>
  <c r="H325" i="5" s="1"/>
  <c r="I336" i="190"/>
  <c r="G336" i="5" s="1"/>
  <c r="I340" i="190"/>
  <c r="G340" i="5" s="1"/>
  <c r="C1722" i="1"/>
  <c r="C1787" i="1" s="1"/>
  <c r="I335" i="136"/>
  <c r="F335" i="5" s="1"/>
  <c r="I337" i="136"/>
  <c r="F337" i="5" s="1"/>
  <c r="I339" i="136"/>
  <c r="F339" i="5" s="1"/>
  <c r="I337" i="192"/>
  <c r="H337" i="5" s="1"/>
  <c r="I327" i="192"/>
  <c r="H327" i="5" s="1"/>
  <c r="I329" i="192"/>
  <c r="H329" i="5" s="1"/>
  <c r="I324" i="190"/>
  <c r="G324" i="5" s="1"/>
  <c r="I326" i="190"/>
  <c r="G326" i="5" s="1"/>
  <c r="I328" i="190"/>
  <c r="G328" i="5" s="1"/>
  <c r="I337" i="190"/>
  <c r="G337" i="5" s="1"/>
  <c r="I339" i="190"/>
  <c r="G339" i="5" s="1"/>
  <c r="I324" i="136"/>
  <c r="F324" i="5" s="1"/>
  <c r="I328" i="136"/>
  <c r="F328" i="5" s="1"/>
  <c r="I327" i="136"/>
  <c r="F327" i="5" s="1"/>
  <c r="O2119" i="1"/>
  <c r="O2136" i="1"/>
  <c r="O2115" i="1"/>
  <c r="I326" i="136"/>
  <c r="F326" i="5" s="1"/>
  <c r="I335" i="190"/>
  <c r="G335" i="5" s="1"/>
  <c r="O2114" i="1"/>
  <c r="O2118" i="1"/>
  <c r="O2135" i="1"/>
  <c r="I335" i="192"/>
  <c r="H335" i="5" s="1"/>
  <c r="I339" i="192"/>
  <c r="H339" i="5" s="1"/>
  <c r="O2117" i="1"/>
  <c r="O2134" i="1"/>
  <c r="O2138" i="1"/>
  <c r="I325" i="136"/>
  <c r="F325" i="5" s="1"/>
  <c r="I329" i="136"/>
  <c r="F329" i="5" s="1"/>
  <c r="I336" i="136"/>
  <c r="F336" i="5" s="1"/>
  <c r="I338" i="136"/>
  <c r="F338" i="5" s="1"/>
  <c r="I340" i="136"/>
  <c r="F340" i="5" s="1"/>
  <c r="I325" i="190"/>
  <c r="G325" i="5" s="1"/>
  <c r="I327" i="190"/>
  <c r="G327" i="5" s="1"/>
  <c r="I329" i="190"/>
  <c r="G329" i="5" s="1"/>
  <c r="I324" i="192"/>
  <c r="H324" i="5" s="1"/>
  <c r="I326" i="192"/>
  <c r="H326" i="5" s="1"/>
  <c r="I328" i="192"/>
  <c r="H328" i="5" s="1"/>
  <c r="I336" i="192"/>
  <c r="H336" i="5" s="1"/>
  <c r="I340" i="192"/>
  <c r="H340" i="5" s="1"/>
  <c r="O2116" i="1"/>
  <c r="O2133" i="1"/>
  <c r="O2137" i="1"/>
  <c r="I338" i="192"/>
  <c r="H338" i="5" s="1"/>
  <c r="I338" i="190"/>
  <c r="G338" i="5" s="1"/>
  <c r="C1870" i="246" l="1"/>
  <c r="C1908" i="246" s="1"/>
  <c r="L340" i="5"/>
  <c r="M2138" i="1" s="1"/>
  <c r="R2138" i="1" s="1"/>
  <c r="L327" i="5"/>
  <c r="E276" i="4" s="1"/>
  <c r="L328" i="5"/>
  <c r="E279" i="4" s="1"/>
  <c r="L324" i="5"/>
  <c r="E267" i="4" s="1"/>
  <c r="L337" i="5"/>
  <c r="O2069" i="246" s="1"/>
  <c r="R2069" i="246" s="1"/>
  <c r="L339" i="5"/>
  <c r="M2137" i="1" s="1"/>
  <c r="R2137" i="1" s="1"/>
  <c r="L338" i="5"/>
  <c r="M2136" i="1" s="1"/>
  <c r="R2136" i="1" s="1"/>
  <c r="L336" i="5"/>
  <c r="O2068" i="246" s="1"/>
  <c r="R2068" i="246" s="1"/>
  <c r="L329" i="5"/>
  <c r="L325" i="5"/>
  <c r="L335" i="5"/>
  <c r="L326" i="5"/>
  <c r="U21" i="80"/>
  <c r="C1933" i="1" l="1"/>
  <c r="O2072" i="246"/>
  <c r="R2072" i="246" s="1"/>
  <c r="M2118" i="1"/>
  <c r="R2118" i="1" s="1"/>
  <c r="O2052" i="246"/>
  <c r="R2052" i="246" s="1"/>
  <c r="O2051" i="246"/>
  <c r="R2051" i="246" s="1"/>
  <c r="M2135" i="1"/>
  <c r="R2135" i="1" s="1"/>
  <c r="M2117" i="1"/>
  <c r="R2117" i="1" s="1"/>
  <c r="M2114" i="1"/>
  <c r="R2114" i="1" s="1"/>
  <c r="O2048" i="246"/>
  <c r="R2048" i="246" s="1"/>
  <c r="O2071" i="246"/>
  <c r="R2071" i="246" s="1"/>
  <c r="O2070" i="246"/>
  <c r="R2070" i="246" s="1"/>
  <c r="M2134" i="1"/>
  <c r="R2134" i="1" s="1"/>
  <c r="E273" i="4"/>
  <c r="O2050" i="246"/>
  <c r="R2050" i="246" s="1"/>
  <c r="M2116" i="1"/>
  <c r="R2116" i="1" s="1"/>
  <c r="E282" i="4"/>
  <c r="M2119" i="1"/>
  <c r="R2119" i="1" s="1"/>
  <c r="O2053" i="246"/>
  <c r="R2053" i="246" s="1"/>
  <c r="O2067" i="246"/>
  <c r="R2067" i="246" s="1"/>
  <c r="M2133" i="1"/>
  <c r="R2133" i="1" s="1"/>
  <c r="E270" i="4"/>
  <c r="M2115" i="1"/>
  <c r="R2115" i="1" s="1"/>
  <c r="O2049" i="246"/>
  <c r="R2049" i="246" s="1"/>
  <c r="C1935" i="1" l="1"/>
  <c r="C1973" i="1" s="1"/>
  <c r="C5" i="248" l="1"/>
  <c r="E40" i="248" s="1"/>
  <c r="C40" i="248" l="1"/>
  <c r="C30" i="229" l="1"/>
  <c r="C29" i="229"/>
  <c r="C28" i="229"/>
  <c r="C27" i="229"/>
  <c r="C26" i="229"/>
  <c r="C25" i="229"/>
  <c r="C24" i="229"/>
  <c r="C23" i="229"/>
  <c r="C22" i="229"/>
  <c r="C21" i="229"/>
  <c r="C20" i="229"/>
  <c r="C19" i="229"/>
  <c r="C18" i="229"/>
  <c r="C17" i="229"/>
  <c r="C16" i="229"/>
  <c r="C15" i="229"/>
  <c r="C14" i="229"/>
  <c r="C13" i="229"/>
  <c r="C12" i="229"/>
  <c r="C11" i="229"/>
  <c r="C10" i="229"/>
  <c r="C9" i="229"/>
  <c r="C8" i="229"/>
  <c r="D1168" i="1" l="1"/>
  <c r="D1169" i="1"/>
  <c r="R1169" i="1" s="1"/>
  <c r="D1172" i="1"/>
  <c r="H1723" i="1"/>
  <c r="J1723" i="1"/>
  <c r="K1723" i="1"/>
  <c r="M1723" i="1"/>
  <c r="H1724" i="1"/>
  <c r="J1724" i="1"/>
  <c r="K1724" i="1"/>
  <c r="M1724" i="1"/>
  <c r="F1768" i="1"/>
  <c r="D1780" i="1"/>
  <c r="D1781" i="1"/>
  <c r="D1784" i="1"/>
  <c r="H1789" i="1"/>
  <c r="J1789" i="1"/>
  <c r="K1789" i="1"/>
  <c r="M1789" i="1"/>
  <c r="H1790" i="1"/>
  <c r="J1790" i="1"/>
  <c r="K1790" i="1"/>
  <c r="M1790" i="1"/>
  <c r="H1794" i="1"/>
  <c r="H1791" i="1" s="1"/>
  <c r="J1794" i="1"/>
  <c r="K1794" i="1"/>
  <c r="M1794" i="1"/>
  <c r="J1795" i="1"/>
  <c r="K1795" i="1"/>
  <c r="M1795" i="1"/>
  <c r="F1798" i="1"/>
  <c r="H1801" i="1"/>
  <c r="J1801" i="1"/>
  <c r="K1801" i="1"/>
  <c r="M1801" i="1"/>
  <c r="H1802" i="1"/>
  <c r="J1802" i="1"/>
  <c r="K1802" i="1"/>
  <c r="M1802" i="1"/>
  <c r="D1130" i="246"/>
  <c r="D1131" i="246"/>
  <c r="R1131" i="246" s="1"/>
  <c r="D1134" i="246"/>
  <c r="H1685" i="246"/>
  <c r="J1685" i="246"/>
  <c r="K1685" i="246"/>
  <c r="M1685" i="246"/>
  <c r="H1686" i="246"/>
  <c r="J1686" i="246"/>
  <c r="K1686" i="246"/>
  <c r="M1686" i="246"/>
  <c r="F1709" i="246"/>
  <c r="H1731" i="246"/>
  <c r="J1731" i="246"/>
  <c r="K1731" i="246"/>
  <c r="M1731" i="246"/>
  <c r="H1732" i="246"/>
  <c r="J1732" i="246"/>
  <c r="K1732" i="246"/>
  <c r="M1732" i="246"/>
  <c r="F1733" i="246"/>
  <c r="H1736" i="246"/>
  <c r="J1736" i="246"/>
  <c r="K1736" i="246"/>
  <c r="M1736" i="246"/>
  <c r="H1737" i="246"/>
  <c r="J1737" i="246"/>
  <c r="K1737" i="246"/>
  <c r="M1737" i="246"/>
  <c r="H1733" i="246" l="1"/>
  <c r="M1733" i="246"/>
  <c r="K1733" i="246"/>
  <c r="M1791" i="1"/>
  <c r="M1798" i="1"/>
  <c r="O1737" i="246"/>
  <c r="O1736" i="246"/>
  <c r="K1798" i="1"/>
  <c r="O1802" i="1"/>
  <c r="K1791" i="1"/>
  <c r="O1795" i="1"/>
  <c r="O1801" i="1"/>
  <c r="J1791" i="1"/>
  <c r="H1798" i="1"/>
  <c r="O1794" i="1"/>
  <c r="J1798" i="1"/>
  <c r="J1733" i="246"/>
  <c r="O1733" i="246" l="1"/>
  <c r="O1798" i="1"/>
  <c r="O1791" i="1"/>
  <c r="O2732" i="246" l="1"/>
  <c r="M2732" i="246"/>
  <c r="O2731" i="246"/>
  <c r="M2731" i="246"/>
  <c r="O2730" i="246"/>
  <c r="M2730" i="246"/>
  <c r="O2729" i="246"/>
  <c r="M2729" i="246"/>
  <c r="O2728" i="246"/>
  <c r="M2728" i="246"/>
  <c r="O2727" i="246"/>
  <c r="M2727" i="246"/>
  <c r="O2726" i="246"/>
  <c r="M2726" i="246"/>
  <c r="O2725" i="246"/>
  <c r="M2725" i="246"/>
  <c r="C2732" i="246"/>
  <c r="C2731" i="246"/>
  <c r="C2730" i="246"/>
  <c r="C2729" i="246"/>
  <c r="C2728" i="246"/>
  <c r="C2727" i="246"/>
  <c r="C2726" i="246"/>
  <c r="C2725" i="246"/>
  <c r="C2713" i="246"/>
  <c r="R2713" i="246" s="1"/>
  <c r="C2712" i="246"/>
  <c r="R2712" i="246" s="1"/>
  <c r="C2711" i="246"/>
  <c r="R2711" i="246" s="1"/>
  <c r="C2710" i="246"/>
  <c r="R2710" i="246" s="1"/>
  <c r="C2709" i="246"/>
  <c r="R2709" i="246" s="1"/>
  <c r="D2700" i="246"/>
  <c r="D2696" i="246"/>
  <c r="D2697" i="246"/>
  <c r="R2697" i="246" s="1"/>
  <c r="R2773" i="1"/>
  <c r="M2799" i="1"/>
  <c r="M2798" i="1"/>
  <c r="M2797" i="1"/>
  <c r="M2796" i="1"/>
  <c r="M2795" i="1"/>
  <c r="M2794" i="1"/>
  <c r="M2793" i="1"/>
  <c r="M2792" i="1"/>
  <c r="O2799" i="1"/>
  <c r="O2798" i="1"/>
  <c r="O2797" i="1"/>
  <c r="O2796" i="1"/>
  <c r="O2795" i="1"/>
  <c r="O2794" i="1"/>
  <c r="O2793" i="1"/>
  <c r="O2792" i="1"/>
  <c r="C2799" i="1"/>
  <c r="C2798" i="1"/>
  <c r="C2797" i="1"/>
  <c r="C2796" i="1"/>
  <c r="C2795" i="1"/>
  <c r="C2794" i="1"/>
  <c r="C2793" i="1"/>
  <c r="C2792" i="1"/>
  <c r="C2791" i="1"/>
  <c r="C2723" i="246"/>
  <c r="C2780" i="1"/>
  <c r="R2780" i="1" s="1"/>
  <c r="C2779" i="1"/>
  <c r="R2779" i="1" s="1"/>
  <c r="C2778" i="1"/>
  <c r="R2778" i="1" s="1"/>
  <c r="C2777" i="1"/>
  <c r="R2777" i="1" s="1"/>
  <c r="C2776" i="1"/>
  <c r="R2776" i="1" s="1"/>
  <c r="R2794" i="1" l="1"/>
  <c r="R2798" i="1"/>
  <c r="C2724" i="246"/>
  <c r="C2790" i="1"/>
  <c r="R2725" i="246"/>
  <c r="R2727" i="246"/>
  <c r="R2729" i="246"/>
  <c r="R2731" i="246"/>
  <c r="R2726" i="246"/>
  <c r="R2728" i="246"/>
  <c r="R2730" i="246"/>
  <c r="R2732" i="246"/>
  <c r="R2792" i="1"/>
  <c r="R2796" i="1"/>
  <c r="R2793" i="1"/>
  <c r="R2797" i="1"/>
  <c r="R2795" i="1"/>
  <c r="R2799" i="1"/>
  <c r="D2767" i="1"/>
  <c r="D2764" i="1"/>
  <c r="R2764" i="1" s="1"/>
  <c r="D2763" i="1"/>
  <c r="O1588" i="1"/>
  <c r="O2949" i="246"/>
  <c r="S2949" i="246" s="1"/>
  <c r="D3012" i="1"/>
  <c r="M3012" i="1"/>
  <c r="R3012" i="1" s="1"/>
  <c r="D3013" i="1"/>
  <c r="M3013" i="1"/>
  <c r="R3013" i="1" s="1"/>
  <c r="O3017" i="1"/>
  <c r="O1584" i="1"/>
  <c r="O1531" i="246"/>
  <c r="D1528" i="246"/>
  <c r="D1525" i="246"/>
  <c r="R1525" i="246" s="1"/>
  <c r="D1524" i="246"/>
  <c r="G512" i="4"/>
  <c r="M1569" i="1"/>
  <c r="D1566" i="1"/>
  <c r="D1563" i="1"/>
  <c r="R1563" i="1" s="1"/>
  <c r="D1562" i="1"/>
  <c r="R3017" i="1" l="1"/>
  <c r="R3016" i="1" s="1"/>
  <c r="R3015" i="1" s="1"/>
  <c r="R3014" i="1" s="1"/>
  <c r="S3017" i="1"/>
  <c r="R2949" i="246"/>
  <c r="R2948" i="246" s="1"/>
  <c r="R2947" i="246" s="1"/>
  <c r="R2946" i="246" s="1"/>
  <c r="J134" i="246" l="1"/>
  <c r="R134" i="246" s="1"/>
  <c r="J133" i="246"/>
  <c r="R133" i="246" s="1"/>
  <c r="J132" i="246"/>
  <c r="R132" i="246" s="1"/>
  <c r="J131" i="246"/>
  <c r="R131" i="246" s="1"/>
  <c r="R130" i="246" s="1"/>
  <c r="J134" i="1"/>
  <c r="R134" i="1" s="1"/>
  <c r="J133" i="1"/>
  <c r="R133" i="1" s="1"/>
  <c r="J132" i="1"/>
  <c r="R132" i="1" s="1"/>
  <c r="J131" i="1"/>
  <c r="R131" i="1" s="1"/>
  <c r="J136" i="1"/>
  <c r="R136" i="1" s="1"/>
  <c r="J137" i="1"/>
  <c r="R137" i="1" s="1"/>
  <c r="R130" i="1" l="1"/>
  <c r="F1791" i="1" l="1"/>
  <c r="F1687" i="246"/>
  <c r="F1746" i="1"/>
  <c r="C297" i="4"/>
  <c r="C294" i="4"/>
  <c r="C291" i="4"/>
  <c r="C288" i="4"/>
  <c r="C285" i="4"/>
  <c r="C264" i="4"/>
  <c r="C261" i="4"/>
  <c r="C2142" i="246" l="1"/>
  <c r="R2142" i="246" s="1"/>
  <c r="C2209" i="1"/>
  <c r="R2209" i="1" s="1"/>
  <c r="D966" i="246" l="1"/>
  <c r="D983" i="1"/>
  <c r="D982" i="1"/>
  <c r="K967" i="246"/>
  <c r="J967" i="246"/>
  <c r="D967" i="246"/>
  <c r="K966" i="246"/>
  <c r="J966" i="246"/>
  <c r="K965" i="246"/>
  <c r="J965" i="246"/>
  <c r="D965" i="246"/>
  <c r="K964" i="246"/>
  <c r="J964" i="246"/>
  <c r="D964" i="246"/>
  <c r="D502" i="1" l="1"/>
  <c r="D499" i="246" l="1"/>
  <c r="D498" i="1"/>
  <c r="R498" i="1" s="1"/>
  <c r="C28" i="5" l="1"/>
  <c r="O1992" i="246" l="1"/>
  <c r="R1992" i="246" s="1"/>
  <c r="O2024" i="246"/>
  <c r="R2024" i="246" s="1"/>
  <c r="M2089" i="1"/>
  <c r="O2089" i="1"/>
  <c r="M2057" i="1"/>
  <c r="O2057" i="1"/>
  <c r="R2025" i="246" l="1"/>
  <c r="R2026" i="246" s="1"/>
  <c r="R2023" i="246"/>
  <c r="R2022" i="246" s="1"/>
  <c r="R1993" i="246"/>
  <c r="R1994" i="246" s="1"/>
  <c r="R1991" i="246"/>
  <c r="R1990" i="246" s="1"/>
  <c r="R2089" i="1"/>
  <c r="R2090" i="1" s="1"/>
  <c r="R2091" i="1" s="1"/>
  <c r="R2057" i="1"/>
  <c r="R2056" i="1" s="1"/>
  <c r="R2055" i="1" s="1"/>
  <c r="R2088" i="1" l="1"/>
  <c r="R2087" i="1" s="1"/>
  <c r="R2058" i="1"/>
  <c r="R2059" i="1" s="1"/>
  <c r="C2065" i="246" l="1"/>
  <c r="C2057" i="246"/>
  <c r="C2047" i="246"/>
  <c r="C2046" i="246"/>
  <c r="C2131" i="1"/>
  <c r="C2123" i="1"/>
  <c r="C2113" i="1"/>
  <c r="C2112" i="1"/>
  <c r="K345" i="192"/>
  <c r="F345" i="192" s="1"/>
  <c r="C346" i="192"/>
  <c r="C345" i="192"/>
  <c r="M345" i="192" s="1"/>
  <c r="G345" i="192" s="1"/>
  <c r="K333" i="192"/>
  <c r="F333" i="192" s="1"/>
  <c r="C333" i="192"/>
  <c r="M333" i="192" s="1"/>
  <c r="G333" i="192" s="1"/>
  <c r="K323" i="192"/>
  <c r="F323" i="192" s="1"/>
  <c r="K322" i="192"/>
  <c r="F322" i="192" s="1"/>
  <c r="C323" i="192"/>
  <c r="M323" i="192" s="1"/>
  <c r="G323" i="192" s="1"/>
  <c r="C322" i="192"/>
  <c r="M322" i="192" s="1"/>
  <c r="G322" i="192" s="1"/>
  <c r="K345" i="190"/>
  <c r="F345" i="190" s="1"/>
  <c r="C346" i="190"/>
  <c r="C345" i="190"/>
  <c r="M345" i="190" s="1"/>
  <c r="G345" i="190" s="1"/>
  <c r="K333" i="190"/>
  <c r="F333" i="190" s="1"/>
  <c r="C333" i="190"/>
  <c r="M333" i="190" s="1"/>
  <c r="G333" i="190" s="1"/>
  <c r="K323" i="190"/>
  <c r="F323" i="190" s="1"/>
  <c r="K322" i="190"/>
  <c r="F322" i="190" s="1"/>
  <c r="C323" i="190"/>
  <c r="M323" i="190" s="1"/>
  <c r="G323" i="190" s="1"/>
  <c r="C322" i="190"/>
  <c r="M322" i="190" s="1"/>
  <c r="G322" i="190" s="1"/>
  <c r="K345" i="136"/>
  <c r="F345" i="136" s="1"/>
  <c r="C346" i="136"/>
  <c r="C345" i="136"/>
  <c r="M345" i="136" s="1"/>
  <c r="G345" i="136" s="1"/>
  <c r="K333" i="136"/>
  <c r="F333" i="136" s="1"/>
  <c r="C333" i="136"/>
  <c r="M333" i="136" s="1"/>
  <c r="G333" i="136" s="1"/>
  <c r="K323" i="136"/>
  <c r="F323" i="136" s="1"/>
  <c r="K322" i="136"/>
  <c r="F322" i="136" s="1"/>
  <c r="C323" i="136"/>
  <c r="M323" i="136" s="1"/>
  <c r="G323" i="136" s="1"/>
  <c r="C322" i="136"/>
  <c r="M322" i="136" s="1"/>
  <c r="G322" i="136" s="1"/>
  <c r="P346" i="5"/>
  <c r="J346" i="5" s="1"/>
  <c r="N346" i="5"/>
  <c r="P333" i="5"/>
  <c r="N333" i="5"/>
  <c r="P323" i="5"/>
  <c r="J323" i="5" s="1"/>
  <c r="N323" i="5"/>
  <c r="P322" i="5"/>
  <c r="J322" i="5" s="1"/>
  <c r="N322" i="5"/>
  <c r="I322" i="5" l="1"/>
  <c r="H11" i="229"/>
  <c r="I333" i="5"/>
  <c r="H16" i="229"/>
  <c r="I323" i="5"/>
  <c r="H12" i="229"/>
  <c r="I346" i="5"/>
  <c r="H23" i="229"/>
  <c r="I322" i="136"/>
  <c r="F322" i="5" s="1"/>
  <c r="I345" i="136"/>
  <c r="F345" i="5" s="1"/>
  <c r="I333" i="136"/>
  <c r="F333" i="5" s="1"/>
  <c r="I323" i="192"/>
  <c r="H323" i="5" s="1"/>
  <c r="I333" i="192"/>
  <c r="H333" i="5" s="1"/>
  <c r="I322" i="192"/>
  <c r="H322" i="5" s="1"/>
  <c r="I345" i="192"/>
  <c r="H345" i="5" s="1"/>
  <c r="I345" i="190"/>
  <c r="G345" i="5" s="1"/>
  <c r="I333" i="190"/>
  <c r="G333" i="5" s="1"/>
  <c r="I323" i="190"/>
  <c r="G323" i="5" s="1"/>
  <c r="O2113" i="1"/>
  <c r="O2131" i="1"/>
  <c r="O2112" i="1"/>
  <c r="O2123" i="1"/>
  <c r="I322" i="190"/>
  <c r="G322" i="5" s="1"/>
  <c r="I323" i="136"/>
  <c r="F323" i="5" s="1"/>
  <c r="L322" i="5" l="1"/>
  <c r="G11" i="229" s="1"/>
  <c r="L323" i="5"/>
  <c r="G12" i="229" s="1"/>
  <c r="O2047" i="246" l="1"/>
  <c r="R2047" i="246" s="1"/>
  <c r="E264" i="4"/>
  <c r="O2046" i="246"/>
  <c r="R2046" i="246" s="1"/>
  <c r="E261" i="4"/>
  <c r="M2112" i="1"/>
  <c r="R2112" i="1" s="1"/>
  <c r="M2113" i="1"/>
  <c r="R2113" i="1" s="1"/>
  <c r="G32" i="170" l="1"/>
  <c r="J32" i="170" s="1"/>
  <c r="I26" i="26" s="1"/>
  <c r="I32" i="170" l="1"/>
  <c r="C37" i="5"/>
  <c r="C36" i="5"/>
  <c r="C35" i="5"/>
  <c r="C28" i="192"/>
  <c r="C28" i="190"/>
  <c r="C28" i="136"/>
  <c r="G58" i="4"/>
  <c r="H58" i="4" s="1"/>
  <c r="G57" i="4"/>
  <c r="H57" i="4" s="1"/>
  <c r="G56" i="4"/>
  <c r="G55" i="4"/>
  <c r="G54" i="4"/>
  <c r="H55" i="4" l="1"/>
  <c r="H56" i="4" s="1"/>
  <c r="H54" i="4"/>
  <c r="D215" i="246" l="1"/>
  <c r="D262" i="1"/>
  <c r="D262" i="246"/>
  <c r="D215" i="1"/>
  <c r="D65" i="246"/>
  <c r="D65" i="1"/>
  <c r="G117" i="4"/>
  <c r="G114" i="4"/>
  <c r="D2993" i="1" l="1"/>
  <c r="D2995" i="1"/>
  <c r="M2995" i="1"/>
  <c r="R2995" i="1" s="1"/>
  <c r="D2996" i="1"/>
  <c r="M2996" i="1"/>
  <c r="R2996" i="1" s="1"/>
  <c r="D2997" i="1"/>
  <c r="M2997" i="1"/>
  <c r="R2997" i="1" s="1"/>
  <c r="D2998" i="1"/>
  <c r="M2998" i="1"/>
  <c r="R2998" i="1" s="1"/>
  <c r="D3004" i="1"/>
  <c r="D3005" i="1"/>
  <c r="D3006" i="1"/>
  <c r="D2918" i="1" l="1"/>
  <c r="M2945" i="246" l="1"/>
  <c r="R2945" i="246" s="1"/>
  <c r="M2944" i="246"/>
  <c r="R2944" i="246" s="1"/>
  <c r="D2945" i="246"/>
  <c r="D2944" i="246"/>
  <c r="D2938" i="246"/>
  <c r="D2937" i="246"/>
  <c r="D2936" i="246"/>
  <c r="D469" i="246" l="1"/>
  <c r="R469" i="246" s="1"/>
  <c r="D469" i="1"/>
  <c r="R469" i="1" s="1"/>
  <c r="C2132" i="1" l="1"/>
  <c r="C2139" i="1"/>
  <c r="C2140" i="1"/>
  <c r="C2141" i="1"/>
  <c r="C2142" i="1"/>
  <c r="C2143" i="1"/>
  <c r="C2144" i="1"/>
  <c r="C2120" i="1"/>
  <c r="C2121" i="1"/>
  <c r="C2122" i="1"/>
  <c r="C2124" i="1"/>
  <c r="D1923" i="1" l="1"/>
  <c r="D1924" i="1"/>
  <c r="D1927" i="1"/>
  <c r="M1930" i="1"/>
  <c r="C2163" i="246" l="1"/>
  <c r="C2162" i="246"/>
  <c r="C2161" i="246"/>
  <c r="C2160" i="246"/>
  <c r="C2159" i="246"/>
  <c r="C2158" i="246"/>
  <c r="C2230" i="1"/>
  <c r="C2229" i="1"/>
  <c r="C2228" i="1"/>
  <c r="C2227" i="1"/>
  <c r="C2226" i="1"/>
  <c r="C2225" i="1"/>
  <c r="D508" i="246" l="1"/>
  <c r="D505" i="246"/>
  <c r="R505" i="246" s="1"/>
  <c r="D504" i="246"/>
  <c r="D532" i="1"/>
  <c r="R532" i="1" s="1"/>
  <c r="M532" i="1"/>
  <c r="D533" i="1"/>
  <c r="R533" i="1" s="1"/>
  <c r="M533" i="1"/>
  <c r="D534" i="1"/>
  <c r="R534" i="1" s="1"/>
  <c r="M534" i="1"/>
  <c r="D506" i="1"/>
  <c r="D503" i="1"/>
  <c r="R503" i="1" s="1"/>
  <c r="J143" i="246" l="1"/>
  <c r="R143" i="246" s="1"/>
  <c r="J142" i="246"/>
  <c r="R142" i="246" s="1"/>
  <c r="J141" i="246"/>
  <c r="R141" i="246" s="1"/>
  <c r="J143" i="1"/>
  <c r="R143" i="1" s="1"/>
  <c r="J142" i="1"/>
  <c r="R142" i="1" s="1"/>
  <c r="J141" i="1"/>
  <c r="R141" i="1" s="1"/>
  <c r="R499" i="246"/>
  <c r="D538" i="246" l="1"/>
  <c r="M536" i="246"/>
  <c r="D536" i="246"/>
  <c r="R536" i="246" s="1"/>
  <c r="M535" i="246"/>
  <c r="D535" i="246"/>
  <c r="R535" i="246" s="1"/>
  <c r="M534" i="246"/>
  <c r="D534" i="246"/>
  <c r="R534" i="246" s="1"/>
  <c r="M533" i="246"/>
  <c r="D533" i="246"/>
  <c r="R533" i="246" s="1"/>
  <c r="M532" i="246"/>
  <c r="D532" i="246"/>
  <c r="D536" i="1"/>
  <c r="M531" i="1"/>
  <c r="M530" i="1"/>
  <c r="D531" i="1"/>
  <c r="R531" i="1" s="1"/>
  <c r="D530" i="1"/>
  <c r="D457" i="246" l="1"/>
  <c r="W776" i="246" l="1"/>
  <c r="C776" i="246" s="1"/>
  <c r="D58" i="1" l="1"/>
  <c r="H21" i="230" l="1"/>
  <c r="D147" i="246" l="1"/>
  <c r="C377" i="192" l="1"/>
  <c r="C376" i="192"/>
  <c r="C375" i="192"/>
  <c r="C372" i="192"/>
  <c r="C371" i="192"/>
  <c r="C370" i="192"/>
  <c r="C369" i="192"/>
  <c r="C368" i="192"/>
  <c r="C367" i="192"/>
  <c r="C353" i="192"/>
  <c r="C352" i="192"/>
  <c r="C351" i="192"/>
  <c r="C350" i="192"/>
  <c r="C349" i="192"/>
  <c r="C347" i="192"/>
  <c r="C344" i="192"/>
  <c r="C341" i="192"/>
  <c r="C334" i="192"/>
  <c r="C332" i="192"/>
  <c r="C330" i="192"/>
  <c r="C321" i="192"/>
  <c r="C318" i="192"/>
  <c r="C317" i="192"/>
  <c r="C316" i="192"/>
  <c r="C315" i="192"/>
  <c r="C314" i="192"/>
  <c r="C312" i="192"/>
  <c r="C311" i="192"/>
  <c r="C310" i="192"/>
  <c r="C309" i="192"/>
  <c r="C308" i="192"/>
  <c r="C219" i="192"/>
  <c r="C218" i="192"/>
  <c r="C217" i="192"/>
  <c r="C216" i="192"/>
  <c r="C215" i="192"/>
  <c r="C214" i="192"/>
  <c r="C213" i="192"/>
  <c r="C212" i="192"/>
  <c r="C211" i="192"/>
  <c r="C210" i="192"/>
  <c r="C209" i="192"/>
  <c r="C208" i="192"/>
  <c r="C207" i="192"/>
  <c r="C206" i="192"/>
  <c r="C205" i="192"/>
  <c r="C204" i="192"/>
  <c r="C203" i="192"/>
  <c r="C200" i="192"/>
  <c r="C199" i="192"/>
  <c r="C198" i="192"/>
  <c r="C197" i="192"/>
  <c r="C196" i="192"/>
  <c r="C195" i="192"/>
  <c r="C194" i="192"/>
  <c r="C193" i="192"/>
  <c r="C192" i="192"/>
  <c r="C191" i="192"/>
  <c r="C190" i="192"/>
  <c r="C189" i="192"/>
  <c r="C188" i="192"/>
  <c r="C187" i="192"/>
  <c r="C186" i="192"/>
  <c r="C377" i="190"/>
  <c r="C376" i="190"/>
  <c r="C375" i="190"/>
  <c r="C372" i="190"/>
  <c r="C371" i="190"/>
  <c r="C370" i="190"/>
  <c r="C369" i="190"/>
  <c r="C368" i="190"/>
  <c r="C367" i="190"/>
  <c r="C353" i="190"/>
  <c r="C352" i="190"/>
  <c r="C351" i="190"/>
  <c r="C350" i="190"/>
  <c r="C349" i="190"/>
  <c r="C347" i="190"/>
  <c r="C344" i="190"/>
  <c r="C341" i="190"/>
  <c r="C334" i="190"/>
  <c r="C332" i="190"/>
  <c r="C330" i="190"/>
  <c r="C321" i="190"/>
  <c r="C318" i="190"/>
  <c r="C317" i="190"/>
  <c r="C316" i="190"/>
  <c r="C315" i="190"/>
  <c r="C314" i="190"/>
  <c r="C312" i="190"/>
  <c r="C311" i="190"/>
  <c r="C310" i="190"/>
  <c r="C309" i="190"/>
  <c r="C308" i="190"/>
  <c r="C219" i="190"/>
  <c r="C218" i="190"/>
  <c r="C217" i="190"/>
  <c r="C216" i="190"/>
  <c r="C215" i="190"/>
  <c r="C214" i="190"/>
  <c r="C213" i="190"/>
  <c r="C212" i="190"/>
  <c r="C211" i="190"/>
  <c r="C210" i="190"/>
  <c r="C209" i="190"/>
  <c r="C208" i="190"/>
  <c r="C207" i="190"/>
  <c r="C206" i="190"/>
  <c r="C205" i="190"/>
  <c r="C204" i="190"/>
  <c r="C203" i="190"/>
  <c r="C200" i="190"/>
  <c r="C199" i="190"/>
  <c r="C198" i="190"/>
  <c r="C197" i="190"/>
  <c r="C196" i="190"/>
  <c r="C195" i="190"/>
  <c r="C194" i="190"/>
  <c r="C193" i="190"/>
  <c r="C192" i="190"/>
  <c r="C191" i="190"/>
  <c r="C190" i="190"/>
  <c r="C189" i="190"/>
  <c r="C188" i="190"/>
  <c r="C187" i="190"/>
  <c r="C186" i="190"/>
  <c r="C377" i="136"/>
  <c r="C376" i="136"/>
  <c r="C375" i="136"/>
  <c r="C372" i="136"/>
  <c r="C371" i="136"/>
  <c r="C370" i="136"/>
  <c r="C369" i="136"/>
  <c r="C368" i="136"/>
  <c r="C367" i="136"/>
  <c r="C353" i="136"/>
  <c r="C352" i="136"/>
  <c r="C351" i="136"/>
  <c r="C350" i="136"/>
  <c r="C349" i="136"/>
  <c r="C347" i="136"/>
  <c r="C344" i="136"/>
  <c r="C341" i="136"/>
  <c r="C334" i="136"/>
  <c r="C332" i="136"/>
  <c r="C330" i="136"/>
  <c r="C321" i="136"/>
  <c r="C318" i="136"/>
  <c r="C317" i="136"/>
  <c r="C316" i="136"/>
  <c r="C315" i="136"/>
  <c r="C314" i="136"/>
  <c r="C312" i="136"/>
  <c r="C311" i="136"/>
  <c r="C310" i="136"/>
  <c r="C309" i="136"/>
  <c r="C308" i="136"/>
  <c r="C219" i="136"/>
  <c r="C218" i="136"/>
  <c r="C217" i="136"/>
  <c r="C216" i="136"/>
  <c r="C215" i="136"/>
  <c r="C214" i="136"/>
  <c r="C213" i="136"/>
  <c r="C212" i="136"/>
  <c r="C211" i="136"/>
  <c r="C210" i="136"/>
  <c r="C209" i="136"/>
  <c r="C208" i="136"/>
  <c r="C207" i="136"/>
  <c r="C206" i="136"/>
  <c r="C205" i="136"/>
  <c r="C204" i="136"/>
  <c r="C203" i="136"/>
  <c r="C200" i="136"/>
  <c r="C199" i="136"/>
  <c r="C198" i="136"/>
  <c r="C197" i="136"/>
  <c r="C196" i="136"/>
  <c r="C195" i="136"/>
  <c r="C194" i="136"/>
  <c r="C193" i="136"/>
  <c r="C192" i="136"/>
  <c r="C191" i="136"/>
  <c r="C190" i="136"/>
  <c r="C189" i="136"/>
  <c r="C188" i="136"/>
  <c r="C187" i="136"/>
  <c r="C186" i="136"/>
  <c r="C258" i="4" l="1"/>
  <c r="D3503" i="246" l="1"/>
  <c r="D3502" i="246"/>
  <c r="D3501" i="246"/>
  <c r="D3500" i="246"/>
  <c r="D3499" i="246"/>
  <c r="D3498" i="246"/>
  <c r="D3497" i="246"/>
  <c r="D3496" i="246"/>
  <c r="D3495" i="246"/>
  <c r="D3494" i="246"/>
  <c r="O3464" i="246"/>
  <c r="D3458" i="246"/>
  <c r="D3457" i="246"/>
  <c r="D3446" i="246"/>
  <c r="D3445" i="246"/>
  <c r="D3444" i="246"/>
  <c r="D3443" i="246"/>
  <c r="D3442" i="246"/>
  <c r="D3441" i="246"/>
  <c r="D3440" i="246"/>
  <c r="D3439" i="246"/>
  <c r="D3438" i="246"/>
  <c r="D3437" i="246"/>
  <c r="D3409" i="246"/>
  <c r="D3408" i="246"/>
  <c r="D3407" i="246"/>
  <c r="D3406" i="246"/>
  <c r="D3395" i="246"/>
  <c r="D3394" i="246"/>
  <c r="D3393" i="246"/>
  <c r="D3392" i="246"/>
  <c r="D3391" i="246"/>
  <c r="O3380" i="246"/>
  <c r="D3377" i="246"/>
  <c r="D3461" i="246" s="1"/>
  <c r="D3374" i="246"/>
  <c r="D3373" i="246"/>
  <c r="D3339" i="246"/>
  <c r="D3338" i="246"/>
  <c r="D3337" i="246"/>
  <c r="D3336" i="246"/>
  <c r="D3335" i="246"/>
  <c r="D3334" i="246"/>
  <c r="D3333" i="246"/>
  <c r="D3332" i="246"/>
  <c r="D3331" i="246"/>
  <c r="D3330" i="246"/>
  <c r="O3300" i="246"/>
  <c r="D3294" i="246"/>
  <c r="D3293" i="246"/>
  <c r="D3282" i="246"/>
  <c r="D3281" i="246"/>
  <c r="D3280" i="246"/>
  <c r="D3279" i="246"/>
  <c r="D3278" i="246"/>
  <c r="D3277" i="246"/>
  <c r="D3276" i="246"/>
  <c r="D3275" i="246"/>
  <c r="D3274" i="246"/>
  <c r="D3273" i="246"/>
  <c r="D3245" i="246"/>
  <c r="D3244" i="246"/>
  <c r="D3243" i="246"/>
  <c r="D3242" i="246"/>
  <c r="D3231" i="246"/>
  <c r="D3230" i="246"/>
  <c r="D3229" i="246"/>
  <c r="D3228" i="246"/>
  <c r="D3227" i="246"/>
  <c r="O3216" i="246"/>
  <c r="D3213" i="246"/>
  <c r="D3297" i="246" s="1"/>
  <c r="D3210" i="246"/>
  <c r="D3209" i="246"/>
  <c r="D3175" i="246"/>
  <c r="D3174" i="246"/>
  <c r="D3173" i="246"/>
  <c r="D3172" i="246"/>
  <c r="D3171" i="246"/>
  <c r="D3170" i="246"/>
  <c r="D3169" i="246"/>
  <c r="D3168" i="246"/>
  <c r="D3167" i="246"/>
  <c r="D3166" i="246"/>
  <c r="O3136" i="246"/>
  <c r="D3130" i="246"/>
  <c r="D3129" i="246"/>
  <c r="D3118" i="246"/>
  <c r="D3117" i="246"/>
  <c r="D3116" i="246"/>
  <c r="D3115" i="246"/>
  <c r="D3114" i="246"/>
  <c r="D3113" i="246"/>
  <c r="D3112" i="246"/>
  <c r="D3111" i="246"/>
  <c r="D3110" i="246"/>
  <c r="D3109" i="246"/>
  <c r="D3081" i="246"/>
  <c r="D3080" i="246"/>
  <c r="D3079" i="246"/>
  <c r="D3078" i="246"/>
  <c r="D3067" i="246"/>
  <c r="D3066" i="246"/>
  <c r="D3065" i="246"/>
  <c r="D3064" i="246"/>
  <c r="D3063" i="246"/>
  <c r="O3052" i="246"/>
  <c r="D3049" i="246"/>
  <c r="D3133" i="246" s="1"/>
  <c r="D3046" i="246"/>
  <c r="D3045" i="246"/>
  <c r="O2994" i="246"/>
  <c r="D2980" i="246"/>
  <c r="D2979" i="246"/>
  <c r="I2957" i="246"/>
  <c r="H2956" i="246"/>
  <c r="M2930" i="246"/>
  <c r="R2930" i="246" s="1"/>
  <c r="D2930" i="246"/>
  <c r="M2929" i="246"/>
  <c r="R2929" i="246" s="1"/>
  <c r="D2929" i="246"/>
  <c r="M2928" i="246"/>
  <c r="R2928" i="246" s="1"/>
  <c r="D2928" i="246"/>
  <c r="M2927" i="246"/>
  <c r="R2927" i="246" s="1"/>
  <c r="D2927" i="246"/>
  <c r="D2925" i="246"/>
  <c r="D2909" i="246"/>
  <c r="D2906" i="246"/>
  <c r="R2906" i="246" s="1"/>
  <c r="D2905" i="246"/>
  <c r="D2868" i="246"/>
  <c r="D2867" i="246"/>
  <c r="D2866" i="246"/>
  <c r="D2865" i="246"/>
  <c r="D2864" i="246"/>
  <c r="D2863" i="246"/>
  <c r="D2862" i="246"/>
  <c r="D2861" i="246"/>
  <c r="D2860" i="246"/>
  <c r="D2859" i="246"/>
  <c r="D2850" i="246"/>
  <c r="O2828" i="246"/>
  <c r="R2822" i="246"/>
  <c r="D2822" i="246"/>
  <c r="D2821" i="246"/>
  <c r="D2811" i="246"/>
  <c r="D2810" i="246"/>
  <c r="D2809" i="246"/>
  <c r="D2808" i="246"/>
  <c r="D2807" i="246"/>
  <c r="D2806" i="246"/>
  <c r="D2805" i="246"/>
  <c r="D2804" i="246"/>
  <c r="D2803" i="246"/>
  <c r="D2802" i="246"/>
  <c r="D2774" i="246"/>
  <c r="D2773" i="246"/>
  <c r="D2772" i="246"/>
  <c r="D2771" i="246"/>
  <c r="D2760" i="246"/>
  <c r="D2759" i="246"/>
  <c r="D2758" i="246"/>
  <c r="D2757" i="246"/>
  <c r="D2756" i="246"/>
  <c r="O2745" i="246"/>
  <c r="D2742" i="246"/>
  <c r="D2825" i="246" s="1"/>
  <c r="R2739" i="246"/>
  <c r="D2739" i="246"/>
  <c r="D2738" i="246"/>
  <c r="O2659" i="246"/>
  <c r="D2656" i="246"/>
  <c r="D2653" i="246"/>
  <c r="R2653" i="246" s="1"/>
  <c r="D2652" i="246"/>
  <c r="C1429" i="246"/>
  <c r="C1428" i="246"/>
  <c r="C1427" i="246"/>
  <c r="C1426" i="246"/>
  <c r="C1425" i="246"/>
  <c r="C1424" i="246"/>
  <c r="C1423" i="246"/>
  <c r="C1422" i="246"/>
  <c r="C1421" i="246"/>
  <c r="C1420" i="246"/>
  <c r="C1419" i="246"/>
  <c r="C1418" i="246"/>
  <c r="C1417" i="246"/>
  <c r="C1416" i="246"/>
  <c r="C1415" i="246"/>
  <c r="C1414" i="246"/>
  <c r="C1413" i="246"/>
  <c r="C1412" i="246"/>
  <c r="C1411" i="246"/>
  <c r="C1410" i="246"/>
  <c r="C1409" i="246"/>
  <c r="C1408" i="246"/>
  <c r="C1407" i="246"/>
  <c r="C1406" i="246"/>
  <c r="C1405" i="246"/>
  <c r="C1404" i="246"/>
  <c r="C1403" i="246"/>
  <c r="C1402" i="246"/>
  <c r="C1401" i="246"/>
  <c r="C1400" i="246"/>
  <c r="C1399" i="246"/>
  <c r="C1398" i="246"/>
  <c r="C1397" i="246"/>
  <c r="C1396" i="246"/>
  <c r="C1395" i="246"/>
  <c r="C1394" i="246"/>
  <c r="C1393" i="246"/>
  <c r="C1392" i="246"/>
  <c r="C1391" i="246"/>
  <c r="C1390" i="246"/>
  <c r="C1389" i="246"/>
  <c r="C1388" i="246"/>
  <c r="C1387" i="246"/>
  <c r="C1386" i="246"/>
  <c r="O1382" i="246"/>
  <c r="D1379" i="246"/>
  <c r="D1376" i="246"/>
  <c r="D1375" i="246"/>
  <c r="D1354" i="246"/>
  <c r="D1353" i="246"/>
  <c r="D1352" i="246"/>
  <c r="D1351" i="246"/>
  <c r="D1350" i="246"/>
  <c r="D1349" i="246"/>
  <c r="D1348" i="246"/>
  <c r="D1347" i="246"/>
  <c r="D1346" i="246"/>
  <c r="D1345" i="246"/>
  <c r="D1344" i="246"/>
  <c r="D1343" i="246"/>
  <c r="D1342" i="246"/>
  <c r="D1341" i="246"/>
  <c r="D1340" i="246"/>
  <c r="D1339" i="246"/>
  <c r="O1323" i="246"/>
  <c r="D1320" i="246"/>
  <c r="D1317" i="246"/>
  <c r="D1316" i="246"/>
  <c r="O1297" i="246"/>
  <c r="D1294" i="246"/>
  <c r="D1291" i="246"/>
  <c r="D1290" i="246"/>
  <c r="C1279" i="246"/>
  <c r="C1278" i="246"/>
  <c r="C1277" i="246"/>
  <c r="C1276" i="246"/>
  <c r="C1275" i="246"/>
  <c r="C1274" i="246"/>
  <c r="C1273" i="246"/>
  <c r="C1272" i="246"/>
  <c r="C1271" i="246"/>
  <c r="C1270" i="246"/>
  <c r="C1269" i="246"/>
  <c r="C1268" i="246"/>
  <c r="O1264" i="246"/>
  <c r="D1261" i="246"/>
  <c r="D1258" i="246"/>
  <c r="D1257" i="246"/>
  <c r="C1191" i="246"/>
  <c r="C1190" i="246"/>
  <c r="C1189" i="246"/>
  <c r="C1188" i="246"/>
  <c r="C1185" i="246"/>
  <c r="C1184" i="246"/>
  <c r="C1183" i="246"/>
  <c r="C1182" i="246"/>
  <c r="C1179" i="246"/>
  <c r="C1178" i="246"/>
  <c r="C1177" i="246"/>
  <c r="C1176" i="246"/>
  <c r="C1173" i="246"/>
  <c r="C1172" i="246"/>
  <c r="C1171" i="246"/>
  <c r="C1170" i="246"/>
  <c r="O1508" i="246"/>
  <c r="D1505" i="246"/>
  <c r="D1502" i="246"/>
  <c r="R1502" i="246" s="1"/>
  <c r="D1501" i="246"/>
  <c r="O1467" i="246"/>
  <c r="D1464" i="246"/>
  <c r="D1461" i="246"/>
  <c r="R1461" i="246" s="1"/>
  <c r="D1460" i="246"/>
  <c r="C2550" i="246"/>
  <c r="C2549" i="246"/>
  <c r="C2548" i="246"/>
  <c r="C2547" i="246"/>
  <c r="C2546" i="246"/>
  <c r="O2542" i="246"/>
  <c r="D2539" i="246"/>
  <c r="D2536" i="246"/>
  <c r="D2535" i="246"/>
  <c r="C2524" i="246"/>
  <c r="C2523" i="246"/>
  <c r="C2522" i="246"/>
  <c r="O2518" i="246"/>
  <c r="D2515" i="246"/>
  <c r="D2512" i="246"/>
  <c r="D2511" i="246"/>
  <c r="C2500" i="246"/>
  <c r="C2499" i="246"/>
  <c r="C2498" i="246"/>
  <c r="C2497" i="246"/>
  <c r="C2496" i="246"/>
  <c r="C2495" i="246"/>
  <c r="O2491" i="246"/>
  <c r="D2488" i="246"/>
  <c r="D2485" i="246"/>
  <c r="D2484" i="246"/>
  <c r="O2464" i="246"/>
  <c r="D2461" i="246"/>
  <c r="D2458" i="246"/>
  <c r="D2457" i="246"/>
  <c r="O2373" i="246"/>
  <c r="D2370" i="246"/>
  <c r="D2367" i="246"/>
  <c r="D2366" i="246"/>
  <c r="C2354" i="246"/>
  <c r="C2353" i="246"/>
  <c r="C2352" i="246"/>
  <c r="C2351" i="246"/>
  <c r="C2350" i="246"/>
  <c r="C2349" i="246"/>
  <c r="C2348" i="246"/>
  <c r="C2347" i="246"/>
  <c r="C2346" i="246"/>
  <c r="C2345" i="246"/>
  <c r="C2344" i="246"/>
  <c r="C2343" i="246"/>
  <c r="C2342" i="246"/>
  <c r="C2341" i="246"/>
  <c r="C2340" i="246"/>
  <c r="C2339" i="246"/>
  <c r="C2338" i="246"/>
  <c r="O2334" i="246"/>
  <c r="D2331" i="246"/>
  <c r="D2328" i="246"/>
  <c r="D2327" i="246"/>
  <c r="C2312" i="246"/>
  <c r="C2311" i="246"/>
  <c r="C2310" i="246"/>
  <c r="C2309" i="246"/>
  <c r="C2308" i="246"/>
  <c r="C2307" i="246"/>
  <c r="C2306" i="246"/>
  <c r="C2305" i="246"/>
  <c r="C2304" i="246"/>
  <c r="C2303" i="246"/>
  <c r="C2302" i="246"/>
  <c r="C2301" i="246"/>
  <c r="C2300" i="246"/>
  <c r="C2299" i="246"/>
  <c r="C2298" i="246"/>
  <c r="O2294" i="246"/>
  <c r="D2291" i="246"/>
  <c r="D2288" i="246"/>
  <c r="D2287" i="246"/>
  <c r="O2258" i="246"/>
  <c r="D2255" i="246"/>
  <c r="D2252" i="246"/>
  <c r="D2251" i="246"/>
  <c r="O2234" i="246"/>
  <c r="D2231" i="246"/>
  <c r="D2228" i="246"/>
  <c r="D2227" i="246"/>
  <c r="O2216" i="246"/>
  <c r="O2211" i="246"/>
  <c r="D2208" i="246"/>
  <c r="D2205" i="246"/>
  <c r="R2205" i="246" s="1"/>
  <c r="D2204" i="246"/>
  <c r="O2154" i="246"/>
  <c r="D2151" i="246"/>
  <c r="D2148" i="246"/>
  <c r="R2148" i="246" s="1"/>
  <c r="D2147" i="246"/>
  <c r="C2141" i="246"/>
  <c r="R2141" i="246" s="1"/>
  <c r="O2122" i="246"/>
  <c r="D2119" i="246"/>
  <c r="D2116" i="246"/>
  <c r="D2115" i="246"/>
  <c r="O2097" i="246"/>
  <c r="D2094" i="246"/>
  <c r="D2091" i="246"/>
  <c r="D2090" i="246"/>
  <c r="C2078" i="246"/>
  <c r="C2077" i="246"/>
  <c r="C2076" i="246"/>
  <c r="C2075" i="246"/>
  <c r="C2074" i="246"/>
  <c r="C2073" i="246"/>
  <c r="C2066" i="246"/>
  <c r="C2064" i="246"/>
  <c r="C2058" i="246"/>
  <c r="C2056" i="246"/>
  <c r="C2055" i="246"/>
  <c r="C2054" i="246"/>
  <c r="C2045" i="246"/>
  <c r="O2038" i="246"/>
  <c r="D2035" i="246"/>
  <c r="D2032" i="246"/>
  <c r="D2031" i="246"/>
  <c r="C2015" i="246"/>
  <c r="C2014" i="246"/>
  <c r="C2013" i="246"/>
  <c r="C2012" i="246"/>
  <c r="C2011" i="246"/>
  <c r="O2007" i="246"/>
  <c r="D2004" i="246"/>
  <c r="D2001" i="246"/>
  <c r="D2000" i="246"/>
  <c r="C1983" i="246"/>
  <c r="C1982" i="246"/>
  <c r="C1981" i="246"/>
  <c r="C1980" i="246"/>
  <c r="C1979" i="246"/>
  <c r="O1975" i="246"/>
  <c r="D1972" i="246"/>
  <c r="D1969" i="246"/>
  <c r="D1968" i="246"/>
  <c r="O1865" i="246"/>
  <c r="D1862" i="246"/>
  <c r="D1859" i="246"/>
  <c r="D1858" i="246"/>
  <c r="D870" i="246"/>
  <c r="D867" i="246"/>
  <c r="R867" i="246" s="1"/>
  <c r="D866" i="246"/>
  <c r="O798" i="246"/>
  <c r="D795" i="246"/>
  <c r="D792" i="246"/>
  <c r="R792" i="246" s="1"/>
  <c r="D791" i="246"/>
  <c r="B754" i="246"/>
  <c r="B765" i="246" s="1"/>
  <c r="O742" i="246"/>
  <c r="D739" i="246"/>
  <c r="D736" i="246"/>
  <c r="R736" i="246" s="1"/>
  <c r="D735" i="246"/>
  <c r="O609" i="246"/>
  <c r="D606" i="246"/>
  <c r="D603" i="246"/>
  <c r="R603" i="246" s="1"/>
  <c r="D602" i="246"/>
  <c r="O667" i="246"/>
  <c r="D664" i="246"/>
  <c r="D662" i="246"/>
  <c r="R662" i="246" s="1"/>
  <c r="D661" i="246"/>
  <c r="R521" i="246"/>
  <c r="D513" i="246"/>
  <c r="R461" i="246"/>
  <c r="C455" i="246"/>
  <c r="D448" i="246"/>
  <c r="D445" i="246"/>
  <c r="R445" i="246" s="1"/>
  <c r="D444" i="246"/>
  <c r="D201" i="246"/>
  <c r="M199" i="246"/>
  <c r="D199" i="246"/>
  <c r="M198" i="246"/>
  <c r="D157" i="246"/>
  <c r="R157" i="246" s="1"/>
  <c r="D156" i="246"/>
  <c r="J145" i="246"/>
  <c r="J139" i="246"/>
  <c r="R139" i="246" s="1"/>
  <c r="J138" i="246"/>
  <c r="R138" i="246" s="1"/>
  <c r="J137" i="246"/>
  <c r="R137" i="246" s="1"/>
  <c r="J136" i="246"/>
  <c r="R136" i="246" s="1"/>
  <c r="J129" i="246"/>
  <c r="R129" i="246" s="1"/>
  <c r="J128" i="246"/>
  <c r="R128" i="246" s="1"/>
  <c r="J127" i="246"/>
  <c r="J126" i="246"/>
  <c r="J124" i="246"/>
  <c r="R124" i="246" s="1"/>
  <c r="J123" i="246"/>
  <c r="R123" i="246" s="1"/>
  <c r="J122" i="246"/>
  <c r="R122" i="246" s="1"/>
  <c r="J121" i="246"/>
  <c r="R121" i="246" s="1"/>
  <c r="J120" i="246"/>
  <c r="J118" i="246"/>
  <c r="R118" i="246" s="1"/>
  <c r="J117" i="246"/>
  <c r="R117" i="246" s="1"/>
  <c r="J116" i="246"/>
  <c r="R116" i="246" s="1"/>
  <c r="J115" i="246"/>
  <c r="D105" i="246"/>
  <c r="R105" i="246" s="1"/>
  <c r="D104" i="246"/>
  <c r="R96" i="246"/>
  <c r="R95" i="246"/>
  <c r="R94" i="246"/>
  <c r="R93" i="246"/>
  <c r="O69" i="246"/>
  <c r="D61" i="246"/>
  <c r="D58" i="246"/>
  <c r="D57" i="246"/>
  <c r="R57" i="246" s="1"/>
  <c r="D56" i="246"/>
  <c r="A20" i="246"/>
  <c r="A16" i="246"/>
  <c r="K33" i="89"/>
  <c r="C464" i="246" l="1"/>
  <c r="C511" i="246" s="1"/>
  <c r="B776" i="246"/>
  <c r="J117" i="1" l="1"/>
  <c r="R117" i="1" s="1"/>
  <c r="C516" i="246" l="1"/>
  <c r="D157" i="1"/>
  <c r="R157" i="1" s="1"/>
  <c r="D156" i="1"/>
  <c r="C523" i="246" l="1"/>
  <c r="C528" i="246" s="1"/>
  <c r="C541" i="246" l="1"/>
  <c r="C559" i="246" s="1"/>
  <c r="C576" i="246" s="1"/>
  <c r="C592" i="246" s="1"/>
  <c r="V303" i="242" l="1"/>
  <c r="U303" i="242"/>
  <c r="V302" i="242"/>
  <c r="U302" i="242"/>
  <c r="V301" i="242"/>
  <c r="U301" i="242"/>
  <c r="V300" i="242"/>
  <c r="U300" i="242"/>
  <c r="V299" i="242"/>
  <c r="U299" i="242"/>
  <c r="V298" i="242"/>
  <c r="U298" i="242"/>
  <c r="V297" i="242"/>
  <c r="U297" i="242"/>
  <c r="V296" i="242"/>
  <c r="U296" i="242"/>
  <c r="V295" i="242"/>
  <c r="U295" i="242"/>
  <c r="V294" i="242"/>
  <c r="U294" i="242"/>
  <c r="V293" i="242"/>
  <c r="U293" i="242"/>
  <c r="V292" i="242"/>
  <c r="U292" i="242"/>
  <c r="V291" i="242"/>
  <c r="U291" i="242"/>
  <c r="V290" i="242"/>
  <c r="U290" i="242"/>
  <c r="V289" i="242"/>
  <c r="U289" i="242"/>
  <c r="V288" i="242"/>
  <c r="U288" i="242"/>
  <c r="V287" i="242"/>
  <c r="U287" i="242"/>
  <c r="V286" i="242"/>
  <c r="U286" i="242"/>
  <c r="V285" i="242"/>
  <c r="U285" i="242"/>
  <c r="V284" i="242"/>
  <c r="U284" i="242"/>
  <c r="V283" i="242"/>
  <c r="U283" i="242"/>
  <c r="V282" i="242"/>
  <c r="U282" i="242"/>
  <c r="V281" i="242"/>
  <c r="U281" i="242"/>
  <c r="V280" i="242"/>
  <c r="U280" i="242"/>
  <c r="V279" i="242"/>
  <c r="U279" i="242"/>
  <c r="V278" i="242"/>
  <c r="U278" i="242"/>
  <c r="V277" i="242"/>
  <c r="U277" i="242"/>
  <c r="V276" i="242"/>
  <c r="U276" i="242"/>
  <c r="V275" i="242"/>
  <c r="U275" i="242"/>
  <c r="V274" i="242"/>
  <c r="U274" i="242"/>
  <c r="V273" i="242"/>
  <c r="U273" i="242"/>
  <c r="V272" i="242"/>
  <c r="U272" i="242"/>
  <c r="V271" i="242"/>
  <c r="U271" i="242"/>
  <c r="V270" i="242"/>
  <c r="U270" i="242"/>
  <c r="V269" i="242"/>
  <c r="U269" i="242"/>
  <c r="V268" i="242"/>
  <c r="U268" i="242"/>
  <c r="V267" i="242"/>
  <c r="U267" i="242"/>
  <c r="V266" i="242"/>
  <c r="U266" i="242"/>
  <c r="V265" i="242"/>
  <c r="U265" i="242"/>
  <c r="V264" i="242"/>
  <c r="U264" i="242"/>
  <c r="V263" i="242"/>
  <c r="U263" i="242"/>
  <c r="V262" i="242"/>
  <c r="U262" i="242"/>
  <c r="V261" i="242"/>
  <c r="U261" i="242"/>
  <c r="V260" i="242"/>
  <c r="U260" i="242"/>
  <c r="V259" i="242"/>
  <c r="U259" i="242"/>
  <c r="V258" i="242"/>
  <c r="U258" i="242"/>
  <c r="V257" i="242"/>
  <c r="U257" i="242"/>
  <c r="V256" i="242"/>
  <c r="U256" i="242"/>
  <c r="V255" i="242"/>
  <c r="U255" i="242"/>
  <c r="V254" i="242"/>
  <c r="U254" i="242"/>
  <c r="V253" i="242"/>
  <c r="U253" i="242"/>
  <c r="V252" i="242"/>
  <c r="U252" i="242"/>
  <c r="V251" i="242"/>
  <c r="U251" i="242"/>
  <c r="V250" i="242"/>
  <c r="U250" i="242"/>
  <c r="V249" i="242"/>
  <c r="U249" i="242"/>
  <c r="V248" i="242"/>
  <c r="U248" i="242"/>
  <c r="V247" i="242"/>
  <c r="U247" i="242"/>
  <c r="V246" i="242"/>
  <c r="U246" i="242"/>
  <c r="V245" i="242"/>
  <c r="U245" i="242"/>
  <c r="V244" i="242"/>
  <c r="U244" i="242"/>
  <c r="V243" i="242"/>
  <c r="U243" i="242"/>
  <c r="V242" i="242"/>
  <c r="U242" i="242"/>
  <c r="V241" i="242"/>
  <c r="U241" i="242"/>
  <c r="V240" i="242"/>
  <c r="U240" i="242"/>
  <c r="V239" i="242"/>
  <c r="U239" i="242"/>
  <c r="V238" i="242"/>
  <c r="U238" i="242"/>
  <c r="V237" i="242"/>
  <c r="U237" i="242"/>
  <c r="V236" i="242"/>
  <c r="U236" i="242"/>
  <c r="V235" i="242"/>
  <c r="U235" i="242"/>
  <c r="V234" i="242"/>
  <c r="U234" i="242"/>
  <c r="V233" i="242"/>
  <c r="U233" i="242"/>
  <c r="V232" i="242"/>
  <c r="U232" i="242"/>
  <c r="V231" i="242"/>
  <c r="U231" i="242"/>
  <c r="V230" i="242"/>
  <c r="U230" i="242"/>
  <c r="V229" i="242"/>
  <c r="U229" i="242"/>
  <c r="V228" i="242"/>
  <c r="U228" i="242"/>
  <c r="V227" i="242"/>
  <c r="U227" i="242"/>
  <c r="V226" i="242"/>
  <c r="U226" i="242"/>
  <c r="V225" i="242"/>
  <c r="U225" i="242"/>
  <c r="V224" i="242"/>
  <c r="U224" i="242"/>
  <c r="V223" i="242"/>
  <c r="U223" i="242"/>
  <c r="V222" i="242"/>
  <c r="U222" i="242"/>
  <c r="V221" i="242"/>
  <c r="U221" i="242"/>
  <c r="V220" i="242"/>
  <c r="U220" i="242"/>
  <c r="V219" i="242"/>
  <c r="U219" i="242"/>
  <c r="V218" i="242"/>
  <c r="U218" i="242"/>
  <c r="V217" i="242"/>
  <c r="U217" i="242"/>
  <c r="V216" i="242"/>
  <c r="U216" i="242"/>
  <c r="V215" i="242"/>
  <c r="U215" i="242"/>
  <c r="V214" i="242"/>
  <c r="U214" i="242"/>
  <c r="V213" i="242"/>
  <c r="U213" i="242"/>
  <c r="V212" i="242"/>
  <c r="U212" i="242"/>
  <c r="V211" i="242"/>
  <c r="U211" i="242"/>
  <c r="V210" i="242"/>
  <c r="U210" i="242"/>
  <c r="V209" i="242"/>
  <c r="U209" i="242"/>
  <c r="V198" i="242"/>
  <c r="U198" i="242"/>
  <c r="V197" i="242"/>
  <c r="U197" i="242"/>
  <c r="V196" i="242"/>
  <c r="U196" i="242"/>
  <c r="V195" i="242"/>
  <c r="U195" i="242"/>
  <c r="V194" i="242"/>
  <c r="U194" i="242"/>
  <c r="V193" i="242"/>
  <c r="U193" i="242"/>
  <c r="V192" i="242"/>
  <c r="U192" i="242"/>
  <c r="V191" i="242"/>
  <c r="U191" i="242"/>
  <c r="V190" i="242"/>
  <c r="U190" i="242"/>
  <c r="V189" i="242"/>
  <c r="U189" i="242"/>
  <c r="V188" i="242"/>
  <c r="U188" i="242"/>
  <c r="V187" i="242"/>
  <c r="U187" i="242"/>
  <c r="V186" i="242"/>
  <c r="U186" i="242"/>
  <c r="V185" i="242"/>
  <c r="U185" i="242"/>
  <c r="V184" i="242"/>
  <c r="U184" i="242"/>
  <c r="V183" i="242"/>
  <c r="U183" i="242"/>
  <c r="V182" i="242"/>
  <c r="U182" i="242"/>
  <c r="V181" i="242"/>
  <c r="U181" i="242"/>
  <c r="V180" i="242"/>
  <c r="U180" i="242"/>
  <c r="V179" i="242"/>
  <c r="U179" i="242"/>
  <c r="V178" i="242"/>
  <c r="U178" i="242"/>
  <c r="V177" i="242"/>
  <c r="U177" i="242"/>
  <c r="V176" i="242"/>
  <c r="U176" i="242"/>
  <c r="V175" i="242"/>
  <c r="U175" i="242"/>
  <c r="V174" i="242"/>
  <c r="U174" i="242"/>
  <c r="V173" i="242"/>
  <c r="U173" i="242"/>
  <c r="V172" i="242"/>
  <c r="U172" i="242"/>
  <c r="V171" i="242"/>
  <c r="U171" i="242"/>
  <c r="V170" i="242"/>
  <c r="U170" i="242"/>
  <c r="V159" i="242"/>
  <c r="U159" i="242"/>
  <c r="V158" i="242"/>
  <c r="U158" i="242"/>
  <c r="V157" i="242"/>
  <c r="U157" i="242"/>
  <c r="V156" i="242"/>
  <c r="U156" i="242"/>
  <c r="V155" i="242"/>
  <c r="U155" i="242"/>
  <c r="V154" i="242"/>
  <c r="U154" i="242"/>
  <c r="V153" i="242"/>
  <c r="U153" i="242"/>
  <c r="V152" i="242"/>
  <c r="U152" i="242"/>
  <c r="V151" i="242"/>
  <c r="U151" i="242"/>
  <c r="V150" i="242"/>
  <c r="U150" i="242"/>
  <c r="V149" i="242"/>
  <c r="U149" i="242"/>
  <c r="V148" i="242"/>
  <c r="U148" i="242"/>
  <c r="V147" i="242"/>
  <c r="U147" i="242"/>
  <c r="V146" i="242"/>
  <c r="U146" i="242"/>
  <c r="V145" i="242"/>
  <c r="U145" i="242"/>
  <c r="V144" i="242"/>
  <c r="U144" i="242"/>
  <c r="V143" i="242"/>
  <c r="U143" i="242"/>
  <c r="V142" i="242"/>
  <c r="U142" i="242"/>
  <c r="V141" i="242"/>
  <c r="U141" i="242"/>
  <c r="V140" i="242"/>
  <c r="U140" i="242"/>
  <c r="V139" i="242"/>
  <c r="U139" i="242"/>
  <c r="V138" i="242"/>
  <c r="U138" i="242"/>
  <c r="V137" i="242"/>
  <c r="U137" i="242"/>
  <c r="V136" i="242"/>
  <c r="U136" i="242"/>
  <c r="V135" i="242"/>
  <c r="U135" i="242"/>
  <c r="V125" i="242"/>
  <c r="U125" i="242"/>
  <c r="V124" i="242"/>
  <c r="U124" i="242"/>
  <c r="V123" i="242"/>
  <c r="U123" i="242"/>
  <c r="V122" i="242"/>
  <c r="U122" i="242"/>
  <c r="V121" i="242"/>
  <c r="U121" i="242"/>
  <c r="V120" i="242"/>
  <c r="U120" i="242"/>
  <c r="V119" i="242"/>
  <c r="U119" i="242"/>
  <c r="V118" i="242"/>
  <c r="U118" i="242"/>
  <c r="V117" i="242"/>
  <c r="U117" i="242"/>
  <c r="V116" i="242"/>
  <c r="U116" i="242"/>
  <c r="V115" i="242"/>
  <c r="U115" i="242"/>
  <c r="V114" i="242"/>
  <c r="U114" i="242"/>
  <c r="V113" i="242"/>
  <c r="U113" i="242"/>
  <c r="V112" i="242"/>
  <c r="U112" i="242"/>
  <c r="V111" i="242"/>
  <c r="U111" i="242"/>
  <c r="V110" i="242"/>
  <c r="U110" i="242"/>
  <c r="V109" i="242"/>
  <c r="U109" i="242"/>
  <c r="V108" i="242"/>
  <c r="U108" i="242"/>
  <c r="V107" i="242"/>
  <c r="U107" i="242"/>
  <c r="V106" i="242"/>
  <c r="U106" i="242"/>
  <c r="V105" i="242"/>
  <c r="U105" i="242"/>
  <c r="V104" i="242"/>
  <c r="U104" i="242"/>
  <c r="V103" i="242"/>
  <c r="U103" i="242"/>
  <c r="V102" i="242"/>
  <c r="U102" i="242"/>
  <c r="V101" i="242"/>
  <c r="U101" i="242"/>
  <c r="V100" i="242"/>
  <c r="U100" i="242"/>
  <c r="V99" i="242"/>
  <c r="U99" i="242"/>
  <c r="V98" i="242"/>
  <c r="U98" i="242"/>
  <c r="V97" i="242"/>
  <c r="U97" i="242"/>
  <c r="V96" i="242"/>
  <c r="U96" i="242"/>
  <c r="V95" i="242"/>
  <c r="U95" i="242"/>
  <c r="V94" i="242"/>
  <c r="U94" i="242"/>
  <c r="V93" i="242"/>
  <c r="U93" i="242"/>
  <c r="V92" i="242"/>
  <c r="U92" i="242"/>
  <c r="V91" i="242"/>
  <c r="U91" i="242"/>
  <c r="V82" i="242"/>
  <c r="U82" i="242"/>
  <c r="V81" i="242"/>
  <c r="U81" i="242"/>
  <c r="V80" i="242"/>
  <c r="U80" i="242"/>
  <c r="V79" i="242"/>
  <c r="U79" i="242"/>
  <c r="V78" i="242"/>
  <c r="U78" i="242"/>
  <c r="V77" i="242"/>
  <c r="U77" i="242"/>
  <c r="V76" i="242"/>
  <c r="U76" i="242"/>
  <c r="V75" i="242"/>
  <c r="U75" i="242"/>
  <c r="V74" i="242"/>
  <c r="U74" i="242"/>
  <c r="V73" i="242"/>
  <c r="U73" i="242"/>
  <c r="V72" i="242"/>
  <c r="U72" i="242"/>
  <c r="V71" i="242"/>
  <c r="U71" i="242"/>
  <c r="V70" i="242"/>
  <c r="U70" i="242"/>
  <c r="V69" i="242"/>
  <c r="U69" i="242"/>
  <c r="V68" i="242"/>
  <c r="U68" i="242"/>
  <c r="V67" i="242"/>
  <c r="U67" i="242"/>
  <c r="V66" i="242"/>
  <c r="U66" i="242"/>
  <c r="V65" i="242"/>
  <c r="U65" i="242"/>
  <c r="V64" i="242"/>
  <c r="U64" i="242"/>
  <c r="V63" i="242"/>
  <c r="U63" i="242"/>
  <c r="V62" i="242"/>
  <c r="U62" i="242"/>
  <c r="V61" i="242"/>
  <c r="U61" i="242"/>
  <c r="V60" i="242"/>
  <c r="U60" i="242"/>
  <c r="V59" i="242"/>
  <c r="U59" i="242"/>
  <c r="V58" i="242"/>
  <c r="U58" i="242"/>
  <c r="V57" i="242"/>
  <c r="U57" i="242"/>
  <c r="V56" i="242"/>
  <c r="U56" i="242"/>
  <c r="V55" i="242"/>
  <c r="U55" i="242"/>
  <c r="V54" i="242"/>
  <c r="U54" i="242"/>
  <c r="V53" i="242"/>
  <c r="U53" i="242"/>
  <c r="V52" i="242"/>
  <c r="U52" i="242"/>
  <c r="V51" i="242"/>
  <c r="U51" i="242"/>
  <c r="V50" i="242"/>
  <c r="U50" i="242"/>
  <c r="V49" i="242"/>
  <c r="U49" i="242"/>
  <c r="V48" i="242"/>
  <c r="U48" i="242"/>
  <c r="V47" i="242"/>
  <c r="U47" i="242"/>
  <c r="V46" i="242"/>
  <c r="U46" i="242"/>
  <c r="V45" i="242"/>
  <c r="U45" i="242"/>
  <c r="V44" i="242"/>
  <c r="U44" i="242"/>
  <c r="V43" i="242"/>
  <c r="U43" i="242"/>
  <c r="V42" i="242"/>
  <c r="U42" i="242"/>
  <c r="V41" i="242"/>
  <c r="U41" i="242"/>
  <c r="V40" i="242"/>
  <c r="U40" i="242"/>
  <c r="V39" i="242"/>
  <c r="U39" i="242"/>
  <c r="V38" i="242"/>
  <c r="U38" i="242"/>
  <c r="V37" i="242"/>
  <c r="U37" i="242"/>
  <c r="V36" i="242"/>
  <c r="U36" i="242"/>
  <c r="V35" i="242"/>
  <c r="U35" i="242"/>
  <c r="V34" i="242"/>
  <c r="U34" i="242"/>
  <c r="V33" i="242"/>
  <c r="U33" i="242"/>
  <c r="V32" i="242"/>
  <c r="U32" i="242"/>
  <c r="V31" i="242"/>
  <c r="U31" i="242"/>
  <c r="V30" i="242"/>
  <c r="U30" i="242"/>
  <c r="V29" i="242"/>
  <c r="U29" i="242"/>
  <c r="V28" i="242"/>
  <c r="U28" i="242"/>
  <c r="V27" i="242"/>
  <c r="U27" i="242"/>
  <c r="V26" i="242"/>
  <c r="U26" i="242"/>
  <c r="V25" i="242"/>
  <c r="U25" i="242"/>
  <c r="AA368" i="89"/>
  <c r="AA367" i="89"/>
  <c r="AA366" i="89"/>
  <c r="AA365" i="89"/>
  <c r="AA364" i="89"/>
  <c r="AA363" i="89"/>
  <c r="AA362" i="89"/>
  <c r="AA361" i="89"/>
  <c r="AA360" i="89"/>
  <c r="AA359" i="89"/>
  <c r="AA358" i="89"/>
  <c r="AA357" i="89"/>
  <c r="AA356" i="89"/>
  <c r="AA355" i="89"/>
  <c r="AA354" i="89"/>
  <c r="AA353" i="89"/>
  <c r="AA352" i="89"/>
  <c r="AA351" i="89"/>
  <c r="AA350" i="89"/>
  <c r="AA349" i="89"/>
  <c r="AA348" i="89"/>
  <c r="AA347" i="89"/>
  <c r="AA346" i="89"/>
  <c r="AA345" i="89"/>
  <c r="AA344" i="89"/>
  <c r="AA343" i="89"/>
  <c r="AA342" i="89"/>
  <c r="AA341" i="89"/>
  <c r="AA340" i="89"/>
  <c r="AA339" i="89"/>
  <c r="AA338" i="89"/>
  <c r="AA337" i="89"/>
  <c r="AA336" i="89"/>
  <c r="AA335" i="89"/>
  <c r="AA334" i="89"/>
  <c r="AA333" i="89"/>
  <c r="AA332" i="89"/>
  <c r="AA331" i="89"/>
  <c r="AA330" i="89"/>
  <c r="AA329" i="89"/>
  <c r="AA328" i="89"/>
  <c r="AA327" i="89"/>
  <c r="AA326" i="89"/>
  <c r="AA325" i="89"/>
  <c r="AA324" i="89"/>
  <c r="AA323" i="89"/>
  <c r="AA322" i="89"/>
  <c r="AA321" i="89"/>
  <c r="AA320" i="89"/>
  <c r="AA319" i="89"/>
  <c r="AA318" i="89"/>
  <c r="AA317" i="89"/>
  <c r="AA316" i="89"/>
  <c r="AA315" i="89"/>
  <c r="AA314" i="89"/>
  <c r="AA313" i="89"/>
  <c r="AA312" i="89"/>
  <c r="AA311" i="89"/>
  <c r="AA310" i="89"/>
  <c r="AA309" i="89"/>
  <c r="AA308" i="89"/>
  <c r="AA307" i="89"/>
  <c r="AA306" i="89"/>
  <c r="AA305" i="89"/>
  <c r="AA304" i="89"/>
  <c r="AA303" i="89"/>
  <c r="AA302" i="89"/>
  <c r="AA301" i="89"/>
  <c r="AA300" i="89"/>
  <c r="AA299" i="89"/>
  <c r="AA298" i="89"/>
  <c r="AA297" i="89"/>
  <c r="AA296" i="89"/>
  <c r="AA295" i="89"/>
  <c r="AA294" i="89"/>
  <c r="AA293" i="89"/>
  <c r="AA292" i="89"/>
  <c r="AA291" i="89"/>
  <c r="AA290" i="89"/>
  <c r="AA289" i="89"/>
  <c r="AA288" i="89"/>
  <c r="AA287" i="89"/>
  <c r="AA286" i="89"/>
  <c r="AA285" i="89"/>
  <c r="AA284" i="89"/>
  <c r="AA283" i="89"/>
  <c r="AA282" i="89"/>
  <c r="AA281" i="89"/>
  <c r="AA280" i="89"/>
  <c r="AA279" i="89"/>
  <c r="AA278" i="89"/>
  <c r="AA277" i="89"/>
  <c r="AA276" i="89"/>
  <c r="AA275" i="89"/>
  <c r="AA274" i="89"/>
  <c r="AA273" i="89"/>
  <c r="AA263" i="89"/>
  <c r="AA262" i="89"/>
  <c r="AA261" i="89"/>
  <c r="AA260" i="89"/>
  <c r="AA259" i="89"/>
  <c r="AA258" i="89"/>
  <c r="AA257" i="89"/>
  <c r="AA256" i="89"/>
  <c r="AA255" i="89"/>
  <c r="AA254" i="89"/>
  <c r="AA253" i="89"/>
  <c r="AA252" i="89"/>
  <c r="AA251" i="89"/>
  <c r="AA250" i="89"/>
  <c r="AA249" i="89"/>
  <c r="AA248" i="89"/>
  <c r="AA247" i="89"/>
  <c r="AA246" i="89"/>
  <c r="AA245" i="89"/>
  <c r="AA244" i="89"/>
  <c r="AA243" i="89"/>
  <c r="AA242" i="89"/>
  <c r="AA241" i="89"/>
  <c r="AA240" i="89"/>
  <c r="AA239" i="89"/>
  <c r="AA238" i="89"/>
  <c r="AA237" i="89"/>
  <c r="AA236" i="89"/>
  <c r="AA235" i="89"/>
  <c r="AA234" i="89"/>
  <c r="AA224" i="89"/>
  <c r="AA223" i="89"/>
  <c r="AA222" i="89"/>
  <c r="AA221" i="89"/>
  <c r="AA220" i="89"/>
  <c r="AA219" i="89"/>
  <c r="AA218" i="89"/>
  <c r="AA217" i="89"/>
  <c r="AA216" i="89"/>
  <c r="AA215" i="89"/>
  <c r="AA214" i="89"/>
  <c r="AA213" i="89"/>
  <c r="AA212" i="89"/>
  <c r="AA211" i="89"/>
  <c r="AA210" i="89"/>
  <c r="AA209" i="89"/>
  <c r="AA208" i="89"/>
  <c r="AA207" i="89"/>
  <c r="AA206" i="89"/>
  <c r="AA205" i="89"/>
  <c r="AA204" i="89"/>
  <c r="AA203" i="89"/>
  <c r="AA202" i="89"/>
  <c r="AA201" i="89"/>
  <c r="AA200" i="89"/>
  <c r="AA190" i="89"/>
  <c r="AA189" i="89"/>
  <c r="AA188" i="89"/>
  <c r="AA187" i="89"/>
  <c r="AA186" i="89"/>
  <c r="AA185" i="89"/>
  <c r="AA184" i="89"/>
  <c r="AA183" i="89"/>
  <c r="AA182" i="89"/>
  <c r="AA181" i="89"/>
  <c r="AA180" i="89"/>
  <c r="AA179" i="89"/>
  <c r="AA178" i="89"/>
  <c r="AA177" i="89"/>
  <c r="AA176" i="89"/>
  <c r="AA175" i="89"/>
  <c r="AA174" i="89"/>
  <c r="AA173" i="89"/>
  <c r="AA172" i="89"/>
  <c r="AA171" i="89"/>
  <c r="AA170" i="89"/>
  <c r="AA169" i="89"/>
  <c r="AA168" i="89"/>
  <c r="AA167" i="89"/>
  <c r="AA166" i="89"/>
  <c r="AA165" i="89"/>
  <c r="AA164" i="89"/>
  <c r="AA163" i="89"/>
  <c r="AA162" i="89"/>
  <c r="AA161" i="89"/>
  <c r="AA160" i="89"/>
  <c r="AA159" i="89"/>
  <c r="AA158" i="89"/>
  <c r="AA157" i="89"/>
  <c r="AA156" i="89"/>
  <c r="M308" i="242"/>
  <c r="K303" i="242"/>
  <c r="K302" i="242"/>
  <c r="K301" i="242"/>
  <c r="K300" i="242"/>
  <c r="K299" i="242"/>
  <c r="K298" i="242"/>
  <c r="K297" i="242"/>
  <c r="K296" i="242"/>
  <c r="K295" i="242"/>
  <c r="K294" i="242"/>
  <c r="K293" i="242"/>
  <c r="K292" i="242"/>
  <c r="K291" i="242"/>
  <c r="K290" i="242"/>
  <c r="K289" i="242"/>
  <c r="K288" i="242"/>
  <c r="K287" i="242"/>
  <c r="K286" i="242"/>
  <c r="K285" i="242"/>
  <c r="K284" i="242"/>
  <c r="K283" i="242"/>
  <c r="K282" i="242"/>
  <c r="K281" i="242"/>
  <c r="K280" i="242"/>
  <c r="K279" i="242"/>
  <c r="K278" i="242"/>
  <c r="K277" i="242"/>
  <c r="K276" i="242"/>
  <c r="K275" i="242"/>
  <c r="K274" i="242"/>
  <c r="K273" i="242"/>
  <c r="K272" i="242"/>
  <c r="K271" i="242"/>
  <c r="K270" i="242"/>
  <c r="K269" i="242"/>
  <c r="K268" i="242"/>
  <c r="K267" i="242"/>
  <c r="K266" i="242"/>
  <c r="K265" i="242"/>
  <c r="K264" i="242"/>
  <c r="K263" i="242"/>
  <c r="K262" i="242"/>
  <c r="K261" i="242"/>
  <c r="K260" i="242"/>
  <c r="K259" i="242"/>
  <c r="K258" i="242"/>
  <c r="K257" i="242"/>
  <c r="K256" i="242"/>
  <c r="K255" i="242"/>
  <c r="K254" i="242"/>
  <c r="K253" i="242"/>
  <c r="K252" i="242"/>
  <c r="K251" i="242"/>
  <c r="K250" i="242"/>
  <c r="K249" i="242"/>
  <c r="K248" i="242"/>
  <c r="K247" i="242"/>
  <c r="K246" i="242"/>
  <c r="K245" i="242"/>
  <c r="K244" i="242"/>
  <c r="K243" i="242"/>
  <c r="K242" i="242"/>
  <c r="K241" i="242"/>
  <c r="K240" i="242"/>
  <c r="K239" i="242"/>
  <c r="K238" i="242"/>
  <c r="K237" i="242"/>
  <c r="K236" i="242"/>
  <c r="K235" i="242"/>
  <c r="K234" i="242"/>
  <c r="K233" i="242"/>
  <c r="K232" i="242"/>
  <c r="K231" i="242"/>
  <c r="K230" i="242"/>
  <c r="K229" i="242"/>
  <c r="K228" i="242"/>
  <c r="K227" i="242"/>
  <c r="K226" i="242"/>
  <c r="K225" i="242"/>
  <c r="K224" i="242"/>
  <c r="K223" i="242"/>
  <c r="K222" i="242"/>
  <c r="K221" i="242"/>
  <c r="K220" i="242"/>
  <c r="K219" i="242"/>
  <c r="K218" i="242"/>
  <c r="K217" i="242"/>
  <c r="K216" i="242"/>
  <c r="K215" i="242"/>
  <c r="K214" i="242"/>
  <c r="K213" i="242"/>
  <c r="K212" i="242"/>
  <c r="K211" i="242"/>
  <c r="K210" i="242"/>
  <c r="K209" i="242"/>
  <c r="U208" i="242"/>
  <c r="K208" i="242"/>
  <c r="V208" i="242" s="1"/>
  <c r="K198" i="242"/>
  <c r="K197" i="242"/>
  <c r="K196" i="242"/>
  <c r="K195" i="242"/>
  <c r="K194" i="242"/>
  <c r="K193" i="242"/>
  <c r="K192" i="242"/>
  <c r="K191" i="242"/>
  <c r="K190" i="242"/>
  <c r="K189" i="242"/>
  <c r="K188" i="242"/>
  <c r="K187" i="242"/>
  <c r="K186" i="242"/>
  <c r="K185" i="242"/>
  <c r="K184" i="242"/>
  <c r="K183" i="242"/>
  <c r="K182" i="242"/>
  <c r="K181" i="242"/>
  <c r="K180" i="242"/>
  <c r="K179" i="242"/>
  <c r="K178" i="242"/>
  <c r="K177" i="242"/>
  <c r="K176" i="242"/>
  <c r="K175" i="242"/>
  <c r="K174" i="242"/>
  <c r="K173" i="242"/>
  <c r="K172" i="242"/>
  <c r="K171" i="242"/>
  <c r="K170" i="242"/>
  <c r="V169" i="242"/>
  <c r="U169" i="242"/>
  <c r="K169" i="242"/>
  <c r="K159" i="242"/>
  <c r="K158" i="242"/>
  <c r="K157" i="242"/>
  <c r="K156" i="242"/>
  <c r="K155" i="242"/>
  <c r="K154" i="242"/>
  <c r="K153" i="242"/>
  <c r="K152" i="242"/>
  <c r="K151" i="242"/>
  <c r="K150" i="242"/>
  <c r="K149" i="242"/>
  <c r="K148" i="242"/>
  <c r="K147" i="242"/>
  <c r="K146" i="242"/>
  <c r="K145" i="242"/>
  <c r="K144" i="242"/>
  <c r="K143" i="242"/>
  <c r="K142" i="242"/>
  <c r="K141" i="242"/>
  <c r="K140" i="242"/>
  <c r="K139" i="242"/>
  <c r="K138" i="242"/>
  <c r="K137" i="242"/>
  <c r="K136" i="242"/>
  <c r="K135" i="242"/>
  <c r="K125" i="242"/>
  <c r="K124" i="242"/>
  <c r="K123" i="242"/>
  <c r="K122" i="242"/>
  <c r="K121" i="242"/>
  <c r="K120" i="242"/>
  <c r="K119" i="242"/>
  <c r="K118" i="242"/>
  <c r="K117" i="242"/>
  <c r="K116" i="242"/>
  <c r="K115" i="242"/>
  <c r="K114" i="242"/>
  <c r="K113" i="242"/>
  <c r="K112" i="242"/>
  <c r="K111" i="242"/>
  <c r="K110" i="242"/>
  <c r="K109" i="242"/>
  <c r="K108" i="242"/>
  <c r="K107" i="242"/>
  <c r="K106" i="242"/>
  <c r="K105" i="242"/>
  <c r="K104" i="242"/>
  <c r="K103" i="242"/>
  <c r="K102" i="242"/>
  <c r="K101" i="242"/>
  <c r="K100" i="242"/>
  <c r="K99" i="242"/>
  <c r="K98" i="242"/>
  <c r="K97" i="242"/>
  <c r="K96" i="242"/>
  <c r="K95" i="242"/>
  <c r="K94" i="242"/>
  <c r="K93" i="242"/>
  <c r="K92" i="242"/>
  <c r="K91" i="242"/>
  <c r="K82" i="242"/>
  <c r="K81" i="242"/>
  <c r="K80" i="242"/>
  <c r="K79" i="242"/>
  <c r="K78" i="242"/>
  <c r="K77" i="242"/>
  <c r="K76" i="242"/>
  <c r="K75" i="242"/>
  <c r="K74" i="242"/>
  <c r="K73" i="242"/>
  <c r="K72" i="242"/>
  <c r="K71" i="242"/>
  <c r="K70" i="242"/>
  <c r="K69" i="242"/>
  <c r="K68" i="242"/>
  <c r="K67" i="242"/>
  <c r="K66" i="242"/>
  <c r="K65" i="242"/>
  <c r="K64" i="242"/>
  <c r="K63" i="242"/>
  <c r="K62" i="242"/>
  <c r="K61" i="242"/>
  <c r="K60" i="242"/>
  <c r="K59" i="242"/>
  <c r="K58" i="242"/>
  <c r="K57" i="242"/>
  <c r="K56" i="242"/>
  <c r="K55" i="242"/>
  <c r="K54" i="242"/>
  <c r="K53" i="242"/>
  <c r="K52" i="242"/>
  <c r="K51" i="242"/>
  <c r="K50" i="242"/>
  <c r="K49" i="242"/>
  <c r="K48" i="242"/>
  <c r="K47" i="242"/>
  <c r="K46" i="242"/>
  <c r="K45" i="242"/>
  <c r="K44" i="242"/>
  <c r="K43" i="242"/>
  <c r="K42" i="242"/>
  <c r="K41" i="242"/>
  <c r="K40" i="242"/>
  <c r="K39" i="242"/>
  <c r="K38" i="242"/>
  <c r="K37" i="242"/>
  <c r="K36" i="242"/>
  <c r="K35" i="242"/>
  <c r="K34" i="242"/>
  <c r="K33" i="242"/>
  <c r="K32" i="242"/>
  <c r="K31" i="242"/>
  <c r="K30" i="242"/>
  <c r="K29" i="242"/>
  <c r="K28" i="242"/>
  <c r="K27" i="242"/>
  <c r="K26" i="242"/>
  <c r="K25" i="242"/>
  <c r="M15" i="242"/>
  <c r="C14" i="242"/>
  <c r="C13" i="242"/>
  <c r="C12" i="242"/>
  <c r="C11" i="242"/>
  <c r="C10" i="242"/>
  <c r="D3" i="242"/>
  <c r="C2" i="242"/>
  <c r="W370" i="89"/>
  <c r="W16" i="89" s="1"/>
  <c r="W265" i="89"/>
  <c r="W15" i="89" s="1"/>
  <c r="W226" i="89"/>
  <c r="R134" i="242" s="1"/>
  <c r="R161" i="242" s="1"/>
  <c r="R12" i="242" s="1"/>
  <c r="W192" i="89"/>
  <c r="W13" i="89" s="1"/>
  <c r="W149" i="89"/>
  <c r="R84" i="242" l="1"/>
  <c r="R10" i="242" s="1"/>
  <c r="W373" i="89"/>
  <c r="W14" i="89"/>
  <c r="W29" i="242"/>
  <c r="W55" i="242"/>
  <c r="W58" i="242"/>
  <c r="W60" i="242"/>
  <c r="W62" i="242"/>
  <c r="W64" i="242"/>
  <c r="W66" i="242"/>
  <c r="W68" i="242"/>
  <c r="W72" i="242"/>
  <c r="W147" i="242"/>
  <c r="W151" i="242"/>
  <c r="W159" i="242"/>
  <c r="W171" i="242"/>
  <c r="W175" i="242"/>
  <c r="W289" i="242"/>
  <c r="W293" i="242"/>
  <c r="W301" i="242"/>
  <c r="W30" i="242"/>
  <c r="W288" i="242"/>
  <c r="W38" i="242"/>
  <c r="W46" i="242"/>
  <c r="W54" i="242"/>
  <c r="W57" i="242"/>
  <c r="W69" i="242"/>
  <c r="W76" i="242"/>
  <c r="W98" i="242"/>
  <c r="W110" i="242"/>
  <c r="W73" i="242"/>
  <c r="W81" i="242"/>
  <c r="W91" i="242"/>
  <c r="W99" i="242"/>
  <c r="W146" i="242"/>
  <c r="W176" i="242"/>
  <c r="W178" i="242"/>
  <c r="W180" i="242"/>
  <c r="W182" i="242"/>
  <c r="W184" i="242"/>
  <c r="W186" i="242"/>
  <c r="W192" i="242"/>
  <c r="W194" i="242"/>
  <c r="W196" i="242"/>
  <c r="W198" i="242"/>
  <c r="W214" i="242"/>
  <c r="W218" i="242"/>
  <c r="W222" i="242"/>
  <c r="W224" i="242"/>
  <c r="W246" i="242"/>
  <c r="W250" i="242"/>
  <c r="W254" i="242"/>
  <c r="W256" i="242"/>
  <c r="W262" i="242"/>
  <c r="W266" i="242"/>
  <c r="W270" i="242"/>
  <c r="W272" i="242"/>
  <c r="W278" i="242"/>
  <c r="W282" i="242"/>
  <c r="W286" i="242"/>
  <c r="W183" i="242"/>
  <c r="W225" i="242"/>
  <c r="W229" i="242"/>
  <c r="W237" i="242"/>
  <c r="W241" i="242"/>
  <c r="W245" i="242"/>
  <c r="W253" i="242"/>
  <c r="W273" i="242"/>
  <c r="W277" i="242"/>
  <c r="W285" i="242"/>
  <c r="W292" i="242"/>
  <c r="W296" i="242"/>
  <c r="W300" i="242"/>
  <c r="R207" i="242"/>
  <c r="R305" i="242" s="1"/>
  <c r="R14" i="242" s="1"/>
  <c r="W12" i="89"/>
  <c r="W17" i="89" s="1"/>
  <c r="R168" i="242"/>
  <c r="R200" i="242" s="1"/>
  <c r="R13" i="242" s="1"/>
  <c r="W25" i="242"/>
  <c r="W107" i="242"/>
  <c r="W111" i="242"/>
  <c r="W115" i="242"/>
  <c r="W123" i="242"/>
  <c r="W136" i="242"/>
  <c r="W138" i="242"/>
  <c r="W140" i="242"/>
  <c r="W142" i="242"/>
  <c r="W144" i="242"/>
  <c r="W197" i="242"/>
  <c r="W26" i="242"/>
  <c r="W33" i="242"/>
  <c r="W45" i="242"/>
  <c r="W49" i="242"/>
  <c r="W116" i="242"/>
  <c r="W118" i="242"/>
  <c r="W120" i="242"/>
  <c r="W122" i="242"/>
  <c r="W124" i="242"/>
  <c r="W135" i="242"/>
  <c r="W143" i="242"/>
  <c r="W150" i="242"/>
  <c r="W170" i="242"/>
  <c r="R90" i="242"/>
  <c r="R127" i="242" s="1"/>
  <c r="R11" i="242" s="1"/>
  <c r="W63" i="242"/>
  <c r="W67" i="242"/>
  <c r="W114" i="242"/>
  <c r="W141" i="242"/>
  <c r="W174" i="242"/>
  <c r="W259" i="242"/>
  <c r="W263" i="242"/>
  <c r="W267" i="242"/>
  <c r="W271" i="242"/>
  <c r="W36" i="242"/>
  <c r="W44" i="242"/>
  <c r="W79" i="242"/>
  <c r="W97" i="242"/>
  <c r="W105" i="242"/>
  <c r="W157" i="242"/>
  <c r="W190" i="242"/>
  <c r="W35" i="242"/>
  <c r="W37" i="242"/>
  <c r="W39" i="242"/>
  <c r="W41" i="242"/>
  <c r="W47" i="242"/>
  <c r="W52" i="242"/>
  <c r="W56" i="242"/>
  <c r="W78" i="242"/>
  <c r="W80" i="242"/>
  <c r="W82" i="242"/>
  <c r="W92" i="242"/>
  <c r="W94" i="242"/>
  <c r="W100" i="242"/>
  <c r="W102" i="242"/>
  <c r="W104" i="242"/>
  <c r="W106" i="242"/>
  <c r="W108" i="242"/>
  <c r="W121" i="242"/>
  <c r="W152" i="242"/>
  <c r="W154" i="242"/>
  <c r="W156" i="242"/>
  <c r="W158" i="242"/>
  <c r="W181" i="242"/>
  <c r="W187" i="242"/>
  <c r="W191" i="242"/>
  <c r="W209" i="242"/>
  <c r="W213" i="242"/>
  <c r="W221" i="242"/>
  <c r="W228" i="242"/>
  <c r="W232" i="242"/>
  <c r="W236" i="242"/>
  <c r="W240" i="242"/>
  <c r="W28" i="242"/>
  <c r="W71" i="242"/>
  <c r="W109" i="242"/>
  <c r="W145" i="242"/>
  <c r="W185" i="242"/>
  <c r="W275" i="242"/>
  <c r="W279" i="242"/>
  <c r="W283" i="242"/>
  <c r="W287" i="242"/>
  <c r="W31" i="242"/>
  <c r="W40" i="242"/>
  <c r="W42" i="242"/>
  <c r="W51" i="242"/>
  <c r="W53" i="242"/>
  <c r="W65" i="242"/>
  <c r="W74" i="242"/>
  <c r="W93" i="242"/>
  <c r="W95" i="242"/>
  <c r="W125" i="242"/>
  <c r="W211" i="242"/>
  <c r="W215" i="242"/>
  <c r="W219" i="242"/>
  <c r="W223" i="242"/>
  <c r="W244" i="242"/>
  <c r="W248" i="242"/>
  <c r="W252" i="242"/>
  <c r="W113" i="242"/>
  <c r="W149" i="242"/>
  <c r="W173" i="242"/>
  <c r="W189" i="242"/>
  <c r="W227" i="242"/>
  <c r="W231" i="242"/>
  <c r="W235" i="242"/>
  <c r="W239" i="242"/>
  <c r="W260" i="242"/>
  <c r="W264" i="242"/>
  <c r="W268" i="242"/>
  <c r="W291" i="242"/>
  <c r="W295" i="242"/>
  <c r="W299" i="242"/>
  <c r="W303" i="242"/>
  <c r="W27" i="242"/>
  <c r="W32" i="242"/>
  <c r="W34" i="242"/>
  <c r="W43" i="242"/>
  <c r="W48" i="242"/>
  <c r="W50" i="242"/>
  <c r="W59" i="242"/>
  <c r="W61" i="242"/>
  <c r="W70" i="242"/>
  <c r="W75" i="242"/>
  <c r="W77" i="242"/>
  <c r="W96" i="242"/>
  <c r="W101" i="242"/>
  <c r="W103" i="242"/>
  <c r="W112" i="242"/>
  <c r="W117" i="242"/>
  <c r="W119" i="242"/>
  <c r="W137" i="242"/>
  <c r="W139" i="242"/>
  <c r="W148" i="242"/>
  <c r="W153" i="242"/>
  <c r="W155" i="242"/>
  <c r="W172" i="242"/>
  <c r="W177" i="242"/>
  <c r="W179" i="242"/>
  <c r="W188" i="242"/>
  <c r="W193" i="242"/>
  <c r="W195" i="242"/>
  <c r="W212" i="242"/>
  <c r="W216" i="242"/>
  <c r="W220" i="242"/>
  <c r="W230" i="242"/>
  <c r="W234" i="242"/>
  <c r="W238" i="242"/>
  <c r="W243" i="242"/>
  <c r="W247" i="242"/>
  <c r="W251" i="242"/>
  <c r="W255" i="242"/>
  <c r="W257" i="242"/>
  <c r="W261" i="242"/>
  <c r="W269" i="242"/>
  <c r="W276" i="242"/>
  <c r="W280" i="242"/>
  <c r="W284" i="242"/>
  <c r="W294" i="242"/>
  <c r="W298" i="242"/>
  <c r="W302" i="242"/>
  <c r="W210" i="242"/>
  <c r="W217" i="242"/>
  <c r="W226" i="242"/>
  <c r="W233" i="242"/>
  <c r="W242" i="242"/>
  <c r="W249" i="242"/>
  <c r="W258" i="242"/>
  <c r="W265" i="242"/>
  <c r="W274" i="242"/>
  <c r="W281" i="242"/>
  <c r="W290" i="242"/>
  <c r="W297" i="242"/>
  <c r="W169" i="242"/>
  <c r="W208" i="242"/>
  <c r="R15" i="242" l="1"/>
  <c r="G505" i="4" s="1"/>
  <c r="M2938" i="246" s="1"/>
  <c r="R308" i="242"/>
  <c r="W374" i="89"/>
  <c r="R309" i="242" l="1"/>
  <c r="M3006" i="1"/>
  <c r="R3006" i="1" s="1"/>
  <c r="K261" i="89" l="1"/>
  <c r="Z261" i="89" s="1"/>
  <c r="AB261" i="89" s="1"/>
  <c r="AC261" i="89" s="1"/>
  <c r="K260" i="89"/>
  <c r="Z260" i="89" s="1"/>
  <c r="AB260" i="89" s="1"/>
  <c r="AC260" i="89" s="1"/>
  <c r="K259" i="89"/>
  <c r="Z259" i="89" s="1"/>
  <c r="AB259" i="89" s="1"/>
  <c r="AC259" i="89" s="1"/>
  <c r="K258" i="89"/>
  <c r="Z258" i="89" s="1"/>
  <c r="AB258" i="89" s="1"/>
  <c r="AC258" i="89" s="1"/>
  <c r="K257" i="89"/>
  <c r="Z257" i="89" s="1"/>
  <c r="AB257" i="89" s="1"/>
  <c r="AC257" i="89" s="1"/>
  <c r="K256" i="89"/>
  <c r="Z256" i="89" s="1"/>
  <c r="AB256" i="89" s="1"/>
  <c r="AC256" i="89" s="1"/>
  <c r="K255" i="89"/>
  <c r="Z255" i="89" s="1"/>
  <c r="AB255" i="89" s="1"/>
  <c r="AC255" i="89" s="1"/>
  <c r="K254" i="89"/>
  <c r="Z254" i="89" s="1"/>
  <c r="AB254" i="89" s="1"/>
  <c r="AC254" i="89" s="1"/>
  <c r="K253" i="89"/>
  <c r="Z253" i="89" s="1"/>
  <c r="AB253" i="89" s="1"/>
  <c r="AC253" i="89" s="1"/>
  <c r="K252" i="89"/>
  <c r="Z252" i="89" s="1"/>
  <c r="AB252" i="89" s="1"/>
  <c r="AC252" i="89" s="1"/>
  <c r="K251" i="89"/>
  <c r="Z251" i="89" s="1"/>
  <c r="AB251" i="89" s="1"/>
  <c r="AC251" i="89" s="1"/>
  <c r="K250" i="89"/>
  <c r="Z250" i="89" s="1"/>
  <c r="AB250" i="89" s="1"/>
  <c r="AC250" i="89" s="1"/>
  <c r="K249" i="89"/>
  <c r="Z249" i="89" s="1"/>
  <c r="AB249" i="89" s="1"/>
  <c r="AC249" i="89" s="1"/>
  <c r="K248" i="89"/>
  <c r="Z248" i="89" s="1"/>
  <c r="AB248" i="89" s="1"/>
  <c r="AC248" i="89" s="1"/>
  <c r="K247" i="89"/>
  <c r="Z247" i="89" s="1"/>
  <c r="AB247" i="89" s="1"/>
  <c r="AC247" i="89" s="1"/>
  <c r="K246" i="89"/>
  <c r="Z246" i="89" s="1"/>
  <c r="AB246" i="89" s="1"/>
  <c r="AC246" i="89" s="1"/>
  <c r="K245" i="89"/>
  <c r="Z245" i="89" s="1"/>
  <c r="AB245" i="89" s="1"/>
  <c r="AC245" i="89" s="1"/>
  <c r="K244" i="89"/>
  <c r="Z244" i="89" s="1"/>
  <c r="AB244" i="89" s="1"/>
  <c r="AC244" i="89" s="1"/>
  <c r="K243" i="89"/>
  <c r="Z243" i="89" s="1"/>
  <c r="AB243" i="89" s="1"/>
  <c r="AC243" i="89" s="1"/>
  <c r="K242" i="89"/>
  <c r="Z242" i="89" s="1"/>
  <c r="AB242" i="89" s="1"/>
  <c r="AC242" i="89" s="1"/>
  <c r="K241" i="89"/>
  <c r="Z241" i="89" s="1"/>
  <c r="AB241" i="89" s="1"/>
  <c r="AC241" i="89" s="1"/>
  <c r="K240" i="89"/>
  <c r="Z240" i="89" s="1"/>
  <c r="AB240" i="89" s="1"/>
  <c r="AC240" i="89" s="1"/>
  <c r="K239" i="89"/>
  <c r="Z239" i="89" s="1"/>
  <c r="AB239" i="89" s="1"/>
  <c r="AC239" i="89" s="1"/>
  <c r="K238" i="89"/>
  <c r="Z238" i="89" s="1"/>
  <c r="AB238" i="89" s="1"/>
  <c r="AC238" i="89" s="1"/>
  <c r="K237" i="89"/>
  <c r="Z237" i="89" s="1"/>
  <c r="AB237" i="89" s="1"/>
  <c r="AC237" i="89" s="1"/>
  <c r="K236" i="89"/>
  <c r="Z236" i="89" s="1"/>
  <c r="AB236" i="89" s="1"/>
  <c r="AC236" i="89" s="1"/>
  <c r="K235" i="89"/>
  <c r="Z235" i="89" s="1"/>
  <c r="AB235" i="89" s="1"/>
  <c r="AC235" i="89" s="1"/>
  <c r="K234" i="89"/>
  <c r="K223" i="89"/>
  <c r="Z223" i="89" s="1"/>
  <c r="AB223" i="89" s="1"/>
  <c r="AC223" i="89" s="1"/>
  <c r="K222" i="89"/>
  <c r="Z222" i="89" s="1"/>
  <c r="AB222" i="89" s="1"/>
  <c r="AC222" i="89" s="1"/>
  <c r="K221" i="89"/>
  <c r="Z221" i="89" s="1"/>
  <c r="AB221" i="89" s="1"/>
  <c r="AC221" i="89" s="1"/>
  <c r="K220" i="89"/>
  <c r="Z220" i="89" s="1"/>
  <c r="AB220" i="89" s="1"/>
  <c r="AC220" i="89" s="1"/>
  <c r="K219" i="89"/>
  <c r="Z219" i="89" s="1"/>
  <c r="AB219" i="89" s="1"/>
  <c r="AC219" i="89" s="1"/>
  <c r="K218" i="89"/>
  <c r="Z218" i="89" s="1"/>
  <c r="AB218" i="89" s="1"/>
  <c r="AC218" i="89" s="1"/>
  <c r="K217" i="89"/>
  <c r="Z217" i="89" s="1"/>
  <c r="AB217" i="89" s="1"/>
  <c r="AC217" i="89" s="1"/>
  <c r="K216" i="89"/>
  <c r="Z216" i="89" s="1"/>
  <c r="AB216" i="89" s="1"/>
  <c r="AC216" i="89" s="1"/>
  <c r="K215" i="89"/>
  <c r="Z215" i="89" s="1"/>
  <c r="AB215" i="89" s="1"/>
  <c r="AC215" i="89" s="1"/>
  <c r="K214" i="89"/>
  <c r="Z214" i="89" s="1"/>
  <c r="AB214" i="89" s="1"/>
  <c r="AC214" i="89" s="1"/>
  <c r="K213" i="89"/>
  <c r="Z213" i="89" s="1"/>
  <c r="AB213" i="89" s="1"/>
  <c r="AC213" i="89" s="1"/>
  <c r="K212" i="89"/>
  <c r="Z212" i="89" s="1"/>
  <c r="AB212" i="89" s="1"/>
  <c r="AC212" i="89" s="1"/>
  <c r="K211" i="89"/>
  <c r="Z211" i="89" s="1"/>
  <c r="AB211" i="89" s="1"/>
  <c r="AC211" i="89" s="1"/>
  <c r="K210" i="89"/>
  <c r="Z210" i="89" s="1"/>
  <c r="AB210" i="89" s="1"/>
  <c r="AC210" i="89" s="1"/>
  <c r="K209" i="89"/>
  <c r="Z209" i="89" s="1"/>
  <c r="AB209" i="89" s="1"/>
  <c r="AC209" i="89" s="1"/>
  <c r="K208" i="89"/>
  <c r="Z208" i="89" s="1"/>
  <c r="AB208" i="89" s="1"/>
  <c r="AC208" i="89" s="1"/>
  <c r="K207" i="89"/>
  <c r="Z207" i="89" s="1"/>
  <c r="AB207" i="89" s="1"/>
  <c r="AC207" i="89" s="1"/>
  <c r="K206" i="89"/>
  <c r="Z206" i="89" s="1"/>
  <c r="AB206" i="89" s="1"/>
  <c r="AC206" i="89" s="1"/>
  <c r="K205" i="89"/>
  <c r="Z205" i="89" s="1"/>
  <c r="AB205" i="89" s="1"/>
  <c r="AC205" i="89" s="1"/>
  <c r="K204" i="89"/>
  <c r="K203" i="89"/>
  <c r="Z203" i="89" s="1"/>
  <c r="AB203" i="89" s="1"/>
  <c r="AC203" i="89" s="1"/>
  <c r="K202" i="89"/>
  <c r="Z202" i="89" s="1"/>
  <c r="AB202" i="89" s="1"/>
  <c r="AC202" i="89" s="1"/>
  <c r="K189" i="89"/>
  <c r="Z189" i="89" s="1"/>
  <c r="AB189" i="89" s="1"/>
  <c r="AC189" i="89" s="1"/>
  <c r="K188" i="89"/>
  <c r="Z188" i="89" s="1"/>
  <c r="AB188" i="89" s="1"/>
  <c r="AC188" i="89" s="1"/>
  <c r="K187" i="89"/>
  <c r="Z187" i="89" s="1"/>
  <c r="AB187" i="89" s="1"/>
  <c r="AC187" i="89" s="1"/>
  <c r="K186" i="89"/>
  <c r="Z186" i="89" s="1"/>
  <c r="AB186" i="89" s="1"/>
  <c r="AC186" i="89" s="1"/>
  <c r="K185" i="89"/>
  <c r="Z185" i="89" s="1"/>
  <c r="AB185" i="89" s="1"/>
  <c r="AC185" i="89" s="1"/>
  <c r="K184" i="89"/>
  <c r="Z184" i="89" s="1"/>
  <c r="AB184" i="89" s="1"/>
  <c r="AC184" i="89" s="1"/>
  <c r="K183" i="89"/>
  <c r="Z183" i="89" s="1"/>
  <c r="AB183" i="89" s="1"/>
  <c r="AC183" i="89" s="1"/>
  <c r="K182" i="89"/>
  <c r="Z182" i="89" s="1"/>
  <c r="AB182" i="89" s="1"/>
  <c r="AC182" i="89" s="1"/>
  <c r="K181" i="89"/>
  <c r="Z181" i="89" s="1"/>
  <c r="AB181" i="89" s="1"/>
  <c r="AC181" i="89" s="1"/>
  <c r="K180" i="89"/>
  <c r="Z180" i="89" s="1"/>
  <c r="AB180" i="89" s="1"/>
  <c r="AC180" i="89" s="1"/>
  <c r="K179" i="89"/>
  <c r="Z179" i="89" s="1"/>
  <c r="AB179" i="89" s="1"/>
  <c r="AC179" i="89" s="1"/>
  <c r="K178" i="89"/>
  <c r="Z178" i="89" s="1"/>
  <c r="AB178" i="89" s="1"/>
  <c r="AC178" i="89" s="1"/>
  <c r="K177" i="89"/>
  <c r="Z177" i="89" s="1"/>
  <c r="AB177" i="89" s="1"/>
  <c r="AC177" i="89" s="1"/>
  <c r="K176" i="89"/>
  <c r="Z176" i="89" s="1"/>
  <c r="AB176" i="89" s="1"/>
  <c r="AC176" i="89" s="1"/>
  <c r="K175" i="89"/>
  <c r="Z175" i="89" s="1"/>
  <c r="AB175" i="89" s="1"/>
  <c r="AC175" i="89" s="1"/>
  <c r="K174" i="89"/>
  <c r="Z174" i="89" s="1"/>
  <c r="AB174" i="89" s="1"/>
  <c r="AC174" i="89" s="1"/>
  <c r="Y370" i="89"/>
  <c r="X370" i="89"/>
  <c r="V370" i="89"/>
  <c r="T370" i="89"/>
  <c r="S370" i="89"/>
  <c r="P207" i="242" s="1"/>
  <c r="P305" i="242" s="1"/>
  <c r="R370" i="89"/>
  <c r="O207" i="242" s="1"/>
  <c r="O305" i="242" s="1"/>
  <c r="O14" i="242" s="1"/>
  <c r="Q370" i="89"/>
  <c r="N207" i="242" s="1"/>
  <c r="N305" i="242" s="1"/>
  <c r="L370" i="89"/>
  <c r="L207" i="242" s="1"/>
  <c r="L305" i="242" s="1"/>
  <c r="J370" i="89"/>
  <c r="J207" i="242" s="1"/>
  <c r="Y265" i="89"/>
  <c r="X265" i="89"/>
  <c r="V265" i="89"/>
  <c r="T265" i="89"/>
  <c r="S265" i="89"/>
  <c r="P168" i="242" s="1"/>
  <c r="P200" i="242" s="1"/>
  <c r="R265" i="89"/>
  <c r="O168" i="242" s="1"/>
  <c r="O200" i="242" s="1"/>
  <c r="O13" i="242" s="1"/>
  <c r="Q265" i="89"/>
  <c r="N168" i="242" s="1"/>
  <c r="N200" i="242" s="1"/>
  <c r="L265" i="89"/>
  <c r="L168" i="242" s="1"/>
  <c r="L200" i="242" s="1"/>
  <c r="J265" i="89"/>
  <c r="J168" i="242" s="1"/>
  <c r="Y226" i="89"/>
  <c r="X226" i="89"/>
  <c r="V226" i="89"/>
  <c r="T226" i="89"/>
  <c r="S226" i="89"/>
  <c r="P134" i="242" s="1"/>
  <c r="P161" i="242" s="1"/>
  <c r="R226" i="89"/>
  <c r="O134" i="242" s="1"/>
  <c r="O161" i="242" s="1"/>
  <c r="O12" i="242" s="1"/>
  <c r="Q226" i="89"/>
  <c r="N134" i="242" s="1"/>
  <c r="N161" i="242" s="1"/>
  <c r="L226" i="89"/>
  <c r="L134" i="242" s="1"/>
  <c r="L161" i="242" s="1"/>
  <c r="J226" i="89"/>
  <c r="J134" i="242" s="1"/>
  <c r="J161" i="242" s="1"/>
  <c r="J12" i="242" s="1"/>
  <c r="I226" i="89"/>
  <c r="I134" i="242" s="1"/>
  <c r="Y192" i="89"/>
  <c r="X192" i="89"/>
  <c r="V192" i="89"/>
  <c r="T192" i="89"/>
  <c r="S192" i="89"/>
  <c r="P90" i="242" s="1"/>
  <c r="P127" i="242" s="1"/>
  <c r="R192" i="89"/>
  <c r="O90" i="242" s="1"/>
  <c r="O127" i="242" s="1"/>
  <c r="Q192" i="89"/>
  <c r="N90" i="242" s="1"/>
  <c r="N127" i="242" s="1"/>
  <c r="L192" i="89"/>
  <c r="L90" i="242" s="1"/>
  <c r="L127" i="242" s="1"/>
  <c r="J192" i="89"/>
  <c r="J90" i="242" s="1"/>
  <c r="J127" i="242" s="1"/>
  <c r="J11" i="242" s="1"/>
  <c r="Y149" i="89"/>
  <c r="X149" i="89"/>
  <c r="V149" i="89"/>
  <c r="Q84" i="242" s="1"/>
  <c r="Q10" i="242" s="1"/>
  <c r="T149" i="89"/>
  <c r="S149" i="89"/>
  <c r="R149" i="89"/>
  <c r="Q149" i="89"/>
  <c r="L149" i="89"/>
  <c r="J149" i="89"/>
  <c r="J373" i="89" s="1"/>
  <c r="I149" i="89"/>
  <c r="O84" i="242" l="1"/>
  <c r="O10" i="242" s="1"/>
  <c r="R373" i="89"/>
  <c r="P84" i="242"/>
  <c r="P10" i="242" s="1"/>
  <c r="S373" i="89"/>
  <c r="N84" i="242"/>
  <c r="N308" i="242" s="1"/>
  <c r="Q373" i="89"/>
  <c r="N85" i="242"/>
  <c r="L84" i="242"/>
  <c r="L85" i="242" s="1"/>
  <c r="I373" i="89"/>
  <c r="N14" i="242"/>
  <c r="N306" i="242"/>
  <c r="P14" i="242"/>
  <c r="P306" i="242"/>
  <c r="L14" i="242"/>
  <c r="L306" i="242"/>
  <c r="V12" i="89"/>
  <c r="X12" i="89"/>
  <c r="S84" i="242"/>
  <c r="S10" i="242" s="1"/>
  <c r="P12" i="242"/>
  <c r="P162" i="242"/>
  <c r="X15" i="89"/>
  <c r="S168" i="242"/>
  <c r="S200" i="242" s="1"/>
  <c r="S13" i="242" s="1"/>
  <c r="V16" i="89"/>
  <c r="Q207" i="242"/>
  <c r="Q305" i="242" s="1"/>
  <c r="Q14" i="242" s="1"/>
  <c r="N10" i="242"/>
  <c r="N13" i="242"/>
  <c r="N201" i="242"/>
  <c r="L12" i="242"/>
  <c r="L162" i="242"/>
  <c r="P13" i="242"/>
  <c r="P201" i="242"/>
  <c r="X16" i="89"/>
  <c r="S207" i="242"/>
  <c r="S305" i="242" s="1"/>
  <c r="S14" i="242" s="1"/>
  <c r="L11" i="242"/>
  <c r="L128" i="242"/>
  <c r="X14" i="89"/>
  <c r="S134" i="242"/>
  <c r="S161" i="242" s="1"/>
  <c r="S12" i="242" s="1"/>
  <c r="V15" i="89"/>
  <c r="Q168" i="242"/>
  <c r="Q200" i="242" s="1"/>
  <c r="Q13" i="242" s="1"/>
  <c r="N12" i="242"/>
  <c r="N162" i="242"/>
  <c r="V14" i="89"/>
  <c r="Q134" i="242"/>
  <c r="Q161" i="242" s="1"/>
  <c r="Q12" i="242" s="1"/>
  <c r="L201" i="242"/>
  <c r="L13" i="242"/>
  <c r="J305" i="242"/>
  <c r="J14" i="242" s="1"/>
  <c r="J200" i="242"/>
  <c r="J13" i="242" s="1"/>
  <c r="I161" i="242"/>
  <c r="K134" i="242"/>
  <c r="U134" i="242"/>
  <c r="O11" i="242"/>
  <c r="O15" i="242" s="1"/>
  <c r="X13" i="89"/>
  <c r="S90" i="242"/>
  <c r="S127" i="242" s="1"/>
  <c r="P11" i="242"/>
  <c r="P128" i="242"/>
  <c r="N11" i="242"/>
  <c r="N128" i="242"/>
  <c r="V13" i="89"/>
  <c r="Q90" i="242"/>
  <c r="Q127" i="242" s="1"/>
  <c r="U84" i="242"/>
  <c r="J84" i="242"/>
  <c r="I84" i="242"/>
  <c r="I85" i="242" s="1"/>
  <c r="K84" i="242"/>
  <c r="Z234" i="89"/>
  <c r="AB234" i="89" s="1"/>
  <c r="AC234" i="89" s="1"/>
  <c r="Z204" i="89"/>
  <c r="AB204" i="89" s="1"/>
  <c r="AC204" i="89" s="1"/>
  <c r="O308" i="242" l="1"/>
  <c r="L308" i="242"/>
  <c r="L10" i="242"/>
  <c r="P85" i="242"/>
  <c r="P308" i="242"/>
  <c r="V374" i="89"/>
  <c r="X374" i="89"/>
  <c r="L15" i="242"/>
  <c r="P15" i="242"/>
  <c r="N15" i="242"/>
  <c r="J308" i="242"/>
  <c r="O309" i="242"/>
  <c r="U161" i="242"/>
  <c r="U12" i="242" s="1"/>
  <c r="K161" i="242"/>
  <c r="K12" i="242" s="1"/>
  <c r="I12" i="242"/>
  <c r="I162" i="242"/>
  <c r="Q11" i="242"/>
  <c r="Q15" i="242" s="1"/>
  <c r="Q308" i="242"/>
  <c r="S11" i="242"/>
  <c r="S15" i="242" s="1"/>
  <c r="G510" i="4" s="1"/>
  <c r="S308" i="242"/>
  <c r="J10" i="242"/>
  <c r="J15" i="242" s="1"/>
  <c r="K10" i="242"/>
  <c r="I10" i="242"/>
  <c r="U10" i="242"/>
  <c r="P309" i="242" l="1"/>
  <c r="L309" i="242"/>
  <c r="N309" i="242"/>
  <c r="Q309" i="242"/>
  <c r="J309" i="242"/>
  <c r="G497" i="4"/>
  <c r="M2993" i="1" s="1"/>
  <c r="R2993" i="1" s="1"/>
  <c r="O3058" i="1"/>
  <c r="H510" i="4"/>
  <c r="O2992" i="246" s="1"/>
  <c r="S309" i="242"/>
  <c r="O3062" i="1"/>
  <c r="M198" i="1"/>
  <c r="M2925" i="246" l="1"/>
  <c r="R2925" i="246" s="1"/>
  <c r="O2990" i="246"/>
  <c r="O2997" i="246" s="1"/>
  <c r="O3001" i="246" s="1"/>
  <c r="M250" i="136"/>
  <c r="G250" i="136" s="1"/>
  <c r="I250" i="136" s="1"/>
  <c r="F250" i="5" s="1"/>
  <c r="K250" i="136"/>
  <c r="M248" i="136"/>
  <c r="G248" i="136" s="1"/>
  <c r="I248" i="136" s="1"/>
  <c r="F248" i="5" s="1"/>
  <c r="K248" i="136"/>
  <c r="M247" i="136"/>
  <c r="G247" i="136" s="1"/>
  <c r="K247" i="136"/>
  <c r="F247" i="136" s="1"/>
  <c r="M246" i="136"/>
  <c r="G246" i="136" s="1"/>
  <c r="I246" i="136" s="1"/>
  <c r="K246" i="136"/>
  <c r="M250" i="190"/>
  <c r="G250" i="190" s="1"/>
  <c r="I250" i="190" s="1"/>
  <c r="G250" i="5" s="1"/>
  <c r="K250" i="190"/>
  <c r="M248" i="190"/>
  <c r="G248" i="190" s="1"/>
  <c r="I248" i="190" s="1"/>
  <c r="G248" i="5" s="1"/>
  <c r="K248" i="190"/>
  <c r="M247" i="190"/>
  <c r="G247" i="190" s="1"/>
  <c r="K247" i="190"/>
  <c r="M246" i="190"/>
  <c r="G246" i="190" s="1"/>
  <c r="I246" i="190" s="1"/>
  <c r="K246" i="190"/>
  <c r="M250" i="192"/>
  <c r="G250" i="192" s="1"/>
  <c r="I250" i="192" s="1"/>
  <c r="H250" i="5" s="1"/>
  <c r="K250" i="192"/>
  <c r="M248" i="192"/>
  <c r="G248" i="192" s="1"/>
  <c r="I248" i="192" s="1"/>
  <c r="H248" i="5" s="1"/>
  <c r="K248" i="192"/>
  <c r="M247" i="192"/>
  <c r="G247" i="192" s="1"/>
  <c r="K247" i="192"/>
  <c r="M246" i="192"/>
  <c r="G246" i="192" s="1"/>
  <c r="I246" i="192" s="1"/>
  <c r="K246" i="192"/>
  <c r="P250" i="5"/>
  <c r="N250" i="5"/>
  <c r="O1845" i="1" s="1"/>
  <c r="U1845" i="1" s="1"/>
  <c r="O1841" i="1" s="1"/>
  <c r="P248" i="5"/>
  <c r="N248" i="5"/>
  <c r="O1833" i="1" s="1"/>
  <c r="U1833" i="1" s="1"/>
  <c r="P247" i="5"/>
  <c r="J247" i="5" s="1"/>
  <c r="N247" i="5"/>
  <c r="P246" i="5"/>
  <c r="J246" i="5" s="1"/>
  <c r="L246" i="5" s="1"/>
  <c r="N246" i="5"/>
  <c r="I10" i="89"/>
  <c r="K32" i="89"/>
  <c r="K31" i="89"/>
  <c r="K30" i="89"/>
  <c r="K29" i="89"/>
  <c r="K28" i="89"/>
  <c r="K27" i="89"/>
  <c r="AB10" i="89"/>
  <c r="Z10" i="89"/>
  <c r="T34" i="89"/>
  <c r="T373" i="89" s="1"/>
  <c r="L34" i="89"/>
  <c r="L373" i="89" s="1"/>
  <c r="G17" i="240"/>
  <c r="H17" i="240"/>
  <c r="H31" i="240"/>
  <c r="G31" i="240"/>
  <c r="I3025" i="1"/>
  <c r="H3024" i="1"/>
  <c r="I247" i="5" l="1"/>
  <c r="O1825" i="1"/>
  <c r="O1855" i="1"/>
  <c r="O672" i="1"/>
  <c r="F247" i="190"/>
  <c r="I247" i="190" s="1"/>
  <c r="I247" i="136"/>
  <c r="F247" i="192"/>
  <c r="I247" i="192" s="1"/>
  <c r="W2990" i="246"/>
  <c r="D2997" i="246"/>
  <c r="M2918" i="246"/>
  <c r="R2997" i="246"/>
  <c r="L247" i="5"/>
  <c r="Y10" i="89"/>
  <c r="L10" i="89"/>
  <c r="T10" i="89"/>
  <c r="AC34" i="89"/>
  <c r="K34" i="89"/>
  <c r="AA34" i="89"/>
  <c r="K10" i="89" l="1"/>
  <c r="AC10" i="89"/>
  <c r="AA10" i="89"/>
  <c r="U1825" i="1"/>
  <c r="O1850" i="1" s="1"/>
  <c r="O1821" i="1"/>
  <c r="O1831" i="1" s="1"/>
  <c r="O1760" i="246"/>
  <c r="M1825" i="1"/>
  <c r="R3037" i="246"/>
  <c r="R3004" i="246"/>
  <c r="R3001" i="246"/>
  <c r="R3029" i="246"/>
  <c r="R3022" i="246"/>
  <c r="R2996" i="246"/>
  <c r="R3027" i="246"/>
  <c r="R2993" i="246"/>
  <c r="R2978" i="246"/>
  <c r="R91" i="246" s="1"/>
  <c r="R3015" i="246"/>
  <c r="R3030" i="246"/>
  <c r="R3031" i="246"/>
  <c r="R2990" i="246"/>
  <c r="R2987" i="246"/>
  <c r="R3036" i="246"/>
  <c r="R3012" i="246"/>
  <c r="R2992" i="246"/>
  <c r="R2984" i="246"/>
  <c r="R3033" i="246"/>
  <c r="R3019" i="246"/>
  <c r="R3021" i="246"/>
  <c r="R2980" i="246"/>
  <c r="R2981" i="246"/>
  <c r="R2985" i="246"/>
  <c r="R3006" i="246"/>
  <c r="R3008" i="246"/>
  <c r="R3018" i="246"/>
  <c r="R2979" i="246"/>
  <c r="R3010" i="246"/>
  <c r="R3007" i="246"/>
  <c r="R3016" i="246"/>
  <c r="R3009" i="246"/>
  <c r="R2991" i="246"/>
  <c r="R3024" i="246"/>
  <c r="R3039" i="246"/>
  <c r="R2988" i="246"/>
  <c r="R2986" i="246"/>
  <c r="R2994" i="246"/>
  <c r="R2995" i="246"/>
  <c r="R2998" i="246"/>
  <c r="R3002" i="246"/>
  <c r="R2989" i="246"/>
  <c r="R3003" i="246"/>
  <c r="R3005" i="246"/>
  <c r="R3014" i="246"/>
  <c r="R3023" i="246"/>
  <c r="R3032" i="246"/>
  <c r="R3025" i="246"/>
  <c r="R2983" i="246"/>
  <c r="R3041" i="246"/>
  <c r="R2999" i="246"/>
  <c r="R3028" i="246"/>
  <c r="R3026" i="246"/>
  <c r="R3011" i="246"/>
  <c r="R3020" i="246"/>
  <c r="R3013" i="246"/>
  <c r="R3000" i="246"/>
  <c r="R3017" i="246"/>
  <c r="R3035" i="246"/>
  <c r="R3038" i="246"/>
  <c r="R3034" i="246"/>
  <c r="R3040" i="246"/>
  <c r="R2982" i="246"/>
  <c r="R2918" i="246"/>
  <c r="X1850" i="1" l="1"/>
  <c r="X1916" i="1"/>
  <c r="AF10" i="89"/>
  <c r="AD10" i="89"/>
  <c r="X672" i="1"/>
  <c r="S1760" i="246"/>
  <c r="O1756" i="246"/>
  <c r="O1766" i="246" s="1"/>
  <c r="S1825" i="1"/>
  <c r="V1825" i="1"/>
  <c r="M1821" i="1"/>
  <c r="G6" i="240"/>
  <c r="E3" i="240"/>
  <c r="C2" i="240"/>
  <c r="M1831" i="1" l="1"/>
  <c r="V1821" i="1"/>
  <c r="C117" i="192"/>
  <c r="C116" i="192"/>
  <c r="C115" i="192"/>
  <c r="C114" i="192"/>
  <c r="C113" i="192"/>
  <c r="C117" i="190"/>
  <c r="C116" i="190"/>
  <c r="C115" i="190"/>
  <c r="C114" i="190"/>
  <c r="C113" i="190"/>
  <c r="C117" i="136"/>
  <c r="C116" i="136"/>
  <c r="C115" i="136"/>
  <c r="C114" i="136"/>
  <c r="C113" i="136"/>
  <c r="C117" i="5"/>
  <c r="B101" i="248" s="1"/>
  <c r="C116" i="5"/>
  <c r="B100" i="248" s="1"/>
  <c r="C115" i="5"/>
  <c r="B99" i="248" s="1"/>
  <c r="C114" i="5"/>
  <c r="B98" i="248" s="1"/>
  <c r="C113" i="5"/>
  <c r="B97" i="248" s="1"/>
  <c r="P2" i="5"/>
  <c r="C1240" i="246" l="1"/>
  <c r="C1244" i="246"/>
  <c r="C1243" i="246"/>
  <c r="C1241" i="246"/>
  <c r="C1242" i="246"/>
  <c r="D3933" i="1"/>
  <c r="D3934" i="1"/>
  <c r="D3937" i="1"/>
  <c r="D4021" i="1" s="1"/>
  <c r="O3940" i="1"/>
  <c r="D3951" i="1"/>
  <c r="D3952" i="1"/>
  <c r="D3953" i="1"/>
  <c r="D3954" i="1"/>
  <c r="D3955" i="1"/>
  <c r="D3966" i="1"/>
  <c r="D3967" i="1"/>
  <c r="D3968" i="1"/>
  <c r="D3969" i="1"/>
  <c r="D3997" i="1"/>
  <c r="D3998" i="1"/>
  <c r="D3999" i="1"/>
  <c r="D4000" i="1"/>
  <c r="D4001" i="1"/>
  <c r="D4002" i="1"/>
  <c r="D4003" i="1"/>
  <c r="D4004" i="1"/>
  <c r="D4005" i="1"/>
  <c r="D4006" i="1"/>
  <c r="D4017" i="1"/>
  <c r="D4018" i="1"/>
  <c r="O4024" i="1"/>
  <c r="D4054" i="1"/>
  <c r="D4055" i="1"/>
  <c r="D4056" i="1"/>
  <c r="D4057" i="1"/>
  <c r="D4058" i="1"/>
  <c r="D4059" i="1"/>
  <c r="D4060" i="1"/>
  <c r="D4061" i="1"/>
  <c r="D4062" i="1"/>
  <c r="D4063" i="1"/>
  <c r="D3769" i="1"/>
  <c r="D3770" i="1"/>
  <c r="D3773" i="1"/>
  <c r="D3857" i="1" s="1"/>
  <c r="M3776" i="1"/>
  <c r="D3787" i="1"/>
  <c r="D3788" i="1"/>
  <c r="D3789" i="1"/>
  <c r="D3790" i="1"/>
  <c r="D3791" i="1"/>
  <c r="D3802" i="1"/>
  <c r="D3803" i="1"/>
  <c r="D3804" i="1"/>
  <c r="D3805" i="1"/>
  <c r="D3833" i="1"/>
  <c r="D3834" i="1"/>
  <c r="D3835" i="1"/>
  <c r="D3836" i="1"/>
  <c r="D3837" i="1"/>
  <c r="D3838" i="1"/>
  <c r="D3839" i="1"/>
  <c r="D3840" i="1"/>
  <c r="D3841" i="1"/>
  <c r="D3842" i="1"/>
  <c r="D3853" i="1"/>
  <c r="D3854" i="1"/>
  <c r="M3860" i="1"/>
  <c r="D3890" i="1"/>
  <c r="D3891" i="1"/>
  <c r="D3892" i="1"/>
  <c r="D3893" i="1"/>
  <c r="D3894" i="1"/>
  <c r="D3895" i="1"/>
  <c r="D3896" i="1"/>
  <c r="D3897" i="1"/>
  <c r="D3898" i="1"/>
  <c r="D3899" i="1"/>
  <c r="K5" i="190"/>
  <c r="K10" i="190"/>
  <c r="K11" i="190"/>
  <c r="K12" i="190"/>
  <c r="K13" i="190"/>
  <c r="K14" i="190"/>
  <c r="K15" i="190"/>
  <c r="K16" i="190"/>
  <c r="K17" i="190"/>
  <c r="O3458" i="1" s="1"/>
  <c r="K18" i="190"/>
  <c r="O3459" i="1" s="1"/>
  <c r="K19" i="190"/>
  <c r="O3460" i="1" s="1"/>
  <c r="K20" i="190"/>
  <c r="O3461" i="1" s="1"/>
  <c r="K21" i="190"/>
  <c r="O3462" i="1" s="1"/>
  <c r="K22" i="190"/>
  <c r="O3463" i="1" s="1"/>
  <c r="K23" i="190"/>
  <c r="K24" i="190"/>
  <c r="K25" i="190"/>
  <c r="K26" i="190"/>
  <c r="K27" i="190"/>
  <c r="K28" i="190"/>
  <c r="O3473" i="1" s="1"/>
  <c r="K29" i="190"/>
  <c r="O3474" i="1" s="1"/>
  <c r="K30" i="190"/>
  <c r="O3475" i="1" s="1"/>
  <c r="K31" i="190"/>
  <c r="O3476" i="1" s="1"/>
  <c r="K32" i="190"/>
  <c r="O3477" i="1" s="1"/>
  <c r="K34" i="190"/>
  <c r="K35" i="190"/>
  <c r="K36" i="190"/>
  <c r="K37" i="190"/>
  <c r="K38" i="190"/>
  <c r="K39" i="190"/>
  <c r="K40" i="190"/>
  <c r="O3487" i="1" s="1"/>
  <c r="K41" i="190"/>
  <c r="O3488" i="1" s="1"/>
  <c r="K42" i="190"/>
  <c r="O3489" i="1" s="1"/>
  <c r="K43" i="190"/>
  <c r="K44" i="190"/>
  <c r="K45" i="190"/>
  <c r="K46" i="190"/>
  <c r="K47" i="190"/>
  <c r="O3491" i="1" s="1"/>
  <c r="K48" i="190"/>
  <c r="O3492" i="1" s="1"/>
  <c r="K49" i="190"/>
  <c r="O3493" i="1" s="1"/>
  <c r="K50" i="190"/>
  <c r="O3494" i="1" s="1"/>
  <c r="K51" i="190"/>
  <c r="K52" i="190"/>
  <c r="K53" i="190"/>
  <c r="O3496" i="1" s="1"/>
  <c r="K54" i="190"/>
  <c r="K55" i="190"/>
  <c r="K56" i="190"/>
  <c r="K57" i="190"/>
  <c r="K58" i="190"/>
  <c r="K59" i="190"/>
  <c r="K60" i="190"/>
  <c r="K61" i="190"/>
  <c r="K62" i="190"/>
  <c r="K63" i="190"/>
  <c r="K64" i="190"/>
  <c r="O3499" i="1" s="1"/>
  <c r="K66" i="190"/>
  <c r="K67" i="190"/>
  <c r="K68" i="190"/>
  <c r="K69" i="190"/>
  <c r="K70" i="190"/>
  <c r="K71" i="190"/>
  <c r="O3503" i="1" s="1"/>
  <c r="K72" i="190"/>
  <c r="O3504" i="1" s="1"/>
  <c r="K73" i="190"/>
  <c r="O3505" i="1" s="1"/>
  <c r="K74" i="190"/>
  <c r="O3506" i="1" s="1"/>
  <c r="K75" i="190"/>
  <c r="O3507" i="1" s="1"/>
  <c r="K76" i="190"/>
  <c r="O3508" i="1" s="1"/>
  <c r="K77" i="190"/>
  <c r="O3509" i="1" s="1"/>
  <c r="K78" i="190"/>
  <c r="O3510" i="1" s="1"/>
  <c r="K79" i="190"/>
  <c r="O3511" i="1" s="1"/>
  <c r="K80" i="190"/>
  <c r="O3512" i="1" s="1"/>
  <c r="K81" i="190"/>
  <c r="O3513" i="1" s="1"/>
  <c r="K82" i="190"/>
  <c r="O3514" i="1" s="1"/>
  <c r="K83" i="190"/>
  <c r="K84" i="190"/>
  <c r="O3586" i="1" s="1"/>
  <c r="K85" i="190"/>
  <c r="K86" i="190"/>
  <c r="K87" i="190"/>
  <c r="K88" i="190"/>
  <c r="K89" i="190"/>
  <c r="K90" i="190"/>
  <c r="K91" i="190"/>
  <c r="K93" i="190"/>
  <c r="K94" i="190"/>
  <c r="K95" i="190"/>
  <c r="O3581" i="1" s="1"/>
  <c r="K96" i="190"/>
  <c r="O3584" i="1" s="1"/>
  <c r="K98" i="190"/>
  <c r="K99" i="190"/>
  <c r="K100" i="190"/>
  <c r="K101" i="190"/>
  <c r="K102" i="190"/>
  <c r="K103" i="190"/>
  <c r="O3542" i="1" s="1"/>
  <c r="K104" i="190"/>
  <c r="O3541" i="1" s="1"/>
  <c r="K105" i="190"/>
  <c r="O3543" i="1" s="1"/>
  <c r="K106" i="190"/>
  <c r="O3544" i="1" s="1"/>
  <c r="K107" i="190"/>
  <c r="O3545" i="1" s="1"/>
  <c r="K109" i="190"/>
  <c r="K110" i="190"/>
  <c r="K111" i="190"/>
  <c r="K112" i="190"/>
  <c r="K113" i="190"/>
  <c r="K114" i="190"/>
  <c r="K115" i="190"/>
  <c r="K116" i="190"/>
  <c r="K117" i="190"/>
  <c r="K118" i="190"/>
  <c r="O3549" i="1" s="1"/>
  <c r="K119" i="190"/>
  <c r="O3550" i="1" s="1"/>
  <c r="K120" i="190"/>
  <c r="O3551" i="1" s="1"/>
  <c r="K121" i="190"/>
  <c r="O3552" i="1" s="1"/>
  <c r="K122" i="190"/>
  <c r="K123" i="190"/>
  <c r="K124" i="190"/>
  <c r="O3556" i="1" s="1"/>
  <c r="K125" i="190"/>
  <c r="O3557" i="1" s="1"/>
  <c r="K126" i="190"/>
  <c r="K127" i="190"/>
  <c r="K128" i="190"/>
  <c r="O3559" i="1" s="1"/>
  <c r="K129" i="190"/>
  <c r="O3560" i="1" s="1"/>
  <c r="K130" i="190"/>
  <c r="O3561" i="1" s="1"/>
  <c r="K131" i="190"/>
  <c r="O3562" i="1" s="1"/>
  <c r="K132" i="190"/>
  <c r="O3563" i="1" s="1"/>
  <c r="K133" i="190"/>
  <c r="O3564" i="1" s="1"/>
  <c r="K134" i="190"/>
  <c r="O3565" i="1" s="1"/>
  <c r="K135" i="190"/>
  <c r="O3566" i="1" s="1"/>
  <c r="K136" i="190"/>
  <c r="O3567" i="1" s="1"/>
  <c r="K137" i="190"/>
  <c r="O3568" i="1" s="1"/>
  <c r="K138" i="190"/>
  <c r="O3569" i="1" s="1"/>
  <c r="K139" i="190"/>
  <c r="O3570" i="1" s="1"/>
  <c r="K140" i="190"/>
  <c r="O3571" i="1" s="1"/>
  <c r="K142" i="190"/>
  <c r="K143" i="190"/>
  <c r="K144" i="190"/>
  <c r="K145" i="190"/>
  <c r="K146" i="190"/>
  <c r="K147" i="190"/>
  <c r="K148" i="190"/>
  <c r="K149" i="190"/>
  <c r="K150" i="190"/>
  <c r="K151" i="190"/>
  <c r="K152" i="190"/>
  <c r="K153" i="190"/>
  <c r="K154" i="190"/>
  <c r="K155" i="190"/>
  <c r="K156" i="190"/>
  <c r="O3553" i="1" s="1"/>
  <c r="K157" i="190"/>
  <c r="K158" i="190"/>
  <c r="K159" i="190"/>
  <c r="K160" i="190"/>
  <c r="K161" i="190"/>
  <c r="K5" i="136"/>
  <c r="O3122" i="1" s="1"/>
  <c r="K10" i="136"/>
  <c r="K11" i="136"/>
  <c r="O3124" i="1" s="1"/>
  <c r="U3124" i="1" s="1"/>
  <c r="K12" i="136"/>
  <c r="K13" i="136"/>
  <c r="K14" i="136"/>
  <c r="K15" i="136"/>
  <c r="K16" i="136"/>
  <c r="K17" i="136"/>
  <c r="O3130" i="1" s="1"/>
  <c r="K18" i="136"/>
  <c r="O3131" i="1" s="1"/>
  <c r="K19" i="136"/>
  <c r="O3132" i="1" s="1"/>
  <c r="K20" i="136"/>
  <c r="O3133" i="1" s="1"/>
  <c r="K21" i="136"/>
  <c r="O3134" i="1" s="1"/>
  <c r="K22" i="136"/>
  <c r="O3135" i="1" s="1"/>
  <c r="K23" i="136"/>
  <c r="K24" i="136"/>
  <c r="K25" i="136"/>
  <c r="K26" i="136"/>
  <c r="K27" i="136"/>
  <c r="K28" i="136"/>
  <c r="O3145" i="1" s="1"/>
  <c r="K29" i="136"/>
  <c r="O3146" i="1" s="1"/>
  <c r="K30" i="136"/>
  <c r="O3147" i="1" s="1"/>
  <c r="K31" i="136"/>
  <c r="O3148" i="1" s="1"/>
  <c r="K32" i="136"/>
  <c r="O3149" i="1" s="1"/>
  <c r="K34" i="136"/>
  <c r="K35" i="136"/>
  <c r="K36" i="136"/>
  <c r="K37" i="136"/>
  <c r="K38" i="136"/>
  <c r="K39" i="136"/>
  <c r="K40" i="136"/>
  <c r="O3159" i="1" s="1"/>
  <c r="K41" i="136"/>
  <c r="O3160" i="1" s="1"/>
  <c r="K42" i="136"/>
  <c r="O3161" i="1" s="1"/>
  <c r="K43" i="136"/>
  <c r="K44" i="136"/>
  <c r="K45" i="136"/>
  <c r="K46" i="136"/>
  <c r="K47" i="136"/>
  <c r="O3163" i="1" s="1"/>
  <c r="K48" i="136"/>
  <c r="O3164" i="1" s="1"/>
  <c r="K49" i="136"/>
  <c r="O3165" i="1" s="1"/>
  <c r="K50" i="136"/>
  <c r="O3166" i="1" s="1"/>
  <c r="K51" i="136"/>
  <c r="K52" i="136"/>
  <c r="K53" i="136"/>
  <c r="O3168" i="1" s="1"/>
  <c r="K54" i="136"/>
  <c r="K55" i="136"/>
  <c r="K56" i="136"/>
  <c r="K57" i="136"/>
  <c r="K58" i="136"/>
  <c r="K59" i="136"/>
  <c r="K60" i="136"/>
  <c r="K61" i="136"/>
  <c r="K62" i="136"/>
  <c r="K63" i="136"/>
  <c r="K64" i="136"/>
  <c r="O3171" i="1" s="1"/>
  <c r="K66" i="136"/>
  <c r="K67" i="136"/>
  <c r="K68" i="136"/>
  <c r="K69" i="136"/>
  <c r="K70" i="136"/>
  <c r="K71" i="136"/>
  <c r="O3175" i="1" s="1"/>
  <c r="K72" i="136"/>
  <c r="O3176" i="1" s="1"/>
  <c r="K73" i="136"/>
  <c r="O3177" i="1" s="1"/>
  <c r="K74" i="136"/>
  <c r="O3178" i="1" s="1"/>
  <c r="K75" i="136"/>
  <c r="O3179" i="1" s="1"/>
  <c r="K76" i="136"/>
  <c r="O3180" i="1" s="1"/>
  <c r="K77" i="136"/>
  <c r="O3181" i="1" s="1"/>
  <c r="K78" i="136"/>
  <c r="O3182" i="1" s="1"/>
  <c r="K79" i="136"/>
  <c r="O3183" i="1" s="1"/>
  <c r="K80" i="136"/>
  <c r="O3184" i="1" s="1"/>
  <c r="K81" i="136"/>
  <c r="O3185" i="1" s="1"/>
  <c r="K82" i="136"/>
  <c r="O3186" i="1" s="1"/>
  <c r="K83" i="136"/>
  <c r="K84" i="136"/>
  <c r="O3258" i="1" s="1"/>
  <c r="K85" i="136"/>
  <c r="K86" i="136"/>
  <c r="K87" i="136"/>
  <c r="K88" i="136"/>
  <c r="K89" i="136"/>
  <c r="K90" i="136"/>
  <c r="K91" i="136"/>
  <c r="K93" i="136"/>
  <c r="K94" i="136"/>
  <c r="O3227" i="1" s="1"/>
  <c r="K95" i="136"/>
  <c r="O3253" i="1" s="1"/>
  <c r="K96" i="136"/>
  <c r="K98" i="136"/>
  <c r="K99" i="136"/>
  <c r="K100" i="136"/>
  <c r="K101" i="136"/>
  <c r="K102" i="136"/>
  <c r="K103" i="136"/>
  <c r="O3214" i="1" s="1"/>
  <c r="K104" i="136"/>
  <c r="O3213" i="1" s="1"/>
  <c r="K105" i="136"/>
  <c r="O3215" i="1" s="1"/>
  <c r="K106" i="136"/>
  <c r="O3216" i="1" s="1"/>
  <c r="K107" i="136"/>
  <c r="O3217" i="1" s="1"/>
  <c r="K109" i="136"/>
  <c r="K110" i="136"/>
  <c r="K111" i="136"/>
  <c r="K112" i="136"/>
  <c r="K113" i="136"/>
  <c r="K114" i="136"/>
  <c r="K115" i="136"/>
  <c r="K116" i="136"/>
  <c r="K117" i="136"/>
  <c r="K118" i="136"/>
  <c r="O3221" i="1" s="1"/>
  <c r="K119" i="136"/>
  <c r="O3222" i="1" s="1"/>
  <c r="K120" i="136"/>
  <c r="O3223" i="1" s="1"/>
  <c r="K121" i="136"/>
  <c r="O3224" i="1" s="1"/>
  <c r="K122" i="136"/>
  <c r="K123" i="136"/>
  <c r="K124" i="136"/>
  <c r="O3228" i="1" s="1"/>
  <c r="K125" i="136"/>
  <c r="O3229" i="1" s="1"/>
  <c r="K126" i="136"/>
  <c r="K127" i="136"/>
  <c r="K128" i="136"/>
  <c r="O3231" i="1" s="1"/>
  <c r="K129" i="136"/>
  <c r="O3232" i="1" s="1"/>
  <c r="K130" i="136"/>
  <c r="O3233" i="1" s="1"/>
  <c r="K131" i="136"/>
  <c r="O3234" i="1" s="1"/>
  <c r="K132" i="136"/>
  <c r="K133" i="136"/>
  <c r="O3236" i="1" s="1"/>
  <c r="K134" i="136"/>
  <c r="O3237" i="1" s="1"/>
  <c r="K135" i="136"/>
  <c r="O3238" i="1" s="1"/>
  <c r="K136" i="136"/>
  <c r="O3239" i="1" s="1"/>
  <c r="K137" i="136"/>
  <c r="O3240" i="1" s="1"/>
  <c r="K138" i="136"/>
  <c r="O3241" i="1" s="1"/>
  <c r="K139" i="136"/>
  <c r="O3242" i="1" s="1"/>
  <c r="K140" i="136"/>
  <c r="O3243" i="1" s="1"/>
  <c r="K142" i="136"/>
  <c r="K143" i="136"/>
  <c r="K144" i="136"/>
  <c r="K145" i="136"/>
  <c r="K146" i="136"/>
  <c r="K147" i="136"/>
  <c r="K148" i="136"/>
  <c r="K149" i="136"/>
  <c r="K150" i="136"/>
  <c r="K151" i="136"/>
  <c r="K152" i="136"/>
  <c r="K153" i="136"/>
  <c r="K154" i="136"/>
  <c r="K155" i="136"/>
  <c r="K156" i="136"/>
  <c r="O3225" i="1" s="1"/>
  <c r="K157" i="136"/>
  <c r="K158" i="136"/>
  <c r="K159" i="136"/>
  <c r="D3605" i="1"/>
  <c r="D3606" i="1"/>
  <c r="D3609" i="1"/>
  <c r="D3693" i="1" s="1"/>
  <c r="O3612" i="1"/>
  <c r="D3623" i="1"/>
  <c r="D3624" i="1"/>
  <c r="D3625" i="1"/>
  <c r="D3626" i="1"/>
  <c r="D3627" i="1"/>
  <c r="D3638" i="1"/>
  <c r="D3639" i="1"/>
  <c r="D3640" i="1"/>
  <c r="D3641" i="1"/>
  <c r="D3669" i="1"/>
  <c r="D3670" i="1"/>
  <c r="D3671" i="1"/>
  <c r="D3672" i="1"/>
  <c r="D3673" i="1"/>
  <c r="D3674" i="1"/>
  <c r="D3675" i="1"/>
  <c r="D3676" i="1"/>
  <c r="D3677" i="1"/>
  <c r="D3678" i="1"/>
  <c r="D3689" i="1"/>
  <c r="D3690" i="1"/>
  <c r="O3696" i="1"/>
  <c r="D3726" i="1"/>
  <c r="D3727" i="1"/>
  <c r="D3728" i="1"/>
  <c r="D3729" i="1"/>
  <c r="D3730" i="1"/>
  <c r="D3731" i="1"/>
  <c r="D3732" i="1"/>
  <c r="D3733" i="1"/>
  <c r="D3734" i="1"/>
  <c r="D3735" i="1"/>
  <c r="D3441" i="1"/>
  <c r="D3442" i="1"/>
  <c r="D3445" i="1"/>
  <c r="D3529" i="1" s="1"/>
  <c r="M3448" i="1"/>
  <c r="D3459" i="1"/>
  <c r="D3460" i="1"/>
  <c r="D3461" i="1"/>
  <c r="D3462" i="1"/>
  <c r="D3463" i="1"/>
  <c r="D3474" i="1"/>
  <c r="D3475" i="1"/>
  <c r="D3476" i="1"/>
  <c r="D3477" i="1"/>
  <c r="D3505" i="1"/>
  <c r="D3506" i="1"/>
  <c r="D3507" i="1"/>
  <c r="D3508" i="1"/>
  <c r="D3509" i="1"/>
  <c r="D3510" i="1"/>
  <c r="D3511" i="1"/>
  <c r="D3512" i="1"/>
  <c r="D3513" i="1"/>
  <c r="D3514" i="1"/>
  <c r="D3525" i="1"/>
  <c r="D3526" i="1"/>
  <c r="M3532" i="1"/>
  <c r="D3562" i="1"/>
  <c r="D3563" i="1"/>
  <c r="D3564" i="1"/>
  <c r="D3565" i="1"/>
  <c r="D3566" i="1"/>
  <c r="D3567" i="1"/>
  <c r="D3568" i="1"/>
  <c r="D3569" i="1"/>
  <c r="D3570" i="1"/>
  <c r="D3571" i="1"/>
  <c r="D3277" i="1"/>
  <c r="D3278" i="1"/>
  <c r="D3281" i="1"/>
  <c r="D3365" i="1" s="1"/>
  <c r="O3284" i="1"/>
  <c r="D3295" i="1"/>
  <c r="D3296" i="1"/>
  <c r="D3297" i="1"/>
  <c r="D3298" i="1"/>
  <c r="D3299" i="1"/>
  <c r="D3310" i="1"/>
  <c r="D3311" i="1"/>
  <c r="D3312" i="1"/>
  <c r="D3313" i="1"/>
  <c r="D3341" i="1"/>
  <c r="D3342" i="1"/>
  <c r="D3343" i="1"/>
  <c r="D3344" i="1"/>
  <c r="D3345" i="1"/>
  <c r="D3346" i="1"/>
  <c r="D3347" i="1"/>
  <c r="D3348" i="1"/>
  <c r="D3349" i="1"/>
  <c r="D3350" i="1"/>
  <c r="D3361" i="1"/>
  <c r="D3362" i="1"/>
  <c r="O3368" i="1"/>
  <c r="D3398" i="1"/>
  <c r="D3399" i="1"/>
  <c r="D3400" i="1"/>
  <c r="D3401" i="1"/>
  <c r="D3402" i="1"/>
  <c r="D3403" i="1"/>
  <c r="D3404" i="1"/>
  <c r="D3405" i="1"/>
  <c r="D3406" i="1"/>
  <c r="D3407" i="1"/>
  <c r="D3113" i="1"/>
  <c r="D3114" i="1"/>
  <c r="D3117" i="1"/>
  <c r="D3201" i="1" s="1"/>
  <c r="M3120" i="1"/>
  <c r="D3131" i="1"/>
  <c r="D3132" i="1"/>
  <c r="D3133" i="1"/>
  <c r="D3134" i="1"/>
  <c r="D3135" i="1"/>
  <c r="D3146" i="1"/>
  <c r="D3147" i="1"/>
  <c r="D3148" i="1"/>
  <c r="D3149" i="1"/>
  <c r="D3177" i="1"/>
  <c r="D3178" i="1"/>
  <c r="D3179" i="1"/>
  <c r="D3180" i="1"/>
  <c r="D3181" i="1"/>
  <c r="D3182" i="1"/>
  <c r="D3183" i="1"/>
  <c r="D3184" i="1"/>
  <c r="D3185" i="1"/>
  <c r="D3186" i="1"/>
  <c r="D3197" i="1"/>
  <c r="D3198" i="1"/>
  <c r="M3204" i="1"/>
  <c r="D3234" i="1"/>
  <c r="D3235" i="1"/>
  <c r="D3236" i="1"/>
  <c r="D3237" i="1"/>
  <c r="D3238" i="1"/>
  <c r="D3239" i="1"/>
  <c r="D3240" i="1"/>
  <c r="D3241" i="1"/>
  <c r="D3242" i="1"/>
  <c r="D3243" i="1"/>
  <c r="O3255" i="1" l="1"/>
  <c r="O3592" i="1"/>
  <c r="U3592" i="1" s="1"/>
  <c r="O3583" i="1"/>
  <c r="O3264" i="1"/>
  <c r="U3264" i="1" s="1"/>
  <c r="O3256" i="1"/>
  <c r="O3470" i="1"/>
  <c r="U3470" i="1" s="1"/>
  <c r="O3142" i="1"/>
  <c r="U3142" i="1" s="1"/>
  <c r="O3220" i="1"/>
  <c r="O3219" i="1"/>
  <c r="O3254" i="1"/>
  <c r="U3122" i="1"/>
  <c r="O3167" i="1"/>
  <c r="O3501" i="1"/>
  <c r="O3450" i="1"/>
  <c r="U3450" i="1" s="1"/>
  <c r="O3495" i="1"/>
  <c r="O3452" i="1"/>
  <c r="U3452" i="1" s="1"/>
  <c r="O3173" i="1"/>
  <c r="O3170" i="1"/>
  <c r="O3174" i="1"/>
  <c r="O3169" i="1"/>
  <c r="O3230" i="1"/>
  <c r="O3226" i="1"/>
  <c r="O3547" i="1"/>
  <c r="O3540" i="1"/>
  <c r="O3502" i="1"/>
  <c r="O3497" i="1"/>
  <c r="O3490" i="1"/>
  <c r="O3585" i="1"/>
  <c r="O3548" i="1"/>
  <c r="O3464" i="1"/>
  <c r="O3555" i="1"/>
  <c r="O3558" i="1"/>
  <c r="O3554" i="1"/>
  <c r="O3582" i="1"/>
  <c r="O3498" i="1"/>
  <c r="O3457" i="1"/>
  <c r="O3162" i="1"/>
  <c r="O3129" i="1"/>
  <c r="O3212" i="1"/>
  <c r="O3136" i="1"/>
  <c r="O3235" i="1"/>
  <c r="O3257" i="1"/>
  <c r="K163" i="190"/>
  <c r="K164" i="190"/>
  <c r="K165" i="190"/>
  <c r="K160" i="136"/>
  <c r="K161" i="136"/>
  <c r="K163" i="136"/>
  <c r="K164" i="136"/>
  <c r="K165" i="136"/>
  <c r="O3126" i="1" l="1"/>
  <c r="U3126" i="1" s="1"/>
  <c r="O3140" i="1" s="1"/>
  <c r="O3250" i="1"/>
  <c r="U3250" i="1" s="1"/>
  <c r="O3156" i="1"/>
  <c r="U3156" i="1" s="1"/>
  <c r="O3484" i="1"/>
  <c r="U3484" i="1" s="1"/>
  <c r="O3578" i="1"/>
  <c r="U3578" i="1" s="1"/>
  <c r="O3209" i="1"/>
  <c r="U3209" i="1" s="1"/>
  <c r="O3454" i="1"/>
  <c r="U3454" i="1" s="1"/>
  <c r="O3537" i="1"/>
  <c r="U3537" i="1" s="1"/>
  <c r="O3595" i="1" l="1"/>
  <c r="O3590" i="1"/>
  <c r="O3262" i="1"/>
  <c r="O3267" i="1"/>
  <c r="O3468" i="1"/>
  <c r="O3154" i="1"/>
  <c r="O3206" i="1"/>
  <c r="O3248" i="1"/>
  <c r="O3190" i="1"/>
  <c r="O3576" i="1"/>
  <c r="O3534" i="1"/>
  <c r="O3518" i="1"/>
  <c r="O3482" i="1"/>
  <c r="X3206" i="1" l="1"/>
  <c r="X3534" i="1"/>
  <c r="M107" i="192"/>
  <c r="G107" i="192" s="1"/>
  <c r="I107" i="192" s="1"/>
  <c r="O3477" i="246" s="1"/>
  <c r="K107" i="192"/>
  <c r="O3873" i="1" s="1"/>
  <c r="M107" i="190"/>
  <c r="G107" i="190" s="1"/>
  <c r="I107" i="190" s="1"/>
  <c r="O3313" i="246" s="1"/>
  <c r="M107" i="136"/>
  <c r="G107" i="136" s="1"/>
  <c r="I107" i="136" s="1"/>
  <c r="O3149" i="246" s="1"/>
  <c r="P107" i="5"/>
  <c r="J107" i="5" s="1"/>
  <c r="L107" i="5" s="1"/>
  <c r="N107" i="5"/>
  <c r="O2910" i="1" l="1"/>
  <c r="H95" i="248"/>
  <c r="C95" i="248" s="1"/>
  <c r="O2842" i="246"/>
  <c r="R2842" i="246" s="1"/>
  <c r="O3709" i="1"/>
  <c r="M3545" i="1"/>
  <c r="O3381" i="1"/>
  <c r="M3217" i="1"/>
  <c r="M2910" i="1"/>
  <c r="O4037" i="1"/>
  <c r="M3873" i="1"/>
  <c r="E95" i="248" l="1"/>
  <c r="R2910" i="1"/>
  <c r="C2130" i="1"/>
  <c r="P348" i="5"/>
  <c r="J348" i="5" s="1"/>
  <c r="N348" i="5"/>
  <c r="P343" i="5"/>
  <c r="J343" i="5" s="1"/>
  <c r="N343" i="5"/>
  <c r="M348" i="192"/>
  <c r="G348" i="192" s="1"/>
  <c r="I348" i="192" s="1"/>
  <c r="K348" i="192"/>
  <c r="M343" i="192"/>
  <c r="G343" i="192" s="1"/>
  <c r="I343" i="192" s="1"/>
  <c r="K343" i="192"/>
  <c r="M348" i="190"/>
  <c r="G348" i="190" s="1"/>
  <c r="I348" i="190" s="1"/>
  <c r="K348" i="190"/>
  <c r="M343" i="190"/>
  <c r="G343" i="190" s="1"/>
  <c r="I343" i="190" s="1"/>
  <c r="K343" i="190"/>
  <c r="M348" i="136"/>
  <c r="G348" i="136" s="1"/>
  <c r="I348" i="136" s="1"/>
  <c r="K348" i="136"/>
  <c r="M343" i="136"/>
  <c r="G343" i="136" s="1"/>
  <c r="I343" i="136" s="1"/>
  <c r="K343" i="136"/>
  <c r="L348" i="5" l="1"/>
  <c r="L343" i="5"/>
  <c r="P331" i="5"/>
  <c r="J331" i="5" s="1"/>
  <c r="N331" i="5"/>
  <c r="P320" i="5"/>
  <c r="J320" i="5" s="1"/>
  <c r="N320" i="5"/>
  <c r="M331" i="192"/>
  <c r="G331" i="192" s="1"/>
  <c r="I331" i="192" s="1"/>
  <c r="K331" i="192"/>
  <c r="M320" i="192"/>
  <c r="G320" i="192" s="1"/>
  <c r="I320" i="192" s="1"/>
  <c r="K320" i="192"/>
  <c r="M331" i="190"/>
  <c r="G331" i="190" s="1"/>
  <c r="I331" i="190" s="1"/>
  <c r="K331" i="190"/>
  <c r="M320" i="190"/>
  <c r="G320" i="190" s="1"/>
  <c r="I320" i="190" s="1"/>
  <c r="K320" i="190"/>
  <c r="M331" i="136"/>
  <c r="G331" i="136" s="1"/>
  <c r="I331" i="136" s="1"/>
  <c r="K331" i="136"/>
  <c r="M320" i="136"/>
  <c r="G320" i="136" s="1"/>
  <c r="I320" i="136" s="1"/>
  <c r="K320" i="136"/>
  <c r="C2613" i="1" l="1"/>
  <c r="L320" i="5" l="1"/>
  <c r="L331" i="5"/>
  <c r="C2370" i="1"/>
  <c r="C2371" i="1"/>
  <c r="C2372" i="1"/>
  <c r="C2373" i="1"/>
  <c r="C2374" i="1"/>
  <c r="C2375" i="1"/>
  <c r="C2376" i="1"/>
  <c r="C2377" i="1"/>
  <c r="C2378" i="1"/>
  <c r="C2379" i="1"/>
  <c r="D201" i="1" l="1"/>
  <c r="F49" i="80" l="1"/>
  <c r="F40" i="80"/>
  <c r="K110" i="89" l="1"/>
  <c r="Z110" i="89" s="1"/>
  <c r="AB110" i="89" s="1"/>
  <c r="AC110" i="89" l="1"/>
  <c r="K115" i="89"/>
  <c r="K114" i="89"/>
  <c r="Z114" i="89" l="1"/>
  <c r="AB114" i="89" s="1"/>
  <c r="AC114" i="89" s="1"/>
  <c r="Z115" i="89"/>
  <c r="AB115" i="89" s="1"/>
  <c r="AC115" i="89" s="1"/>
  <c r="K147" i="89"/>
  <c r="Z147" i="89" l="1"/>
  <c r="AB147" i="89" s="1"/>
  <c r="AC147" i="89" s="1"/>
  <c r="E62" i="80"/>
  <c r="C61" i="80"/>
  <c r="C256" i="231"/>
  <c r="C255" i="231"/>
  <c r="C254" i="231"/>
  <c r="C253" i="231"/>
  <c r="C252" i="231"/>
  <c r="C251" i="231"/>
  <c r="C250" i="231"/>
  <c r="C249" i="231"/>
  <c r="C248" i="231"/>
  <c r="C247" i="231"/>
  <c r="C246" i="231"/>
  <c r="C245" i="231"/>
  <c r="C244" i="231"/>
  <c r="C243" i="231"/>
  <c r="C242" i="231"/>
  <c r="C241" i="231"/>
  <c r="C240" i="231"/>
  <c r="C239" i="231"/>
  <c r="C238" i="231"/>
  <c r="C237" i="231"/>
  <c r="C236" i="231"/>
  <c r="C235" i="231"/>
  <c r="C234" i="231"/>
  <c r="C233" i="231"/>
  <c r="C232" i="231"/>
  <c r="C231" i="231"/>
  <c r="C230" i="231"/>
  <c r="C229" i="231"/>
  <c r="C228" i="231"/>
  <c r="C227" i="231"/>
  <c r="C226" i="231"/>
  <c r="C225" i="231"/>
  <c r="C224" i="231"/>
  <c r="C223" i="231"/>
  <c r="C222" i="231"/>
  <c r="C221" i="231"/>
  <c r="C220" i="231"/>
  <c r="C219" i="231"/>
  <c r="C218" i="231"/>
  <c r="C217" i="231"/>
  <c r="C216" i="231"/>
  <c r="C215" i="231"/>
  <c r="C214" i="231"/>
  <c r="C213" i="231"/>
  <c r="C212" i="231"/>
  <c r="C211" i="231"/>
  <c r="C210" i="231"/>
  <c r="C209" i="231"/>
  <c r="C208" i="231"/>
  <c r="C207" i="231"/>
  <c r="C206" i="231"/>
  <c r="C205" i="231"/>
  <c r="C204" i="231"/>
  <c r="C203" i="231"/>
  <c r="C202" i="231"/>
  <c r="C201" i="231"/>
  <c r="C200" i="231"/>
  <c r="C199" i="231"/>
  <c r="C198" i="231"/>
  <c r="C197" i="231"/>
  <c r="C196" i="231"/>
  <c r="C195" i="231"/>
  <c r="C194" i="231"/>
  <c r="C193" i="231"/>
  <c r="C192" i="231"/>
  <c r="C191" i="231"/>
  <c r="C190" i="231"/>
  <c r="C189" i="231"/>
  <c r="C188" i="231"/>
  <c r="C187" i="231"/>
  <c r="C186" i="231"/>
  <c r="C185" i="231"/>
  <c r="C184" i="231"/>
  <c r="C183" i="231"/>
  <c r="C182" i="231"/>
  <c r="C181" i="231"/>
  <c r="C180" i="231"/>
  <c r="C179" i="231"/>
  <c r="C178" i="231"/>
  <c r="C177" i="231"/>
  <c r="C176" i="231"/>
  <c r="C175" i="231"/>
  <c r="C174" i="231"/>
  <c r="C173" i="231"/>
  <c r="C172" i="231"/>
  <c r="C171" i="231"/>
  <c r="C170" i="231"/>
  <c r="C169" i="231"/>
  <c r="C168" i="231"/>
  <c r="C167" i="231"/>
  <c r="C166" i="231"/>
  <c r="C165" i="231"/>
  <c r="C164" i="231"/>
  <c r="C163" i="231"/>
  <c r="C162" i="231"/>
  <c r="C161" i="231"/>
  <c r="C160" i="231"/>
  <c r="C159" i="231"/>
  <c r="C158" i="231"/>
  <c r="C157" i="231"/>
  <c r="C156" i="231"/>
  <c r="C155" i="231"/>
  <c r="C154" i="231"/>
  <c r="C153" i="231"/>
  <c r="C152" i="231"/>
  <c r="C151" i="231"/>
  <c r="C150" i="231"/>
  <c r="C149" i="231"/>
  <c r="C148" i="231"/>
  <c r="C147" i="231"/>
  <c r="C146" i="231"/>
  <c r="C145" i="231"/>
  <c r="C144" i="231"/>
  <c r="C143" i="231"/>
  <c r="C142" i="231"/>
  <c r="C141" i="231"/>
  <c r="C140" i="231"/>
  <c r="C139" i="231"/>
  <c r="C138" i="231"/>
  <c r="C137" i="231"/>
  <c r="C136" i="231"/>
  <c r="C135" i="231"/>
  <c r="C134" i="231"/>
  <c r="C133" i="231"/>
  <c r="C132" i="231"/>
  <c r="C131" i="231"/>
  <c r="C130" i="231"/>
  <c r="C129" i="231"/>
  <c r="C128" i="231"/>
  <c r="C127" i="231"/>
  <c r="C126" i="231"/>
  <c r="C125" i="231"/>
  <c r="C124" i="231"/>
  <c r="C123" i="231"/>
  <c r="C122" i="231"/>
  <c r="C121" i="231"/>
  <c r="C120" i="231"/>
  <c r="C119" i="231"/>
  <c r="C118" i="231"/>
  <c r="C117" i="231"/>
  <c r="C116" i="231"/>
  <c r="C115" i="231"/>
  <c r="C114" i="231"/>
  <c r="C113" i="231"/>
  <c r="C112" i="231"/>
  <c r="C111" i="231"/>
  <c r="C110" i="231"/>
  <c r="C109" i="231"/>
  <c r="C108" i="231"/>
  <c r="C107" i="231"/>
  <c r="C106" i="231"/>
  <c r="C105" i="231"/>
  <c r="C104" i="231"/>
  <c r="C103" i="231"/>
  <c r="C102" i="231"/>
  <c r="C101" i="231"/>
  <c r="C100" i="231"/>
  <c r="C99" i="231"/>
  <c r="C98" i="231"/>
  <c r="C97" i="231"/>
  <c r="C96" i="231"/>
  <c r="C95" i="231"/>
  <c r="C94" i="231"/>
  <c r="C93" i="231"/>
  <c r="C92" i="231"/>
  <c r="C91" i="231"/>
  <c r="C90" i="231"/>
  <c r="C89" i="231"/>
  <c r="C88" i="231"/>
  <c r="C87" i="231"/>
  <c r="C86" i="231"/>
  <c r="C85" i="231"/>
  <c r="C84" i="231"/>
  <c r="C83" i="231"/>
  <c r="C82" i="231"/>
  <c r="C81" i="231"/>
  <c r="C80" i="231"/>
  <c r="C79" i="231"/>
  <c r="C78" i="231"/>
  <c r="C77" i="231"/>
  <c r="C76" i="231"/>
  <c r="C75" i="231"/>
  <c r="C74" i="231"/>
  <c r="C73" i="231"/>
  <c r="C72" i="231"/>
  <c r="C71" i="231"/>
  <c r="C70" i="231"/>
  <c r="C69" i="231"/>
  <c r="C68" i="231"/>
  <c r="C67" i="231"/>
  <c r="C66" i="231"/>
  <c r="C65" i="231"/>
  <c r="C64" i="231"/>
  <c r="C63" i="231"/>
  <c r="C62" i="231"/>
  <c r="C61" i="231"/>
  <c r="C60" i="231"/>
  <c r="C59" i="231"/>
  <c r="C58" i="231"/>
  <c r="C57" i="231"/>
  <c r="C56" i="231"/>
  <c r="C55" i="231"/>
  <c r="C54" i="231"/>
  <c r="C53" i="231"/>
  <c r="C52" i="231"/>
  <c r="C51" i="231"/>
  <c r="C50" i="231"/>
  <c r="C49" i="231"/>
  <c r="C48" i="231"/>
  <c r="C47" i="231"/>
  <c r="C46" i="231"/>
  <c r="C45" i="231"/>
  <c r="C44" i="231"/>
  <c r="C43" i="231"/>
  <c r="C42" i="231"/>
  <c r="C41" i="231"/>
  <c r="C40" i="231"/>
  <c r="C39" i="231"/>
  <c r="C38" i="231"/>
  <c r="C37" i="231"/>
  <c r="C36" i="231"/>
  <c r="C35" i="231"/>
  <c r="C34" i="231"/>
  <c r="C33" i="231"/>
  <c r="C32" i="231"/>
  <c r="C31" i="231"/>
  <c r="C30" i="231"/>
  <c r="C29" i="231"/>
  <c r="C28" i="231"/>
  <c r="C27" i="231"/>
  <c r="C26" i="231"/>
  <c r="C25" i="231"/>
  <c r="C24" i="231"/>
  <c r="C23" i="231"/>
  <c r="C22" i="231"/>
  <c r="C21" i="231"/>
  <c r="C20" i="231"/>
  <c r="C19" i="231"/>
  <c r="C18" i="231"/>
  <c r="C17" i="231"/>
  <c r="B18" i="231"/>
  <c r="B19" i="231" s="1"/>
  <c r="B20" i="231" s="1"/>
  <c r="B21" i="231" s="1"/>
  <c r="B22" i="231" s="1"/>
  <c r="B23" i="231" s="1"/>
  <c r="B24" i="231" s="1"/>
  <c r="B25" i="231" s="1"/>
  <c r="B26" i="231" s="1"/>
  <c r="B27" i="231" s="1"/>
  <c r="B28" i="231" s="1"/>
  <c r="B29" i="231" s="1"/>
  <c r="B30" i="231" s="1"/>
  <c r="B31" i="231" s="1"/>
  <c r="B32" i="231" s="1"/>
  <c r="B33" i="231" s="1"/>
  <c r="B34" i="231" s="1"/>
  <c r="B35" i="231" s="1"/>
  <c r="B36" i="231" s="1"/>
  <c r="B37" i="231" s="1"/>
  <c r="B38" i="231" s="1"/>
  <c r="B39" i="231" s="1"/>
  <c r="B40" i="231" s="1"/>
  <c r="B41" i="231" s="1"/>
  <c r="B42" i="231" s="1"/>
  <c r="B43" i="231" s="1"/>
  <c r="B44" i="231" s="1"/>
  <c r="B45" i="231" s="1"/>
  <c r="B46" i="231" s="1"/>
  <c r="B47" i="231" s="1"/>
  <c r="B48" i="231" s="1"/>
  <c r="B49" i="231" s="1"/>
  <c r="B50" i="231" s="1"/>
  <c r="B51" i="231" s="1"/>
  <c r="B52" i="231" s="1"/>
  <c r="B53" i="231" s="1"/>
  <c r="B54" i="231" s="1"/>
  <c r="B55" i="231" s="1"/>
  <c r="B56" i="231" s="1"/>
  <c r="B57" i="231" s="1"/>
  <c r="B58" i="231" s="1"/>
  <c r="B59" i="231" s="1"/>
  <c r="B60" i="231" s="1"/>
  <c r="B61" i="231" s="1"/>
  <c r="B62" i="231" s="1"/>
  <c r="B63" i="231" s="1"/>
  <c r="B64" i="231" s="1"/>
  <c r="B65" i="231" s="1"/>
  <c r="B66" i="231" s="1"/>
  <c r="B67" i="231" s="1"/>
  <c r="B68" i="231" s="1"/>
  <c r="B69" i="231" s="1"/>
  <c r="B70" i="231" s="1"/>
  <c r="B71" i="231" s="1"/>
  <c r="B72" i="231" s="1"/>
  <c r="B73" i="231" s="1"/>
  <c r="B74" i="231" s="1"/>
  <c r="B75" i="231" s="1"/>
  <c r="B76" i="231" s="1"/>
  <c r="B77" i="231" s="1"/>
  <c r="B78" i="231" s="1"/>
  <c r="B79" i="231" s="1"/>
  <c r="B80" i="231" s="1"/>
  <c r="B81" i="231" s="1"/>
  <c r="B82" i="231" s="1"/>
  <c r="B83" i="231" s="1"/>
  <c r="B84" i="231" s="1"/>
  <c r="B85" i="231" s="1"/>
  <c r="B86" i="231" s="1"/>
  <c r="B87" i="231" s="1"/>
  <c r="B88" i="231" s="1"/>
  <c r="B89" i="231" s="1"/>
  <c r="B90" i="231" s="1"/>
  <c r="B91" i="231" s="1"/>
  <c r="B92" i="231" s="1"/>
  <c r="B93" i="231" s="1"/>
  <c r="B94" i="231" s="1"/>
  <c r="B95" i="231" s="1"/>
  <c r="B96" i="231" s="1"/>
  <c r="B97" i="231" s="1"/>
  <c r="B98" i="231" s="1"/>
  <c r="B99" i="231" s="1"/>
  <c r="B100" i="231" s="1"/>
  <c r="B101" i="231" s="1"/>
  <c r="B102" i="231" s="1"/>
  <c r="B103" i="231" s="1"/>
  <c r="B104" i="231" s="1"/>
  <c r="B105" i="231" s="1"/>
  <c r="B106" i="231" s="1"/>
  <c r="B107" i="231" s="1"/>
  <c r="B108" i="231" s="1"/>
  <c r="B109" i="231" s="1"/>
  <c r="B110" i="231" s="1"/>
  <c r="B111" i="231" s="1"/>
  <c r="B112" i="231" s="1"/>
  <c r="B113" i="231" s="1"/>
  <c r="B114" i="231" s="1"/>
  <c r="B115" i="231" s="1"/>
  <c r="B116" i="231" s="1"/>
  <c r="B117" i="231" s="1"/>
  <c r="B118" i="231" s="1"/>
  <c r="B119" i="231" s="1"/>
  <c r="B120" i="231" s="1"/>
  <c r="B121" i="231" s="1"/>
  <c r="B122" i="231" s="1"/>
  <c r="B123" i="231" s="1"/>
  <c r="B124" i="231" s="1"/>
  <c r="B125" i="231" s="1"/>
  <c r="B126" i="231" s="1"/>
  <c r="B127" i="231" s="1"/>
  <c r="B128" i="231" s="1"/>
  <c r="B129" i="231" s="1"/>
  <c r="B130" i="231" s="1"/>
  <c r="B131" i="231" s="1"/>
  <c r="B132" i="231" s="1"/>
  <c r="B133" i="231" s="1"/>
  <c r="B134" i="231" s="1"/>
  <c r="B135" i="231" s="1"/>
  <c r="B136" i="231" s="1"/>
  <c r="B137" i="231" s="1"/>
  <c r="B138" i="231" s="1"/>
  <c r="B139" i="231" s="1"/>
  <c r="B140" i="231" s="1"/>
  <c r="B141" i="231" s="1"/>
  <c r="B142" i="231" s="1"/>
  <c r="B143" i="231" s="1"/>
  <c r="B144" i="231" s="1"/>
  <c r="B145" i="231" s="1"/>
  <c r="B146" i="231" s="1"/>
  <c r="B147" i="231" s="1"/>
  <c r="B148" i="231" s="1"/>
  <c r="B149" i="231" s="1"/>
  <c r="B150" i="231" s="1"/>
  <c r="B151" i="231" s="1"/>
  <c r="B152" i="231" s="1"/>
  <c r="B153" i="231" s="1"/>
  <c r="B154" i="231" s="1"/>
  <c r="B155" i="231" s="1"/>
  <c r="B156" i="231" s="1"/>
  <c r="B157" i="231" s="1"/>
  <c r="B158" i="231" s="1"/>
  <c r="B159" i="231" s="1"/>
  <c r="B160" i="231" s="1"/>
  <c r="B161" i="231" s="1"/>
  <c r="B162" i="231" s="1"/>
  <c r="B163" i="231" s="1"/>
  <c r="B164" i="231" s="1"/>
  <c r="B165" i="231" s="1"/>
  <c r="B166" i="231" s="1"/>
  <c r="B167" i="231" s="1"/>
  <c r="B168" i="231" s="1"/>
  <c r="B169" i="231" s="1"/>
  <c r="B170" i="231" s="1"/>
  <c r="B171" i="231" s="1"/>
  <c r="B172" i="231" s="1"/>
  <c r="B173" i="231" s="1"/>
  <c r="B174" i="231" s="1"/>
  <c r="B175" i="231" s="1"/>
  <c r="B176" i="231" s="1"/>
  <c r="B177" i="231" s="1"/>
  <c r="B178" i="231" s="1"/>
  <c r="B179" i="231" s="1"/>
  <c r="B180" i="231" s="1"/>
  <c r="B181" i="231" s="1"/>
  <c r="B182" i="231" s="1"/>
  <c r="B183" i="231" s="1"/>
  <c r="B184" i="231" s="1"/>
  <c r="B185" i="231" s="1"/>
  <c r="B186" i="231" s="1"/>
  <c r="B187" i="231" s="1"/>
  <c r="B188" i="231" s="1"/>
  <c r="B189" i="231" s="1"/>
  <c r="B190" i="231" s="1"/>
  <c r="B191" i="231" s="1"/>
  <c r="B192" i="231" s="1"/>
  <c r="B193" i="231" s="1"/>
  <c r="B194" i="231" s="1"/>
  <c r="B195" i="231" s="1"/>
  <c r="B196" i="231" s="1"/>
  <c r="B197" i="231" s="1"/>
  <c r="B198" i="231" s="1"/>
  <c r="B199" i="231" s="1"/>
  <c r="B200" i="231" s="1"/>
  <c r="B201" i="231" s="1"/>
  <c r="B202" i="231" s="1"/>
  <c r="B203" i="231" s="1"/>
  <c r="B204" i="231" s="1"/>
  <c r="B205" i="231" s="1"/>
  <c r="B206" i="231" s="1"/>
  <c r="B207" i="231" s="1"/>
  <c r="B208" i="231" s="1"/>
  <c r="B209" i="231" s="1"/>
  <c r="B210" i="231" s="1"/>
  <c r="B211" i="231" s="1"/>
  <c r="B212" i="231" s="1"/>
  <c r="B213" i="231" s="1"/>
  <c r="B214" i="231" s="1"/>
  <c r="B215" i="231" s="1"/>
  <c r="B216" i="231" s="1"/>
  <c r="B217" i="231" s="1"/>
  <c r="B218" i="231" s="1"/>
  <c r="B219" i="231" s="1"/>
  <c r="B220" i="231" s="1"/>
  <c r="B221" i="231" s="1"/>
  <c r="B222" i="231" s="1"/>
  <c r="B223" i="231" s="1"/>
  <c r="B224" i="231" s="1"/>
  <c r="B225" i="231" s="1"/>
  <c r="B226" i="231" s="1"/>
  <c r="B227" i="231" s="1"/>
  <c r="B228" i="231" s="1"/>
  <c r="B229" i="231" s="1"/>
  <c r="B230" i="231" s="1"/>
  <c r="B231" i="231" s="1"/>
  <c r="B232" i="231" s="1"/>
  <c r="B233" i="231" s="1"/>
  <c r="B234" i="231" s="1"/>
  <c r="B235" i="231" s="1"/>
  <c r="B236" i="231" s="1"/>
  <c r="B237" i="231" s="1"/>
  <c r="B238" i="231" s="1"/>
  <c r="B239" i="231" s="1"/>
  <c r="B240" i="231" s="1"/>
  <c r="B241" i="231" s="1"/>
  <c r="B242" i="231" s="1"/>
  <c r="B243" i="231" s="1"/>
  <c r="B244" i="231" s="1"/>
  <c r="B245" i="231" s="1"/>
  <c r="B246" i="231" s="1"/>
  <c r="B247" i="231" s="1"/>
  <c r="B248" i="231" s="1"/>
  <c r="B249" i="231" s="1"/>
  <c r="B250" i="231" s="1"/>
  <c r="B251" i="231" s="1"/>
  <c r="B252" i="231" s="1"/>
  <c r="B253" i="231" s="1"/>
  <c r="B254" i="231" s="1"/>
  <c r="B255" i="231" s="1"/>
  <c r="B256" i="231" s="1"/>
  <c r="G16" i="231"/>
  <c r="E17" i="231" s="1"/>
  <c r="E3" i="231"/>
  <c r="C2" i="231"/>
  <c r="F18" i="230"/>
  <c r="G8" i="230"/>
  <c r="G6" i="230"/>
  <c r="E3" i="230"/>
  <c r="C2" i="230"/>
  <c r="H89" i="167"/>
  <c r="G89" i="167"/>
  <c r="H72" i="167"/>
  <c r="G72" i="167"/>
  <c r="H52" i="167"/>
  <c r="G52" i="167"/>
  <c r="H35" i="167"/>
  <c r="G35" i="167"/>
  <c r="H18" i="167"/>
  <c r="G18" i="167"/>
  <c r="G37" i="178"/>
  <c r="H37" i="178"/>
  <c r="H22" i="187"/>
  <c r="G22" i="187"/>
  <c r="C258" i="231" l="1"/>
  <c r="G18" i="230"/>
  <c r="G21" i="230" s="1"/>
  <c r="G6" i="229"/>
  <c r="E3" i="229"/>
  <c r="C2" i="229"/>
  <c r="H17" i="124"/>
  <c r="G17" i="124"/>
  <c r="G60" i="187"/>
  <c r="H60" i="187"/>
  <c r="H43" i="187"/>
  <c r="G43" i="187"/>
  <c r="G17" i="206"/>
  <c r="F17" i="231" l="1"/>
  <c r="G17" i="231" l="1"/>
  <c r="E18" i="231" s="1"/>
  <c r="F18" i="231" s="1"/>
  <c r="G18" i="231" s="1"/>
  <c r="E19" i="231" s="1"/>
  <c r="F19" i="231" s="1"/>
  <c r="G19" i="231" s="1"/>
  <c r="E20" i="231" l="1"/>
  <c r="F20" i="231" s="1"/>
  <c r="G20" i="231" s="1"/>
  <c r="D662" i="1"/>
  <c r="E21" i="231" l="1"/>
  <c r="F21" i="231" s="1"/>
  <c r="G21" i="231" s="1"/>
  <c r="H91" i="187"/>
  <c r="G91" i="187"/>
  <c r="H74" i="187"/>
  <c r="G74" i="187"/>
  <c r="H17" i="206"/>
  <c r="E22" i="231" l="1"/>
  <c r="F22" i="231" s="1"/>
  <c r="G22" i="231" s="1"/>
  <c r="E23" i="231" l="1"/>
  <c r="F23" i="231" s="1"/>
  <c r="G23" i="231" s="1"/>
  <c r="E24" i="231" l="1"/>
  <c r="F24" i="231" s="1"/>
  <c r="G24" i="231" s="1"/>
  <c r="E25" i="231" l="1"/>
  <c r="F25" i="231" s="1"/>
  <c r="G25" i="231" s="1"/>
  <c r="E26" i="231" l="1"/>
  <c r="F26" i="231" s="1"/>
  <c r="G26" i="231" s="1"/>
  <c r="E27" i="231" l="1"/>
  <c r="F27" i="231" s="1"/>
  <c r="G27" i="231" s="1"/>
  <c r="F447" i="4"/>
  <c r="O832" i="1" s="1"/>
  <c r="U832" i="1" l="1"/>
  <c r="E28" i="231"/>
  <c r="F28" i="231" s="1"/>
  <c r="G28" i="231" s="1"/>
  <c r="E29" i="231" l="1"/>
  <c r="F29" i="231" s="1"/>
  <c r="G29" i="231" s="1"/>
  <c r="E30" i="231" s="1"/>
  <c r="F30" i="231" s="1"/>
  <c r="G30" i="231" s="1"/>
  <c r="E31" i="231" l="1"/>
  <c r="F31" i="231" s="1"/>
  <c r="G31" i="231" s="1"/>
  <c r="E32" i="231" l="1"/>
  <c r="F32" i="231" s="1"/>
  <c r="G32" i="231" s="1"/>
  <c r="E33" i="231" s="1"/>
  <c r="F33" i="231" s="1"/>
  <c r="G33" i="231" s="1"/>
  <c r="E34" i="231" l="1"/>
  <c r="F34" i="231" s="1"/>
  <c r="G34" i="231" s="1"/>
  <c r="J21" i="80"/>
  <c r="J20" i="80"/>
  <c r="J19" i="80"/>
  <c r="J18" i="80"/>
  <c r="J17" i="80"/>
  <c r="J16" i="80"/>
  <c r="J15" i="80"/>
  <c r="E35" i="231" l="1"/>
  <c r="F35" i="231" s="1"/>
  <c r="G35" i="231" s="1"/>
  <c r="F458" i="4"/>
  <c r="O843" i="1" s="1"/>
  <c r="U843" i="1" l="1"/>
  <c r="E36" i="231"/>
  <c r="F36" i="231" s="1"/>
  <c r="G36" i="231" s="1"/>
  <c r="E37" i="231" l="1"/>
  <c r="F37" i="231" s="1"/>
  <c r="G37" i="231" s="1"/>
  <c r="E38" i="231" l="1"/>
  <c r="F38" i="231" s="1"/>
  <c r="G38" i="231" s="1"/>
  <c r="E39" i="231" l="1"/>
  <c r="F39" i="231" s="1"/>
  <c r="G39" i="231" s="1"/>
  <c r="E40" i="231" l="1"/>
  <c r="F40" i="231" s="1"/>
  <c r="G40" i="231" s="1"/>
  <c r="E41" i="231" l="1"/>
  <c r="F41" i="231" s="1"/>
  <c r="G41" i="231" s="1"/>
  <c r="E42" i="231" l="1"/>
  <c r="F42" i="231" s="1"/>
  <c r="G42" i="231" s="1"/>
  <c r="E43" i="231" l="1"/>
  <c r="F43" i="231" s="1"/>
  <c r="G43" i="231" s="1"/>
  <c r="AA272" i="89"/>
  <c r="AA233" i="89"/>
  <c r="AA199" i="89"/>
  <c r="AA155" i="89"/>
  <c r="AA370" i="89" l="1"/>
  <c r="AA265" i="89"/>
  <c r="AA192" i="89"/>
  <c r="AA149" i="89"/>
  <c r="E44" i="231"/>
  <c r="F44" i="231" s="1"/>
  <c r="G44" i="231" s="1"/>
  <c r="U85" i="242" l="1"/>
  <c r="AA373" i="89"/>
  <c r="E45" i="231"/>
  <c r="F45" i="231" s="1"/>
  <c r="G45" i="231" s="1"/>
  <c r="E46" i="231" l="1"/>
  <c r="F46" i="231" s="1"/>
  <c r="G46" i="231" s="1"/>
  <c r="E47" i="231" l="1"/>
  <c r="F47" i="231" s="1"/>
  <c r="G47" i="231" s="1"/>
  <c r="M21" i="80"/>
  <c r="V21" i="80" s="1"/>
  <c r="E48" i="231" l="1"/>
  <c r="F48" i="231" s="1"/>
  <c r="G48" i="231" s="1"/>
  <c r="E49" i="231" l="1"/>
  <c r="F49" i="231" s="1"/>
  <c r="G49" i="231" s="1"/>
  <c r="E50" i="231" l="1"/>
  <c r="F50" i="231" s="1"/>
  <c r="G50" i="231" s="1"/>
  <c r="E51" i="231" l="1"/>
  <c r="F51" i="231" s="1"/>
  <c r="G51" i="231" s="1"/>
  <c r="E52" i="231" l="1"/>
  <c r="F52" i="231" s="1"/>
  <c r="G52" i="231" s="1"/>
  <c r="E53" i="231" l="1"/>
  <c r="F53" i="231" s="1"/>
  <c r="G53" i="231" s="1"/>
  <c r="E54" i="231" l="1"/>
  <c r="F54" i="231" s="1"/>
  <c r="G54" i="231" s="1"/>
  <c r="E55" i="231" l="1"/>
  <c r="F55" i="231" s="1"/>
  <c r="G55" i="231" s="1"/>
  <c r="E56" i="231" l="1"/>
  <c r="F56" i="231" s="1"/>
  <c r="G56" i="231" s="1"/>
  <c r="E57" i="231" l="1"/>
  <c r="F57" i="231" s="1"/>
  <c r="G57" i="231" s="1"/>
  <c r="E58" i="231" l="1"/>
  <c r="F58" i="231" s="1"/>
  <c r="G58" i="231" s="1"/>
  <c r="E59" i="231" l="1"/>
  <c r="F59" i="231" s="1"/>
  <c r="G59" i="231" s="1"/>
  <c r="R2890" i="1"/>
  <c r="R2806" i="1"/>
  <c r="D2890" i="1"/>
  <c r="D2806" i="1"/>
  <c r="E60" i="231" l="1"/>
  <c r="F60" i="231" s="1"/>
  <c r="G60" i="231" s="1"/>
  <c r="C3" i="80"/>
  <c r="C22" i="168"/>
  <c r="C21" i="168"/>
  <c r="C20" i="168"/>
  <c r="C19" i="168"/>
  <c r="G6" i="206"/>
  <c r="E3" i="206"/>
  <c r="C2" i="206"/>
  <c r="E61" i="231" l="1"/>
  <c r="F61" i="231" s="1"/>
  <c r="G61" i="231" s="1"/>
  <c r="M199" i="192"/>
  <c r="G199" i="192" s="1"/>
  <c r="K199" i="192"/>
  <c r="F199" i="192" s="1"/>
  <c r="M198" i="192"/>
  <c r="G198" i="192" s="1"/>
  <c r="K198" i="192"/>
  <c r="F198" i="192" s="1"/>
  <c r="M199" i="190"/>
  <c r="G199" i="190" s="1"/>
  <c r="K199" i="190"/>
  <c r="F199" i="190" s="1"/>
  <c r="M198" i="190"/>
  <c r="G198" i="190" s="1"/>
  <c r="K198" i="190"/>
  <c r="F198" i="190" s="1"/>
  <c r="M199" i="136"/>
  <c r="G199" i="136" s="1"/>
  <c r="K199" i="136"/>
  <c r="F199" i="136" s="1"/>
  <c r="M198" i="136"/>
  <c r="G198" i="136" s="1"/>
  <c r="K198" i="136"/>
  <c r="F198" i="136" s="1"/>
  <c r="E62" i="231" l="1"/>
  <c r="F62" i="231" s="1"/>
  <c r="G62" i="231" s="1"/>
  <c r="I198" i="136"/>
  <c r="F198" i="5" s="1"/>
  <c r="I199" i="136"/>
  <c r="F199" i="5" s="1"/>
  <c r="I198" i="192"/>
  <c r="H198" i="5" s="1"/>
  <c r="I199" i="192"/>
  <c r="H199" i="5" s="1"/>
  <c r="I199" i="190"/>
  <c r="G199" i="5" s="1"/>
  <c r="I198" i="190"/>
  <c r="G198" i="5" s="1"/>
  <c r="C1466" i="1"/>
  <c r="C1465" i="1"/>
  <c r="C1464" i="1"/>
  <c r="C1455" i="1"/>
  <c r="C1454" i="1"/>
  <c r="C1453" i="1"/>
  <c r="C1444" i="1"/>
  <c r="C1443" i="1"/>
  <c r="C1442" i="1"/>
  <c r="M152" i="192"/>
  <c r="G152" i="192" s="1"/>
  <c r="I152" i="192" s="1"/>
  <c r="O1427" i="246" s="1"/>
  <c r="R1427" i="246" s="1"/>
  <c r="K152" i="192"/>
  <c r="O1466" i="1" s="1"/>
  <c r="M151" i="192"/>
  <c r="G151" i="192" s="1"/>
  <c r="I151" i="192" s="1"/>
  <c r="O1426" i="246" s="1"/>
  <c r="R1426" i="246" s="1"/>
  <c r="K151" i="192"/>
  <c r="O1465" i="1" s="1"/>
  <c r="M150" i="192"/>
  <c r="G150" i="192" s="1"/>
  <c r="I150" i="192" s="1"/>
  <c r="O1425" i="246" s="1"/>
  <c r="R1425" i="246" s="1"/>
  <c r="K150" i="192"/>
  <c r="O1464" i="1" s="1"/>
  <c r="M152" i="136"/>
  <c r="G152" i="136" s="1"/>
  <c r="I152" i="136" s="1"/>
  <c r="O1405" i="246" s="1"/>
  <c r="R1405" i="246" s="1"/>
  <c r="O1444" i="1"/>
  <c r="M151" i="136"/>
  <c r="G151" i="136" s="1"/>
  <c r="I151" i="136" s="1"/>
  <c r="O1404" i="246" s="1"/>
  <c r="R1404" i="246" s="1"/>
  <c r="O1443" i="1"/>
  <c r="M150" i="136"/>
  <c r="G150" i="136" s="1"/>
  <c r="I150" i="136" s="1"/>
  <c r="O1403" i="246" s="1"/>
  <c r="R1403" i="246" s="1"/>
  <c r="O1442" i="1"/>
  <c r="M152" i="190"/>
  <c r="G152" i="190" s="1"/>
  <c r="I152" i="190" s="1"/>
  <c r="O1416" i="246" s="1"/>
  <c r="R1416" i="246" s="1"/>
  <c r="O1455" i="1"/>
  <c r="M151" i="190"/>
  <c r="G151" i="190" s="1"/>
  <c r="I151" i="190" s="1"/>
  <c r="O1415" i="246" s="1"/>
  <c r="R1415" i="246" s="1"/>
  <c r="O1454" i="1"/>
  <c r="M150" i="190"/>
  <c r="G150" i="190" s="1"/>
  <c r="I150" i="190" s="1"/>
  <c r="O1414" i="246" s="1"/>
  <c r="R1414" i="246" s="1"/>
  <c r="O1453" i="1"/>
  <c r="M1453" i="1" l="1"/>
  <c r="R1453" i="1" s="1"/>
  <c r="M1455" i="1"/>
  <c r="R1455" i="1" s="1"/>
  <c r="M1464" i="1"/>
  <c r="R1464" i="1" s="1"/>
  <c r="M1466" i="1"/>
  <c r="R1466" i="1" s="1"/>
  <c r="M1454" i="1"/>
  <c r="R1454" i="1" s="1"/>
  <c r="M1465" i="1"/>
  <c r="R1465" i="1" s="1"/>
  <c r="E63" i="231"/>
  <c r="F63" i="231" s="1"/>
  <c r="G63" i="231" s="1"/>
  <c r="M1443" i="1"/>
  <c r="R1443" i="1" s="1"/>
  <c r="M1442" i="1"/>
  <c r="R1442" i="1" s="1"/>
  <c r="M1444" i="1"/>
  <c r="R1444" i="1" s="1"/>
  <c r="E64" i="231" l="1"/>
  <c r="F64" i="231" s="1"/>
  <c r="G64" i="231" s="1"/>
  <c r="E65" i="231" l="1"/>
  <c r="F65" i="231" s="1"/>
  <c r="G65" i="231" s="1"/>
  <c r="E66" i="231" l="1"/>
  <c r="F66" i="231" s="1"/>
  <c r="G66" i="231" s="1"/>
  <c r="K366" i="89"/>
  <c r="Z366" i="89" s="1"/>
  <c r="AB366" i="89" s="1"/>
  <c r="AC366" i="89" s="1"/>
  <c r="K365" i="89"/>
  <c r="K364" i="89"/>
  <c r="K363" i="89"/>
  <c r="K362" i="89"/>
  <c r="Z362" i="89" s="1"/>
  <c r="AB362" i="89" s="1"/>
  <c r="AC362" i="89" s="1"/>
  <c r="K361" i="89"/>
  <c r="K360" i="89"/>
  <c r="K359" i="89"/>
  <c r="K358" i="89"/>
  <c r="Z358" i="89" s="1"/>
  <c r="AB358" i="89" s="1"/>
  <c r="AC358" i="89" s="1"/>
  <c r="K357" i="89"/>
  <c r="K356" i="89"/>
  <c r="K355" i="89"/>
  <c r="K354" i="89"/>
  <c r="Z354" i="89" s="1"/>
  <c r="AB354" i="89" s="1"/>
  <c r="AC354" i="89" s="1"/>
  <c r="K353" i="89"/>
  <c r="K352" i="89"/>
  <c r="K351" i="89"/>
  <c r="K350" i="89"/>
  <c r="Z350" i="89" s="1"/>
  <c r="AB350" i="89" s="1"/>
  <c r="AC350" i="89" s="1"/>
  <c r="K349" i="89"/>
  <c r="K348" i="89"/>
  <c r="K347" i="89"/>
  <c r="K346" i="89"/>
  <c r="Z346" i="89" s="1"/>
  <c r="AB346" i="89" s="1"/>
  <c r="AC346" i="89" s="1"/>
  <c r="K345" i="89"/>
  <c r="K344" i="89"/>
  <c r="K343" i="89"/>
  <c r="K342" i="89"/>
  <c r="Z342" i="89" s="1"/>
  <c r="AB342" i="89" s="1"/>
  <c r="AC342" i="89" s="1"/>
  <c r="K341" i="89"/>
  <c r="K340" i="89"/>
  <c r="K339" i="89"/>
  <c r="K338" i="89"/>
  <c r="K337" i="89"/>
  <c r="K336" i="89"/>
  <c r="K335" i="89"/>
  <c r="K334" i="89"/>
  <c r="Z334" i="89" s="1"/>
  <c r="AB334" i="89" s="1"/>
  <c r="AC334" i="89" s="1"/>
  <c r="K333" i="89"/>
  <c r="K332" i="89"/>
  <c r="K331" i="89"/>
  <c r="K330" i="89"/>
  <c r="Z330" i="89" s="1"/>
  <c r="AB330" i="89" s="1"/>
  <c r="AC330" i="89" s="1"/>
  <c r="K329" i="89"/>
  <c r="K328" i="89"/>
  <c r="K327" i="89"/>
  <c r="K326" i="89"/>
  <c r="Z326" i="89" s="1"/>
  <c r="AB326" i="89" s="1"/>
  <c r="AC326" i="89" s="1"/>
  <c r="K325" i="89"/>
  <c r="K324" i="89"/>
  <c r="K323" i="89"/>
  <c r="K322" i="89"/>
  <c r="Z322" i="89" s="1"/>
  <c r="AB322" i="89" s="1"/>
  <c r="AC322" i="89" s="1"/>
  <c r="K321" i="89"/>
  <c r="Z321" i="89" s="1"/>
  <c r="AB321" i="89" s="1"/>
  <c r="AC321" i="89" s="1"/>
  <c r="K320" i="89"/>
  <c r="K319" i="89"/>
  <c r="K318" i="89"/>
  <c r="K317" i="89"/>
  <c r="K316" i="89"/>
  <c r="K315" i="89"/>
  <c r="K314" i="89"/>
  <c r="Z314" i="89" s="1"/>
  <c r="AB314" i="89" s="1"/>
  <c r="AC314" i="89" s="1"/>
  <c r="K313" i="89"/>
  <c r="K312" i="89"/>
  <c r="K311" i="89"/>
  <c r="K310" i="89"/>
  <c r="K309" i="89"/>
  <c r="K308" i="89"/>
  <c r="K307" i="89"/>
  <c r="K306" i="89"/>
  <c r="K305" i="89"/>
  <c r="K304" i="89"/>
  <c r="K303" i="89"/>
  <c r="K302" i="89"/>
  <c r="K301" i="89"/>
  <c r="K300" i="89"/>
  <c r="K299" i="89"/>
  <c r="K298" i="89"/>
  <c r="K297" i="89"/>
  <c r="K296" i="89"/>
  <c r="K295" i="89"/>
  <c r="K294" i="89"/>
  <c r="K146" i="89"/>
  <c r="Z146" i="89" s="1"/>
  <c r="AB146" i="89" s="1"/>
  <c r="K145" i="89"/>
  <c r="Z145" i="89" s="1"/>
  <c r="AB145" i="89" s="1"/>
  <c r="K144" i="89"/>
  <c r="Z144" i="89" s="1"/>
  <c r="AB144" i="89" s="1"/>
  <c r="K143" i="89"/>
  <c r="Z143" i="89" s="1"/>
  <c r="AB143" i="89" s="1"/>
  <c r="K142" i="89"/>
  <c r="Z142" i="89" s="1"/>
  <c r="AB142" i="89" s="1"/>
  <c r="K141" i="89"/>
  <c r="Z141" i="89" s="1"/>
  <c r="AB141" i="89" s="1"/>
  <c r="K140" i="89"/>
  <c r="Z140" i="89" s="1"/>
  <c r="AB140" i="89" s="1"/>
  <c r="K139" i="89"/>
  <c r="Z139" i="89" s="1"/>
  <c r="AB139" i="89" s="1"/>
  <c r="K138" i="89"/>
  <c r="Z138" i="89" s="1"/>
  <c r="AB138" i="89" s="1"/>
  <c r="K137" i="89"/>
  <c r="Z137" i="89" s="1"/>
  <c r="AB137" i="89" s="1"/>
  <c r="K136" i="89"/>
  <c r="Z136" i="89" s="1"/>
  <c r="AB136" i="89" s="1"/>
  <c r="K135" i="89"/>
  <c r="Z135" i="89" s="1"/>
  <c r="AB135" i="89" s="1"/>
  <c r="K134" i="89"/>
  <c r="Z134" i="89" s="1"/>
  <c r="AB134" i="89" s="1"/>
  <c r="K133" i="89"/>
  <c r="Z133" i="89" s="1"/>
  <c r="AB133" i="89" s="1"/>
  <c r="K132" i="89"/>
  <c r="Z132" i="89" s="1"/>
  <c r="AB132" i="89" s="1"/>
  <c r="K131" i="89"/>
  <c r="Z131" i="89" s="1"/>
  <c r="AB131" i="89" s="1"/>
  <c r="K130" i="89"/>
  <c r="Z130" i="89" s="1"/>
  <c r="AB130" i="89" s="1"/>
  <c r="K129" i="89"/>
  <c r="Z129" i="89" s="1"/>
  <c r="AB129" i="89" s="1"/>
  <c r="K118" i="89"/>
  <c r="K117" i="89"/>
  <c r="K116" i="89"/>
  <c r="K113" i="89"/>
  <c r="K112" i="89"/>
  <c r="K111" i="89"/>
  <c r="K109" i="89"/>
  <c r="C369" i="4"/>
  <c r="C364" i="4"/>
  <c r="P198" i="5"/>
  <c r="N198" i="5"/>
  <c r="O2377" i="1" s="1"/>
  <c r="P197" i="5"/>
  <c r="N197" i="5"/>
  <c r="O2376" i="1" s="1"/>
  <c r="Z109" i="89" l="1"/>
  <c r="AB109" i="89" s="1"/>
  <c r="AC109" i="89" s="1"/>
  <c r="Z116" i="89"/>
  <c r="AB116" i="89" s="1"/>
  <c r="AC116" i="89" s="1"/>
  <c r="Z113" i="89"/>
  <c r="AB113" i="89" s="1"/>
  <c r="AC113" i="89" s="1"/>
  <c r="Z111" i="89"/>
  <c r="AB111" i="89" s="1"/>
  <c r="AC111" i="89" s="1"/>
  <c r="Z117" i="89"/>
  <c r="AB117" i="89" s="1"/>
  <c r="AC117" i="89" s="1"/>
  <c r="Z112" i="89"/>
  <c r="AB112" i="89" s="1"/>
  <c r="AC112" i="89" s="1"/>
  <c r="Z118" i="89"/>
  <c r="AB118" i="89" s="1"/>
  <c r="AC118" i="89" s="1"/>
  <c r="Z305" i="89"/>
  <c r="AB305" i="89" s="1"/>
  <c r="AC305" i="89" s="1"/>
  <c r="Z313" i="89"/>
  <c r="AB313" i="89" s="1"/>
  <c r="AC313" i="89" s="1"/>
  <c r="Z325" i="89"/>
  <c r="AB325" i="89" s="1"/>
  <c r="AC325" i="89" s="1"/>
  <c r="Z349" i="89"/>
  <c r="AB349" i="89" s="1"/>
  <c r="AC349" i="89" s="1"/>
  <c r="Z302" i="89"/>
  <c r="AB302" i="89" s="1"/>
  <c r="AC302" i="89" s="1"/>
  <c r="Z310" i="89"/>
  <c r="AB310" i="89" s="1"/>
  <c r="AC310" i="89" s="1"/>
  <c r="Z318" i="89"/>
  <c r="AB318" i="89" s="1"/>
  <c r="AC318" i="89" s="1"/>
  <c r="Z297" i="89"/>
  <c r="AB297" i="89" s="1"/>
  <c r="AC297" i="89" s="1"/>
  <c r="Z309" i="89"/>
  <c r="AB309" i="89" s="1"/>
  <c r="AC309" i="89" s="1"/>
  <c r="Z317" i="89"/>
  <c r="AB317" i="89" s="1"/>
  <c r="AC317" i="89" s="1"/>
  <c r="Z333" i="89"/>
  <c r="AB333" i="89" s="1"/>
  <c r="AC333" i="89" s="1"/>
  <c r="Z353" i="89"/>
  <c r="AB353" i="89" s="1"/>
  <c r="AC353" i="89" s="1"/>
  <c r="Z298" i="89"/>
  <c r="AB298" i="89" s="1"/>
  <c r="AC298" i="89" s="1"/>
  <c r="Z306" i="89"/>
  <c r="AB306" i="89" s="1"/>
  <c r="AC306" i="89" s="1"/>
  <c r="Z295" i="89"/>
  <c r="AB295" i="89" s="1"/>
  <c r="AC295" i="89" s="1"/>
  <c r="Z299" i="89"/>
  <c r="AB299" i="89" s="1"/>
  <c r="AC299" i="89" s="1"/>
  <c r="Z303" i="89"/>
  <c r="AB303" i="89" s="1"/>
  <c r="AC303" i="89" s="1"/>
  <c r="Z307" i="89"/>
  <c r="AB307" i="89" s="1"/>
  <c r="AC307" i="89" s="1"/>
  <c r="Z311" i="89"/>
  <c r="AB311" i="89" s="1"/>
  <c r="AC311" i="89" s="1"/>
  <c r="Z315" i="89"/>
  <c r="AB315" i="89" s="1"/>
  <c r="AC315" i="89" s="1"/>
  <c r="Z319" i="89"/>
  <c r="AB319" i="89" s="1"/>
  <c r="AC319" i="89" s="1"/>
  <c r="Z323" i="89"/>
  <c r="AB323" i="89" s="1"/>
  <c r="AC323" i="89" s="1"/>
  <c r="Z327" i="89"/>
  <c r="AB327" i="89" s="1"/>
  <c r="AC327" i="89" s="1"/>
  <c r="Z331" i="89"/>
  <c r="AB331" i="89" s="1"/>
  <c r="AC331" i="89" s="1"/>
  <c r="Z335" i="89"/>
  <c r="AB335" i="89" s="1"/>
  <c r="AC335" i="89" s="1"/>
  <c r="Z339" i="89"/>
  <c r="AB339" i="89" s="1"/>
  <c r="AC339" i="89" s="1"/>
  <c r="Z343" i="89"/>
  <c r="AB343" i="89" s="1"/>
  <c r="AC343" i="89" s="1"/>
  <c r="Z347" i="89"/>
  <c r="AB347" i="89" s="1"/>
  <c r="AC347" i="89" s="1"/>
  <c r="Z351" i="89"/>
  <c r="AB351" i="89" s="1"/>
  <c r="AC351" i="89" s="1"/>
  <c r="Z355" i="89"/>
  <c r="AB355" i="89" s="1"/>
  <c r="AC355" i="89" s="1"/>
  <c r="Z359" i="89"/>
  <c r="AB359" i="89" s="1"/>
  <c r="AC359" i="89" s="1"/>
  <c r="Z363" i="89"/>
  <c r="AB363" i="89" s="1"/>
  <c r="AC363" i="89" s="1"/>
  <c r="Z301" i="89"/>
  <c r="AB301" i="89" s="1"/>
  <c r="AC301" i="89" s="1"/>
  <c r="Z329" i="89"/>
  <c r="AB329" i="89" s="1"/>
  <c r="AC329" i="89" s="1"/>
  <c r="Z337" i="89"/>
  <c r="AB337" i="89" s="1"/>
  <c r="AC337" i="89" s="1"/>
  <c r="Z341" i="89"/>
  <c r="AB341" i="89" s="1"/>
  <c r="AC341" i="89" s="1"/>
  <c r="Z345" i="89"/>
  <c r="AB345" i="89" s="1"/>
  <c r="AC345" i="89" s="1"/>
  <c r="Z357" i="89"/>
  <c r="AB357" i="89" s="1"/>
  <c r="AC357" i="89" s="1"/>
  <c r="Z361" i="89"/>
  <c r="AB361" i="89" s="1"/>
  <c r="AC361" i="89" s="1"/>
  <c r="Z365" i="89"/>
  <c r="AB365" i="89" s="1"/>
  <c r="AC365" i="89" s="1"/>
  <c r="Z294" i="89"/>
  <c r="AB294" i="89" s="1"/>
  <c r="AC294" i="89" s="1"/>
  <c r="Z338" i="89"/>
  <c r="AB338" i="89" s="1"/>
  <c r="AC338" i="89" s="1"/>
  <c r="Z296" i="89"/>
  <c r="AB296" i="89" s="1"/>
  <c r="AC296" i="89" s="1"/>
  <c r="Z300" i="89"/>
  <c r="AB300" i="89" s="1"/>
  <c r="AC300" i="89" s="1"/>
  <c r="Z304" i="89"/>
  <c r="AB304" i="89" s="1"/>
  <c r="AC304" i="89" s="1"/>
  <c r="Z308" i="89"/>
  <c r="AB308" i="89" s="1"/>
  <c r="AC308" i="89" s="1"/>
  <c r="Z312" i="89"/>
  <c r="AB312" i="89" s="1"/>
  <c r="AC312" i="89" s="1"/>
  <c r="Z316" i="89"/>
  <c r="AB316" i="89" s="1"/>
  <c r="AC316" i="89" s="1"/>
  <c r="Z320" i="89"/>
  <c r="AB320" i="89" s="1"/>
  <c r="AC320" i="89" s="1"/>
  <c r="Z324" i="89"/>
  <c r="AB324" i="89" s="1"/>
  <c r="AC324" i="89" s="1"/>
  <c r="Z328" i="89"/>
  <c r="AB328" i="89" s="1"/>
  <c r="AC328" i="89" s="1"/>
  <c r="Z332" i="89"/>
  <c r="AB332" i="89" s="1"/>
  <c r="AC332" i="89" s="1"/>
  <c r="Z336" i="89"/>
  <c r="AB336" i="89" s="1"/>
  <c r="AC336" i="89" s="1"/>
  <c r="Z340" i="89"/>
  <c r="AB340" i="89" s="1"/>
  <c r="AC340" i="89" s="1"/>
  <c r="Z344" i="89"/>
  <c r="AB344" i="89" s="1"/>
  <c r="AC344" i="89" s="1"/>
  <c r="Z348" i="89"/>
  <c r="AB348" i="89" s="1"/>
  <c r="AC348" i="89" s="1"/>
  <c r="Z352" i="89"/>
  <c r="AB352" i="89" s="1"/>
  <c r="AC352" i="89" s="1"/>
  <c r="Z356" i="89"/>
  <c r="AB356" i="89" s="1"/>
  <c r="AC356" i="89" s="1"/>
  <c r="Z360" i="89"/>
  <c r="AB360" i="89" s="1"/>
  <c r="AC360" i="89" s="1"/>
  <c r="Z364" i="89"/>
  <c r="AB364" i="89" s="1"/>
  <c r="AC364" i="89" s="1"/>
  <c r="AC130" i="89"/>
  <c r="AC134" i="89"/>
  <c r="AC138" i="89"/>
  <c r="AC142" i="89"/>
  <c r="AC146" i="89"/>
  <c r="AC131" i="89"/>
  <c r="AC135" i="89"/>
  <c r="AC139" i="89"/>
  <c r="AC143" i="89"/>
  <c r="AC132" i="89"/>
  <c r="AC136" i="89"/>
  <c r="AC140" i="89"/>
  <c r="AC144" i="89"/>
  <c r="AC129" i="89"/>
  <c r="AC133" i="89"/>
  <c r="AC137" i="89"/>
  <c r="AC141" i="89"/>
  <c r="AC145" i="89"/>
  <c r="E67" i="231"/>
  <c r="F67" i="231" s="1"/>
  <c r="G67" i="231" s="1"/>
  <c r="I197" i="5"/>
  <c r="H19" i="168"/>
  <c r="I198" i="5"/>
  <c r="H20" i="168"/>
  <c r="E68" i="231" l="1"/>
  <c r="F68" i="231" s="1"/>
  <c r="G68" i="231" s="1"/>
  <c r="C1430" i="1"/>
  <c r="C1429" i="1"/>
  <c r="C1428" i="1"/>
  <c r="P149" i="5"/>
  <c r="N149" i="5"/>
  <c r="P148" i="5"/>
  <c r="N148" i="5"/>
  <c r="P147" i="5"/>
  <c r="J147" i="5" s="1"/>
  <c r="L147" i="5" s="1"/>
  <c r="O1389" i="246" s="1"/>
  <c r="R1389" i="246" s="1"/>
  <c r="N147" i="5"/>
  <c r="E69" i="231" l="1"/>
  <c r="F69" i="231" s="1"/>
  <c r="G69" i="231" s="1"/>
  <c r="M1428" i="1"/>
  <c r="O1429" i="1"/>
  <c r="O1428" i="1"/>
  <c r="O1430" i="1"/>
  <c r="E70" i="231" l="1"/>
  <c r="F70" i="231" s="1"/>
  <c r="G70" i="231" s="1"/>
  <c r="R1428" i="1"/>
  <c r="N386" i="5"/>
  <c r="O2639" i="1" s="1"/>
  <c r="E71" i="231" l="1"/>
  <c r="F71" i="231" s="1"/>
  <c r="G71" i="231" s="1"/>
  <c r="E72" i="231" l="1"/>
  <c r="F72" i="231" s="1"/>
  <c r="G72" i="231" s="1"/>
  <c r="E73" i="231" l="1"/>
  <c r="F73" i="231" s="1"/>
  <c r="G73" i="231" s="1"/>
  <c r="E74" i="231" l="1"/>
  <c r="F74" i="231" s="1"/>
  <c r="G74" i="231" s="1"/>
  <c r="E75" i="231" l="1"/>
  <c r="F75" i="231" s="1"/>
  <c r="G75" i="231" s="1"/>
  <c r="K108" i="89"/>
  <c r="K107" i="89"/>
  <c r="K106" i="89"/>
  <c r="K105" i="89"/>
  <c r="K104" i="89"/>
  <c r="K103" i="89"/>
  <c r="K102" i="89"/>
  <c r="K101" i="89"/>
  <c r="K100" i="89"/>
  <c r="K99" i="89"/>
  <c r="K98" i="89"/>
  <c r="K97" i="89"/>
  <c r="K96" i="89"/>
  <c r="K95" i="89"/>
  <c r="K94" i="89"/>
  <c r="K93" i="89"/>
  <c r="K92" i="89"/>
  <c r="K91" i="89"/>
  <c r="K90" i="89"/>
  <c r="K89" i="89"/>
  <c r="K88" i="89"/>
  <c r="K87" i="89"/>
  <c r="K86" i="89"/>
  <c r="K85" i="89"/>
  <c r="K84" i="89"/>
  <c r="K83" i="89"/>
  <c r="K82" i="89"/>
  <c r="Z82" i="89" l="1"/>
  <c r="AB82" i="89" s="1"/>
  <c r="AC82" i="89" s="1"/>
  <c r="Z94" i="89"/>
  <c r="AB94" i="89" s="1"/>
  <c r="AC94" i="89" s="1"/>
  <c r="Z106" i="89"/>
  <c r="AB106" i="89" s="1"/>
  <c r="AC106" i="89" s="1"/>
  <c r="Z83" i="89"/>
  <c r="AB83" i="89" s="1"/>
  <c r="AC83" i="89" s="1"/>
  <c r="Z87" i="89"/>
  <c r="AB87" i="89" s="1"/>
  <c r="AC87" i="89" s="1"/>
  <c r="Z91" i="89"/>
  <c r="AB91" i="89" s="1"/>
  <c r="AC91" i="89" s="1"/>
  <c r="Z95" i="89"/>
  <c r="AB95" i="89" s="1"/>
  <c r="AC95" i="89" s="1"/>
  <c r="Z99" i="89"/>
  <c r="AB99" i="89" s="1"/>
  <c r="AC99" i="89" s="1"/>
  <c r="Z103" i="89"/>
  <c r="AB103" i="89" s="1"/>
  <c r="AC103" i="89" s="1"/>
  <c r="Z107" i="89"/>
  <c r="AB107" i="89" s="1"/>
  <c r="AC107" i="89" s="1"/>
  <c r="Z86" i="89"/>
  <c r="AB86" i="89" s="1"/>
  <c r="AC86" i="89" s="1"/>
  <c r="Z102" i="89"/>
  <c r="AB102" i="89" s="1"/>
  <c r="AC102" i="89" s="1"/>
  <c r="Z88" i="89"/>
  <c r="AB88" i="89" s="1"/>
  <c r="AC88" i="89" s="1"/>
  <c r="Z92" i="89"/>
  <c r="AB92" i="89" s="1"/>
  <c r="AC92" i="89" s="1"/>
  <c r="Z96" i="89"/>
  <c r="AB96" i="89" s="1"/>
  <c r="AC96" i="89" s="1"/>
  <c r="Z100" i="89"/>
  <c r="AB100" i="89" s="1"/>
  <c r="AC100" i="89" s="1"/>
  <c r="Z104" i="89"/>
  <c r="AB104" i="89" s="1"/>
  <c r="AC104" i="89" s="1"/>
  <c r="Z108" i="89"/>
  <c r="AB108" i="89" s="1"/>
  <c r="AC108" i="89" s="1"/>
  <c r="Z90" i="89"/>
  <c r="AB90" i="89" s="1"/>
  <c r="AC90" i="89" s="1"/>
  <c r="Z98" i="89"/>
  <c r="AB98" i="89" s="1"/>
  <c r="AC98" i="89" s="1"/>
  <c r="Z84" i="89"/>
  <c r="AB84" i="89" s="1"/>
  <c r="AC84" i="89" s="1"/>
  <c r="Z85" i="89"/>
  <c r="AB85" i="89" s="1"/>
  <c r="AC85" i="89" s="1"/>
  <c r="Z89" i="89"/>
  <c r="AB89" i="89" s="1"/>
  <c r="AC89" i="89" s="1"/>
  <c r="Z93" i="89"/>
  <c r="AB93" i="89" s="1"/>
  <c r="AC93" i="89" s="1"/>
  <c r="Z97" i="89"/>
  <c r="AB97" i="89" s="1"/>
  <c r="AC97" i="89" s="1"/>
  <c r="Z101" i="89"/>
  <c r="AB101" i="89" s="1"/>
  <c r="AC101" i="89" s="1"/>
  <c r="Z105" i="89"/>
  <c r="AB105" i="89" s="1"/>
  <c r="AC105" i="89" s="1"/>
  <c r="E76" i="231"/>
  <c r="F76" i="231" s="1"/>
  <c r="G76" i="231" s="1"/>
  <c r="C2567" i="1"/>
  <c r="C2566" i="1"/>
  <c r="E77" i="231" l="1"/>
  <c r="F77" i="231" s="1"/>
  <c r="G77" i="231" s="1"/>
  <c r="E78" i="231" l="1"/>
  <c r="F78" i="231" s="1"/>
  <c r="G78" i="231" s="1"/>
  <c r="K121" i="89"/>
  <c r="Z121" i="89" s="1"/>
  <c r="AB121" i="89" s="1"/>
  <c r="AC121" i="89" l="1"/>
  <c r="E79" i="231"/>
  <c r="F79" i="231" s="1"/>
  <c r="G79" i="231" s="1"/>
  <c r="E80" i="231" l="1"/>
  <c r="F80" i="231" s="1"/>
  <c r="G80" i="231" s="1"/>
  <c r="E81" i="231" l="1"/>
  <c r="F81" i="231" s="1"/>
  <c r="G81" i="231" s="1"/>
  <c r="G24" i="4"/>
  <c r="D229" i="1" l="1"/>
  <c r="D304" i="1"/>
  <c r="D305" i="246"/>
  <c r="D229" i="246"/>
  <c r="D361" i="246"/>
  <c r="D222" i="246"/>
  <c r="D265" i="246"/>
  <c r="D453" i="1"/>
  <c r="D453" i="246"/>
  <c r="D185" i="1"/>
  <c r="D185" i="246"/>
  <c r="D192" i="1"/>
  <c r="D192" i="246"/>
  <c r="E82" i="231"/>
  <c r="F82" i="231" s="1"/>
  <c r="G82" i="231" s="1"/>
  <c r="E83" i="231" l="1"/>
  <c r="F83" i="231" s="1"/>
  <c r="G83" i="231" s="1"/>
  <c r="O3060" i="1"/>
  <c r="R3065" i="1" l="1"/>
  <c r="O3065" i="1"/>
  <c r="E84" i="231"/>
  <c r="F84" i="231" s="1"/>
  <c r="G84" i="231" s="1"/>
  <c r="K120" i="89"/>
  <c r="Z120" i="89" s="1"/>
  <c r="AB120" i="89" s="1"/>
  <c r="K119" i="89"/>
  <c r="Z119" i="89" s="1"/>
  <c r="AB119" i="89" s="1"/>
  <c r="K81" i="89"/>
  <c r="K80" i="89"/>
  <c r="K79" i="89"/>
  <c r="Z79" i="89" l="1"/>
  <c r="AB79" i="89" s="1"/>
  <c r="AC79" i="89" s="1"/>
  <c r="Z80" i="89"/>
  <c r="AB80" i="89" s="1"/>
  <c r="AC80" i="89" s="1"/>
  <c r="Z81" i="89"/>
  <c r="AB81" i="89" s="1"/>
  <c r="AC81" i="89" s="1"/>
  <c r="O3069" i="1"/>
  <c r="M2986" i="1" s="1"/>
  <c r="R2986" i="1" s="1"/>
  <c r="R3104" i="1"/>
  <c r="R3072" i="1"/>
  <c r="AC119" i="89"/>
  <c r="AC120" i="89"/>
  <c r="E85" i="231"/>
  <c r="F85" i="231" s="1"/>
  <c r="G85" i="231" s="1"/>
  <c r="E86" i="231" l="1"/>
  <c r="F86" i="231" s="1"/>
  <c r="G86" i="231" s="1"/>
  <c r="E87" i="231" l="1"/>
  <c r="F87" i="231" s="1"/>
  <c r="G87" i="231" s="1"/>
  <c r="E88" i="231" l="1"/>
  <c r="F88" i="231" s="1"/>
  <c r="G88" i="231" s="1"/>
  <c r="E89" i="231" l="1"/>
  <c r="F89" i="231" s="1"/>
  <c r="G89" i="231" s="1"/>
  <c r="E90" i="231" l="1"/>
  <c r="F90" i="231" s="1"/>
  <c r="G90" i="231" s="1"/>
  <c r="R93" i="1"/>
  <c r="R94" i="1"/>
  <c r="R95" i="1"/>
  <c r="R96" i="1"/>
  <c r="E91" i="231" l="1"/>
  <c r="F91" i="231" s="1"/>
  <c r="G91" i="231" s="1"/>
  <c r="K128" i="89"/>
  <c r="Z128" i="89" s="1"/>
  <c r="AB128" i="89" s="1"/>
  <c r="K127" i="89"/>
  <c r="Z127" i="89" s="1"/>
  <c r="AB127" i="89" s="1"/>
  <c r="K126" i="89"/>
  <c r="Z126" i="89" s="1"/>
  <c r="AB126" i="89" s="1"/>
  <c r="K125" i="89"/>
  <c r="Z125" i="89" s="1"/>
  <c r="AB125" i="89" s="1"/>
  <c r="K124" i="89"/>
  <c r="K123" i="89"/>
  <c r="Z123" i="89" s="1"/>
  <c r="AB123" i="89" s="1"/>
  <c r="K122" i="89"/>
  <c r="Z122" i="89" s="1"/>
  <c r="AB122" i="89" s="1"/>
  <c r="K78" i="89"/>
  <c r="K77" i="89"/>
  <c r="K76" i="89"/>
  <c r="K75" i="89"/>
  <c r="AC75" i="89" s="1"/>
  <c r="K74" i="89"/>
  <c r="AC74" i="89" s="1"/>
  <c r="K73" i="89"/>
  <c r="K72" i="89"/>
  <c r="K71" i="89"/>
  <c r="Z71" i="89" s="1"/>
  <c r="AB71" i="89" s="1"/>
  <c r="K70" i="89"/>
  <c r="Z70" i="89" s="1"/>
  <c r="AB70" i="89" s="1"/>
  <c r="K69" i="89"/>
  <c r="Z69" i="89" s="1"/>
  <c r="AB69" i="89" s="1"/>
  <c r="K68" i="89"/>
  <c r="Z68" i="89" s="1"/>
  <c r="AB68" i="89" s="1"/>
  <c r="K273" i="89"/>
  <c r="K272" i="89"/>
  <c r="Z76" i="89" l="1"/>
  <c r="AB76" i="89" s="1"/>
  <c r="AC76" i="89" s="1"/>
  <c r="Z73" i="89"/>
  <c r="AB73" i="89" s="1"/>
  <c r="AC73" i="89" s="1"/>
  <c r="Z77" i="89"/>
  <c r="AB77" i="89" s="1"/>
  <c r="AC77" i="89" s="1"/>
  <c r="Z124" i="89"/>
  <c r="AB124" i="89" s="1"/>
  <c r="AC124" i="89" s="1"/>
  <c r="Z72" i="89"/>
  <c r="AB72" i="89" s="1"/>
  <c r="AC72" i="89" s="1"/>
  <c r="Z78" i="89"/>
  <c r="AB78" i="89" s="1"/>
  <c r="AC78" i="89" s="1"/>
  <c r="Z273" i="89"/>
  <c r="AB273" i="89" s="1"/>
  <c r="AC273" i="89" s="1"/>
  <c r="AC68" i="89"/>
  <c r="AC123" i="89"/>
  <c r="AC127" i="89"/>
  <c r="AC69" i="89"/>
  <c r="AC70" i="89"/>
  <c r="AC125" i="89"/>
  <c r="AC71" i="89"/>
  <c r="AC122" i="89"/>
  <c r="AC126" i="89"/>
  <c r="AC128" i="89"/>
  <c r="E92" i="231"/>
  <c r="F92" i="231" s="1"/>
  <c r="G92" i="231" s="1"/>
  <c r="Z272" i="89"/>
  <c r="E93" i="231" l="1"/>
  <c r="F93" i="231" s="1"/>
  <c r="G93" i="231" s="1"/>
  <c r="AB272" i="89"/>
  <c r="AC272" i="89" s="1"/>
  <c r="C34" i="170"/>
  <c r="C27" i="170"/>
  <c r="E94" i="231" l="1"/>
  <c r="F94" i="231" s="1"/>
  <c r="G94" i="231" s="1"/>
  <c r="E95" i="231" l="1"/>
  <c r="F95" i="231" s="1"/>
  <c r="G95" i="231" s="1"/>
  <c r="E96" i="231" l="1"/>
  <c r="F96" i="231" s="1"/>
  <c r="G96" i="231" s="1"/>
  <c r="M2072" i="1"/>
  <c r="D2069" i="1"/>
  <c r="D2066" i="1"/>
  <c r="D2065" i="1"/>
  <c r="M2040" i="1"/>
  <c r="D2037" i="1"/>
  <c r="D2034" i="1"/>
  <c r="D2033" i="1"/>
  <c r="E97" i="231" l="1"/>
  <c r="F97" i="231" s="1"/>
  <c r="G97" i="231" s="1"/>
  <c r="C1468" i="1"/>
  <c r="C1467" i="1"/>
  <c r="C1463" i="1"/>
  <c r="C1462" i="1"/>
  <c r="C1461" i="1"/>
  <c r="C1460" i="1"/>
  <c r="C1459" i="1"/>
  <c r="C1458" i="1"/>
  <c r="D1393" i="1"/>
  <c r="D1392" i="1"/>
  <c r="D1391" i="1"/>
  <c r="D1390" i="1"/>
  <c r="C1318" i="1"/>
  <c r="C1317" i="1"/>
  <c r="C1316" i="1"/>
  <c r="C1229" i="1"/>
  <c r="C1228" i="1"/>
  <c r="C1227" i="1"/>
  <c r="C1226" i="1"/>
  <c r="M482" i="193"/>
  <c r="L482" i="193"/>
  <c r="M481" i="193"/>
  <c r="L481" i="193"/>
  <c r="M480" i="193"/>
  <c r="L480" i="193"/>
  <c r="M479" i="193"/>
  <c r="L479" i="193"/>
  <c r="M478" i="193"/>
  <c r="L478" i="193"/>
  <c r="M477" i="193"/>
  <c r="L477" i="193"/>
  <c r="M476" i="193"/>
  <c r="L476" i="193"/>
  <c r="M475" i="193"/>
  <c r="L475" i="193"/>
  <c r="M474" i="193"/>
  <c r="L474" i="193"/>
  <c r="M473" i="193"/>
  <c r="L473" i="193"/>
  <c r="M472" i="193"/>
  <c r="L472" i="193"/>
  <c r="M471" i="193"/>
  <c r="L471" i="193"/>
  <c r="M470" i="193"/>
  <c r="L470" i="193"/>
  <c r="M469" i="193"/>
  <c r="L469" i="193"/>
  <c r="M468" i="193"/>
  <c r="L468" i="193"/>
  <c r="M467" i="193"/>
  <c r="L467" i="193"/>
  <c r="M466" i="193"/>
  <c r="L466" i="193"/>
  <c r="M465" i="193"/>
  <c r="L465" i="193"/>
  <c r="M464" i="193"/>
  <c r="L464" i="193"/>
  <c r="M463" i="193"/>
  <c r="L463" i="193"/>
  <c r="M462" i="193"/>
  <c r="L462" i="193"/>
  <c r="M461" i="193"/>
  <c r="L461" i="193"/>
  <c r="M460" i="193"/>
  <c r="L460" i="193"/>
  <c r="M459" i="193"/>
  <c r="L459" i="193"/>
  <c r="M458" i="193"/>
  <c r="L458" i="193"/>
  <c r="M457" i="193"/>
  <c r="L457" i="193"/>
  <c r="M456" i="193"/>
  <c r="L456" i="193"/>
  <c r="M455" i="193"/>
  <c r="L455" i="193"/>
  <c r="M454" i="193"/>
  <c r="L454" i="193"/>
  <c r="M453" i="193"/>
  <c r="L453" i="193"/>
  <c r="M452" i="193"/>
  <c r="L452" i="193"/>
  <c r="M451" i="193"/>
  <c r="L451" i="193"/>
  <c r="M450" i="193"/>
  <c r="L450" i="193"/>
  <c r="M449" i="193"/>
  <c r="L449" i="193"/>
  <c r="M448" i="193"/>
  <c r="L448" i="193"/>
  <c r="M447" i="193"/>
  <c r="L447" i="193"/>
  <c r="M446" i="193"/>
  <c r="L446" i="193"/>
  <c r="M445" i="193"/>
  <c r="L445" i="193"/>
  <c r="M444" i="193"/>
  <c r="L444" i="193"/>
  <c r="M443" i="193"/>
  <c r="L443" i="193"/>
  <c r="M442" i="193"/>
  <c r="L442" i="193"/>
  <c r="M441" i="193"/>
  <c r="L441" i="193"/>
  <c r="M440" i="193"/>
  <c r="L440" i="193"/>
  <c r="M439" i="193"/>
  <c r="L439" i="193"/>
  <c r="M438" i="193"/>
  <c r="L438" i="193"/>
  <c r="M437" i="193"/>
  <c r="L437" i="193"/>
  <c r="M436" i="193"/>
  <c r="L436" i="193"/>
  <c r="M435" i="193"/>
  <c r="L435" i="193"/>
  <c r="M434" i="193"/>
  <c r="L434" i="193"/>
  <c r="M433" i="193"/>
  <c r="L433" i="193"/>
  <c r="M432" i="193"/>
  <c r="L432" i="193"/>
  <c r="M431" i="193"/>
  <c r="L431" i="193"/>
  <c r="M430" i="193"/>
  <c r="L430" i="193"/>
  <c r="M429" i="193"/>
  <c r="L429" i="193"/>
  <c r="M428" i="193"/>
  <c r="L428" i="193"/>
  <c r="M427" i="193"/>
  <c r="L427" i="193"/>
  <c r="M426" i="193"/>
  <c r="L426" i="193"/>
  <c r="M425" i="193"/>
  <c r="L425" i="193"/>
  <c r="M424" i="193"/>
  <c r="L424" i="193"/>
  <c r="M423" i="193"/>
  <c r="L423" i="193"/>
  <c r="M422" i="193"/>
  <c r="L422" i="193"/>
  <c r="M421" i="193"/>
  <c r="L421" i="193"/>
  <c r="M420" i="193"/>
  <c r="L420" i="193"/>
  <c r="M419" i="193"/>
  <c r="L419" i="193"/>
  <c r="M418" i="193"/>
  <c r="L418" i="193"/>
  <c r="M417" i="193"/>
  <c r="L417" i="193"/>
  <c r="M416" i="193"/>
  <c r="L416" i="193"/>
  <c r="M415" i="193"/>
  <c r="L415" i="193"/>
  <c r="M414" i="193"/>
  <c r="L414" i="193"/>
  <c r="M413" i="193"/>
  <c r="L413" i="193"/>
  <c r="M412" i="193"/>
  <c r="L412" i="193"/>
  <c r="M411" i="193"/>
  <c r="L411" i="193"/>
  <c r="M410" i="193"/>
  <c r="L410" i="193"/>
  <c r="M409" i="193"/>
  <c r="L409" i="193"/>
  <c r="M408" i="193"/>
  <c r="L408" i="193"/>
  <c r="M407" i="193"/>
  <c r="L407" i="193"/>
  <c r="M406" i="193"/>
  <c r="L406" i="193"/>
  <c r="M405" i="193"/>
  <c r="L405" i="193"/>
  <c r="M404" i="193"/>
  <c r="L404" i="193"/>
  <c r="M403" i="193"/>
  <c r="L403" i="193"/>
  <c r="M402" i="193"/>
  <c r="L402" i="193"/>
  <c r="M401" i="193"/>
  <c r="L401" i="193"/>
  <c r="M400" i="193"/>
  <c r="L400" i="193"/>
  <c r="M399" i="193"/>
  <c r="L399" i="193"/>
  <c r="M398" i="193"/>
  <c r="L398" i="193"/>
  <c r="M397" i="193"/>
  <c r="L397" i="193"/>
  <c r="M396" i="193"/>
  <c r="L396" i="193"/>
  <c r="M395" i="193"/>
  <c r="L395" i="193"/>
  <c r="M394" i="193"/>
  <c r="L394" i="193"/>
  <c r="M393" i="193"/>
  <c r="L393" i="193"/>
  <c r="M392" i="193"/>
  <c r="L392" i="193"/>
  <c r="M391" i="193"/>
  <c r="L391" i="193"/>
  <c r="M390" i="193"/>
  <c r="L390" i="193"/>
  <c r="M389" i="193"/>
  <c r="L389" i="193"/>
  <c r="M388" i="193"/>
  <c r="L388" i="193"/>
  <c r="M387" i="193"/>
  <c r="L387" i="193"/>
  <c r="M386" i="193"/>
  <c r="L386" i="193"/>
  <c r="M385" i="193"/>
  <c r="L385" i="193"/>
  <c r="M384" i="193"/>
  <c r="L384" i="193"/>
  <c r="M383" i="193"/>
  <c r="L383" i="193"/>
  <c r="M382" i="193"/>
  <c r="L382" i="193"/>
  <c r="M381" i="193"/>
  <c r="L381" i="193"/>
  <c r="M380" i="193"/>
  <c r="L380" i="193"/>
  <c r="M379" i="193"/>
  <c r="L379" i="193"/>
  <c r="M378" i="193"/>
  <c r="L378" i="193"/>
  <c r="M377" i="193"/>
  <c r="L377" i="193"/>
  <c r="M376" i="193"/>
  <c r="L376" i="193"/>
  <c r="M375" i="193"/>
  <c r="L375" i="193"/>
  <c r="M374" i="193"/>
  <c r="L374" i="193"/>
  <c r="M373" i="193"/>
  <c r="L373" i="193"/>
  <c r="M372" i="193"/>
  <c r="L372" i="193"/>
  <c r="M371" i="193"/>
  <c r="L371" i="193"/>
  <c r="M370" i="193"/>
  <c r="L370" i="193"/>
  <c r="M369" i="193"/>
  <c r="L369" i="193"/>
  <c r="M368" i="193"/>
  <c r="L368" i="193"/>
  <c r="M367" i="193"/>
  <c r="L367" i="193"/>
  <c r="M366" i="193"/>
  <c r="L366" i="193"/>
  <c r="M365" i="193"/>
  <c r="L365" i="193"/>
  <c r="M364" i="193"/>
  <c r="L364" i="193"/>
  <c r="M363" i="193"/>
  <c r="L363" i="193"/>
  <c r="M362" i="193"/>
  <c r="L362" i="193"/>
  <c r="M361" i="193"/>
  <c r="L361" i="193"/>
  <c r="M360" i="193"/>
  <c r="L360" i="193"/>
  <c r="M359" i="193"/>
  <c r="L359" i="193"/>
  <c r="M358" i="193"/>
  <c r="L358" i="193"/>
  <c r="M357" i="193"/>
  <c r="L357" i="193"/>
  <c r="M356" i="193"/>
  <c r="L356" i="193"/>
  <c r="M355" i="193"/>
  <c r="L355" i="193"/>
  <c r="M354" i="193"/>
  <c r="L354" i="193"/>
  <c r="M353" i="193"/>
  <c r="L353" i="193"/>
  <c r="M352" i="193"/>
  <c r="L352" i="193"/>
  <c r="M351" i="193"/>
  <c r="L351" i="193"/>
  <c r="M350" i="193"/>
  <c r="L350" i="193"/>
  <c r="M349" i="193"/>
  <c r="L349" i="193"/>
  <c r="M348" i="193"/>
  <c r="L348" i="193"/>
  <c r="M347" i="193"/>
  <c r="L347" i="193"/>
  <c r="M346" i="193"/>
  <c r="L346" i="193"/>
  <c r="M345" i="193"/>
  <c r="L345" i="193"/>
  <c r="M344" i="193"/>
  <c r="L344" i="193"/>
  <c r="M343" i="193"/>
  <c r="L343" i="193"/>
  <c r="M342" i="193"/>
  <c r="L342" i="193"/>
  <c r="M341" i="193"/>
  <c r="L341" i="193"/>
  <c r="M340" i="193"/>
  <c r="L340" i="193"/>
  <c r="M339" i="193"/>
  <c r="L339" i="193"/>
  <c r="M338" i="193"/>
  <c r="L338" i="193"/>
  <c r="M337" i="193"/>
  <c r="L337" i="193"/>
  <c r="M336" i="193"/>
  <c r="L336" i="193"/>
  <c r="M335" i="193"/>
  <c r="L335" i="193"/>
  <c r="M334" i="193"/>
  <c r="L334" i="193"/>
  <c r="M333" i="193"/>
  <c r="L333" i="193"/>
  <c r="M332" i="193"/>
  <c r="L332" i="193"/>
  <c r="M331" i="193"/>
  <c r="L331" i="193"/>
  <c r="M330" i="193"/>
  <c r="L330" i="193"/>
  <c r="M329" i="193"/>
  <c r="L329" i="193"/>
  <c r="M328" i="193"/>
  <c r="L328" i="193"/>
  <c r="M327" i="193"/>
  <c r="L327" i="193"/>
  <c r="M326" i="193"/>
  <c r="L326" i="193"/>
  <c r="M325" i="193"/>
  <c r="L325" i="193"/>
  <c r="M324" i="193"/>
  <c r="L324" i="193"/>
  <c r="M323" i="193"/>
  <c r="L323" i="193"/>
  <c r="M322" i="193"/>
  <c r="L322" i="193"/>
  <c r="M321" i="193"/>
  <c r="L321" i="193"/>
  <c r="M320" i="193"/>
  <c r="L320" i="193"/>
  <c r="M319" i="193"/>
  <c r="L319" i="193"/>
  <c r="M318" i="193"/>
  <c r="L318" i="193"/>
  <c r="M317" i="193"/>
  <c r="L317" i="193"/>
  <c r="M316" i="193"/>
  <c r="L316" i="193"/>
  <c r="M315" i="193"/>
  <c r="L315" i="193"/>
  <c r="M314" i="193"/>
  <c r="L314" i="193"/>
  <c r="M313" i="193"/>
  <c r="L313" i="193"/>
  <c r="M312" i="193"/>
  <c r="L312" i="193"/>
  <c r="M311" i="193"/>
  <c r="L311" i="193"/>
  <c r="M310" i="193"/>
  <c r="L310" i="193"/>
  <c r="M309" i="193"/>
  <c r="L309" i="193"/>
  <c r="M308" i="193"/>
  <c r="L308" i="193"/>
  <c r="M307" i="193"/>
  <c r="L307" i="193"/>
  <c r="M306" i="193"/>
  <c r="L306" i="193"/>
  <c r="M305" i="193"/>
  <c r="L305" i="193"/>
  <c r="M304" i="193"/>
  <c r="L304" i="193"/>
  <c r="M303" i="193"/>
  <c r="L303" i="193"/>
  <c r="M302" i="193"/>
  <c r="L302" i="193"/>
  <c r="M301" i="193"/>
  <c r="L301" i="193"/>
  <c r="M300" i="193"/>
  <c r="L300" i="193"/>
  <c r="M299" i="193"/>
  <c r="L299" i="193"/>
  <c r="M298" i="193"/>
  <c r="L298" i="193"/>
  <c r="M297" i="193"/>
  <c r="L297" i="193"/>
  <c r="M296" i="193"/>
  <c r="L296" i="193"/>
  <c r="M295" i="193"/>
  <c r="L295" i="193"/>
  <c r="M294" i="193"/>
  <c r="L294" i="193"/>
  <c r="M293" i="193"/>
  <c r="L293" i="193"/>
  <c r="M292" i="193"/>
  <c r="L292" i="193"/>
  <c r="M291" i="193"/>
  <c r="L291" i="193"/>
  <c r="M290" i="193"/>
  <c r="L290" i="193"/>
  <c r="M289" i="193"/>
  <c r="L289" i="193"/>
  <c r="M288" i="193"/>
  <c r="L288" i="193"/>
  <c r="M287" i="193"/>
  <c r="L287" i="193"/>
  <c r="M286" i="193"/>
  <c r="L286" i="193"/>
  <c r="M285" i="193"/>
  <c r="L285" i="193"/>
  <c r="M284" i="193"/>
  <c r="L284" i="193"/>
  <c r="M283" i="193"/>
  <c r="L283" i="193"/>
  <c r="M282" i="193"/>
  <c r="L282" i="193"/>
  <c r="M281" i="193"/>
  <c r="L281" i="193"/>
  <c r="M280" i="193"/>
  <c r="L280" i="193"/>
  <c r="M279" i="193"/>
  <c r="L279" i="193"/>
  <c r="M278" i="193"/>
  <c r="L278" i="193"/>
  <c r="M277" i="193"/>
  <c r="L277" i="193"/>
  <c r="M276" i="193"/>
  <c r="L276" i="193"/>
  <c r="M275" i="193"/>
  <c r="L275" i="193"/>
  <c r="M274" i="193"/>
  <c r="L274" i="193"/>
  <c r="M273" i="193"/>
  <c r="L273" i="193"/>
  <c r="M272" i="193"/>
  <c r="L272" i="193"/>
  <c r="M271" i="193"/>
  <c r="L271" i="193"/>
  <c r="M270" i="193"/>
  <c r="L270" i="193"/>
  <c r="M269" i="193"/>
  <c r="L269" i="193"/>
  <c r="M268" i="193"/>
  <c r="L268" i="193"/>
  <c r="M267" i="193"/>
  <c r="L267" i="193"/>
  <c r="M266" i="193"/>
  <c r="L266" i="193"/>
  <c r="M265" i="193"/>
  <c r="L265" i="193"/>
  <c r="M264" i="193"/>
  <c r="L264" i="193"/>
  <c r="M263" i="193"/>
  <c r="L263" i="193"/>
  <c r="M262" i="193"/>
  <c r="L262" i="193"/>
  <c r="M261" i="193"/>
  <c r="L261" i="193"/>
  <c r="M260" i="193"/>
  <c r="L260" i="193"/>
  <c r="M259" i="193"/>
  <c r="L259" i="193"/>
  <c r="M258" i="193"/>
  <c r="L258" i="193"/>
  <c r="M257" i="193"/>
  <c r="L257" i="193"/>
  <c r="M256" i="193"/>
  <c r="L256" i="193"/>
  <c r="M255" i="193"/>
  <c r="L255" i="193"/>
  <c r="M254" i="193"/>
  <c r="L254" i="193"/>
  <c r="M253" i="193"/>
  <c r="L253" i="193"/>
  <c r="M252" i="193"/>
  <c r="L252" i="193"/>
  <c r="M251" i="193"/>
  <c r="L251" i="193"/>
  <c r="M250" i="193"/>
  <c r="L250" i="193"/>
  <c r="M249" i="193"/>
  <c r="L249" i="193"/>
  <c r="M248" i="193"/>
  <c r="L248" i="193"/>
  <c r="M247" i="193"/>
  <c r="L247" i="193"/>
  <c r="M246" i="193"/>
  <c r="L246" i="193"/>
  <c r="M245" i="193"/>
  <c r="L245" i="193"/>
  <c r="M244" i="193"/>
  <c r="L244" i="193"/>
  <c r="M243" i="193"/>
  <c r="L243" i="193"/>
  <c r="M242" i="193"/>
  <c r="L242" i="193"/>
  <c r="M241" i="193"/>
  <c r="L241" i="193"/>
  <c r="M240" i="193"/>
  <c r="L240" i="193"/>
  <c r="M239" i="193"/>
  <c r="L239" i="193"/>
  <c r="M238" i="193"/>
  <c r="L238" i="193"/>
  <c r="M237" i="193"/>
  <c r="L237" i="193"/>
  <c r="M236" i="193"/>
  <c r="L236" i="193"/>
  <c r="M235" i="193"/>
  <c r="L235" i="193"/>
  <c r="M234" i="193"/>
  <c r="L234" i="193"/>
  <c r="M233" i="193"/>
  <c r="L233" i="193"/>
  <c r="M232" i="193"/>
  <c r="L232" i="193"/>
  <c r="M231" i="193"/>
  <c r="L231" i="193"/>
  <c r="M230" i="193"/>
  <c r="L230" i="193"/>
  <c r="M229" i="193"/>
  <c r="L229" i="193"/>
  <c r="M228" i="193"/>
  <c r="L228" i="193"/>
  <c r="M227" i="193"/>
  <c r="L227" i="193"/>
  <c r="M226" i="193"/>
  <c r="L226" i="193"/>
  <c r="M225" i="193"/>
  <c r="L225" i="193"/>
  <c r="M224" i="193"/>
  <c r="L224" i="193"/>
  <c r="M223" i="193"/>
  <c r="L223" i="193"/>
  <c r="M222" i="193"/>
  <c r="L222" i="193"/>
  <c r="M221" i="193"/>
  <c r="L221" i="193"/>
  <c r="M220" i="193"/>
  <c r="L220" i="193"/>
  <c r="M219" i="193"/>
  <c r="L219" i="193"/>
  <c r="M218" i="193"/>
  <c r="L218" i="193"/>
  <c r="M217" i="193"/>
  <c r="L217" i="193"/>
  <c r="M216" i="193"/>
  <c r="L216" i="193"/>
  <c r="M215" i="193"/>
  <c r="L215" i="193"/>
  <c r="M214" i="193"/>
  <c r="L214" i="193"/>
  <c r="M213" i="193"/>
  <c r="L213" i="193"/>
  <c r="M212" i="193"/>
  <c r="L212" i="193"/>
  <c r="M211" i="193"/>
  <c r="L211" i="193"/>
  <c r="M210" i="193"/>
  <c r="L210" i="193"/>
  <c r="M209" i="193"/>
  <c r="L209" i="193"/>
  <c r="M208" i="193"/>
  <c r="L208" i="193"/>
  <c r="M207" i="193"/>
  <c r="L207" i="193"/>
  <c r="M206" i="193"/>
  <c r="L206" i="193"/>
  <c r="M205" i="193"/>
  <c r="L205" i="193"/>
  <c r="M204" i="193"/>
  <c r="L204" i="193"/>
  <c r="M203" i="193"/>
  <c r="L203" i="193"/>
  <c r="M202" i="193"/>
  <c r="L202" i="193"/>
  <c r="M201" i="193"/>
  <c r="L201" i="193"/>
  <c r="M200" i="193"/>
  <c r="L200" i="193"/>
  <c r="M199" i="193"/>
  <c r="L199" i="193"/>
  <c r="M198" i="193"/>
  <c r="L198" i="193"/>
  <c r="M197" i="193"/>
  <c r="L197" i="193"/>
  <c r="M196" i="193"/>
  <c r="L196" i="193"/>
  <c r="M195" i="193"/>
  <c r="L195" i="193"/>
  <c r="M194" i="193"/>
  <c r="L194" i="193"/>
  <c r="M193" i="193"/>
  <c r="L193" i="193"/>
  <c r="M192" i="193"/>
  <c r="L192" i="193"/>
  <c r="M191" i="193"/>
  <c r="L191" i="193"/>
  <c r="M190" i="193"/>
  <c r="L190" i="193"/>
  <c r="M189" i="193"/>
  <c r="L189" i="193"/>
  <c r="M188" i="193"/>
  <c r="L188" i="193"/>
  <c r="M187" i="193"/>
  <c r="L187" i="193"/>
  <c r="M186" i="193"/>
  <c r="L186" i="193"/>
  <c r="M185" i="193"/>
  <c r="L185" i="193"/>
  <c r="M184" i="193"/>
  <c r="L184" i="193"/>
  <c r="M183" i="193"/>
  <c r="L183" i="193"/>
  <c r="M182" i="193"/>
  <c r="L182" i="193"/>
  <c r="M181" i="193"/>
  <c r="L181" i="193"/>
  <c r="M180" i="193"/>
  <c r="L180" i="193"/>
  <c r="M179" i="193"/>
  <c r="L179" i="193"/>
  <c r="M178" i="193"/>
  <c r="L178" i="193"/>
  <c r="M177" i="193"/>
  <c r="L177" i="193"/>
  <c r="M176" i="193"/>
  <c r="L176" i="193"/>
  <c r="M175" i="193"/>
  <c r="L175" i="193"/>
  <c r="M174" i="193"/>
  <c r="L174" i="193"/>
  <c r="M173" i="193"/>
  <c r="L173" i="193"/>
  <c r="M172" i="193"/>
  <c r="L172" i="193"/>
  <c r="M171" i="193"/>
  <c r="L171" i="193"/>
  <c r="M170" i="193"/>
  <c r="L170" i="193"/>
  <c r="M169" i="193"/>
  <c r="L169" i="193"/>
  <c r="M168" i="193"/>
  <c r="L168" i="193"/>
  <c r="M167" i="193"/>
  <c r="L167" i="193"/>
  <c r="M166" i="193"/>
  <c r="L166" i="193"/>
  <c r="M165" i="193"/>
  <c r="L165" i="193"/>
  <c r="M164" i="193"/>
  <c r="L164" i="193"/>
  <c r="M163" i="193"/>
  <c r="L163" i="193"/>
  <c r="M162" i="193"/>
  <c r="L162" i="193"/>
  <c r="M161" i="193"/>
  <c r="L161" i="193"/>
  <c r="M160" i="193"/>
  <c r="L160" i="193"/>
  <c r="M159" i="193"/>
  <c r="L159" i="193"/>
  <c r="M158" i="193"/>
  <c r="L158" i="193"/>
  <c r="M157" i="193"/>
  <c r="L157" i="193"/>
  <c r="M156" i="193"/>
  <c r="L156" i="193"/>
  <c r="M155" i="193"/>
  <c r="L155" i="193"/>
  <c r="M154" i="193"/>
  <c r="L154" i="193"/>
  <c r="M153" i="193"/>
  <c r="L153" i="193"/>
  <c r="M152" i="193"/>
  <c r="L152" i="193"/>
  <c r="M151" i="193"/>
  <c r="L151" i="193"/>
  <c r="M150" i="193"/>
  <c r="L150" i="193"/>
  <c r="M149" i="193"/>
  <c r="L149" i="193"/>
  <c r="M148" i="193"/>
  <c r="L148" i="193"/>
  <c r="M147" i="193"/>
  <c r="L147" i="193"/>
  <c r="M146" i="193"/>
  <c r="L146" i="193"/>
  <c r="M145" i="193"/>
  <c r="L145" i="193"/>
  <c r="M144" i="193"/>
  <c r="L144" i="193"/>
  <c r="M143" i="193"/>
  <c r="L143" i="193"/>
  <c r="M142" i="193"/>
  <c r="L142" i="193"/>
  <c r="M141" i="193"/>
  <c r="L141" i="193"/>
  <c r="M140" i="193"/>
  <c r="L140" i="193"/>
  <c r="M139" i="193"/>
  <c r="L139" i="193"/>
  <c r="M138" i="193"/>
  <c r="L138" i="193"/>
  <c r="M137" i="193"/>
  <c r="L137" i="193"/>
  <c r="M136" i="193"/>
  <c r="L136" i="193"/>
  <c r="M135" i="193"/>
  <c r="L135" i="193"/>
  <c r="M134" i="193"/>
  <c r="L134" i="193"/>
  <c r="M133" i="193"/>
  <c r="L133" i="193"/>
  <c r="M132" i="193"/>
  <c r="L132" i="193"/>
  <c r="M131" i="193"/>
  <c r="L131" i="193"/>
  <c r="M130" i="193"/>
  <c r="L130" i="193"/>
  <c r="M129" i="193"/>
  <c r="L129" i="193"/>
  <c r="M128" i="193"/>
  <c r="L128" i="193"/>
  <c r="M127" i="193"/>
  <c r="L127" i="193"/>
  <c r="M126" i="193"/>
  <c r="L126" i="193"/>
  <c r="M125" i="193"/>
  <c r="L125" i="193"/>
  <c r="M124" i="193"/>
  <c r="L124" i="193"/>
  <c r="M123" i="193"/>
  <c r="L123" i="193"/>
  <c r="M122" i="193"/>
  <c r="L122" i="193"/>
  <c r="M121" i="193"/>
  <c r="L121" i="193"/>
  <c r="M120" i="193"/>
  <c r="L120" i="193"/>
  <c r="M119" i="193"/>
  <c r="L119" i="193"/>
  <c r="M118" i="193"/>
  <c r="L118" i="193"/>
  <c r="M117" i="193"/>
  <c r="L117" i="193"/>
  <c r="M116" i="193"/>
  <c r="L116" i="193"/>
  <c r="M115" i="193"/>
  <c r="L115" i="193"/>
  <c r="M114" i="193"/>
  <c r="L114" i="193"/>
  <c r="M113" i="193"/>
  <c r="L113" i="193"/>
  <c r="M112" i="193"/>
  <c r="L112" i="193"/>
  <c r="M111" i="193"/>
  <c r="L111" i="193"/>
  <c r="M110" i="193"/>
  <c r="L110" i="193"/>
  <c r="M109" i="193"/>
  <c r="L109" i="193"/>
  <c r="M108" i="193"/>
  <c r="L108" i="193"/>
  <c r="M107" i="193"/>
  <c r="L107" i="193"/>
  <c r="M106" i="193"/>
  <c r="L106" i="193"/>
  <c r="M105" i="193"/>
  <c r="L105" i="193"/>
  <c r="M104" i="193"/>
  <c r="L104" i="193"/>
  <c r="M103" i="193"/>
  <c r="L103" i="193"/>
  <c r="M102" i="193"/>
  <c r="L102" i="193"/>
  <c r="M101" i="193"/>
  <c r="L101" i="193"/>
  <c r="M100" i="193"/>
  <c r="L100" i="193"/>
  <c r="M99" i="193"/>
  <c r="L99" i="193"/>
  <c r="M98" i="193"/>
  <c r="L98" i="193"/>
  <c r="M97" i="193"/>
  <c r="L97" i="193"/>
  <c r="M96" i="193"/>
  <c r="L96" i="193"/>
  <c r="M95" i="193"/>
  <c r="L95" i="193"/>
  <c r="M94" i="193"/>
  <c r="L94" i="193"/>
  <c r="M93" i="193"/>
  <c r="L93" i="193"/>
  <c r="M92" i="193"/>
  <c r="L92" i="193"/>
  <c r="M91" i="193"/>
  <c r="L91" i="193"/>
  <c r="M90" i="193"/>
  <c r="L90" i="193"/>
  <c r="M89" i="193"/>
  <c r="L89" i="193"/>
  <c r="M88" i="193"/>
  <c r="L88" i="193"/>
  <c r="M87" i="193"/>
  <c r="L87" i="193"/>
  <c r="M86" i="193"/>
  <c r="L86" i="193"/>
  <c r="M85" i="193"/>
  <c r="L85" i="193"/>
  <c r="M84" i="193"/>
  <c r="L84" i="193"/>
  <c r="M83" i="193"/>
  <c r="L83" i="193"/>
  <c r="M82" i="193"/>
  <c r="L82" i="193"/>
  <c r="M81" i="193"/>
  <c r="L81" i="193"/>
  <c r="M80" i="193"/>
  <c r="L80" i="193"/>
  <c r="M79" i="193"/>
  <c r="L79" i="193"/>
  <c r="M78" i="193"/>
  <c r="L78" i="193"/>
  <c r="M77" i="193"/>
  <c r="L77" i="193"/>
  <c r="M76" i="193"/>
  <c r="L76" i="193"/>
  <c r="M75" i="193"/>
  <c r="L75" i="193"/>
  <c r="M74" i="193"/>
  <c r="L74" i="193"/>
  <c r="M73" i="193"/>
  <c r="L73" i="193"/>
  <c r="M72" i="193"/>
  <c r="L72" i="193"/>
  <c r="M71" i="193"/>
  <c r="L71" i="193"/>
  <c r="M70" i="193"/>
  <c r="L70" i="193"/>
  <c r="M69" i="193"/>
  <c r="L69" i="193"/>
  <c r="M68" i="193"/>
  <c r="L68" i="193"/>
  <c r="M67" i="193"/>
  <c r="L67" i="193"/>
  <c r="M66" i="193"/>
  <c r="L66" i="193"/>
  <c r="M65" i="193"/>
  <c r="L65" i="193"/>
  <c r="M64" i="193"/>
  <c r="L64" i="193"/>
  <c r="M63" i="193"/>
  <c r="L63" i="193"/>
  <c r="M62" i="193"/>
  <c r="L62" i="193"/>
  <c r="M61" i="193"/>
  <c r="L61" i="193"/>
  <c r="M60" i="193"/>
  <c r="L60" i="193"/>
  <c r="M59" i="193"/>
  <c r="L59" i="193"/>
  <c r="M58" i="193"/>
  <c r="L58" i="193"/>
  <c r="M57" i="193"/>
  <c r="L57" i="193"/>
  <c r="M56" i="193"/>
  <c r="L56" i="193"/>
  <c r="M55" i="193"/>
  <c r="L55" i="193"/>
  <c r="M54" i="193"/>
  <c r="L54" i="193"/>
  <c r="M53" i="193"/>
  <c r="L53" i="193"/>
  <c r="M52" i="193"/>
  <c r="L52" i="193"/>
  <c r="M51" i="193"/>
  <c r="L51" i="193"/>
  <c r="M50" i="193"/>
  <c r="L50" i="193"/>
  <c r="M49" i="193"/>
  <c r="L49" i="193"/>
  <c r="M48" i="193"/>
  <c r="L48" i="193"/>
  <c r="M47" i="193"/>
  <c r="L47" i="193"/>
  <c r="M46" i="193"/>
  <c r="L46" i="193"/>
  <c r="M45" i="193"/>
  <c r="L45" i="193"/>
  <c r="M44" i="193"/>
  <c r="L44" i="193"/>
  <c r="M43" i="193"/>
  <c r="L43" i="193"/>
  <c r="M42" i="193"/>
  <c r="L42" i="193"/>
  <c r="M41" i="193"/>
  <c r="L41" i="193"/>
  <c r="M40" i="193"/>
  <c r="L40" i="193"/>
  <c r="M39" i="193"/>
  <c r="L39" i="193"/>
  <c r="M38" i="193"/>
  <c r="L38" i="193"/>
  <c r="M37" i="193"/>
  <c r="L37" i="193"/>
  <c r="M36" i="193"/>
  <c r="L36" i="193"/>
  <c r="M35" i="193"/>
  <c r="L35" i="193"/>
  <c r="M34" i="193"/>
  <c r="L34" i="193"/>
  <c r="M33" i="193"/>
  <c r="L33" i="193"/>
  <c r="M32" i="193"/>
  <c r="L32" i="193"/>
  <c r="M31" i="193"/>
  <c r="L31" i="193"/>
  <c r="M30" i="193"/>
  <c r="L30" i="193"/>
  <c r="M29" i="193"/>
  <c r="L29" i="193"/>
  <c r="M28" i="193"/>
  <c r="L28" i="193"/>
  <c r="M27" i="193"/>
  <c r="L27" i="193"/>
  <c r="M26" i="193"/>
  <c r="L26" i="193"/>
  <c r="M25" i="193"/>
  <c r="L25" i="193"/>
  <c r="M24" i="193"/>
  <c r="L24" i="193"/>
  <c r="M23" i="193"/>
  <c r="L23" i="193"/>
  <c r="M22" i="193"/>
  <c r="L22" i="193"/>
  <c r="M21" i="193"/>
  <c r="L21" i="193"/>
  <c r="M20" i="193"/>
  <c r="L20" i="193"/>
  <c r="M19" i="193"/>
  <c r="L19" i="193"/>
  <c r="M18" i="193"/>
  <c r="L18" i="193"/>
  <c r="M17" i="193"/>
  <c r="L17" i="193"/>
  <c r="M16" i="193"/>
  <c r="L16" i="193"/>
  <c r="M15" i="193"/>
  <c r="L15" i="193"/>
  <c r="I484" i="193"/>
  <c r="H484" i="193"/>
  <c r="G484" i="193"/>
  <c r="F484" i="193"/>
  <c r="K482" i="193"/>
  <c r="J482" i="193"/>
  <c r="K481" i="193"/>
  <c r="J481" i="193"/>
  <c r="K480" i="193"/>
  <c r="J480" i="193"/>
  <c r="K479" i="193"/>
  <c r="J479" i="193"/>
  <c r="K478" i="193"/>
  <c r="J478" i="193"/>
  <c r="K477" i="193"/>
  <c r="J477" i="193"/>
  <c r="K476" i="193"/>
  <c r="J476" i="193"/>
  <c r="K475" i="193"/>
  <c r="J475" i="193"/>
  <c r="K474" i="193"/>
  <c r="J474" i="193"/>
  <c r="K473" i="193"/>
  <c r="J473" i="193"/>
  <c r="K472" i="193"/>
  <c r="J472" i="193"/>
  <c r="K471" i="193"/>
  <c r="J471" i="193"/>
  <c r="K470" i="193"/>
  <c r="J470" i="193"/>
  <c r="K469" i="193"/>
  <c r="J469" i="193"/>
  <c r="K468" i="193"/>
  <c r="J468" i="193"/>
  <c r="K467" i="193"/>
  <c r="J467" i="193"/>
  <c r="K466" i="193"/>
  <c r="J466" i="193"/>
  <c r="K465" i="193"/>
  <c r="J465" i="193"/>
  <c r="K464" i="193"/>
  <c r="J464" i="193"/>
  <c r="K463" i="193"/>
  <c r="J463" i="193"/>
  <c r="K462" i="193"/>
  <c r="J462" i="193"/>
  <c r="K461" i="193"/>
  <c r="J461" i="193"/>
  <c r="K460" i="193"/>
  <c r="J460" i="193"/>
  <c r="K459" i="193"/>
  <c r="J459" i="193"/>
  <c r="K458" i="193"/>
  <c r="J458" i="193"/>
  <c r="K457" i="193"/>
  <c r="J457" i="193"/>
  <c r="K456" i="193"/>
  <c r="J456" i="193"/>
  <c r="K455" i="193"/>
  <c r="J455" i="193"/>
  <c r="K454" i="193"/>
  <c r="J454" i="193"/>
  <c r="K453" i="193"/>
  <c r="J453" i="193"/>
  <c r="K452" i="193"/>
  <c r="J452" i="193"/>
  <c r="K451" i="193"/>
  <c r="J451" i="193"/>
  <c r="K450" i="193"/>
  <c r="J450" i="193"/>
  <c r="K449" i="193"/>
  <c r="J449" i="193"/>
  <c r="K448" i="193"/>
  <c r="J448" i="193"/>
  <c r="K447" i="193"/>
  <c r="J447" i="193"/>
  <c r="K446" i="193"/>
  <c r="J446" i="193"/>
  <c r="K445" i="193"/>
  <c r="J445" i="193"/>
  <c r="K444" i="193"/>
  <c r="J444" i="193"/>
  <c r="K443" i="193"/>
  <c r="J443" i="193"/>
  <c r="K442" i="193"/>
  <c r="J442" i="193"/>
  <c r="K441" i="193"/>
  <c r="J441" i="193"/>
  <c r="K440" i="193"/>
  <c r="J440" i="193"/>
  <c r="K439" i="193"/>
  <c r="J439" i="193"/>
  <c r="K438" i="193"/>
  <c r="J438" i="193"/>
  <c r="K437" i="193"/>
  <c r="J437" i="193"/>
  <c r="K436" i="193"/>
  <c r="J436" i="193"/>
  <c r="K435" i="193"/>
  <c r="J435" i="193"/>
  <c r="K434" i="193"/>
  <c r="J434" i="193"/>
  <c r="K433" i="193"/>
  <c r="J433" i="193"/>
  <c r="K432" i="193"/>
  <c r="J432" i="193"/>
  <c r="K431" i="193"/>
  <c r="J431" i="193"/>
  <c r="K430" i="193"/>
  <c r="J430" i="193"/>
  <c r="K429" i="193"/>
  <c r="J429" i="193"/>
  <c r="K428" i="193"/>
  <c r="J428" i="193"/>
  <c r="K427" i="193"/>
  <c r="J427" i="193"/>
  <c r="K426" i="193"/>
  <c r="J426" i="193"/>
  <c r="K425" i="193"/>
  <c r="J425" i="193"/>
  <c r="K424" i="193"/>
  <c r="J424" i="193"/>
  <c r="K423" i="193"/>
  <c r="J423" i="193"/>
  <c r="K422" i="193"/>
  <c r="J422" i="193"/>
  <c r="K421" i="193"/>
  <c r="J421" i="193"/>
  <c r="K420" i="193"/>
  <c r="J420" i="193"/>
  <c r="K419" i="193"/>
  <c r="J419" i="193"/>
  <c r="K418" i="193"/>
  <c r="J418" i="193"/>
  <c r="K417" i="193"/>
  <c r="J417" i="193"/>
  <c r="K416" i="193"/>
  <c r="J416" i="193"/>
  <c r="K415" i="193"/>
  <c r="J415" i="193"/>
  <c r="K414" i="193"/>
  <c r="J414" i="193"/>
  <c r="K413" i="193"/>
  <c r="J413" i="193"/>
  <c r="K412" i="193"/>
  <c r="J412" i="193"/>
  <c r="K411" i="193"/>
  <c r="J411" i="193"/>
  <c r="K410" i="193"/>
  <c r="J410" i="193"/>
  <c r="K409" i="193"/>
  <c r="J409" i="193"/>
  <c r="K408" i="193"/>
  <c r="J408" i="193"/>
  <c r="K407" i="193"/>
  <c r="J407" i="193"/>
  <c r="K406" i="193"/>
  <c r="J406" i="193"/>
  <c r="K405" i="193"/>
  <c r="J405" i="193"/>
  <c r="K404" i="193"/>
  <c r="J404" i="193"/>
  <c r="K403" i="193"/>
  <c r="J403" i="193"/>
  <c r="K402" i="193"/>
  <c r="J402" i="193"/>
  <c r="K401" i="193"/>
  <c r="J401" i="193"/>
  <c r="K400" i="193"/>
  <c r="J400" i="193"/>
  <c r="K399" i="193"/>
  <c r="J399" i="193"/>
  <c r="K398" i="193"/>
  <c r="J398" i="193"/>
  <c r="K397" i="193"/>
  <c r="J397" i="193"/>
  <c r="K396" i="193"/>
  <c r="J396" i="193"/>
  <c r="K395" i="193"/>
  <c r="J395" i="193"/>
  <c r="K394" i="193"/>
  <c r="J394" i="193"/>
  <c r="K393" i="193"/>
  <c r="J393" i="193"/>
  <c r="K392" i="193"/>
  <c r="J392" i="193"/>
  <c r="K391" i="193"/>
  <c r="J391" i="193"/>
  <c r="K390" i="193"/>
  <c r="J390" i="193"/>
  <c r="K389" i="193"/>
  <c r="J389" i="193"/>
  <c r="K388" i="193"/>
  <c r="J388" i="193"/>
  <c r="K387" i="193"/>
  <c r="J387" i="193"/>
  <c r="K386" i="193"/>
  <c r="J386" i="193"/>
  <c r="K385" i="193"/>
  <c r="J385" i="193"/>
  <c r="K384" i="193"/>
  <c r="J384" i="193"/>
  <c r="K383" i="193"/>
  <c r="J383" i="193"/>
  <c r="K382" i="193"/>
  <c r="J382" i="193"/>
  <c r="K381" i="193"/>
  <c r="J381" i="193"/>
  <c r="K380" i="193"/>
  <c r="J380" i="193"/>
  <c r="K379" i="193"/>
  <c r="J379" i="193"/>
  <c r="K378" i="193"/>
  <c r="J378" i="193"/>
  <c r="K377" i="193"/>
  <c r="J377" i="193"/>
  <c r="K376" i="193"/>
  <c r="J376" i="193"/>
  <c r="K375" i="193"/>
  <c r="J375" i="193"/>
  <c r="K374" i="193"/>
  <c r="J374" i="193"/>
  <c r="K373" i="193"/>
  <c r="J373" i="193"/>
  <c r="K372" i="193"/>
  <c r="J372" i="193"/>
  <c r="K371" i="193"/>
  <c r="J371" i="193"/>
  <c r="K370" i="193"/>
  <c r="J370" i="193"/>
  <c r="K369" i="193"/>
  <c r="J369" i="193"/>
  <c r="K368" i="193"/>
  <c r="J368" i="193"/>
  <c r="K367" i="193"/>
  <c r="J367" i="193"/>
  <c r="K366" i="193"/>
  <c r="J366" i="193"/>
  <c r="K365" i="193"/>
  <c r="J365" i="193"/>
  <c r="K364" i="193"/>
  <c r="J364" i="193"/>
  <c r="K363" i="193"/>
  <c r="J363" i="193"/>
  <c r="K362" i="193"/>
  <c r="J362" i="193"/>
  <c r="K361" i="193"/>
  <c r="J361" i="193"/>
  <c r="K360" i="193"/>
  <c r="J360" i="193"/>
  <c r="K359" i="193"/>
  <c r="J359" i="193"/>
  <c r="K358" i="193"/>
  <c r="J358" i="193"/>
  <c r="K357" i="193"/>
  <c r="J357" i="193"/>
  <c r="K356" i="193"/>
  <c r="J356" i="193"/>
  <c r="K355" i="193"/>
  <c r="J355" i="193"/>
  <c r="K354" i="193"/>
  <c r="J354" i="193"/>
  <c r="K353" i="193"/>
  <c r="J353" i="193"/>
  <c r="K352" i="193"/>
  <c r="J352" i="193"/>
  <c r="K351" i="193"/>
  <c r="J351" i="193"/>
  <c r="K350" i="193"/>
  <c r="J350" i="193"/>
  <c r="K349" i="193"/>
  <c r="J349" i="193"/>
  <c r="K348" i="193"/>
  <c r="J348" i="193"/>
  <c r="K347" i="193"/>
  <c r="J347" i="193"/>
  <c r="K346" i="193"/>
  <c r="J346" i="193"/>
  <c r="K345" i="193"/>
  <c r="J345" i="193"/>
  <c r="K344" i="193"/>
  <c r="J344" i="193"/>
  <c r="K343" i="193"/>
  <c r="J343" i="193"/>
  <c r="K342" i="193"/>
  <c r="J342" i="193"/>
  <c r="K341" i="193"/>
  <c r="J341" i="193"/>
  <c r="K340" i="193"/>
  <c r="J340" i="193"/>
  <c r="K339" i="193"/>
  <c r="J339" i="193"/>
  <c r="K338" i="193"/>
  <c r="J338" i="193"/>
  <c r="K337" i="193"/>
  <c r="J337" i="193"/>
  <c r="K336" i="193"/>
  <c r="J336" i="193"/>
  <c r="K335" i="193"/>
  <c r="J335" i="193"/>
  <c r="K334" i="193"/>
  <c r="J334" i="193"/>
  <c r="K333" i="193"/>
  <c r="J333" i="193"/>
  <c r="K332" i="193"/>
  <c r="J332" i="193"/>
  <c r="K331" i="193"/>
  <c r="J331" i="193"/>
  <c r="K330" i="193"/>
  <c r="J330" i="193"/>
  <c r="K329" i="193"/>
  <c r="J329" i="193"/>
  <c r="K328" i="193"/>
  <c r="J328" i="193"/>
  <c r="K327" i="193"/>
  <c r="J327" i="193"/>
  <c r="K326" i="193"/>
  <c r="J326" i="193"/>
  <c r="K325" i="193"/>
  <c r="J325" i="193"/>
  <c r="K324" i="193"/>
  <c r="J324" i="193"/>
  <c r="K323" i="193"/>
  <c r="J323" i="193"/>
  <c r="K322" i="193"/>
  <c r="J322" i="193"/>
  <c r="K321" i="193"/>
  <c r="J321" i="193"/>
  <c r="K320" i="193"/>
  <c r="J320" i="193"/>
  <c r="K319" i="193"/>
  <c r="J319" i="193"/>
  <c r="K318" i="193"/>
  <c r="J318" i="193"/>
  <c r="K317" i="193"/>
  <c r="J317" i="193"/>
  <c r="K316" i="193"/>
  <c r="J316" i="193"/>
  <c r="K315" i="193"/>
  <c r="J315" i="193"/>
  <c r="K314" i="193"/>
  <c r="J314" i="193"/>
  <c r="K313" i="193"/>
  <c r="J313" i="193"/>
  <c r="K312" i="193"/>
  <c r="J312" i="193"/>
  <c r="K311" i="193"/>
  <c r="J311" i="193"/>
  <c r="K310" i="193"/>
  <c r="J310" i="193"/>
  <c r="K309" i="193"/>
  <c r="J309" i="193"/>
  <c r="K308" i="193"/>
  <c r="J308" i="193"/>
  <c r="K307" i="193"/>
  <c r="J307" i="193"/>
  <c r="K306" i="193"/>
  <c r="J306" i="193"/>
  <c r="K305" i="193"/>
  <c r="J305" i="193"/>
  <c r="K304" i="193"/>
  <c r="J304" i="193"/>
  <c r="K303" i="193"/>
  <c r="J303" i="193"/>
  <c r="K302" i="193"/>
  <c r="J302" i="193"/>
  <c r="K301" i="193"/>
  <c r="J301" i="193"/>
  <c r="K300" i="193"/>
  <c r="J300" i="193"/>
  <c r="K299" i="193"/>
  <c r="J299" i="193"/>
  <c r="K298" i="193"/>
  <c r="J298" i="193"/>
  <c r="K297" i="193"/>
  <c r="J297" i="193"/>
  <c r="K296" i="193"/>
  <c r="J296" i="193"/>
  <c r="K295" i="193"/>
  <c r="J295" i="193"/>
  <c r="K294" i="193"/>
  <c r="J294" i="193"/>
  <c r="K293" i="193"/>
  <c r="J293" i="193"/>
  <c r="K292" i="193"/>
  <c r="J292" i="193"/>
  <c r="K291" i="193"/>
  <c r="J291" i="193"/>
  <c r="K290" i="193"/>
  <c r="J290" i="193"/>
  <c r="K289" i="193"/>
  <c r="J289" i="193"/>
  <c r="K288" i="193"/>
  <c r="J288" i="193"/>
  <c r="K287" i="193"/>
  <c r="J287" i="193"/>
  <c r="K286" i="193"/>
  <c r="J286" i="193"/>
  <c r="K285" i="193"/>
  <c r="J285" i="193"/>
  <c r="K284" i="193"/>
  <c r="J284" i="193"/>
  <c r="K283" i="193"/>
  <c r="J283" i="193"/>
  <c r="K282" i="193"/>
  <c r="J282" i="193"/>
  <c r="K281" i="193"/>
  <c r="J281" i="193"/>
  <c r="K280" i="193"/>
  <c r="J280" i="193"/>
  <c r="K279" i="193"/>
  <c r="J279" i="193"/>
  <c r="K278" i="193"/>
  <c r="J278" i="193"/>
  <c r="K277" i="193"/>
  <c r="J277" i="193"/>
  <c r="K276" i="193"/>
  <c r="J276" i="193"/>
  <c r="K275" i="193"/>
  <c r="J275" i="193"/>
  <c r="K274" i="193"/>
  <c r="J274" i="193"/>
  <c r="K273" i="193"/>
  <c r="J273" i="193"/>
  <c r="K272" i="193"/>
  <c r="J272" i="193"/>
  <c r="K271" i="193"/>
  <c r="J271" i="193"/>
  <c r="K270" i="193"/>
  <c r="J270" i="193"/>
  <c r="K269" i="193"/>
  <c r="J269" i="193"/>
  <c r="K268" i="193"/>
  <c r="J268" i="193"/>
  <c r="K267" i="193"/>
  <c r="J267" i="193"/>
  <c r="K266" i="193"/>
  <c r="J266" i="193"/>
  <c r="K265" i="193"/>
  <c r="J265" i="193"/>
  <c r="K264" i="193"/>
  <c r="J264" i="193"/>
  <c r="K263" i="193"/>
  <c r="J263" i="193"/>
  <c r="K262" i="193"/>
  <c r="J262" i="193"/>
  <c r="K261" i="193"/>
  <c r="J261" i="193"/>
  <c r="K260" i="193"/>
  <c r="J260" i="193"/>
  <c r="K259" i="193"/>
  <c r="J259" i="193"/>
  <c r="K258" i="193"/>
  <c r="J258" i="193"/>
  <c r="K257" i="193"/>
  <c r="J257" i="193"/>
  <c r="K256" i="193"/>
  <c r="J256" i="193"/>
  <c r="K255" i="193"/>
  <c r="J255" i="193"/>
  <c r="K254" i="193"/>
  <c r="J254" i="193"/>
  <c r="K253" i="193"/>
  <c r="J253" i="193"/>
  <c r="K252" i="193"/>
  <c r="J252" i="193"/>
  <c r="K251" i="193"/>
  <c r="J251" i="193"/>
  <c r="K250" i="193"/>
  <c r="J250" i="193"/>
  <c r="K249" i="193"/>
  <c r="J249" i="193"/>
  <c r="K248" i="193"/>
  <c r="J248" i="193"/>
  <c r="K247" i="193"/>
  <c r="J247" i="193"/>
  <c r="K246" i="193"/>
  <c r="J246" i="193"/>
  <c r="K245" i="193"/>
  <c r="J245" i="193"/>
  <c r="K244" i="193"/>
  <c r="J244" i="193"/>
  <c r="K243" i="193"/>
  <c r="J243" i="193"/>
  <c r="K242" i="193"/>
  <c r="J242" i="193"/>
  <c r="K241" i="193"/>
  <c r="J241" i="193"/>
  <c r="K240" i="193"/>
  <c r="J240" i="193"/>
  <c r="K239" i="193"/>
  <c r="J239" i="193"/>
  <c r="K238" i="193"/>
  <c r="J238" i="193"/>
  <c r="K237" i="193"/>
  <c r="J237" i="193"/>
  <c r="K236" i="193"/>
  <c r="J236" i="193"/>
  <c r="K235" i="193"/>
  <c r="J235" i="193"/>
  <c r="K234" i="193"/>
  <c r="J234" i="193"/>
  <c r="K233" i="193"/>
  <c r="J233" i="193"/>
  <c r="K232" i="193"/>
  <c r="J232" i="193"/>
  <c r="K231" i="193"/>
  <c r="J231" i="193"/>
  <c r="K230" i="193"/>
  <c r="J230" i="193"/>
  <c r="K229" i="193"/>
  <c r="J229" i="193"/>
  <c r="K228" i="193"/>
  <c r="J228" i="193"/>
  <c r="K227" i="193"/>
  <c r="J227" i="193"/>
  <c r="K226" i="193"/>
  <c r="J226" i="193"/>
  <c r="K225" i="193"/>
  <c r="J225" i="193"/>
  <c r="K224" i="193"/>
  <c r="J224" i="193"/>
  <c r="K223" i="193"/>
  <c r="J223" i="193"/>
  <c r="K222" i="193"/>
  <c r="J222" i="193"/>
  <c r="K221" i="193"/>
  <c r="J221" i="193"/>
  <c r="K220" i="193"/>
  <c r="J220" i="193"/>
  <c r="K219" i="193"/>
  <c r="J219" i="193"/>
  <c r="K218" i="193"/>
  <c r="J218" i="193"/>
  <c r="K217" i="193"/>
  <c r="J217" i="193"/>
  <c r="K216" i="193"/>
  <c r="J216" i="193"/>
  <c r="K215" i="193"/>
  <c r="J215" i="193"/>
  <c r="K214" i="193"/>
  <c r="J214" i="193"/>
  <c r="K213" i="193"/>
  <c r="J213" i="193"/>
  <c r="K212" i="193"/>
  <c r="J212" i="193"/>
  <c r="K211" i="193"/>
  <c r="J211" i="193"/>
  <c r="K210" i="193"/>
  <c r="J210" i="193"/>
  <c r="K209" i="193"/>
  <c r="J209" i="193"/>
  <c r="K208" i="193"/>
  <c r="J208" i="193"/>
  <c r="K207" i="193"/>
  <c r="J207" i="193"/>
  <c r="K206" i="193"/>
  <c r="J206" i="193"/>
  <c r="K205" i="193"/>
  <c r="J205" i="193"/>
  <c r="K204" i="193"/>
  <c r="J204" i="193"/>
  <c r="K203" i="193"/>
  <c r="J203" i="193"/>
  <c r="K202" i="193"/>
  <c r="J202" i="193"/>
  <c r="K201" i="193"/>
  <c r="J201" i="193"/>
  <c r="K200" i="193"/>
  <c r="J200" i="193"/>
  <c r="K199" i="193"/>
  <c r="J199" i="193"/>
  <c r="K198" i="193"/>
  <c r="J198" i="193"/>
  <c r="K197" i="193"/>
  <c r="J197" i="193"/>
  <c r="K196" i="193"/>
  <c r="J196" i="193"/>
  <c r="K195" i="193"/>
  <c r="J195" i="193"/>
  <c r="K194" i="193"/>
  <c r="J194" i="193"/>
  <c r="K193" i="193"/>
  <c r="J193" i="193"/>
  <c r="K192" i="193"/>
  <c r="J192" i="193"/>
  <c r="K191" i="193"/>
  <c r="J191" i="193"/>
  <c r="K190" i="193"/>
  <c r="J190" i="193"/>
  <c r="K189" i="193"/>
  <c r="J189" i="193"/>
  <c r="K188" i="193"/>
  <c r="J188" i="193"/>
  <c r="K187" i="193"/>
  <c r="J187" i="193"/>
  <c r="K186" i="193"/>
  <c r="J186" i="193"/>
  <c r="K185" i="193"/>
  <c r="J185" i="193"/>
  <c r="K184" i="193"/>
  <c r="J184" i="193"/>
  <c r="K183" i="193"/>
  <c r="J183" i="193"/>
  <c r="K182" i="193"/>
  <c r="J182" i="193"/>
  <c r="K181" i="193"/>
  <c r="J181" i="193"/>
  <c r="K180" i="193"/>
  <c r="J180" i="193"/>
  <c r="K179" i="193"/>
  <c r="J179" i="193"/>
  <c r="K178" i="193"/>
  <c r="J178" i="193"/>
  <c r="K177" i="193"/>
  <c r="J177" i="193"/>
  <c r="K176" i="193"/>
  <c r="J176" i="193"/>
  <c r="K175" i="193"/>
  <c r="J175" i="193"/>
  <c r="K174" i="193"/>
  <c r="J174" i="193"/>
  <c r="K173" i="193"/>
  <c r="J173" i="193"/>
  <c r="K172" i="193"/>
  <c r="J172" i="193"/>
  <c r="K171" i="193"/>
  <c r="J171" i="193"/>
  <c r="K170" i="193"/>
  <c r="J170" i="193"/>
  <c r="K169" i="193"/>
  <c r="J169" i="193"/>
  <c r="K168" i="193"/>
  <c r="J168" i="193"/>
  <c r="K167" i="193"/>
  <c r="J167" i="193"/>
  <c r="K166" i="193"/>
  <c r="J166" i="193"/>
  <c r="K165" i="193"/>
  <c r="J165" i="193"/>
  <c r="K164" i="193"/>
  <c r="J164" i="193"/>
  <c r="K163" i="193"/>
  <c r="J163" i="193"/>
  <c r="K162" i="193"/>
  <c r="J162" i="193"/>
  <c r="K161" i="193"/>
  <c r="J161" i="193"/>
  <c r="K160" i="193"/>
  <c r="J160" i="193"/>
  <c r="K159" i="193"/>
  <c r="J159" i="193"/>
  <c r="K158" i="193"/>
  <c r="J158" i="193"/>
  <c r="K157" i="193"/>
  <c r="J157" i="193"/>
  <c r="K156" i="193"/>
  <c r="J156" i="193"/>
  <c r="K155" i="193"/>
  <c r="J155" i="193"/>
  <c r="K154" i="193"/>
  <c r="J154" i="193"/>
  <c r="K153" i="193"/>
  <c r="J153" i="193"/>
  <c r="K152" i="193"/>
  <c r="J152" i="193"/>
  <c r="K151" i="193"/>
  <c r="J151" i="193"/>
  <c r="K150" i="193"/>
  <c r="J150" i="193"/>
  <c r="K149" i="193"/>
  <c r="J149" i="193"/>
  <c r="K148" i="193"/>
  <c r="J148" i="193"/>
  <c r="K147" i="193"/>
  <c r="J147" i="193"/>
  <c r="K146" i="193"/>
  <c r="J146" i="193"/>
  <c r="K145" i="193"/>
  <c r="J145" i="193"/>
  <c r="K144" i="193"/>
  <c r="J144" i="193"/>
  <c r="K143" i="193"/>
  <c r="J143" i="193"/>
  <c r="K142" i="193"/>
  <c r="J142" i="193"/>
  <c r="K141" i="193"/>
  <c r="J141" i="193"/>
  <c r="K140" i="193"/>
  <c r="J140" i="193"/>
  <c r="K139" i="193"/>
  <c r="J139" i="193"/>
  <c r="K138" i="193"/>
  <c r="J138" i="193"/>
  <c r="K137" i="193"/>
  <c r="J137" i="193"/>
  <c r="K136" i="193"/>
  <c r="J136" i="193"/>
  <c r="K135" i="193"/>
  <c r="J135" i="193"/>
  <c r="K134" i="193"/>
  <c r="J134" i="193"/>
  <c r="K133" i="193"/>
  <c r="J133" i="193"/>
  <c r="K132" i="193"/>
  <c r="J132" i="193"/>
  <c r="K131" i="193"/>
  <c r="J131" i="193"/>
  <c r="K130" i="193"/>
  <c r="J130" i="193"/>
  <c r="K129" i="193"/>
  <c r="J129" i="193"/>
  <c r="K128" i="193"/>
  <c r="J128" i="193"/>
  <c r="K127" i="193"/>
  <c r="J127" i="193"/>
  <c r="K126" i="193"/>
  <c r="J126" i="193"/>
  <c r="K125" i="193"/>
  <c r="J125" i="193"/>
  <c r="K124" i="193"/>
  <c r="J124" i="193"/>
  <c r="K123" i="193"/>
  <c r="J123" i="193"/>
  <c r="K122" i="193"/>
  <c r="J122" i="193"/>
  <c r="K121" i="193"/>
  <c r="J121" i="193"/>
  <c r="K120" i="193"/>
  <c r="J120" i="193"/>
  <c r="K119" i="193"/>
  <c r="J119" i="193"/>
  <c r="K118" i="193"/>
  <c r="J118" i="193"/>
  <c r="K117" i="193"/>
  <c r="J117" i="193"/>
  <c r="K116" i="193"/>
  <c r="J116" i="193"/>
  <c r="K115" i="193"/>
  <c r="J115" i="193"/>
  <c r="K114" i="193"/>
  <c r="J114" i="193"/>
  <c r="K113" i="193"/>
  <c r="J113" i="193"/>
  <c r="K112" i="193"/>
  <c r="J112" i="193"/>
  <c r="K111" i="193"/>
  <c r="J111" i="193"/>
  <c r="K110" i="193"/>
  <c r="J110" i="193"/>
  <c r="K109" i="193"/>
  <c r="J109" i="193"/>
  <c r="K108" i="193"/>
  <c r="J108" i="193"/>
  <c r="K107" i="193"/>
  <c r="J107" i="193"/>
  <c r="K106" i="193"/>
  <c r="J106" i="193"/>
  <c r="K105" i="193"/>
  <c r="J105" i="193"/>
  <c r="K104" i="193"/>
  <c r="J104" i="193"/>
  <c r="K103" i="193"/>
  <c r="J103" i="193"/>
  <c r="K102" i="193"/>
  <c r="J102" i="193"/>
  <c r="K101" i="193"/>
  <c r="J101" i="193"/>
  <c r="K100" i="193"/>
  <c r="J100" i="193"/>
  <c r="K99" i="193"/>
  <c r="J99" i="193"/>
  <c r="K98" i="193"/>
  <c r="J98" i="193"/>
  <c r="K97" i="193"/>
  <c r="J97" i="193"/>
  <c r="K96" i="193"/>
  <c r="J96" i="193"/>
  <c r="K95" i="193"/>
  <c r="J95" i="193"/>
  <c r="K94" i="193"/>
  <c r="J94" i="193"/>
  <c r="K93" i="193"/>
  <c r="J93" i="193"/>
  <c r="K92" i="193"/>
  <c r="J92" i="193"/>
  <c r="K91" i="193"/>
  <c r="J91" i="193"/>
  <c r="K90" i="193"/>
  <c r="J90" i="193"/>
  <c r="K89" i="193"/>
  <c r="J89" i="193"/>
  <c r="K88" i="193"/>
  <c r="J88" i="193"/>
  <c r="K87" i="193"/>
  <c r="J87" i="193"/>
  <c r="K86" i="193"/>
  <c r="J86" i="193"/>
  <c r="K85" i="193"/>
  <c r="J85" i="193"/>
  <c r="K84" i="193"/>
  <c r="J84" i="193"/>
  <c r="K83" i="193"/>
  <c r="J83" i="193"/>
  <c r="K82" i="193"/>
  <c r="J82" i="193"/>
  <c r="K81" i="193"/>
  <c r="J81" i="193"/>
  <c r="K80" i="193"/>
  <c r="J80" i="193"/>
  <c r="K79" i="193"/>
  <c r="J79" i="193"/>
  <c r="K78" i="193"/>
  <c r="J78" i="193"/>
  <c r="K77" i="193"/>
  <c r="J77" i="193"/>
  <c r="K76" i="193"/>
  <c r="J76" i="193"/>
  <c r="K75" i="193"/>
  <c r="J75" i="193"/>
  <c r="K74" i="193"/>
  <c r="J74" i="193"/>
  <c r="K73" i="193"/>
  <c r="J73" i="193"/>
  <c r="K72" i="193"/>
  <c r="J72" i="193"/>
  <c r="K71" i="193"/>
  <c r="J71" i="193"/>
  <c r="K70" i="193"/>
  <c r="J70" i="193"/>
  <c r="K69" i="193"/>
  <c r="J69" i="193"/>
  <c r="K68" i="193"/>
  <c r="J68" i="193"/>
  <c r="K67" i="193"/>
  <c r="J67" i="193"/>
  <c r="K66" i="193"/>
  <c r="J66" i="193"/>
  <c r="K65" i="193"/>
  <c r="J65" i="193"/>
  <c r="K64" i="193"/>
  <c r="J64" i="193"/>
  <c r="K63" i="193"/>
  <c r="J63" i="193"/>
  <c r="K62" i="193"/>
  <c r="J62" i="193"/>
  <c r="K61" i="193"/>
  <c r="J61" i="193"/>
  <c r="K60" i="193"/>
  <c r="J60" i="193"/>
  <c r="K59" i="193"/>
  <c r="J59" i="193"/>
  <c r="K58" i="193"/>
  <c r="J58" i="193"/>
  <c r="K57" i="193"/>
  <c r="J57" i="193"/>
  <c r="K56" i="193"/>
  <c r="J56" i="193"/>
  <c r="K55" i="193"/>
  <c r="J55" i="193"/>
  <c r="K54" i="193"/>
  <c r="J54" i="193"/>
  <c r="K53" i="193"/>
  <c r="J53" i="193"/>
  <c r="K52" i="193"/>
  <c r="J52" i="193"/>
  <c r="K51" i="193"/>
  <c r="J51" i="193"/>
  <c r="K50" i="193"/>
  <c r="J50" i="193"/>
  <c r="K49" i="193"/>
  <c r="J49" i="193"/>
  <c r="K48" i="193"/>
  <c r="J48" i="193"/>
  <c r="K47" i="193"/>
  <c r="J47" i="193"/>
  <c r="K46" i="193"/>
  <c r="J46" i="193"/>
  <c r="K45" i="193"/>
  <c r="J45" i="193"/>
  <c r="K44" i="193"/>
  <c r="J44" i="193"/>
  <c r="K43" i="193"/>
  <c r="J43" i="193"/>
  <c r="K42" i="193"/>
  <c r="J42" i="193"/>
  <c r="K41" i="193"/>
  <c r="J41" i="193"/>
  <c r="K40" i="193"/>
  <c r="J40" i="193"/>
  <c r="K39" i="193"/>
  <c r="J39" i="193"/>
  <c r="K38" i="193"/>
  <c r="J38" i="193"/>
  <c r="K37" i="193"/>
  <c r="J37" i="193"/>
  <c r="K36" i="193"/>
  <c r="J36" i="193"/>
  <c r="K35" i="193"/>
  <c r="J35" i="193"/>
  <c r="K34" i="193"/>
  <c r="J34" i="193"/>
  <c r="K33" i="193"/>
  <c r="J33" i="193"/>
  <c r="K32" i="193"/>
  <c r="J32" i="193"/>
  <c r="K31" i="193"/>
  <c r="J31" i="193"/>
  <c r="K30" i="193"/>
  <c r="J30" i="193"/>
  <c r="K29" i="193"/>
  <c r="J29" i="193"/>
  <c r="K28" i="193"/>
  <c r="J28" i="193"/>
  <c r="K27" i="193"/>
  <c r="J27" i="193"/>
  <c r="K26" i="193"/>
  <c r="J26" i="193"/>
  <c r="K25" i="193"/>
  <c r="J25" i="193"/>
  <c r="K24" i="193"/>
  <c r="J24" i="193"/>
  <c r="K23" i="193"/>
  <c r="J23" i="193"/>
  <c r="K22" i="193"/>
  <c r="J22" i="193"/>
  <c r="K21" i="193"/>
  <c r="J21" i="193"/>
  <c r="K20" i="193"/>
  <c r="J20" i="193"/>
  <c r="K19" i="193"/>
  <c r="J19" i="193"/>
  <c r="K18" i="193"/>
  <c r="J18" i="193"/>
  <c r="K17" i="193"/>
  <c r="J17" i="193"/>
  <c r="K16" i="193"/>
  <c r="J16" i="193"/>
  <c r="G6" i="192" s="1"/>
  <c r="I6" i="192" s="1"/>
  <c r="K15" i="193"/>
  <c r="J15" i="193"/>
  <c r="D4" i="193"/>
  <c r="C2" i="193"/>
  <c r="C1" i="192"/>
  <c r="C1" i="190"/>
  <c r="E404" i="192"/>
  <c r="D404" i="192"/>
  <c r="A404" i="192"/>
  <c r="M401" i="192"/>
  <c r="G401" i="192" s="1"/>
  <c r="I401" i="192" s="1"/>
  <c r="K401" i="192"/>
  <c r="F401" i="192" s="1"/>
  <c r="M400" i="192"/>
  <c r="G400" i="192" s="1"/>
  <c r="I400" i="192" s="1"/>
  <c r="K400" i="192"/>
  <c r="M399" i="192"/>
  <c r="G399" i="192" s="1"/>
  <c r="K399" i="192"/>
  <c r="F399" i="192" s="1"/>
  <c r="M398" i="192"/>
  <c r="G398" i="192" s="1"/>
  <c r="I398" i="192" s="1"/>
  <c r="K398" i="192"/>
  <c r="M397" i="192"/>
  <c r="G397" i="192" s="1"/>
  <c r="K397" i="192"/>
  <c r="F397" i="192" s="1"/>
  <c r="M396" i="192"/>
  <c r="G396" i="192" s="1"/>
  <c r="K396" i="192"/>
  <c r="F396" i="192" s="1"/>
  <c r="M395" i="192"/>
  <c r="G395" i="192" s="1"/>
  <c r="K395" i="192"/>
  <c r="F395" i="192" s="1"/>
  <c r="M394" i="192"/>
  <c r="G394" i="192" s="1"/>
  <c r="K394" i="192"/>
  <c r="F394" i="192" s="1"/>
  <c r="M393" i="192"/>
  <c r="G393" i="192" s="1"/>
  <c r="I393" i="192" s="1"/>
  <c r="K393" i="192"/>
  <c r="M392" i="192"/>
  <c r="G392" i="192" s="1"/>
  <c r="I392" i="192" s="1"/>
  <c r="H392" i="5" s="1"/>
  <c r="K392" i="192"/>
  <c r="M391" i="192"/>
  <c r="G391" i="192" s="1"/>
  <c r="I391" i="192" s="1"/>
  <c r="H391" i="5" s="1"/>
  <c r="K391" i="192"/>
  <c r="M390" i="192"/>
  <c r="G390" i="192" s="1"/>
  <c r="I390" i="192" s="1"/>
  <c r="H390" i="5" s="1"/>
  <c r="K390" i="192"/>
  <c r="M389" i="192"/>
  <c r="G389" i="192" s="1"/>
  <c r="I389" i="192" s="1"/>
  <c r="H389" i="5" s="1"/>
  <c r="K389" i="192"/>
  <c r="M388" i="192"/>
  <c r="G388" i="192" s="1"/>
  <c r="I388" i="192" s="1"/>
  <c r="H388" i="5" s="1"/>
  <c r="K388" i="192"/>
  <c r="M387" i="192"/>
  <c r="G387" i="192" s="1"/>
  <c r="I387" i="192" s="1"/>
  <c r="H387" i="5" s="1"/>
  <c r="K387" i="192"/>
  <c r="M386" i="192"/>
  <c r="G386" i="192" s="1"/>
  <c r="K386" i="192"/>
  <c r="M385" i="192"/>
  <c r="G385" i="192" s="1"/>
  <c r="I385" i="192" s="1"/>
  <c r="K385" i="192"/>
  <c r="M384" i="192"/>
  <c r="G384" i="192" s="1"/>
  <c r="K384" i="192"/>
  <c r="F384" i="192" s="1"/>
  <c r="M383" i="192"/>
  <c r="G383" i="192" s="1"/>
  <c r="K383" i="192"/>
  <c r="F383" i="192" s="1"/>
  <c r="M382" i="192"/>
  <c r="G382" i="192" s="1"/>
  <c r="K382" i="192"/>
  <c r="F382" i="192" s="1"/>
  <c r="M381" i="192"/>
  <c r="G381" i="192" s="1"/>
  <c r="K381" i="192"/>
  <c r="F381" i="192" s="1"/>
  <c r="M380" i="192"/>
  <c r="G380" i="192" s="1"/>
  <c r="K380" i="192"/>
  <c r="F380" i="192" s="1"/>
  <c r="M379" i="192"/>
  <c r="G379" i="192" s="1"/>
  <c r="K379" i="192"/>
  <c r="M378" i="192"/>
  <c r="G378" i="192" s="1"/>
  <c r="K378" i="192"/>
  <c r="M377" i="192"/>
  <c r="G377" i="192" s="1"/>
  <c r="K377" i="192"/>
  <c r="F377" i="192" s="1"/>
  <c r="M376" i="192"/>
  <c r="G376" i="192" s="1"/>
  <c r="K376" i="192"/>
  <c r="F376" i="192" s="1"/>
  <c r="M375" i="192"/>
  <c r="G375" i="192" s="1"/>
  <c r="K375" i="192"/>
  <c r="F375" i="192" s="1"/>
  <c r="M374" i="192"/>
  <c r="G374" i="192" s="1"/>
  <c r="I374" i="192" s="1"/>
  <c r="K374" i="192"/>
  <c r="M373" i="192"/>
  <c r="G373" i="192" s="1"/>
  <c r="K373" i="192"/>
  <c r="F373" i="192" s="1"/>
  <c r="M372" i="192"/>
  <c r="G372" i="192" s="1"/>
  <c r="K372" i="192"/>
  <c r="F372" i="192" s="1"/>
  <c r="M371" i="192"/>
  <c r="G371" i="192" s="1"/>
  <c r="K371" i="192"/>
  <c r="F371" i="192" s="1"/>
  <c r="M370" i="192"/>
  <c r="G370" i="192" s="1"/>
  <c r="K370" i="192"/>
  <c r="F370" i="192" s="1"/>
  <c r="M369" i="192"/>
  <c r="G369" i="192" s="1"/>
  <c r="K369" i="192"/>
  <c r="F369" i="192" s="1"/>
  <c r="M368" i="192"/>
  <c r="G368" i="192" s="1"/>
  <c r="K368" i="192"/>
  <c r="F368" i="192" s="1"/>
  <c r="M367" i="192"/>
  <c r="G367" i="192" s="1"/>
  <c r="K367" i="192"/>
  <c r="F367" i="192" s="1"/>
  <c r="M366" i="192"/>
  <c r="G366" i="192" s="1"/>
  <c r="I366" i="192" s="1"/>
  <c r="K366" i="192"/>
  <c r="M365" i="192"/>
  <c r="G365" i="192" s="1"/>
  <c r="K365" i="192"/>
  <c r="F365" i="192" s="1"/>
  <c r="M364" i="192"/>
  <c r="G364" i="192" s="1"/>
  <c r="K364" i="192"/>
  <c r="F364" i="192" s="1"/>
  <c r="M363" i="192"/>
  <c r="G363" i="192" s="1"/>
  <c r="K363" i="192"/>
  <c r="F363" i="192" s="1"/>
  <c r="M362" i="192"/>
  <c r="G362" i="192" s="1"/>
  <c r="K362" i="192"/>
  <c r="F362" i="192" s="1"/>
  <c r="M361" i="192"/>
  <c r="G361" i="192" s="1"/>
  <c r="K361" i="192"/>
  <c r="F361" i="192" s="1"/>
  <c r="M360" i="192"/>
  <c r="G360" i="192" s="1"/>
  <c r="K360" i="192"/>
  <c r="F360" i="192" s="1"/>
  <c r="M359" i="192"/>
  <c r="G359" i="192" s="1"/>
  <c r="I359" i="192" s="1"/>
  <c r="K359" i="192"/>
  <c r="M358" i="192"/>
  <c r="G358" i="192" s="1"/>
  <c r="K358" i="192"/>
  <c r="F358" i="192" s="1"/>
  <c r="M357" i="192"/>
  <c r="G357" i="192" s="1"/>
  <c r="K357" i="192"/>
  <c r="F357" i="192" s="1"/>
  <c r="M356" i="192"/>
  <c r="G356" i="192" s="1"/>
  <c r="K356" i="192"/>
  <c r="F356" i="192" s="1"/>
  <c r="M355" i="192"/>
  <c r="K355" i="192"/>
  <c r="F355" i="192" s="1"/>
  <c r="M354" i="192"/>
  <c r="G354" i="192" s="1"/>
  <c r="I354" i="192" s="1"/>
  <c r="K354" i="192"/>
  <c r="M353" i="192"/>
  <c r="G353" i="192" s="1"/>
  <c r="K353" i="192"/>
  <c r="F353" i="192" s="1"/>
  <c r="M352" i="192"/>
  <c r="G352" i="192" s="1"/>
  <c r="K352" i="192"/>
  <c r="F352" i="192" s="1"/>
  <c r="M351" i="192"/>
  <c r="G351" i="192" s="1"/>
  <c r="K351" i="192"/>
  <c r="F351" i="192" s="1"/>
  <c r="M350" i="192"/>
  <c r="G350" i="192" s="1"/>
  <c r="K350" i="192"/>
  <c r="F350" i="192" s="1"/>
  <c r="M349" i="192"/>
  <c r="G349" i="192" s="1"/>
  <c r="K349" i="192"/>
  <c r="F349" i="192" s="1"/>
  <c r="M347" i="192"/>
  <c r="G347" i="192" s="1"/>
  <c r="K347" i="192"/>
  <c r="F347" i="192" s="1"/>
  <c r="M346" i="192"/>
  <c r="G346" i="192" s="1"/>
  <c r="K346" i="192"/>
  <c r="F346" i="192" s="1"/>
  <c r="M344" i="192"/>
  <c r="G344" i="192" s="1"/>
  <c r="K344" i="192"/>
  <c r="F344" i="192" s="1"/>
  <c r="M342" i="192"/>
  <c r="G342" i="192" s="1"/>
  <c r="K342" i="192"/>
  <c r="M341" i="192"/>
  <c r="G341" i="192" s="1"/>
  <c r="K341" i="192"/>
  <c r="F341" i="192" s="1"/>
  <c r="M334" i="192"/>
  <c r="G334" i="192" s="1"/>
  <c r="K334" i="192"/>
  <c r="F334" i="192" s="1"/>
  <c r="M332" i="192"/>
  <c r="G332" i="192" s="1"/>
  <c r="K332" i="192"/>
  <c r="F332" i="192" s="1"/>
  <c r="M330" i="192"/>
  <c r="G330" i="192" s="1"/>
  <c r="K330" i="192"/>
  <c r="F330" i="192" s="1"/>
  <c r="M321" i="192"/>
  <c r="G321" i="192" s="1"/>
  <c r="K321" i="192"/>
  <c r="F321" i="192" s="1"/>
  <c r="M319" i="192"/>
  <c r="G319" i="192" s="1"/>
  <c r="K319" i="192"/>
  <c r="M318" i="192"/>
  <c r="G318" i="192" s="1"/>
  <c r="K318" i="192"/>
  <c r="F318" i="192" s="1"/>
  <c r="M317" i="192"/>
  <c r="G317" i="192" s="1"/>
  <c r="K317" i="192"/>
  <c r="F317" i="192" s="1"/>
  <c r="M316" i="192"/>
  <c r="G316" i="192" s="1"/>
  <c r="K316" i="192"/>
  <c r="F316" i="192" s="1"/>
  <c r="M315" i="192"/>
  <c r="G315" i="192" s="1"/>
  <c r="K315" i="192"/>
  <c r="F315" i="192" s="1"/>
  <c r="M314" i="192"/>
  <c r="G314" i="192" s="1"/>
  <c r="K314" i="192"/>
  <c r="F314" i="192" s="1"/>
  <c r="M313" i="192"/>
  <c r="G313" i="192" s="1"/>
  <c r="K313" i="192"/>
  <c r="M312" i="192"/>
  <c r="G312" i="192" s="1"/>
  <c r="K312" i="192"/>
  <c r="F312" i="192" s="1"/>
  <c r="M311" i="192"/>
  <c r="G311" i="192" s="1"/>
  <c r="K311" i="192"/>
  <c r="F311" i="192" s="1"/>
  <c r="M310" i="192"/>
  <c r="G310" i="192" s="1"/>
  <c r="K310" i="192"/>
  <c r="F310" i="192" s="1"/>
  <c r="M309" i="192"/>
  <c r="G309" i="192" s="1"/>
  <c r="K309" i="192"/>
  <c r="F309" i="192" s="1"/>
  <c r="M308" i="192"/>
  <c r="G308" i="192" s="1"/>
  <c r="K308" i="192"/>
  <c r="F308" i="192" s="1"/>
  <c r="M307" i="192"/>
  <c r="G307" i="192" s="1"/>
  <c r="I307" i="192" s="1"/>
  <c r="K307" i="192"/>
  <c r="M302" i="192"/>
  <c r="G302" i="192" s="1"/>
  <c r="I302" i="192" s="1"/>
  <c r="K302" i="192"/>
  <c r="M283" i="192"/>
  <c r="G283" i="192" s="1"/>
  <c r="I283" i="192" s="1"/>
  <c r="K283" i="192"/>
  <c r="M282" i="192"/>
  <c r="G282" i="192" s="1"/>
  <c r="I282" i="192" s="1"/>
  <c r="H282" i="5" s="1"/>
  <c r="K282" i="192"/>
  <c r="M281" i="192"/>
  <c r="G281" i="192" s="1"/>
  <c r="I281" i="192" s="1"/>
  <c r="H281" i="5" s="1"/>
  <c r="K281" i="192"/>
  <c r="M280" i="192"/>
  <c r="G280" i="192" s="1"/>
  <c r="K280" i="192"/>
  <c r="M279" i="192"/>
  <c r="G279" i="192" s="1"/>
  <c r="I279" i="192" s="1"/>
  <c r="K279" i="192"/>
  <c r="M278" i="192"/>
  <c r="G278" i="192" s="1"/>
  <c r="I278" i="192" s="1"/>
  <c r="H278" i="5" s="1"/>
  <c r="K278" i="192"/>
  <c r="M277" i="192"/>
  <c r="G277" i="192" s="1"/>
  <c r="I277" i="192" s="1"/>
  <c r="H277" i="5" s="1"/>
  <c r="K277" i="192"/>
  <c r="M276" i="192"/>
  <c r="G276" i="192" s="1"/>
  <c r="K276" i="192"/>
  <c r="M275" i="192"/>
  <c r="G275" i="192" s="1"/>
  <c r="I275" i="192" s="1"/>
  <c r="K275" i="192"/>
  <c r="M274" i="192"/>
  <c r="G274" i="192" s="1"/>
  <c r="K274" i="192"/>
  <c r="M273" i="192"/>
  <c r="G273" i="192" s="1"/>
  <c r="K273" i="192"/>
  <c r="M272" i="192"/>
  <c r="G272" i="192" s="1"/>
  <c r="K272" i="192"/>
  <c r="M271" i="192"/>
  <c r="G271" i="192" s="1"/>
  <c r="I271" i="192" s="1"/>
  <c r="K271" i="192"/>
  <c r="M270" i="192"/>
  <c r="G270" i="192" s="1"/>
  <c r="I270" i="192" s="1"/>
  <c r="H270" i="5" s="1"/>
  <c r="K270" i="192"/>
  <c r="M269" i="192"/>
  <c r="G269" i="192" s="1"/>
  <c r="K269" i="192"/>
  <c r="M268" i="192"/>
  <c r="G268" i="192" s="1"/>
  <c r="K268" i="192"/>
  <c r="M267" i="192"/>
  <c r="G267" i="192" s="1"/>
  <c r="K267" i="192"/>
  <c r="M266" i="192"/>
  <c r="G266" i="192" s="1"/>
  <c r="K266" i="192"/>
  <c r="M265" i="192"/>
  <c r="G265" i="192" s="1"/>
  <c r="K265" i="192"/>
  <c r="M264" i="192"/>
  <c r="G264" i="192" s="1"/>
  <c r="K264" i="192"/>
  <c r="M263" i="192"/>
  <c r="G263" i="192" s="1"/>
  <c r="I263" i="192" s="1"/>
  <c r="K263" i="192"/>
  <c r="M262" i="192"/>
  <c r="G262" i="192" s="1"/>
  <c r="I262" i="192" s="1"/>
  <c r="H262" i="5" s="1"/>
  <c r="K262" i="192"/>
  <c r="M261" i="192"/>
  <c r="G261" i="192" s="1"/>
  <c r="I261" i="192" s="1"/>
  <c r="H261" i="5" s="1"/>
  <c r="K261" i="192"/>
  <c r="M260" i="192"/>
  <c r="G260" i="192" s="1"/>
  <c r="K260" i="192"/>
  <c r="M259" i="192"/>
  <c r="G259" i="192" s="1"/>
  <c r="K259" i="192"/>
  <c r="M258" i="192"/>
  <c r="G258" i="192" s="1"/>
  <c r="K258" i="192"/>
  <c r="M257" i="192"/>
  <c r="G257" i="192" s="1"/>
  <c r="I257" i="192" s="1"/>
  <c r="H257" i="5" s="1"/>
  <c r="K257" i="192"/>
  <c r="M256" i="192"/>
  <c r="G256" i="192" s="1"/>
  <c r="K256" i="192"/>
  <c r="M255" i="192"/>
  <c r="G255" i="192" s="1"/>
  <c r="I255" i="192" s="1"/>
  <c r="K255" i="192"/>
  <c r="M254" i="192"/>
  <c r="G254" i="192" s="1"/>
  <c r="K254" i="192"/>
  <c r="M253" i="192"/>
  <c r="G253" i="192" s="1"/>
  <c r="K253" i="192"/>
  <c r="M252" i="192"/>
  <c r="G252" i="192" s="1"/>
  <c r="K252" i="192"/>
  <c r="M251" i="192"/>
  <c r="G251" i="192" s="1"/>
  <c r="I251" i="192" s="1"/>
  <c r="K251" i="192"/>
  <c r="M238" i="192"/>
  <c r="G238" i="192" s="1"/>
  <c r="I238" i="192" s="1"/>
  <c r="H238" i="5" s="1"/>
  <c r="K238" i="192"/>
  <c r="M237" i="192"/>
  <c r="G237" i="192" s="1"/>
  <c r="I237" i="192" s="1"/>
  <c r="H237" i="5" s="1"/>
  <c r="K237" i="192"/>
  <c r="M236" i="192"/>
  <c r="G236" i="192" s="1"/>
  <c r="K236" i="192"/>
  <c r="F236" i="192" s="1"/>
  <c r="M235" i="192"/>
  <c r="G235" i="192" s="1"/>
  <c r="I235" i="192" s="1"/>
  <c r="K235" i="192"/>
  <c r="M232" i="192"/>
  <c r="G232" i="192" s="1"/>
  <c r="I232" i="192" s="1"/>
  <c r="H232" i="5" s="1"/>
  <c r="K232" i="192"/>
  <c r="M231" i="192"/>
  <c r="G231" i="192" s="1"/>
  <c r="I231" i="192" s="1"/>
  <c r="H231" i="5" s="1"/>
  <c r="K231" i="192"/>
  <c r="M230" i="192"/>
  <c r="G230" i="192" s="1"/>
  <c r="K230" i="192"/>
  <c r="F230" i="192" s="1"/>
  <c r="M229" i="192"/>
  <c r="G229" i="192" s="1"/>
  <c r="I229" i="192" s="1"/>
  <c r="K229" i="192"/>
  <c r="M228" i="192"/>
  <c r="G228" i="192" s="1"/>
  <c r="I228" i="192" s="1"/>
  <c r="H228" i="5" s="1"/>
  <c r="K228" i="192"/>
  <c r="M227" i="192"/>
  <c r="G227" i="192" s="1"/>
  <c r="K227" i="192"/>
  <c r="M226" i="192"/>
  <c r="G226" i="192" s="1"/>
  <c r="K226" i="192"/>
  <c r="M225" i="192"/>
  <c r="G225" i="192" s="1"/>
  <c r="K225" i="192"/>
  <c r="M222" i="192"/>
  <c r="G222" i="192" s="1"/>
  <c r="K222" i="192"/>
  <c r="F222" i="192" s="1"/>
  <c r="M221" i="192"/>
  <c r="G221" i="192" s="1"/>
  <c r="K221" i="192"/>
  <c r="F221" i="192" s="1"/>
  <c r="M220" i="192"/>
  <c r="G220" i="192" s="1"/>
  <c r="I220" i="192" s="1"/>
  <c r="K220" i="192"/>
  <c r="M219" i="192"/>
  <c r="G219" i="192" s="1"/>
  <c r="K219" i="192"/>
  <c r="F219" i="192" s="1"/>
  <c r="M218" i="192"/>
  <c r="G218" i="192" s="1"/>
  <c r="K218" i="192"/>
  <c r="F218" i="192" s="1"/>
  <c r="M217" i="192"/>
  <c r="G217" i="192" s="1"/>
  <c r="K217" i="192"/>
  <c r="F217" i="192" s="1"/>
  <c r="M216" i="192"/>
  <c r="G216" i="192" s="1"/>
  <c r="K216" i="192"/>
  <c r="F216" i="192" s="1"/>
  <c r="M215" i="192"/>
  <c r="G215" i="192" s="1"/>
  <c r="K215" i="192"/>
  <c r="F215" i="192" s="1"/>
  <c r="M214" i="192"/>
  <c r="G214" i="192" s="1"/>
  <c r="K214" i="192"/>
  <c r="F214" i="192" s="1"/>
  <c r="M213" i="192"/>
  <c r="G213" i="192" s="1"/>
  <c r="K213" i="192"/>
  <c r="F213" i="192" s="1"/>
  <c r="M212" i="192"/>
  <c r="G212" i="192" s="1"/>
  <c r="K212" i="192"/>
  <c r="F212" i="192" s="1"/>
  <c r="M211" i="192"/>
  <c r="G211" i="192" s="1"/>
  <c r="K211" i="192"/>
  <c r="F211" i="192" s="1"/>
  <c r="M210" i="192"/>
  <c r="G210" i="192" s="1"/>
  <c r="K210" i="192"/>
  <c r="F210" i="192" s="1"/>
  <c r="M209" i="192"/>
  <c r="G209" i="192" s="1"/>
  <c r="K209" i="192"/>
  <c r="F209" i="192" s="1"/>
  <c r="M208" i="192"/>
  <c r="G208" i="192" s="1"/>
  <c r="K208" i="192"/>
  <c r="F208" i="192" s="1"/>
  <c r="M207" i="192"/>
  <c r="G207" i="192" s="1"/>
  <c r="K207" i="192"/>
  <c r="F207" i="192" s="1"/>
  <c r="M206" i="192"/>
  <c r="G206" i="192" s="1"/>
  <c r="K206" i="192"/>
  <c r="F206" i="192" s="1"/>
  <c r="M205" i="192"/>
  <c r="G205" i="192" s="1"/>
  <c r="K205" i="192"/>
  <c r="F205" i="192" s="1"/>
  <c r="M204" i="192"/>
  <c r="G204" i="192" s="1"/>
  <c r="K204" i="192"/>
  <c r="F204" i="192" s="1"/>
  <c r="M203" i="192"/>
  <c r="G203" i="192" s="1"/>
  <c r="K203" i="192"/>
  <c r="F203" i="192" s="1"/>
  <c r="M202" i="192"/>
  <c r="G202" i="192" s="1"/>
  <c r="K202" i="192"/>
  <c r="F202" i="192" s="1"/>
  <c r="M201" i="192"/>
  <c r="G201" i="192" s="1"/>
  <c r="K201" i="192"/>
  <c r="F201" i="192" s="1"/>
  <c r="M200" i="192"/>
  <c r="G200" i="192" s="1"/>
  <c r="K200" i="192"/>
  <c r="F200" i="192" s="1"/>
  <c r="M197" i="192"/>
  <c r="G197" i="192" s="1"/>
  <c r="K197" i="192"/>
  <c r="F197" i="192" s="1"/>
  <c r="M196" i="192"/>
  <c r="G196" i="192" s="1"/>
  <c r="K196" i="192"/>
  <c r="F196" i="192" s="1"/>
  <c r="M195" i="192"/>
  <c r="G195" i="192" s="1"/>
  <c r="K195" i="192"/>
  <c r="F195" i="192" s="1"/>
  <c r="M194" i="192"/>
  <c r="G194" i="192" s="1"/>
  <c r="K194" i="192"/>
  <c r="F194" i="192" s="1"/>
  <c r="M193" i="192"/>
  <c r="G193" i="192" s="1"/>
  <c r="K193" i="192"/>
  <c r="F193" i="192" s="1"/>
  <c r="M192" i="192"/>
  <c r="G192" i="192" s="1"/>
  <c r="K192" i="192"/>
  <c r="F192" i="192" s="1"/>
  <c r="M191" i="192"/>
  <c r="G191" i="192" s="1"/>
  <c r="K191" i="192"/>
  <c r="F191" i="192" s="1"/>
  <c r="M190" i="192"/>
  <c r="G190" i="192" s="1"/>
  <c r="K190" i="192"/>
  <c r="F190" i="192" s="1"/>
  <c r="M189" i="192"/>
  <c r="G189" i="192" s="1"/>
  <c r="K189" i="192"/>
  <c r="F189" i="192" s="1"/>
  <c r="M188" i="192"/>
  <c r="G188" i="192" s="1"/>
  <c r="K188" i="192"/>
  <c r="F188" i="192" s="1"/>
  <c r="M187" i="192"/>
  <c r="G187" i="192" s="1"/>
  <c r="K187" i="192"/>
  <c r="F187" i="192" s="1"/>
  <c r="M186" i="192"/>
  <c r="G186" i="192" s="1"/>
  <c r="K186" i="192"/>
  <c r="F186" i="192" s="1"/>
  <c r="M185" i="192"/>
  <c r="G185" i="192" s="1"/>
  <c r="I185" i="192" s="1"/>
  <c r="K185" i="192"/>
  <c r="M184" i="192"/>
  <c r="G184" i="192" s="1"/>
  <c r="K184" i="192"/>
  <c r="M183" i="192"/>
  <c r="G183" i="192" s="1"/>
  <c r="I183" i="192" s="1"/>
  <c r="H183" i="5" s="1"/>
  <c r="K183" i="192"/>
  <c r="M182" i="192"/>
  <c r="G182" i="192" s="1"/>
  <c r="I182" i="192" s="1"/>
  <c r="H182" i="5" s="1"/>
  <c r="K182" i="192"/>
  <c r="M181" i="192"/>
  <c r="G181" i="192" s="1"/>
  <c r="K181" i="192"/>
  <c r="M180" i="192"/>
  <c r="G180" i="192" s="1"/>
  <c r="I180" i="192" s="1"/>
  <c r="K180" i="192"/>
  <c r="M179" i="192"/>
  <c r="G179" i="192" s="1"/>
  <c r="I179" i="192" s="1"/>
  <c r="H179" i="5" s="1"/>
  <c r="K179" i="192"/>
  <c r="M178" i="192"/>
  <c r="G178" i="192" s="1"/>
  <c r="I178" i="192" s="1"/>
  <c r="H178" i="5" s="1"/>
  <c r="K178" i="192"/>
  <c r="M177" i="192"/>
  <c r="G177" i="192" s="1"/>
  <c r="K177" i="192"/>
  <c r="M176" i="192"/>
  <c r="G176" i="192" s="1"/>
  <c r="K176" i="192"/>
  <c r="M175" i="192"/>
  <c r="G175" i="192" s="1"/>
  <c r="K175" i="192"/>
  <c r="M174" i="192"/>
  <c r="G174" i="192" s="1"/>
  <c r="I174" i="192" s="1"/>
  <c r="H174" i="5" s="1"/>
  <c r="K174" i="192"/>
  <c r="M173" i="192"/>
  <c r="G173" i="192" s="1"/>
  <c r="K173" i="192"/>
  <c r="M172" i="192"/>
  <c r="G172" i="192" s="1"/>
  <c r="I172" i="192" s="1"/>
  <c r="K172" i="192"/>
  <c r="M171" i="192"/>
  <c r="G171" i="192" s="1"/>
  <c r="I171" i="192" s="1"/>
  <c r="H171" i="5" s="1"/>
  <c r="K171" i="192"/>
  <c r="M170" i="192"/>
  <c r="G170" i="192" s="1"/>
  <c r="K170" i="192"/>
  <c r="M169" i="192"/>
  <c r="G169" i="192" s="1"/>
  <c r="I169" i="192" s="1"/>
  <c r="K169" i="192"/>
  <c r="M168" i="192"/>
  <c r="K168" i="192"/>
  <c r="M167" i="192"/>
  <c r="K167" i="192"/>
  <c r="M166" i="192"/>
  <c r="K166" i="192"/>
  <c r="M165" i="192"/>
  <c r="G165" i="192" s="1"/>
  <c r="I165" i="192" s="1"/>
  <c r="K165" i="192"/>
  <c r="M164" i="192"/>
  <c r="G164" i="192" s="1"/>
  <c r="I164" i="192" s="1"/>
  <c r="K164" i="192"/>
  <c r="M163" i="192"/>
  <c r="G163" i="192" s="1"/>
  <c r="K163" i="192"/>
  <c r="M161" i="192"/>
  <c r="G161" i="192" s="1"/>
  <c r="K161" i="192"/>
  <c r="M160" i="192"/>
  <c r="G160" i="192" s="1"/>
  <c r="I160" i="192" s="1"/>
  <c r="K160" i="192"/>
  <c r="M159" i="192"/>
  <c r="G159" i="192" s="1"/>
  <c r="K159" i="192"/>
  <c r="M158" i="192"/>
  <c r="G158" i="192" s="1"/>
  <c r="K158" i="192"/>
  <c r="M157" i="192"/>
  <c r="G157" i="192" s="1"/>
  <c r="I157" i="192" s="1"/>
  <c r="K157" i="192"/>
  <c r="M156" i="192"/>
  <c r="G156" i="192" s="1"/>
  <c r="I156" i="192" s="1"/>
  <c r="K156" i="192"/>
  <c r="O3881" i="1" s="1"/>
  <c r="M155" i="192"/>
  <c r="G155" i="192" s="1"/>
  <c r="K155" i="192"/>
  <c r="M154" i="192"/>
  <c r="G154" i="192" s="1"/>
  <c r="K154" i="192"/>
  <c r="O1468" i="1" s="1"/>
  <c r="M153" i="192"/>
  <c r="G153" i="192" s="1"/>
  <c r="I153" i="192" s="1"/>
  <c r="O1428" i="246" s="1"/>
  <c r="R1428" i="246" s="1"/>
  <c r="K153" i="192"/>
  <c r="O1467" i="1" s="1"/>
  <c r="M149" i="192"/>
  <c r="G149" i="192" s="1"/>
  <c r="I149" i="192" s="1"/>
  <c r="O1424" i="246" s="1"/>
  <c r="R1424" i="246" s="1"/>
  <c r="K149" i="192"/>
  <c r="O1463" i="1" s="1"/>
  <c r="M148" i="192"/>
  <c r="G148" i="192" s="1"/>
  <c r="K148" i="192"/>
  <c r="O1462" i="1" s="1"/>
  <c r="M147" i="192"/>
  <c r="G147" i="192" s="1"/>
  <c r="K147" i="192"/>
  <c r="O1461" i="1" s="1"/>
  <c r="M146" i="192"/>
  <c r="G146" i="192" s="1"/>
  <c r="I146" i="192" s="1"/>
  <c r="O1421" i="246" s="1"/>
  <c r="R1421" i="246" s="1"/>
  <c r="K146" i="192"/>
  <c r="O1460" i="1" s="1"/>
  <c r="M145" i="192"/>
  <c r="G145" i="192" s="1"/>
  <c r="I145" i="192" s="1"/>
  <c r="O1420" i="246" s="1"/>
  <c r="R1420" i="246" s="1"/>
  <c r="K145" i="192"/>
  <c r="O1459" i="1" s="1"/>
  <c r="M144" i="192"/>
  <c r="G144" i="192" s="1"/>
  <c r="K144" i="192"/>
  <c r="M143" i="192"/>
  <c r="G143" i="192" s="1"/>
  <c r="K143" i="192"/>
  <c r="M142" i="192"/>
  <c r="G142" i="192" s="1"/>
  <c r="I142" i="192" s="1"/>
  <c r="K142" i="192"/>
  <c r="M140" i="192"/>
  <c r="G140" i="192" s="1"/>
  <c r="K140" i="192"/>
  <c r="O3899" i="1" s="1"/>
  <c r="M139" i="192"/>
  <c r="G139" i="192" s="1"/>
  <c r="K139" i="192"/>
  <c r="O3898" i="1" s="1"/>
  <c r="M138" i="192"/>
  <c r="G138" i="192" s="1"/>
  <c r="I138" i="192" s="1"/>
  <c r="O3501" i="246" s="1"/>
  <c r="K138" i="192"/>
  <c r="O3897" i="1" s="1"/>
  <c r="M137" i="192"/>
  <c r="G137" i="192" s="1"/>
  <c r="I137" i="192" s="1"/>
  <c r="O3500" i="246" s="1"/>
  <c r="K137" i="192"/>
  <c r="O3896" i="1" s="1"/>
  <c r="M136" i="192"/>
  <c r="G136" i="192" s="1"/>
  <c r="I136" i="192" s="1"/>
  <c r="O3499" i="246" s="1"/>
  <c r="K136" i="192"/>
  <c r="O3895" i="1" s="1"/>
  <c r="M135" i="192"/>
  <c r="G135" i="192" s="1"/>
  <c r="I135" i="192" s="1"/>
  <c r="O3498" i="246" s="1"/>
  <c r="K135" i="192"/>
  <c r="O3894" i="1" s="1"/>
  <c r="M134" i="192"/>
  <c r="G134" i="192" s="1"/>
  <c r="I134" i="192" s="1"/>
  <c r="O3497" i="246" s="1"/>
  <c r="K134" i="192"/>
  <c r="O3893" i="1" s="1"/>
  <c r="M133" i="192"/>
  <c r="G133" i="192" s="1"/>
  <c r="I133" i="192" s="1"/>
  <c r="O3496" i="246" s="1"/>
  <c r="K133" i="192"/>
  <c r="O3892" i="1" s="1"/>
  <c r="M132" i="192"/>
  <c r="G132" i="192" s="1"/>
  <c r="I132" i="192" s="1"/>
  <c r="O3495" i="246" s="1"/>
  <c r="K132" i="192"/>
  <c r="O3891" i="1" s="1"/>
  <c r="M131" i="192"/>
  <c r="G131" i="192" s="1"/>
  <c r="I131" i="192" s="1"/>
  <c r="O3494" i="246" s="1"/>
  <c r="K131" i="192"/>
  <c r="O3890" i="1" s="1"/>
  <c r="M130" i="192"/>
  <c r="G130" i="192" s="1"/>
  <c r="I130" i="192" s="1"/>
  <c r="O3493" i="246" s="1"/>
  <c r="K130" i="192"/>
  <c r="O3889" i="1" s="1"/>
  <c r="M129" i="192"/>
  <c r="G129" i="192" s="1"/>
  <c r="I129" i="192" s="1"/>
  <c r="O3492" i="246" s="1"/>
  <c r="K129" i="192"/>
  <c r="O3888" i="1" s="1"/>
  <c r="M128" i="192"/>
  <c r="G128" i="192" s="1"/>
  <c r="I128" i="192" s="1"/>
  <c r="O3491" i="246" s="1"/>
  <c r="K128" i="192"/>
  <c r="O3887" i="1" s="1"/>
  <c r="M127" i="192"/>
  <c r="G127" i="192" s="1"/>
  <c r="I127" i="192" s="1"/>
  <c r="K127" i="192"/>
  <c r="M126" i="192"/>
  <c r="G126" i="192" s="1"/>
  <c r="I126" i="192" s="1"/>
  <c r="K126" i="192"/>
  <c r="M125" i="192"/>
  <c r="G125" i="192" s="1"/>
  <c r="I125" i="192" s="1"/>
  <c r="O3489" i="246" s="1"/>
  <c r="K125" i="192"/>
  <c r="O3885" i="1" s="1"/>
  <c r="M124" i="192"/>
  <c r="G124" i="192" s="1"/>
  <c r="I124" i="192" s="1"/>
  <c r="O3488" i="246" s="1"/>
  <c r="K124" i="192"/>
  <c r="O3884" i="1" s="1"/>
  <c r="M123" i="192"/>
  <c r="G123" i="192" s="1"/>
  <c r="I123" i="192" s="1"/>
  <c r="K123" i="192"/>
  <c r="M122" i="192"/>
  <c r="G122" i="192" s="1"/>
  <c r="I122" i="192" s="1"/>
  <c r="K122" i="192"/>
  <c r="M121" i="192"/>
  <c r="G121" i="192" s="1"/>
  <c r="I121" i="192" s="1"/>
  <c r="O3484" i="246" s="1"/>
  <c r="K121" i="192"/>
  <c r="O3880" i="1" s="1"/>
  <c r="M120" i="192"/>
  <c r="G120" i="192" s="1"/>
  <c r="I120" i="192" s="1"/>
  <c r="O3483" i="246" s="1"/>
  <c r="K120" i="192"/>
  <c r="O3879" i="1" s="1"/>
  <c r="M119" i="192"/>
  <c r="G119" i="192" s="1"/>
  <c r="I119" i="192" s="1"/>
  <c r="O3482" i="246" s="1"/>
  <c r="K119" i="192"/>
  <c r="O3878" i="1" s="1"/>
  <c r="M118" i="192"/>
  <c r="G118" i="192" s="1"/>
  <c r="I118" i="192" s="1"/>
  <c r="O3481" i="246" s="1"/>
  <c r="K118" i="192"/>
  <c r="O3877" i="1" s="1"/>
  <c r="M117" i="192"/>
  <c r="G117" i="192" s="1"/>
  <c r="I117" i="192" s="1"/>
  <c r="K117" i="192"/>
  <c r="M116" i="192"/>
  <c r="G116" i="192" s="1"/>
  <c r="I116" i="192" s="1"/>
  <c r="K116" i="192"/>
  <c r="M115" i="192"/>
  <c r="G115" i="192" s="1"/>
  <c r="I115" i="192" s="1"/>
  <c r="K115" i="192"/>
  <c r="M114" i="192"/>
  <c r="G114" i="192" s="1"/>
  <c r="I114" i="192" s="1"/>
  <c r="K114" i="192"/>
  <c r="M113" i="192"/>
  <c r="G113" i="192" s="1"/>
  <c r="I113" i="192" s="1"/>
  <c r="K113" i="192"/>
  <c r="M112" i="192"/>
  <c r="G112" i="192" s="1"/>
  <c r="I112" i="192" s="1"/>
  <c r="K112" i="192"/>
  <c r="M111" i="192"/>
  <c r="G111" i="192" s="1"/>
  <c r="I111" i="192" s="1"/>
  <c r="K111" i="192"/>
  <c r="M110" i="192"/>
  <c r="G110" i="192" s="1"/>
  <c r="I110" i="192" s="1"/>
  <c r="K110" i="192"/>
  <c r="M109" i="192"/>
  <c r="G109" i="192" s="1"/>
  <c r="I109" i="192" s="1"/>
  <c r="K109" i="192"/>
  <c r="M106" i="192"/>
  <c r="G106" i="192" s="1"/>
  <c r="I106" i="192" s="1"/>
  <c r="O3476" i="246" s="1"/>
  <c r="K106" i="192"/>
  <c r="O3872" i="1" s="1"/>
  <c r="M105" i="192"/>
  <c r="G105" i="192" s="1"/>
  <c r="I105" i="192" s="1"/>
  <c r="O3475" i="246" s="1"/>
  <c r="K105" i="192"/>
  <c r="O3871" i="1" s="1"/>
  <c r="M104" i="192"/>
  <c r="G104" i="192" s="1"/>
  <c r="I104" i="192" s="1"/>
  <c r="O3474" i="246" s="1"/>
  <c r="K104" i="192"/>
  <c r="O3869" i="1" s="1"/>
  <c r="M103" i="192"/>
  <c r="G103" i="192" s="1"/>
  <c r="I103" i="192" s="1"/>
  <c r="O3473" i="246" s="1"/>
  <c r="K103" i="192"/>
  <c r="O3870" i="1" s="1"/>
  <c r="M102" i="192"/>
  <c r="G102" i="192" s="1"/>
  <c r="I102" i="192" s="1"/>
  <c r="K102" i="192"/>
  <c r="M101" i="192"/>
  <c r="G101" i="192" s="1"/>
  <c r="I101" i="192" s="1"/>
  <c r="K101" i="192"/>
  <c r="M100" i="192"/>
  <c r="G100" i="192" s="1"/>
  <c r="I100" i="192" s="1"/>
  <c r="K100" i="192"/>
  <c r="M99" i="192"/>
  <c r="G99" i="192" s="1"/>
  <c r="I99" i="192" s="1"/>
  <c r="K99" i="192"/>
  <c r="M98" i="192"/>
  <c r="G98" i="192" s="1"/>
  <c r="I98" i="192" s="1"/>
  <c r="K98" i="192"/>
  <c r="M96" i="192"/>
  <c r="G96" i="192" s="1"/>
  <c r="I96" i="192" s="1"/>
  <c r="O3516" i="246" s="1"/>
  <c r="K96" i="192"/>
  <c r="M95" i="192"/>
  <c r="G95" i="192" s="1"/>
  <c r="I95" i="192" s="1"/>
  <c r="O3513" i="246" s="1"/>
  <c r="K95" i="192"/>
  <c r="O3909" i="1" s="1"/>
  <c r="M94" i="192"/>
  <c r="G94" i="192" s="1"/>
  <c r="I94" i="192" s="1"/>
  <c r="O3517" i="246" s="1"/>
  <c r="K94" i="192"/>
  <c r="M93" i="192"/>
  <c r="G93" i="192" s="1"/>
  <c r="I93" i="192" s="1"/>
  <c r="K93" i="192"/>
  <c r="M91" i="192"/>
  <c r="G91" i="192" s="1"/>
  <c r="I91" i="192" s="1"/>
  <c r="K91" i="192"/>
  <c r="M90" i="192"/>
  <c r="G90" i="192" s="1"/>
  <c r="I90" i="192" s="1"/>
  <c r="K90" i="192"/>
  <c r="M89" i="192"/>
  <c r="G89" i="192" s="1"/>
  <c r="I89" i="192" s="1"/>
  <c r="O1354" i="246" s="1"/>
  <c r="R1354" i="246" s="1"/>
  <c r="K89" i="192"/>
  <c r="O1393" i="1" s="1"/>
  <c r="M88" i="192"/>
  <c r="G88" i="192" s="1"/>
  <c r="I88" i="192" s="1"/>
  <c r="O1353" i="246" s="1"/>
  <c r="R1353" i="246" s="1"/>
  <c r="K88" i="192"/>
  <c r="O1392" i="1" s="1"/>
  <c r="M87" i="192"/>
  <c r="G87" i="192" s="1"/>
  <c r="I87" i="192" s="1"/>
  <c r="O1352" i="246" s="1"/>
  <c r="R1352" i="246" s="1"/>
  <c r="K87" i="192"/>
  <c r="O1391" i="1" s="1"/>
  <c r="M86" i="192"/>
  <c r="G86" i="192" s="1"/>
  <c r="I86" i="192" s="1"/>
  <c r="K86" i="192"/>
  <c r="M85" i="192"/>
  <c r="G85" i="192" s="1"/>
  <c r="I85" i="192" s="1"/>
  <c r="K85" i="192"/>
  <c r="M84" i="192"/>
  <c r="G84" i="192" s="1"/>
  <c r="I84" i="192" s="1"/>
  <c r="O3518" i="246" s="1"/>
  <c r="K84" i="192"/>
  <c r="O3914" i="1" s="1"/>
  <c r="M83" i="192"/>
  <c r="G83" i="192" s="1"/>
  <c r="I83" i="192" s="1"/>
  <c r="K83" i="192"/>
  <c r="M82" i="192"/>
  <c r="G82" i="192" s="1"/>
  <c r="I82" i="192" s="1"/>
  <c r="O3446" i="246" s="1"/>
  <c r="K82" i="192"/>
  <c r="O3842" i="1" s="1"/>
  <c r="M81" i="192"/>
  <c r="G81" i="192" s="1"/>
  <c r="I81" i="192" s="1"/>
  <c r="O3445" i="246" s="1"/>
  <c r="K81" i="192"/>
  <c r="O3841" i="1" s="1"/>
  <c r="M80" i="192"/>
  <c r="G80" i="192" s="1"/>
  <c r="I80" i="192" s="1"/>
  <c r="O3444" i="246" s="1"/>
  <c r="K80" i="192"/>
  <c r="O3840" i="1" s="1"/>
  <c r="M79" i="192"/>
  <c r="G79" i="192" s="1"/>
  <c r="I79" i="192" s="1"/>
  <c r="O3443" i="246" s="1"/>
  <c r="K79" i="192"/>
  <c r="O3839" i="1" s="1"/>
  <c r="M78" i="192"/>
  <c r="G78" i="192" s="1"/>
  <c r="I78" i="192" s="1"/>
  <c r="O3442" i="246" s="1"/>
  <c r="K78" i="192"/>
  <c r="O3838" i="1" s="1"/>
  <c r="M77" i="192"/>
  <c r="G77" i="192" s="1"/>
  <c r="I77" i="192" s="1"/>
  <c r="O3441" i="246" s="1"/>
  <c r="K77" i="192"/>
  <c r="O3837" i="1" s="1"/>
  <c r="M76" i="192"/>
  <c r="G76" i="192" s="1"/>
  <c r="I76" i="192" s="1"/>
  <c r="O3440" i="246" s="1"/>
  <c r="K76" i="192"/>
  <c r="O3836" i="1" s="1"/>
  <c r="M75" i="192"/>
  <c r="G75" i="192" s="1"/>
  <c r="I75" i="192" s="1"/>
  <c r="O3439" i="246" s="1"/>
  <c r="K75" i="192"/>
  <c r="O3835" i="1" s="1"/>
  <c r="M74" i="192"/>
  <c r="G74" i="192" s="1"/>
  <c r="I74" i="192" s="1"/>
  <c r="O3438" i="246" s="1"/>
  <c r="K74" i="192"/>
  <c r="O3834" i="1" s="1"/>
  <c r="M73" i="192"/>
  <c r="G73" i="192" s="1"/>
  <c r="I73" i="192" s="1"/>
  <c r="O3437" i="246" s="1"/>
  <c r="K73" i="192"/>
  <c r="O3833" i="1" s="1"/>
  <c r="M72" i="192"/>
  <c r="G72" i="192" s="1"/>
  <c r="I72" i="192" s="1"/>
  <c r="O3436" i="246" s="1"/>
  <c r="K72" i="192"/>
  <c r="O3832" i="1" s="1"/>
  <c r="M71" i="192"/>
  <c r="G71" i="192" s="1"/>
  <c r="I71" i="192" s="1"/>
  <c r="O3435" i="246" s="1"/>
  <c r="K71" i="192"/>
  <c r="O3831" i="1" s="1"/>
  <c r="M70" i="192"/>
  <c r="G70" i="192" s="1"/>
  <c r="I70" i="192" s="1"/>
  <c r="K70" i="192"/>
  <c r="M69" i="192"/>
  <c r="G69" i="192" s="1"/>
  <c r="I69" i="192" s="1"/>
  <c r="K69" i="192"/>
  <c r="M68" i="192"/>
  <c r="G68" i="192" s="1"/>
  <c r="I68" i="192" s="1"/>
  <c r="K68" i="192"/>
  <c r="M67" i="192"/>
  <c r="G67" i="192" s="1"/>
  <c r="I67" i="192" s="1"/>
  <c r="K67" i="192"/>
  <c r="M66" i="192"/>
  <c r="G66" i="192" s="1"/>
  <c r="I66" i="192" s="1"/>
  <c r="K66" i="192"/>
  <c r="M64" i="192"/>
  <c r="G64" i="192" s="1"/>
  <c r="I64" i="192" s="1"/>
  <c r="O3431" i="246" s="1"/>
  <c r="K64" i="192"/>
  <c r="O3827" i="1" s="1"/>
  <c r="M63" i="192"/>
  <c r="G63" i="192" s="1"/>
  <c r="I63" i="192" s="1"/>
  <c r="O1279" i="246" s="1"/>
  <c r="R1279" i="246" s="1"/>
  <c r="K63" i="192"/>
  <c r="O1318" i="1" s="1"/>
  <c r="M62" i="192"/>
  <c r="G62" i="192" s="1"/>
  <c r="I62" i="192" s="1"/>
  <c r="O1278" i="246" s="1"/>
  <c r="R1278" i="246" s="1"/>
  <c r="K62" i="192"/>
  <c r="O1317" i="1" s="1"/>
  <c r="M61" i="192"/>
  <c r="G61" i="192" s="1"/>
  <c r="I61" i="192" s="1"/>
  <c r="K61" i="192"/>
  <c r="M60" i="192"/>
  <c r="G60" i="192" s="1"/>
  <c r="I60" i="192" s="1"/>
  <c r="K60" i="192"/>
  <c r="M59" i="192"/>
  <c r="G59" i="192" s="1"/>
  <c r="I59" i="192" s="1"/>
  <c r="K59" i="192"/>
  <c r="M58" i="192"/>
  <c r="G58" i="192" s="1"/>
  <c r="I58" i="192" s="1"/>
  <c r="K58" i="192"/>
  <c r="M57" i="192"/>
  <c r="G57" i="192" s="1"/>
  <c r="I57" i="192" s="1"/>
  <c r="K57" i="192"/>
  <c r="M56" i="192"/>
  <c r="G56" i="192" s="1"/>
  <c r="I56" i="192" s="1"/>
  <c r="K56" i="192"/>
  <c r="M55" i="192"/>
  <c r="G55" i="192" s="1"/>
  <c r="I55" i="192" s="1"/>
  <c r="K55" i="192"/>
  <c r="M54" i="192"/>
  <c r="G54" i="192" s="1"/>
  <c r="I54" i="192" s="1"/>
  <c r="K54" i="192"/>
  <c r="M53" i="192"/>
  <c r="G53" i="192" s="1"/>
  <c r="I53" i="192" s="1"/>
  <c r="O3428" i="246" s="1"/>
  <c r="K53" i="192"/>
  <c r="O3824" i="1" s="1"/>
  <c r="M52" i="192"/>
  <c r="G52" i="192" s="1"/>
  <c r="I52" i="192" s="1"/>
  <c r="K52" i="192"/>
  <c r="M51" i="192"/>
  <c r="G51" i="192" s="1"/>
  <c r="I51" i="192" s="1"/>
  <c r="K51" i="192"/>
  <c r="M50" i="192"/>
  <c r="G50" i="192" s="1"/>
  <c r="I50" i="192" s="1"/>
  <c r="O3426" i="246" s="1"/>
  <c r="K50" i="192"/>
  <c r="O3822" i="1" s="1"/>
  <c r="M49" i="192"/>
  <c r="G49" i="192" s="1"/>
  <c r="I49" i="192" s="1"/>
  <c r="O3425" i="246" s="1"/>
  <c r="K49" i="192"/>
  <c r="O3821" i="1" s="1"/>
  <c r="M48" i="192"/>
  <c r="G48" i="192" s="1"/>
  <c r="I48" i="192" s="1"/>
  <c r="O3424" i="246" s="1"/>
  <c r="K48" i="192"/>
  <c r="O3820" i="1" s="1"/>
  <c r="M47" i="192"/>
  <c r="G47" i="192" s="1"/>
  <c r="I47" i="192" s="1"/>
  <c r="O3423" i="246" s="1"/>
  <c r="K47" i="192"/>
  <c r="O3819" i="1" s="1"/>
  <c r="M46" i="192"/>
  <c r="G46" i="192" s="1"/>
  <c r="I46" i="192" s="1"/>
  <c r="K46" i="192"/>
  <c r="M45" i="192"/>
  <c r="G45" i="192" s="1"/>
  <c r="I45" i="192" s="1"/>
  <c r="K45" i="192"/>
  <c r="M44" i="192"/>
  <c r="G44" i="192" s="1"/>
  <c r="I44" i="192" s="1"/>
  <c r="K44" i="192"/>
  <c r="M43" i="192"/>
  <c r="G43" i="192" s="1"/>
  <c r="I43" i="192" s="1"/>
  <c r="K43" i="192"/>
  <c r="M42" i="192"/>
  <c r="G42" i="192" s="1"/>
  <c r="I42" i="192" s="1"/>
  <c r="O3421" i="246" s="1"/>
  <c r="K42" i="192"/>
  <c r="O3817" i="1" s="1"/>
  <c r="M41" i="192"/>
  <c r="G41" i="192" s="1"/>
  <c r="I41" i="192" s="1"/>
  <c r="O3420" i="246" s="1"/>
  <c r="K41" i="192"/>
  <c r="O3816" i="1" s="1"/>
  <c r="M40" i="192"/>
  <c r="G40" i="192" s="1"/>
  <c r="I40" i="192" s="1"/>
  <c r="O3419" i="246" s="1"/>
  <c r="K40" i="192"/>
  <c r="O3815" i="1" s="1"/>
  <c r="M39" i="192"/>
  <c r="G39" i="192" s="1"/>
  <c r="I39" i="192" s="1"/>
  <c r="K39" i="192"/>
  <c r="M38" i="192"/>
  <c r="G38" i="192" s="1"/>
  <c r="I38" i="192" s="1"/>
  <c r="K38" i="192"/>
  <c r="M37" i="192"/>
  <c r="G37" i="192" s="1"/>
  <c r="I37" i="192" s="1"/>
  <c r="K37" i="192"/>
  <c r="M36" i="192"/>
  <c r="G36" i="192" s="1"/>
  <c r="I36" i="192" s="1"/>
  <c r="K36" i="192"/>
  <c r="M35" i="192"/>
  <c r="G35" i="192" s="1"/>
  <c r="I35" i="192" s="1"/>
  <c r="K35" i="192"/>
  <c r="M34" i="192"/>
  <c r="G34" i="192" s="1"/>
  <c r="I34" i="192" s="1"/>
  <c r="K34" i="192"/>
  <c r="M32" i="192"/>
  <c r="G32" i="192" s="1"/>
  <c r="I32" i="192" s="1"/>
  <c r="K32" i="192"/>
  <c r="O3805" i="1" s="1"/>
  <c r="M31" i="192"/>
  <c r="G31" i="192" s="1"/>
  <c r="I31" i="192" s="1"/>
  <c r="K31" i="192"/>
  <c r="O3804" i="1" s="1"/>
  <c r="M30" i="192"/>
  <c r="G30" i="192" s="1"/>
  <c r="I30" i="192" s="1"/>
  <c r="K30" i="192"/>
  <c r="O3803" i="1" s="1"/>
  <c r="M29" i="192"/>
  <c r="G29" i="192" s="1"/>
  <c r="I29" i="192" s="1"/>
  <c r="K29" i="192"/>
  <c r="O3802" i="1" s="1"/>
  <c r="K28" i="192"/>
  <c r="O3801" i="1" s="1"/>
  <c r="M27" i="192"/>
  <c r="G27" i="192" s="1"/>
  <c r="I27" i="192" s="1"/>
  <c r="K27" i="192"/>
  <c r="M26" i="192"/>
  <c r="G26" i="192" s="1"/>
  <c r="I26" i="192" s="1"/>
  <c r="K26" i="192"/>
  <c r="M25" i="192"/>
  <c r="G25" i="192" s="1"/>
  <c r="I25" i="192" s="1"/>
  <c r="K25" i="192"/>
  <c r="M24" i="192"/>
  <c r="G24" i="192" s="1"/>
  <c r="I24" i="192" s="1"/>
  <c r="K24" i="192"/>
  <c r="M23" i="192"/>
  <c r="K23" i="192"/>
  <c r="M22" i="192"/>
  <c r="G22" i="192" s="1"/>
  <c r="I22" i="192" s="1"/>
  <c r="O3395" i="246" s="1"/>
  <c r="K22" i="192"/>
  <c r="O3791" i="1" s="1"/>
  <c r="M21" i="192"/>
  <c r="G21" i="192" s="1"/>
  <c r="I21" i="192" s="1"/>
  <c r="O3394" i="246" s="1"/>
  <c r="K21" i="192"/>
  <c r="O3790" i="1" s="1"/>
  <c r="M20" i="192"/>
  <c r="G20" i="192" s="1"/>
  <c r="I20" i="192" s="1"/>
  <c r="O3393" i="246" s="1"/>
  <c r="K20" i="192"/>
  <c r="O3789" i="1" s="1"/>
  <c r="M19" i="192"/>
  <c r="G19" i="192" s="1"/>
  <c r="I19" i="192" s="1"/>
  <c r="O3392" i="246" s="1"/>
  <c r="K19" i="192"/>
  <c r="O3788" i="1" s="1"/>
  <c r="M18" i="192"/>
  <c r="G18" i="192" s="1"/>
  <c r="I18" i="192" s="1"/>
  <c r="O3391" i="246" s="1"/>
  <c r="K18" i="192"/>
  <c r="O3787" i="1" s="1"/>
  <c r="M17" i="192"/>
  <c r="G17" i="192" s="1"/>
  <c r="I17" i="192" s="1"/>
  <c r="O3390" i="246" s="1"/>
  <c r="K17" i="192"/>
  <c r="O3786" i="1" s="1"/>
  <c r="M16" i="192"/>
  <c r="G16" i="192" s="1"/>
  <c r="I16" i="192" s="1"/>
  <c r="K16" i="192"/>
  <c r="M15" i="192"/>
  <c r="G15" i="192" s="1"/>
  <c r="I15" i="192" s="1"/>
  <c r="K15" i="192"/>
  <c r="M14" i="192"/>
  <c r="G14" i="192" s="1"/>
  <c r="I14" i="192" s="1"/>
  <c r="K14" i="192"/>
  <c r="M13" i="192"/>
  <c r="K13" i="192"/>
  <c r="M12" i="192"/>
  <c r="G12" i="192" s="1"/>
  <c r="I12" i="192" s="1"/>
  <c r="K12" i="192"/>
  <c r="M11" i="192"/>
  <c r="G11" i="192" s="1"/>
  <c r="I11" i="192" s="1"/>
  <c r="K11" i="192"/>
  <c r="M10" i="192"/>
  <c r="G10" i="192" s="1"/>
  <c r="I10" i="192" s="1"/>
  <c r="K10" i="192"/>
  <c r="M5" i="192"/>
  <c r="G5" i="192" s="1"/>
  <c r="K5" i="192"/>
  <c r="I1" i="192"/>
  <c r="G233" i="192" l="1"/>
  <c r="I233" i="192" s="1"/>
  <c r="H233" i="5" s="1"/>
  <c r="G108" i="192"/>
  <c r="I108" i="192" s="1"/>
  <c r="O4074" i="1"/>
  <c r="O3912" i="1"/>
  <c r="O3798" i="1"/>
  <c r="U3798" i="1" s="1"/>
  <c r="O4045" i="1"/>
  <c r="M3881" i="1"/>
  <c r="O3485" i="246"/>
  <c r="I230" i="192"/>
  <c r="G304" i="192"/>
  <c r="I304" i="192" s="1"/>
  <c r="H304" i="5" s="1"/>
  <c r="L304" i="5" s="1"/>
  <c r="O3818" i="1"/>
  <c r="O3830" i="1"/>
  <c r="O3910" i="1"/>
  <c r="O3868" i="1"/>
  <c r="O3876" i="1"/>
  <c r="O3778" i="1"/>
  <c r="U3778" i="1" s="1"/>
  <c r="O3792" i="1"/>
  <c r="O3434" i="246"/>
  <c r="O3785" i="1"/>
  <c r="O3780" i="1"/>
  <c r="U3780" i="1" s="1"/>
  <c r="O3384" i="246"/>
  <c r="S3384" i="246" s="1"/>
  <c r="O3944" i="1"/>
  <c r="S3944" i="1" s="1"/>
  <c r="O3422" i="246"/>
  <c r="O1188" i="246"/>
  <c r="R1188" i="246" s="1"/>
  <c r="O3406" i="246"/>
  <c r="O1190" i="246"/>
  <c r="R1190" i="246" s="1"/>
  <c r="O3408" i="246"/>
  <c r="O3487" i="246"/>
  <c r="O3409" i="246"/>
  <c r="O1191" i="246"/>
  <c r="R1191" i="246" s="1"/>
  <c r="O3427" i="246"/>
  <c r="O3429" i="246"/>
  <c r="O1277" i="246"/>
  <c r="R1277" i="246" s="1"/>
  <c r="O3430" i="246"/>
  <c r="O1351" i="246"/>
  <c r="R1351" i="246" s="1"/>
  <c r="O3515" i="246"/>
  <c r="O3486" i="246"/>
  <c r="O3407" i="246"/>
  <c r="O1189" i="246"/>
  <c r="R1189" i="246" s="1"/>
  <c r="O3433" i="246"/>
  <c r="O3472" i="246"/>
  <c r="O3479" i="246"/>
  <c r="O3490" i="246"/>
  <c r="O3514" i="246"/>
  <c r="O3480" i="246"/>
  <c r="C1225" i="1"/>
  <c r="D3405" i="246"/>
  <c r="C1187" i="246"/>
  <c r="D3241" i="246"/>
  <c r="C1181" i="246"/>
  <c r="M28" i="192"/>
  <c r="G28" i="192" s="1"/>
  <c r="I28" i="192" s="1"/>
  <c r="D3637" i="1"/>
  <c r="D3473" i="1"/>
  <c r="D3965" i="1"/>
  <c r="D3801" i="1"/>
  <c r="M3787" i="1"/>
  <c r="O3951" i="1"/>
  <c r="M3789" i="1"/>
  <c r="O3953" i="1"/>
  <c r="M3791" i="1"/>
  <c r="O3955" i="1"/>
  <c r="M3803" i="1"/>
  <c r="O3967" i="1"/>
  <c r="M3805" i="1"/>
  <c r="O3969" i="1"/>
  <c r="M3816" i="1"/>
  <c r="O3980" i="1"/>
  <c r="M3819" i="1"/>
  <c r="O3983" i="1"/>
  <c r="O3985" i="1"/>
  <c r="M3821" i="1"/>
  <c r="M3823" i="1"/>
  <c r="O3987" i="1"/>
  <c r="M3824" i="1"/>
  <c r="O3988" i="1"/>
  <c r="O3989" i="1"/>
  <c r="M3825" i="1"/>
  <c r="M3826" i="1"/>
  <c r="O3990" i="1"/>
  <c r="O3993" i="1"/>
  <c r="M3829" i="1"/>
  <c r="M3832" i="1"/>
  <c r="O3996" i="1"/>
  <c r="M3834" i="1"/>
  <c r="O3998" i="1"/>
  <c r="M3836" i="1"/>
  <c r="O4000" i="1"/>
  <c r="M3838" i="1"/>
  <c r="O4002" i="1"/>
  <c r="M3840" i="1"/>
  <c r="O4004" i="1"/>
  <c r="M3842" i="1"/>
  <c r="O4006" i="1"/>
  <c r="O4078" i="1"/>
  <c r="M3914" i="1"/>
  <c r="O4075" i="1"/>
  <c r="M3911" i="1"/>
  <c r="O4073" i="1"/>
  <c r="M3909" i="1"/>
  <c r="O4033" i="1"/>
  <c r="M3869" i="1"/>
  <c r="O4036" i="1"/>
  <c r="M3872" i="1"/>
  <c r="O4039" i="1"/>
  <c r="M3875" i="1"/>
  <c r="O4041" i="1"/>
  <c r="M3877" i="1"/>
  <c r="O4043" i="1"/>
  <c r="M3879" i="1"/>
  <c r="O4046" i="1"/>
  <c r="M3882" i="1"/>
  <c r="O4048" i="1"/>
  <c r="M3884" i="1"/>
  <c r="O4050" i="1"/>
  <c r="M3886" i="1"/>
  <c r="O4051" i="1"/>
  <c r="M3887" i="1"/>
  <c r="O4053" i="1"/>
  <c r="M3889" i="1"/>
  <c r="O4055" i="1"/>
  <c r="M3891" i="1"/>
  <c r="O4057" i="1"/>
  <c r="M3893" i="1"/>
  <c r="O4059" i="1"/>
  <c r="M3895" i="1"/>
  <c r="O4061" i="1"/>
  <c r="M3897" i="1"/>
  <c r="O3952" i="1"/>
  <c r="M3788" i="1"/>
  <c r="M3804" i="1"/>
  <c r="O3968" i="1"/>
  <c r="O3981" i="1"/>
  <c r="M3817" i="1"/>
  <c r="M3827" i="1"/>
  <c r="O3991" i="1"/>
  <c r="M3831" i="1"/>
  <c r="O3995" i="1"/>
  <c r="M3835" i="1"/>
  <c r="O3999" i="1"/>
  <c r="M3841" i="1"/>
  <c r="O4005" i="1"/>
  <c r="M3910" i="1"/>
  <c r="O4076" i="1"/>
  <c r="M3912" i="1"/>
  <c r="O4034" i="1"/>
  <c r="M3870" i="1"/>
  <c r="O4042" i="1"/>
  <c r="M3878" i="1"/>
  <c r="O4052" i="1"/>
  <c r="M3888" i="1"/>
  <c r="O4054" i="1"/>
  <c r="M3890" i="1"/>
  <c r="O4056" i="1"/>
  <c r="M3892" i="1"/>
  <c r="O4060" i="1"/>
  <c r="M3896" i="1"/>
  <c r="M3780" i="1"/>
  <c r="S3780" i="1" s="1"/>
  <c r="O3950" i="1"/>
  <c r="M3786" i="1"/>
  <c r="O3954" i="1"/>
  <c r="M3790" i="1"/>
  <c r="M3802" i="1"/>
  <c r="O3966" i="1"/>
  <c r="M3815" i="1"/>
  <c r="O3979" i="1"/>
  <c r="M3818" i="1"/>
  <c r="O3982" i="1"/>
  <c r="M3820" i="1"/>
  <c r="O3984" i="1"/>
  <c r="M3822" i="1"/>
  <c r="O3986" i="1"/>
  <c r="M3830" i="1"/>
  <c r="O3994" i="1"/>
  <c r="M3833" i="1"/>
  <c r="O3997" i="1"/>
  <c r="M3837" i="1"/>
  <c r="O4001" i="1"/>
  <c r="M3839" i="1"/>
  <c r="O4003" i="1"/>
  <c r="O4047" i="1"/>
  <c r="M3883" i="1"/>
  <c r="O4077" i="1"/>
  <c r="M3913" i="1"/>
  <c r="O4032" i="1"/>
  <c r="M3868" i="1"/>
  <c r="O4035" i="1"/>
  <c r="M3871" i="1"/>
  <c r="O4040" i="1"/>
  <c r="M3876" i="1"/>
  <c r="O4044" i="1"/>
  <c r="M3880" i="1"/>
  <c r="O4049" i="1"/>
  <c r="M3885" i="1"/>
  <c r="O4058" i="1"/>
  <c r="M3894" i="1"/>
  <c r="O3883" i="1"/>
  <c r="O3913" i="1"/>
  <c r="O3823" i="1"/>
  <c r="O3825" i="1"/>
  <c r="O3826" i="1"/>
  <c r="O3829" i="1"/>
  <c r="O3911" i="1"/>
  <c r="O3875" i="1"/>
  <c r="O3882" i="1"/>
  <c r="O3886" i="1"/>
  <c r="O3920" i="1"/>
  <c r="U3920" i="1" s="1"/>
  <c r="M1317" i="1"/>
  <c r="R1317" i="1" s="1"/>
  <c r="M1391" i="1"/>
  <c r="R1391" i="1" s="1"/>
  <c r="M1463" i="1"/>
  <c r="R1463" i="1" s="1"/>
  <c r="M1318" i="1"/>
  <c r="R1318" i="1" s="1"/>
  <c r="M1392" i="1"/>
  <c r="R1392" i="1" s="1"/>
  <c r="M1393" i="1"/>
  <c r="R1393" i="1" s="1"/>
  <c r="M1459" i="1"/>
  <c r="R1459" i="1" s="1"/>
  <c r="M1390" i="1"/>
  <c r="M1460" i="1"/>
  <c r="R1460" i="1" s="1"/>
  <c r="M1467" i="1"/>
  <c r="R1467" i="1" s="1"/>
  <c r="E98" i="231"/>
  <c r="F98" i="231" s="1"/>
  <c r="G98" i="231" s="1"/>
  <c r="D2" i="192"/>
  <c r="H2" i="192" s="1"/>
  <c r="I187" i="192"/>
  <c r="H187" i="5" s="1"/>
  <c r="F264" i="192"/>
  <c r="I264" i="192" s="1"/>
  <c r="F170" i="192"/>
  <c r="I170" i="192" s="1"/>
  <c r="F181" i="192"/>
  <c r="I181" i="192" s="1"/>
  <c r="I190" i="192"/>
  <c r="H190" i="5" s="1"/>
  <c r="F268" i="192"/>
  <c r="I268" i="192" s="1"/>
  <c r="F272" i="192"/>
  <c r="I272" i="192" s="1"/>
  <c r="F276" i="192"/>
  <c r="I276" i="192" s="1"/>
  <c r="I352" i="192"/>
  <c r="H352" i="5" s="1"/>
  <c r="I346" i="192"/>
  <c r="H346" i="5" s="1"/>
  <c r="I195" i="192"/>
  <c r="H195" i="5" s="1"/>
  <c r="I308" i="192"/>
  <c r="H308" i="5" s="1"/>
  <c r="I316" i="192"/>
  <c r="H316" i="5" s="1"/>
  <c r="H401" i="5"/>
  <c r="I205" i="192"/>
  <c r="H205" i="5" s="1"/>
  <c r="I208" i="192"/>
  <c r="H208" i="5" s="1"/>
  <c r="I218" i="192"/>
  <c r="H218" i="5" s="1"/>
  <c r="I236" i="192"/>
  <c r="F252" i="192"/>
  <c r="I252" i="192" s="1"/>
  <c r="F260" i="192"/>
  <c r="I260" i="192" s="1"/>
  <c r="I384" i="192"/>
  <c r="H384" i="5" s="1"/>
  <c r="I197" i="192"/>
  <c r="H197" i="5" s="1"/>
  <c r="F280" i="192"/>
  <c r="I280" i="192" s="1"/>
  <c r="I357" i="192"/>
  <c r="H357" i="5" s="1"/>
  <c r="I364" i="192"/>
  <c r="H364" i="5" s="1"/>
  <c r="I380" i="192"/>
  <c r="H380" i="5" s="1"/>
  <c r="F386" i="192"/>
  <c r="I386" i="192" s="1"/>
  <c r="G355" i="192"/>
  <c r="I355" i="192" s="1"/>
  <c r="H355" i="5" s="1"/>
  <c r="I189" i="192"/>
  <c r="H189" i="5" s="1"/>
  <c r="I207" i="192"/>
  <c r="H207" i="5" s="1"/>
  <c r="I351" i="192"/>
  <c r="H351" i="5" s="1"/>
  <c r="I369" i="192"/>
  <c r="H369" i="5" s="1"/>
  <c r="I344" i="192"/>
  <c r="H344" i="5" s="1"/>
  <c r="I373" i="192"/>
  <c r="H373" i="5" s="1"/>
  <c r="F173" i="192"/>
  <c r="I173" i="192" s="1"/>
  <c r="I193" i="192"/>
  <c r="H193" i="5" s="1"/>
  <c r="I217" i="192"/>
  <c r="H217" i="5" s="1"/>
  <c r="I311" i="192"/>
  <c r="H311" i="5" s="1"/>
  <c r="I317" i="192"/>
  <c r="H317" i="5" s="1"/>
  <c r="I330" i="192"/>
  <c r="H330" i="5" s="1"/>
  <c r="I350" i="192"/>
  <c r="H350" i="5" s="1"/>
  <c r="I360" i="192"/>
  <c r="H360" i="5" s="1"/>
  <c r="I362" i="192"/>
  <c r="H362" i="5" s="1"/>
  <c r="I394" i="192"/>
  <c r="I365" i="192"/>
  <c r="H365" i="5" s="1"/>
  <c r="I375" i="192"/>
  <c r="H375" i="5" s="1"/>
  <c r="I361" i="192"/>
  <c r="H361" i="5" s="1"/>
  <c r="I358" i="192"/>
  <c r="H358" i="5" s="1"/>
  <c r="I203" i="192"/>
  <c r="H203" i="5" s="1"/>
  <c r="I219" i="192"/>
  <c r="H219" i="5" s="1"/>
  <c r="I363" i="192"/>
  <c r="H363" i="5" s="1"/>
  <c r="I397" i="192"/>
  <c r="H397" i="5" s="1"/>
  <c r="O1226" i="1"/>
  <c r="O1228" i="1"/>
  <c r="O1316" i="1"/>
  <c r="F184" i="192"/>
  <c r="I184" i="192" s="1"/>
  <c r="I200" i="192"/>
  <c r="H200" i="5" s="1"/>
  <c r="O1225" i="1"/>
  <c r="O1227" i="1"/>
  <c r="O1229" i="1"/>
  <c r="O1390" i="1"/>
  <c r="O1458" i="1"/>
  <c r="I353" i="192"/>
  <c r="H353" i="5" s="1"/>
  <c r="I211" i="192"/>
  <c r="H211" i="5" s="1"/>
  <c r="I332" i="192"/>
  <c r="H332" i="5" s="1"/>
  <c r="F256" i="192"/>
  <c r="I256" i="192" s="1"/>
  <c r="G23" i="192"/>
  <c r="I23" i="192" s="1"/>
  <c r="O3396" i="246" s="1"/>
  <c r="I367" i="192"/>
  <c r="H367" i="5" s="1"/>
  <c r="I379" i="192"/>
  <c r="I383" i="192"/>
  <c r="H383" i="5" s="1"/>
  <c r="M1229" i="1"/>
  <c r="I265" i="192"/>
  <c r="H265" i="5" s="1"/>
  <c r="I269" i="192"/>
  <c r="H269" i="5" s="1"/>
  <c r="I273" i="192"/>
  <c r="H273" i="5" s="1"/>
  <c r="I319" i="192"/>
  <c r="M1228" i="1"/>
  <c r="M1227" i="1"/>
  <c r="M1226" i="1"/>
  <c r="M1316" i="1"/>
  <c r="A59" i="193"/>
  <c r="A145" i="193"/>
  <c r="A213" i="193"/>
  <c r="A221" i="193"/>
  <c r="A253" i="193"/>
  <c r="A228" i="193"/>
  <c r="A210" i="193"/>
  <c r="A434" i="193"/>
  <c r="A472" i="193"/>
  <c r="A333" i="193"/>
  <c r="A353" i="193"/>
  <c r="A361" i="193"/>
  <c r="A383" i="193"/>
  <c r="A385" i="193"/>
  <c r="A407" i="193"/>
  <c r="A190" i="193"/>
  <c r="A220" i="193"/>
  <c r="A232" i="193"/>
  <c r="I253" i="192"/>
  <c r="H253" i="5" s="1"/>
  <c r="I227" i="192"/>
  <c r="H227" i="5" s="1"/>
  <c r="I315" i="192"/>
  <c r="H315" i="5" s="1"/>
  <c r="F486" i="193"/>
  <c r="F9" i="193" s="1"/>
  <c r="I158" i="192"/>
  <c r="I310" i="192"/>
  <c r="H310" i="5" s="1"/>
  <c r="F8" i="193"/>
  <c r="D8" i="193" s="1"/>
  <c r="I168" i="192"/>
  <c r="I166" i="192"/>
  <c r="I204" i="192"/>
  <c r="H204" i="5" s="1"/>
  <c r="I370" i="192"/>
  <c r="H370" i="5" s="1"/>
  <c r="G13" i="192"/>
  <c r="I13" i="192" s="1"/>
  <c r="O3389" i="246" s="1"/>
  <c r="I167" i="192"/>
  <c r="I194" i="192"/>
  <c r="H194" i="5" s="1"/>
  <c r="I216" i="192"/>
  <c r="H216" i="5" s="1"/>
  <c r="I314" i="192"/>
  <c r="H314" i="5" s="1"/>
  <c r="I396" i="192"/>
  <c r="H396" i="5" s="1"/>
  <c r="A391" i="193"/>
  <c r="A278" i="193"/>
  <c r="A354" i="193"/>
  <c r="A382" i="193"/>
  <c r="A384" i="193"/>
  <c r="A388" i="193"/>
  <c r="A390" i="193"/>
  <c r="A392" i="193"/>
  <c r="A406" i="193"/>
  <c r="A420" i="193"/>
  <c r="A424" i="193"/>
  <c r="I175" i="192"/>
  <c r="H175" i="5" s="1"/>
  <c r="I140" i="192"/>
  <c r="O3503" i="246" s="1"/>
  <c r="I144" i="192"/>
  <c r="I148" i="192"/>
  <c r="O1423" i="246" s="1"/>
  <c r="R1423" i="246" s="1"/>
  <c r="I155" i="192"/>
  <c r="I159" i="192"/>
  <c r="I163" i="192"/>
  <c r="I349" i="192"/>
  <c r="H349" i="5" s="1"/>
  <c r="A81" i="193"/>
  <c r="A102" i="193"/>
  <c r="A123" i="193"/>
  <c r="A357" i="193"/>
  <c r="A376" i="193"/>
  <c r="A397" i="193"/>
  <c r="A80" i="193"/>
  <c r="A98" i="193"/>
  <c r="A118" i="193"/>
  <c r="A120" i="193"/>
  <c r="A121" i="193"/>
  <c r="A122" i="193"/>
  <c r="A126" i="193"/>
  <c r="A364" i="193"/>
  <c r="A365" i="193"/>
  <c r="A370" i="193"/>
  <c r="A377" i="193"/>
  <c r="A381" i="193"/>
  <c r="A398" i="193"/>
  <c r="I139" i="192"/>
  <c r="O3502" i="246" s="1"/>
  <c r="I154" i="192"/>
  <c r="A206" i="193"/>
  <c r="A209" i="193"/>
  <c r="A225" i="193"/>
  <c r="A226" i="193"/>
  <c r="A241" i="193"/>
  <c r="A244" i="193"/>
  <c r="A246" i="193"/>
  <c r="A247" i="193"/>
  <c r="A248" i="193"/>
  <c r="A258" i="193"/>
  <c r="A67" i="193"/>
  <c r="A193" i="193"/>
  <c r="A194" i="193"/>
  <c r="A197" i="193"/>
  <c r="A201" i="193"/>
  <c r="A340" i="193"/>
  <c r="A342" i="193"/>
  <c r="A481" i="193"/>
  <c r="A482" i="193"/>
  <c r="A82" i="193"/>
  <c r="A87" i="193"/>
  <c r="A92" i="193"/>
  <c r="A95" i="193"/>
  <c r="A108" i="193"/>
  <c r="A111" i="193"/>
  <c r="A115" i="193"/>
  <c r="A27" i="193"/>
  <c r="A30" i="193"/>
  <c r="A32" i="193"/>
  <c r="A43" i="193"/>
  <c r="A46" i="193"/>
  <c r="A128" i="193"/>
  <c r="A130" i="193"/>
  <c r="A131" i="193"/>
  <c r="A148" i="193"/>
  <c r="A161" i="193"/>
  <c r="A172" i="193"/>
  <c r="A174" i="193"/>
  <c r="A175" i="193"/>
  <c r="A176" i="193"/>
  <c r="A177" i="193"/>
  <c r="A178" i="193"/>
  <c r="A262" i="193"/>
  <c r="A265" i="193"/>
  <c r="A273" i="193"/>
  <c r="A274" i="193"/>
  <c r="A277" i="193"/>
  <c r="A279" i="193"/>
  <c r="A280" i="193"/>
  <c r="A284" i="193"/>
  <c r="A286" i="193"/>
  <c r="A294" i="193"/>
  <c r="A295" i="193"/>
  <c r="A305" i="193"/>
  <c r="A312" i="193"/>
  <c r="A408" i="193"/>
  <c r="A409" i="193"/>
  <c r="A413" i="193"/>
  <c r="A433" i="193"/>
  <c r="A436" i="193"/>
  <c r="A438" i="193"/>
  <c r="A439" i="193"/>
  <c r="A454" i="193"/>
  <c r="A455" i="193"/>
  <c r="A456" i="193"/>
  <c r="A83" i="193"/>
  <c r="A103" i="193"/>
  <c r="A114" i="193"/>
  <c r="A16" i="193"/>
  <c r="A19" i="193"/>
  <c r="A35" i="193"/>
  <c r="A48" i="193"/>
  <c r="A51" i="193"/>
  <c r="A62" i="193"/>
  <c r="A64" i="193"/>
  <c r="A149" i="193"/>
  <c r="A153" i="193"/>
  <c r="A162" i="193"/>
  <c r="A165" i="193"/>
  <c r="A169" i="193"/>
  <c r="A180" i="193"/>
  <c r="A181" i="193"/>
  <c r="A191" i="193"/>
  <c r="A192" i="193"/>
  <c r="A289" i="193"/>
  <c r="A296" i="193"/>
  <c r="A313" i="193"/>
  <c r="A317" i="193"/>
  <c r="A322" i="193"/>
  <c r="A325" i="193"/>
  <c r="A329" i="193"/>
  <c r="A336" i="193"/>
  <c r="A337" i="193"/>
  <c r="A440" i="193"/>
  <c r="A444" i="193"/>
  <c r="A445" i="193"/>
  <c r="A457" i="193"/>
  <c r="A470" i="193"/>
  <c r="A474" i="193"/>
  <c r="A475" i="193"/>
  <c r="A476" i="193"/>
  <c r="A15" i="193"/>
  <c r="I143" i="192"/>
  <c r="I147" i="192"/>
  <c r="O1422" i="246" s="1"/>
  <c r="R1422" i="246" s="1"/>
  <c r="A34" i="193"/>
  <c r="A38" i="193"/>
  <c r="A40" i="193"/>
  <c r="A41" i="193"/>
  <c r="A42" i="193"/>
  <c r="A66" i="193"/>
  <c r="A70" i="193"/>
  <c r="A72" i="193"/>
  <c r="A73" i="193"/>
  <c r="A74" i="193"/>
  <c r="A75" i="193"/>
  <c r="A78" i="193"/>
  <c r="A99" i="193"/>
  <c r="A112" i="193"/>
  <c r="A113" i="193"/>
  <c r="A150" i="193"/>
  <c r="A156" i="193"/>
  <c r="A158" i="193"/>
  <c r="A159" i="193"/>
  <c r="A160" i="193"/>
  <c r="A184" i="193"/>
  <c r="A188" i="193"/>
  <c r="A216" i="193"/>
  <c r="A218" i="193"/>
  <c r="A219" i="193"/>
  <c r="A249" i="193"/>
  <c r="A257" i="193"/>
  <c r="A287" i="193"/>
  <c r="A288" i="193"/>
  <c r="A290" i="193"/>
  <c r="A292" i="193"/>
  <c r="A306" i="193"/>
  <c r="A309" i="193"/>
  <c r="A328" i="193"/>
  <c r="A356" i="193"/>
  <c r="A360" i="193"/>
  <c r="A396" i="193"/>
  <c r="A401" i="193"/>
  <c r="A404" i="193"/>
  <c r="A421" i="193"/>
  <c r="A428" i="193"/>
  <c r="A430" i="193"/>
  <c r="A431" i="193"/>
  <c r="A432" i="193"/>
  <c r="A461" i="193"/>
  <c r="A465" i="193"/>
  <c r="A468" i="193"/>
  <c r="I378" i="192"/>
  <c r="A18" i="193"/>
  <c r="A22" i="193"/>
  <c r="A24" i="193"/>
  <c r="A25" i="193"/>
  <c r="A26" i="193"/>
  <c r="A50" i="193"/>
  <c r="A54" i="193"/>
  <c r="A56" i="193"/>
  <c r="A57" i="193"/>
  <c r="A58" i="193"/>
  <c r="A86" i="193"/>
  <c r="A96" i="193"/>
  <c r="A97" i="193"/>
  <c r="A129" i="193"/>
  <c r="A134" i="193"/>
  <c r="A136" i="193"/>
  <c r="A137" i="193"/>
  <c r="A138" i="193"/>
  <c r="A139" i="193"/>
  <c r="A142" i="193"/>
  <c r="A168" i="193"/>
  <c r="A198" i="193"/>
  <c r="A205" i="193"/>
  <c r="A230" i="193"/>
  <c r="A231" i="193"/>
  <c r="A233" i="193"/>
  <c r="A234" i="193"/>
  <c r="A235" i="193"/>
  <c r="A236" i="193"/>
  <c r="A238" i="193"/>
  <c r="A239" i="193"/>
  <c r="A240" i="193"/>
  <c r="A261" i="193"/>
  <c r="A269" i="193"/>
  <c r="A272" i="193"/>
  <c r="A297" i="193"/>
  <c r="A301" i="193"/>
  <c r="A302" i="193"/>
  <c r="A303" i="193"/>
  <c r="A304" i="193"/>
  <c r="A344" i="193"/>
  <c r="A346" i="193"/>
  <c r="A347" i="193"/>
  <c r="A348" i="193"/>
  <c r="A349" i="193"/>
  <c r="A352" i="193"/>
  <c r="A372" i="193"/>
  <c r="A374" i="193"/>
  <c r="A375" i="193"/>
  <c r="A412" i="193"/>
  <c r="A418" i="193"/>
  <c r="A446" i="193"/>
  <c r="A447" i="193"/>
  <c r="A448" i="193"/>
  <c r="A449" i="193"/>
  <c r="A452" i="193"/>
  <c r="A477" i="193"/>
  <c r="A20" i="193"/>
  <c r="A21" i="193"/>
  <c r="A36" i="193"/>
  <c r="A37" i="193"/>
  <c r="A52" i="193"/>
  <c r="A53" i="193"/>
  <c r="A88" i="193"/>
  <c r="A89" i="193"/>
  <c r="A90" i="193"/>
  <c r="A91" i="193"/>
  <c r="A94" i="193"/>
  <c r="A151" i="193"/>
  <c r="A152" i="193"/>
  <c r="A154" i="193"/>
  <c r="A155" i="193"/>
  <c r="A199" i="193"/>
  <c r="A200" i="193"/>
  <c r="A202" i="193"/>
  <c r="A203" i="193"/>
  <c r="A204" i="193"/>
  <c r="A252" i="193"/>
  <c r="A254" i="193"/>
  <c r="A255" i="193"/>
  <c r="A256" i="193"/>
  <c r="A298" i="193"/>
  <c r="A299" i="193"/>
  <c r="A300" i="193"/>
  <c r="A358" i="193"/>
  <c r="A359" i="193"/>
  <c r="A414" i="193"/>
  <c r="A415" i="193"/>
  <c r="A416" i="193"/>
  <c r="A417" i="193"/>
  <c r="A462" i="193"/>
  <c r="A464" i="193"/>
  <c r="A23" i="193"/>
  <c r="A55" i="193"/>
  <c r="A71" i="193"/>
  <c r="A79" i="193"/>
  <c r="A135" i="193"/>
  <c r="A143" i="193"/>
  <c r="A185" i="193"/>
  <c r="A237" i="193"/>
  <c r="A293" i="193"/>
  <c r="A345" i="193"/>
  <c r="A350" i="193"/>
  <c r="A450" i="193"/>
  <c r="A39" i="193"/>
  <c r="A76" i="193"/>
  <c r="A140" i="193"/>
  <c r="A189" i="193"/>
  <c r="A402" i="193"/>
  <c r="A405" i="193"/>
  <c r="A453" i="193"/>
  <c r="I161" i="192"/>
  <c r="I186" i="192"/>
  <c r="H186" i="5" s="1"/>
  <c r="I188" i="192"/>
  <c r="H188" i="5" s="1"/>
  <c r="A17" i="193"/>
  <c r="A28" i="193"/>
  <c r="A31" i="193"/>
  <c r="A33" i="193"/>
  <c r="A44" i="193"/>
  <c r="A47" i="193"/>
  <c r="A49" i="193"/>
  <c r="A60" i="193"/>
  <c r="A63" i="193"/>
  <c r="A65" i="193"/>
  <c r="A104" i="193"/>
  <c r="A105" i="193"/>
  <c r="A106" i="193"/>
  <c r="A107" i="193"/>
  <c r="A110" i="193"/>
  <c r="A119" i="193"/>
  <c r="A124" i="193"/>
  <c r="A127" i="193"/>
  <c r="A164" i="193"/>
  <c r="A166" i="193"/>
  <c r="A167" i="193"/>
  <c r="A173" i="193"/>
  <c r="A212" i="193"/>
  <c r="A214" i="193"/>
  <c r="A215" i="193"/>
  <c r="A263" i="193"/>
  <c r="A264" i="193"/>
  <c r="A266" i="193"/>
  <c r="A267" i="193"/>
  <c r="A268" i="193"/>
  <c r="A281" i="193"/>
  <c r="A285" i="193"/>
  <c r="A316" i="193"/>
  <c r="A318" i="193"/>
  <c r="A319" i="193"/>
  <c r="A320" i="193"/>
  <c r="A321" i="193"/>
  <c r="A324" i="193"/>
  <c r="A326" i="193"/>
  <c r="A327" i="193"/>
  <c r="A334" i="193"/>
  <c r="A338" i="193"/>
  <c r="A368" i="193"/>
  <c r="A369" i="193"/>
  <c r="A386" i="193"/>
  <c r="A389" i="193"/>
  <c r="A425" i="193"/>
  <c r="A426" i="193"/>
  <c r="A427" i="193"/>
  <c r="A437" i="193"/>
  <c r="A473" i="193"/>
  <c r="A478" i="193"/>
  <c r="A479" i="193"/>
  <c r="A480" i="193"/>
  <c r="A68" i="193"/>
  <c r="A69" i="193"/>
  <c r="A84" i="193"/>
  <c r="A85" i="193"/>
  <c r="A100" i="193"/>
  <c r="A101" i="193"/>
  <c r="A116" i="193"/>
  <c r="A117" i="193"/>
  <c r="A132" i="193"/>
  <c r="A133" i="193"/>
  <c r="A146" i="193"/>
  <c r="A157" i="193"/>
  <c r="A170" i="193"/>
  <c r="A171" i="193"/>
  <c r="A182" i="193"/>
  <c r="A183" i="193"/>
  <c r="A196" i="193"/>
  <c r="A208" i="193"/>
  <c r="A217" i="193"/>
  <c r="A222" i="193"/>
  <c r="A223" i="193"/>
  <c r="A224" i="193"/>
  <c r="A229" i="193"/>
  <c r="A242" i="193"/>
  <c r="A245" i="193"/>
  <c r="A260" i="193"/>
  <c r="A270" i="193"/>
  <c r="A276" i="193"/>
  <c r="A308" i="193"/>
  <c r="A310" i="193"/>
  <c r="A311" i="193"/>
  <c r="A330" i="193"/>
  <c r="A331" i="193"/>
  <c r="A332" i="193"/>
  <c r="A341" i="193"/>
  <c r="A343" i="193"/>
  <c r="A362" i="193"/>
  <c r="A363" i="193"/>
  <c r="A373" i="193"/>
  <c r="A380" i="193"/>
  <c r="A393" i="193"/>
  <c r="A400" i="193"/>
  <c r="A410" i="193"/>
  <c r="A411" i="193"/>
  <c r="A422" i="193"/>
  <c r="A423" i="193"/>
  <c r="A429" i="193"/>
  <c r="A441" i="193"/>
  <c r="A458" i="193"/>
  <c r="A459" i="193"/>
  <c r="A460" i="193"/>
  <c r="A466" i="193"/>
  <c r="A469" i="193"/>
  <c r="A471" i="193"/>
  <c r="I196" i="192"/>
  <c r="H196" i="5" s="1"/>
  <c r="I258" i="192"/>
  <c r="H258" i="5" s="1"/>
  <c r="I206" i="192"/>
  <c r="H206" i="5" s="1"/>
  <c r="I225" i="192"/>
  <c r="H225" i="5" s="1"/>
  <c r="I313" i="192"/>
  <c r="I176" i="192"/>
  <c r="I215" i="192"/>
  <c r="H215" i="5" s="1"/>
  <c r="I267" i="192"/>
  <c r="I274" i="192"/>
  <c r="H274" i="5" s="1"/>
  <c r="I309" i="192"/>
  <c r="H309" i="5" s="1"/>
  <c r="I356" i="192"/>
  <c r="H356" i="5" s="1"/>
  <c r="I381" i="192"/>
  <c r="H381" i="5" s="1"/>
  <c r="I192" i="192"/>
  <c r="H192" i="5" s="1"/>
  <c r="I210" i="192"/>
  <c r="H210" i="5" s="1"/>
  <c r="I202" i="192"/>
  <c r="I222" i="192"/>
  <c r="I254" i="192"/>
  <c r="H254" i="5" s="1"/>
  <c r="I266" i="192"/>
  <c r="H266" i="5" s="1"/>
  <c r="I342" i="192"/>
  <c r="I377" i="192"/>
  <c r="H377" i="5" s="1"/>
  <c r="I226" i="192"/>
  <c r="H226" i="5" s="1"/>
  <c r="I259" i="192"/>
  <c r="I341" i="192"/>
  <c r="H341" i="5" s="1"/>
  <c r="I382" i="192"/>
  <c r="H382" i="5" s="1"/>
  <c r="I399" i="192"/>
  <c r="H399" i="5" s="1"/>
  <c r="A29" i="193"/>
  <c r="A45" i="193"/>
  <c r="A61" i="193"/>
  <c r="A77" i="193"/>
  <c r="A93" i="193"/>
  <c r="A109" i="193"/>
  <c r="A125" i="193"/>
  <c r="A141" i="193"/>
  <c r="A282" i="193"/>
  <c r="A283" i="193"/>
  <c r="A351" i="193"/>
  <c r="A366" i="193"/>
  <c r="A367" i="193"/>
  <c r="A394" i="193"/>
  <c r="A395" i="193"/>
  <c r="A144" i="193"/>
  <c r="A186" i="193"/>
  <c r="A187" i="193"/>
  <c r="A207" i="193"/>
  <c r="A250" i="193"/>
  <c r="A251" i="193"/>
  <c r="A271" i="193"/>
  <c r="A314" i="193"/>
  <c r="A315" i="193"/>
  <c r="A335" i="193"/>
  <c r="A378" i="193"/>
  <c r="A379" i="193"/>
  <c r="A399" i="193"/>
  <c r="A442" i="193"/>
  <c r="A443" i="193"/>
  <c r="A463" i="193"/>
  <c r="A147" i="193"/>
  <c r="A163" i="193"/>
  <c r="A179" i="193"/>
  <c r="A195" i="193"/>
  <c r="A211" i="193"/>
  <c r="A227" i="193"/>
  <c r="A243" i="193"/>
  <c r="A259" i="193"/>
  <c r="A275" i="193"/>
  <c r="A291" i="193"/>
  <c r="A307" i="193"/>
  <c r="A323" i="193"/>
  <c r="A339" i="193"/>
  <c r="A355" i="193"/>
  <c r="A371" i="193"/>
  <c r="A387" i="193"/>
  <c r="A403" i="193"/>
  <c r="A419" i="193"/>
  <c r="A435" i="193"/>
  <c r="A451" i="193"/>
  <c r="A467" i="193"/>
  <c r="I5" i="192"/>
  <c r="O3382" i="246" s="1"/>
  <c r="S3382" i="246" s="1"/>
  <c r="I191" i="192"/>
  <c r="H191" i="5" s="1"/>
  <c r="I201" i="192"/>
  <c r="I209" i="192"/>
  <c r="H209" i="5" s="1"/>
  <c r="I212" i="192"/>
  <c r="H212" i="5" s="1"/>
  <c r="I214" i="192"/>
  <c r="H214" i="5" s="1"/>
  <c r="I321" i="192"/>
  <c r="H321" i="5" s="1"/>
  <c r="I368" i="192"/>
  <c r="H368" i="5" s="1"/>
  <c r="I371" i="192"/>
  <c r="H371" i="5" s="1"/>
  <c r="I372" i="192"/>
  <c r="H372" i="5" s="1"/>
  <c r="F177" i="192"/>
  <c r="I177" i="192" s="1"/>
  <c r="I213" i="192"/>
  <c r="H213" i="5" s="1"/>
  <c r="I312" i="192"/>
  <c r="H312" i="5" s="1"/>
  <c r="I395" i="192"/>
  <c r="H395" i="5" s="1"/>
  <c r="I221" i="192"/>
  <c r="I318" i="192"/>
  <c r="H318" i="5" s="1"/>
  <c r="I334" i="192"/>
  <c r="H334" i="5" s="1"/>
  <c r="I347" i="192"/>
  <c r="H347" i="5" s="1"/>
  <c r="I376" i="192"/>
  <c r="H376" i="5" s="1"/>
  <c r="K404" i="192"/>
  <c r="K2" i="192" s="1"/>
  <c r="C1315" i="1"/>
  <c r="C1314" i="1"/>
  <c r="C1313" i="1"/>
  <c r="C1457" i="1"/>
  <c r="C1456" i="1"/>
  <c r="C1452" i="1"/>
  <c r="C1451" i="1"/>
  <c r="C1450" i="1"/>
  <c r="C1449" i="1"/>
  <c r="C1448" i="1"/>
  <c r="C1447" i="1"/>
  <c r="D1389" i="1"/>
  <c r="D1388" i="1"/>
  <c r="D1387" i="1"/>
  <c r="D1386" i="1"/>
  <c r="C1223" i="1"/>
  <c r="C1222" i="1"/>
  <c r="C1221" i="1"/>
  <c r="C1220" i="1"/>
  <c r="C1219" i="1"/>
  <c r="O3478" i="246" l="1"/>
  <c r="O4038" i="1"/>
  <c r="M3874" i="1"/>
  <c r="O1419" i="246"/>
  <c r="R1419" i="246" s="1"/>
  <c r="O4084" i="1"/>
  <c r="S4084" i="1" s="1"/>
  <c r="M3920" i="1"/>
  <c r="S3920" i="1" s="1"/>
  <c r="O3524" i="246"/>
  <c r="S3524" i="246" s="1"/>
  <c r="O1954" i="246"/>
  <c r="R1954" i="246" s="1"/>
  <c r="C1952" i="246"/>
  <c r="C2017" i="1"/>
  <c r="O3510" i="246"/>
  <c r="S3510" i="246" s="1"/>
  <c r="O3906" i="1"/>
  <c r="U3906" i="1" s="1"/>
  <c r="M3906" i="1"/>
  <c r="S3906" i="1" s="1"/>
  <c r="D676" i="246"/>
  <c r="C1962" i="246"/>
  <c r="M674" i="1"/>
  <c r="O676" i="246"/>
  <c r="R676" i="246" s="1"/>
  <c r="D674" i="1"/>
  <c r="M2019" i="1"/>
  <c r="M2024" i="1" s="1"/>
  <c r="C2027" i="1"/>
  <c r="O3782" i="1"/>
  <c r="U3782" i="1" s="1"/>
  <c r="O3796" i="1" s="1"/>
  <c r="O3386" i="246"/>
  <c r="S3386" i="246" s="1"/>
  <c r="O3400" i="246" s="1"/>
  <c r="D3400" i="246" s="1"/>
  <c r="O3416" i="246"/>
  <c r="S3416" i="246" s="1"/>
  <c r="O1429" i="246"/>
  <c r="R1429" i="246" s="1"/>
  <c r="O3469" i="246"/>
  <c r="S3469" i="246" s="1"/>
  <c r="O3405" i="246"/>
  <c r="O1187" i="246"/>
  <c r="R1187" i="246" s="1"/>
  <c r="O3965" i="1"/>
  <c r="M3801" i="1"/>
  <c r="M1225" i="1"/>
  <c r="R1225" i="1" s="1"/>
  <c r="M3812" i="1"/>
  <c r="S3812" i="1" s="1"/>
  <c r="O3865" i="1"/>
  <c r="U3865" i="1" s="1"/>
  <c r="O3812" i="1"/>
  <c r="U3812" i="1" s="1"/>
  <c r="O3942" i="1"/>
  <c r="S3942" i="1" s="1"/>
  <c r="M3778" i="1"/>
  <c r="S3778" i="1" s="1"/>
  <c r="O3976" i="1"/>
  <c r="S3976" i="1" s="1"/>
  <c r="M3792" i="1"/>
  <c r="O3956" i="1"/>
  <c r="O4063" i="1"/>
  <c r="M3899" i="1"/>
  <c r="O4062" i="1"/>
  <c r="M3898" i="1"/>
  <c r="M3785" i="1"/>
  <c r="O3949" i="1"/>
  <c r="O4070" i="1"/>
  <c r="S4070" i="1" s="1"/>
  <c r="R1390" i="1"/>
  <c r="M1461" i="1"/>
  <c r="R1461" i="1" s="1"/>
  <c r="M1468" i="1"/>
  <c r="R1468" i="1" s="1"/>
  <c r="M1462" i="1"/>
  <c r="R1462" i="1" s="1"/>
  <c r="E99" i="231"/>
  <c r="F99" i="231" s="1"/>
  <c r="G99" i="231" s="1"/>
  <c r="R1316" i="1"/>
  <c r="R1227" i="1"/>
  <c r="R1228" i="1"/>
  <c r="R1226" i="1"/>
  <c r="R1229" i="1"/>
  <c r="M1458" i="1"/>
  <c r="R1458" i="1" s="1"/>
  <c r="G404" i="192"/>
  <c r="G2" i="192" s="1"/>
  <c r="I404" i="192"/>
  <c r="I2" i="192" s="1"/>
  <c r="N2" i="192"/>
  <c r="H37" i="5" s="1"/>
  <c r="F404" i="192"/>
  <c r="M482" i="189"/>
  <c r="M481" i="189"/>
  <c r="M480" i="189"/>
  <c r="M479" i="189"/>
  <c r="M478" i="189"/>
  <c r="M477" i="189"/>
  <c r="M476" i="189"/>
  <c r="M475" i="189"/>
  <c r="M474" i="189"/>
  <c r="M473" i="189"/>
  <c r="M472" i="189"/>
  <c r="M471" i="189"/>
  <c r="M470" i="189"/>
  <c r="M469" i="189"/>
  <c r="M468" i="189"/>
  <c r="M467" i="189"/>
  <c r="M466" i="189"/>
  <c r="M465" i="189"/>
  <c r="M464" i="189"/>
  <c r="M463" i="189"/>
  <c r="M462" i="189"/>
  <c r="M461" i="189"/>
  <c r="M460" i="189"/>
  <c r="M459" i="189"/>
  <c r="M458" i="189"/>
  <c r="M457" i="189"/>
  <c r="M456" i="189"/>
  <c r="M455" i="189"/>
  <c r="M454" i="189"/>
  <c r="M453" i="189"/>
  <c r="M452" i="189"/>
  <c r="M451" i="189"/>
  <c r="M450" i="189"/>
  <c r="M449" i="189"/>
  <c r="M448" i="189"/>
  <c r="M447" i="189"/>
  <c r="M446" i="189"/>
  <c r="M445" i="189"/>
  <c r="M444" i="189"/>
  <c r="M443" i="189"/>
  <c r="M442" i="189"/>
  <c r="M441" i="189"/>
  <c r="M440" i="189"/>
  <c r="M439" i="189"/>
  <c r="M438" i="189"/>
  <c r="M437" i="189"/>
  <c r="M436" i="189"/>
  <c r="M435" i="189"/>
  <c r="M434" i="189"/>
  <c r="M433" i="189"/>
  <c r="M432" i="189"/>
  <c r="M431" i="189"/>
  <c r="M430" i="189"/>
  <c r="M429" i="189"/>
  <c r="M428" i="189"/>
  <c r="M427" i="189"/>
  <c r="M426" i="189"/>
  <c r="M425" i="189"/>
  <c r="M424" i="189"/>
  <c r="M423" i="189"/>
  <c r="M422" i="189"/>
  <c r="M421" i="189"/>
  <c r="M420" i="189"/>
  <c r="M419" i="189"/>
  <c r="M418" i="189"/>
  <c r="M417" i="189"/>
  <c r="M416" i="189"/>
  <c r="M415" i="189"/>
  <c r="M414" i="189"/>
  <c r="M413" i="189"/>
  <c r="M412" i="189"/>
  <c r="M411" i="189"/>
  <c r="M410" i="189"/>
  <c r="M409" i="189"/>
  <c r="M408" i="189"/>
  <c r="M407" i="189"/>
  <c r="M406" i="189"/>
  <c r="M405" i="189"/>
  <c r="M404" i="189"/>
  <c r="M403" i="189"/>
  <c r="M402" i="189"/>
  <c r="M401" i="189"/>
  <c r="M400" i="189"/>
  <c r="M399" i="189"/>
  <c r="M398" i="189"/>
  <c r="M397" i="189"/>
  <c r="M396" i="189"/>
  <c r="M395" i="189"/>
  <c r="M394" i="189"/>
  <c r="M393" i="189"/>
  <c r="M392" i="189"/>
  <c r="M391" i="189"/>
  <c r="M390" i="189"/>
  <c r="M389" i="189"/>
  <c r="M388" i="189"/>
  <c r="M387" i="189"/>
  <c r="M386" i="189"/>
  <c r="M385" i="189"/>
  <c r="M384" i="189"/>
  <c r="M383" i="189"/>
  <c r="M382" i="189"/>
  <c r="M381" i="189"/>
  <c r="M380" i="189"/>
  <c r="M379" i="189"/>
  <c r="M378" i="189"/>
  <c r="M377" i="189"/>
  <c r="M376" i="189"/>
  <c r="M375" i="189"/>
  <c r="M374" i="189"/>
  <c r="M373" i="189"/>
  <c r="M372" i="189"/>
  <c r="M371" i="189"/>
  <c r="M370" i="189"/>
  <c r="M369" i="189"/>
  <c r="M368" i="189"/>
  <c r="M367" i="189"/>
  <c r="M366" i="189"/>
  <c r="M365" i="189"/>
  <c r="M364" i="189"/>
  <c r="M363" i="189"/>
  <c r="M362" i="189"/>
  <c r="M361" i="189"/>
  <c r="M360" i="189"/>
  <c r="M359" i="189"/>
  <c r="M358" i="189"/>
  <c r="M357" i="189"/>
  <c r="M356" i="189"/>
  <c r="M355" i="189"/>
  <c r="M354" i="189"/>
  <c r="M353" i="189"/>
  <c r="M352" i="189"/>
  <c r="M351" i="189"/>
  <c r="M350" i="189"/>
  <c r="M349" i="189"/>
  <c r="M348" i="189"/>
  <c r="M347" i="189"/>
  <c r="M346" i="189"/>
  <c r="M345" i="189"/>
  <c r="M344" i="189"/>
  <c r="M343" i="189"/>
  <c r="M342" i="189"/>
  <c r="M341" i="189"/>
  <c r="M340" i="189"/>
  <c r="M339" i="189"/>
  <c r="M338" i="189"/>
  <c r="M337" i="189"/>
  <c r="M336" i="189"/>
  <c r="M335" i="189"/>
  <c r="M334" i="189"/>
  <c r="M333" i="189"/>
  <c r="M332" i="189"/>
  <c r="M331" i="189"/>
  <c r="M330" i="189"/>
  <c r="M329" i="189"/>
  <c r="M328" i="189"/>
  <c r="M327" i="189"/>
  <c r="M326" i="189"/>
  <c r="M325" i="189"/>
  <c r="M324" i="189"/>
  <c r="M323" i="189"/>
  <c r="M322" i="189"/>
  <c r="M321" i="189"/>
  <c r="M320" i="189"/>
  <c r="M319" i="189"/>
  <c r="M318" i="189"/>
  <c r="M317" i="189"/>
  <c r="M316" i="189"/>
  <c r="M315" i="189"/>
  <c r="M314" i="189"/>
  <c r="M313" i="189"/>
  <c r="M312" i="189"/>
  <c r="M311" i="189"/>
  <c r="M310" i="189"/>
  <c r="M309" i="189"/>
  <c r="M308" i="189"/>
  <c r="M307" i="189"/>
  <c r="M306" i="189"/>
  <c r="M305" i="189"/>
  <c r="M304" i="189"/>
  <c r="M303" i="189"/>
  <c r="M302" i="189"/>
  <c r="M301" i="189"/>
  <c r="M300" i="189"/>
  <c r="M299" i="189"/>
  <c r="M298" i="189"/>
  <c r="M297" i="189"/>
  <c r="M296" i="189"/>
  <c r="M295" i="189"/>
  <c r="M294" i="189"/>
  <c r="M293" i="189"/>
  <c r="M292" i="189"/>
  <c r="M291" i="189"/>
  <c r="M290" i="189"/>
  <c r="M289" i="189"/>
  <c r="M288" i="189"/>
  <c r="M287" i="189"/>
  <c r="M286" i="189"/>
  <c r="M285" i="189"/>
  <c r="M284" i="189"/>
  <c r="M283" i="189"/>
  <c r="M282" i="189"/>
  <c r="M281" i="189"/>
  <c r="M280" i="189"/>
  <c r="M279" i="189"/>
  <c r="M278" i="189"/>
  <c r="M277" i="189"/>
  <c r="M276" i="189"/>
  <c r="M275" i="189"/>
  <c r="M274" i="189"/>
  <c r="M273" i="189"/>
  <c r="M272" i="189"/>
  <c r="M271" i="189"/>
  <c r="M270" i="189"/>
  <c r="M269" i="189"/>
  <c r="M268" i="189"/>
  <c r="M267" i="189"/>
  <c r="M266" i="189"/>
  <c r="M265" i="189"/>
  <c r="M264" i="189"/>
  <c r="M263" i="189"/>
  <c r="M262" i="189"/>
  <c r="M261" i="189"/>
  <c r="M260" i="189"/>
  <c r="M259" i="189"/>
  <c r="M258" i="189"/>
  <c r="M257" i="189"/>
  <c r="M256" i="189"/>
  <c r="M255" i="189"/>
  <c r="M254" i="189"/>
  <c r="M253" i="189"/>
  <c r="M252" i="189"/>
  <c r="M251" i="189"/>
  <c r="M250" i="189"/>
  <c r="M249" i="189"/>
  <c r="M248" i="189"/>
  <c r="M247" i="189"/>
  <c r="M246" i="189"/>
  <c r="M245" i="189"/>
  <c r="M244" i="189"/>
  <c r="M243" i="189"/>
  <c r="M242" i="189"/>
  <c r="M241" i="189"/>
  <c r="M240" i="189"/>
  <c r="M239" i="189"/>
  <c r="M238" i="189"/>
  <c r="M237" i="189"/>
  <c r="M236" i="189"/>
  <c r="M235" i="189"/>
  <c r="M234" i="189"/>
  <c r="M233" i="189"/>
  <c r="M232" i="189"/>
  <c r="M231" i="189"/>
  <c r="M230" i="189"/>
  <c r="M229" i="189"/>
  <c r="M228" i="189"/>
  <c r="M227" i="189"/>
  <c r="M226" i="189"/>
  <c r="M225" i="189"/>
  <c r="M224" i="189"/>
  <c r="M223" i="189"/>
  <c r="M222" i="189"/>
  <c r="M221" i="189"/>
  <c r="M220" i="189"/>
  <c r="M219" i="189"/>
  <c r="M218" i="189"/>
  <c r="M217" i="189"/>
  <c r="M216" i="189"/>
  <c r="M215" i="189"/>
  <c r="M214" i="189"/>
  <c r="M213" i="189"/>
  <c r="M212" i="189"/>
  <c r="M211" i="189"/>
  <c r="M210" i="189"/>
  <c r="M209" i="189"/>
  <c r="M208" i="189"/>
  <c r="M207" i="189"/>
  <c r="M206" i="189"/>
  <c r="M205" i="189"/>
  <c r="M204" i="189"/>
  <c r="M203" i="189"/>
  <c r="M202" i="189"/>
  <c r="M201" i="189"/>
  <c r="M200" i="189"/>
  <c r="M199" i="189"/>
  <c r="M198" i="189"/>
  <c r="M197" i="189"/>
  <c r="M196" i="189"/>
  <c r="M195" i="189"/>
  <c r="M194" i="189"/>
  <c r="M193" i="189"/>
  <c r="M192" i="189"/>
  <c r="M191" i="189"/>
  <c r="M190" i="189"/>
  <c r="M189" i="189"/>
  <c r="M188" i="189"/>
  <c r="M187" i="189"/>
  <c r="M186" i="189"/>
  <c r="M185" i="189"/>
  <c r="M184" i="189"/>
  <c r="M183" i="189"/>
  <c r="M182" i="189"/>
  <c r="M181" i="189"/>
  <c r="M180" i="189"/>
  <c r="M179" i="189"/>
  <c r="M178" i="189"/>
  <c r="M177" i="189"/>
  <c r="M176" i="189"/>
  <c r="M175" i="189"/>
  <c r="M174" i="189"/>
  <c r="M173" i="189"/>
  <c r="M172" i="189"/>
  <c r="M171" i="189"/>
  <c r="M170" i="189"/>
  <c r="M169" i="189"/>
  <c r="M168" i="189"/>
  <c r="M167" i="189"/>
  <c r="M166" i="189"/>
  <c r="M165" i="189"/>
  <c r="M164" i="189"/>
  <c r="M163" i="189"/>
  <c r="M162" i="189"/>
  <c r="M161" i="189"/>
  <c r="M160" i="189"/>
  <c r="M159" i="189"/>
  <c r="M158" i="189"/>
  <c r="M157" i="189"/>
  <c r="M156" i="189"/>
  <c r="M155" i="189"/>
  <c r="M154" i="189"/>
  <c r="M153" i="189"/>
  <c r="M152" i="189"/>
  <c r="M151" i="189"/>
  <c r="M150" i="189"/>
  <c r="M149" i="189"/>
  <c r="M148" i="189"/>
  <c r="M147" i="189"/>
  <c r="M146" i="189"/>
  <c r="M145" i="189"/>
  <c r="M144" i="189"/>
  <c r="M143" i="189"/>
  <c r="M142" i="189"/>
  <c r="M141" i="189"/>
  <c r="M140" i="189"/>
  <c r="M139" i="189"/>
  <c r="M138" i="189"/>
  <c r="M137" i="189"/>
  <c r="M136" i="189"/>
  <c r="M135" i="189"/>
  <c r="M134" i="189"/>
  <c r="M133" i="189"/>
  <c r="M132" i="189"/>
  <c r="M131" i="189"/>
  <c r="M130" i="189"/>
  <c r="M129" i="189"/>
  <c r="M128" i="189"/>
  <c r="M127" i="189"/>
  <c r="M126" i="189"/>
  <c r="M125" i="189"/>
  <c r="M124" i="189"/>
  <c r="M123" i="189"/>
  <c r="M122" i="189"/>
  <c r="M121" i="189"/>
  <c r="M120" i="189"/>
  <c r="M119" i="189"/>
  <c r="M118" i="189"/>
  <c r="M117" i="189"/>
  <c r="M116" i="189"/>
  <c r="M115" i="189"/>
  <c r="M114" i="189"/>
  <c r="M113" i="189"/>
  <c r="M112" i="189"/>
  <c r="M111" i="189"/>
  <c r="M110" i="189"/>
  <c r="M109" i="189"/>
  <c r="M108" i="189"/>
  <c r="M107" i="189"/>
  <c r="M106" i="189"/>
  <c r="M105" i="189"/>
  <c r="M104" i="189"/>
  <c r="M103" i="189"/>
  <c r="M102" i="189"/>
  <c r="M101" i="189"/>
  <c r="M100" i="189"/>
  <c r="M99" i="189"/>
  <c r="M98" i="189"/>
  <c r="M97" i="189"/>
  <c r="M96" i="189"/>
  <c r="M95" i="189"/>
  <c r="M94" i="189"/>
  <c r="M93" i="189"/>
  <c r="M92" i="189"/>
  <c r="M91" i="189"/>
  <c r="M90" i="189"/>
  <c r="M89" i="189"/>
  <c r="M88" i="189"/>
  <c r="M87" i="189"/>
  <c r="M86" i="189"/>
  <c r="M85" i="189"/>
  <c r="M84" i="189"/>
  <c r="M83" i="189"/>
  <c r="M82" i="189"/>
  <c r="M81" i="189"/>
  <c r="M80" i="189"/>
  <c r="M79" i="189"/>
  <c r="M78" i="189"/>
  <c r="M77" i="189"/>
  <c r="M76" i="189"/>
  <c r="M75" i="189"/>
  <c r="M74" i="189"/>
  <c r="M73" i="189"/>
  <c r="M72" i="189"/>
  <c r="M71" i="189"/>
  <c r="M70" i="189"/>
  <c r="M69" i="189"/>
  <c r="M68" i="189"/>
  <c r="M67" i="189"/>
  <c r="M66" i="189"/>
  <c r="M65" i="189"/>
  <c r="M64" i="189"/>
  <c r="M63" i="189"/>
  <c r="M62" i="189"/>
  <c r="M61" i="189"/>
  <c r="M60" i="189"/>
  <c r="M59" i="189"/>
  <c r="M58" i="189"/>
  <c r="M57" i="189"/>
  <c r="M56" i="189"/>
  <c r="M55" i="189"/>
  <c r="M54" i="189"/>
  <c r="M53" i="189"/>
  <c r="M52" i="189"/>
  <c r="M51" i="189"/>
  <c r="M50" i="189"/>
  <c r="M49" i="189"/>
  <c r="M48" i="189"/>
  <c r="M47" i="189"/>
  <c r="M46" i="189"/>
  <c r="M45" i="189"/>
  <c r="M44" i="189"/>
  <c r="M43" i="189"/>
  <c r="M42" i="189"/>
  <c r="M41" i="189"/>
  <c r="M40" i="189"/>
  <c r="M39" i="189"/>
  <c r="M38" i="189"/>
  <c r="M37" i="189"/>
  <c r="M36" i="189"/>
  <c r="M35" i="189"/>
  <c r="M34" i="189"/>
  <c r="M33" i="189"/>
  <c r="M32" i="189"/>
  <c r="M31" i="189"/>
  <c r="M30" i="189"/>
  <c r="M29" i="189"/>
  <c r="M28" i="189"/>
  <c r="M27" i="189"/>
  <c r="M26" i="189"/>
  <c r="M25" i="189"/>
  <c r="M24" i="189"/>
  <c r="M23" i="189"/>
  <c r="M22" i="189"/>
  <c r="M21" i="189"/>
  <c r="M20" i="189"/>
  <c r="M19" i="189"/>
  <c r="M18" i="189"/>
  <c r="M16" i="189"/>
  <c r="M15" i="189"/>
  <c r="L482" i="189"/>
  <c r="L481" i="189"/>
  <c r="L480" i="189"/>
  <c r="L479" i="189"/>
  <c r="L478" i="189"/>
  <c r="L477" i="189"/>
  <c r="L476" i="189"/>
  <c r="L475" i="189"/>
  <c r="L474" i="189"/>
  <c r="L473" i="189"/>
  <c r="L472" i="189"/>
  <c r="L471" i="189"/>
  <c r="L470" i="189"/>
  <c r="L469" i="189"/>
  <c r="L468" i="189"/>
  <c r="L467" i="189"/>
  <c r="L466" i="189"/>
  <c r="L465" i="189"/>
  <c r="L464" i="189"/>
  <c r="L463" i="189"/>
  <c r="L462" i="189"/>
  <c r="L461" i="189"/>
  <c r="L460" i="189"/>
  <c r="L459" i="189"/>
  <c r="L458" i="189"/>
  <c r="L457" i="189"/>
  <c r="L456" i="189"/>
  <c r="L455" i="189"/>
  <c r="L454" i="189"/>
  <c r="L453" i="189"/>
  <c r="L452" i="189"/>
  <c r="L451" i="189"/>
  <c r="L450" i="189"/>
  <c r="L449" i="189"/>
  <c r="L448" i="189"/>
  <c r="L447" i="189"/>
  <c r="L446" i="189"/>
  <c r="L445" i="189"/>
  <c r="L444" i="189"/>
  <c r="L443" i="189"/>
  <c r="L442" i="189"/>
  <c r="L441" i="189"/>
  <c r="L440" i="189"/>
  <c r="L439" i="189"/>
  <c r="L438" i="189"/>
  <c r="L437" i="189"/>
  <c r="L436" i="189"/>
  <c r="L435" i="189"/>
  <c r="L434" i="189"/>
  <c r="L433" i="189"/>
  <c r="L432" i="189"/>
  <c r="L431" i="189"/>
  <c r="L430" i="189"/>
  <c r="L429" i="189"/>
  <c r="L428" i="189"/>
  <c r="L427" i="189"/>
  <c r="L426" i="189"/>
  <c r="L425" i="189"/>
  <c r="L424" i="189"/>
  <c r="L423" i="189"/>
  <c r="L422" i="189"/>
  <c r="L421" i="189"/>
  <c r="L420" i="189"/>
  <c r="L419" i="189"/>
  <c r="L418" i="189"/>
  <c r="L417" i="189"/>
  <c r="L416" i="189"/>
  <c r="L415" i="189"/>
  <c r="L414" i="189"/>
  <c r="L413" i="189"/>
  <c r="L412" i="189"/>
  <c r="L411" i="189"/>
  <c r="L410" i="189"/>
  <c r="L409" i="189"/>
  <c r="L408" i="189"/>
  <c r="L407" i="189"/>
  <c r="L406" i="189"/>
  <c r="L405" i="189"/>
  <c r="L404" i="189"/>
  <c r="L403" i="189"/>
  <c r="L402" i="189"/>
  <c r="L401" i="189"/>
  <c r="L400" i="189"/>
  <c r="L399" i="189"/>
  <c r="L398" i="189"/>
  <c r="L397" i="189"/>
  <c r="L396" i="189"/>
  <c r="L395" i="189"/>
  <c r="L394" i="189"/>
  <c r="L393" i="189"/>
  <c r="L392" i="189"/>
  <c r="L391" i="189"/>
  <c r="L390" i="189"/>
  <c r="L389" i="189"/>
  <c r="L388" i="189"/>
  <c r="L387" i="189"/>
  <c r="L386" i="189"/>
  <c r="L385" i="189"/>
  <c r="L384" i="189"/>
  <c r="L383" i="189"/>
  <c r="L382" i="189"/>
  <c r="L381" i="189"/>
  <c r="L380" i="189"/>
  <c r="L379" i="189"/>
  <c r="L378" i="189"/>
  <c r="L377" i="189"/>
  <c r="L376" i="189"/>
  <c r="L375" i="189"/>
  <c r="L374" i="189"/>
  <c r="L373" i="189"/>
  <c r="L372" i="189"/>
  <c r="L371" i="189"/>
  <c r="L370" i="189"/>
  <c r="L369" i="189"/>
  <c r="L368" i="189"/>
  <c r="L367" i="189"/>
  <c r="L366" i="189"/>
  <c r="L365" i="189"/>
  <c r="L364" i="189"/>
  <c r="L363" i="189"/>
  <c r="L362" i="189"/>
  <c r="L361" i="189"/>
  <c r="L360" i="189"/>
  <c r="L359" i="189"/>
  <c r="L358" i="189"/>
  <c r="L357" i="189"/>
  <c r="L356" i="189"/>
  <c r="L355" i="189"/>
  <c r="L354" i="189"/>
  <c r="L353" i="189"/>
  <c r="L352" i="189"/>
  <c r="L351" i="189"/>
  <c r="L350" i="189"/>
  <c r="L349" i="189"/>
  <c r="L348" i="189"/>
  <c r="L347" i="189"/>
  <c r="L346" i="189"/>
  <c r="L345" i="189"/>
  <c r="L344" i="189"/>
  <c r="L343" i="189"/>
  <c r="L342" i="189"/>
  <c r="L341" i="189"/>
  <c r="L340" i="189"/>
  <c r="L339" i="189"/>
  <c r="L338" i="189"/>
  <c r="L337" i="189"/>
  <c r="L336" i="189"/>
  <c r="L335" i="189"/>
  <c r="L334" i="189"/>
  <c r="L333" i="189"/>
  <c r="L332" i="189"/>
  <c r="L331" i="189"/>
  <c r="L330" i="189"/>
  <c r="L329" i="189"/>
  <c r="L328" i="189"/>
  <c r="L327" i="189"/>
  <c r="L326" i="189"/>
  <c r="L325" i="189"/>
  <c r="L324" i="189"/>
  <c r="L323" i="189"/>
  <c r="L322" i="189"/>
  <c r="L321" i="189"/>
  <c r="L320" i="189"/>
  <c r="L319" i="189"/>
  <c r="L318" i="189"/>
  <c r="L317" i="189"/>
  <c r="L316" i="189"/>
  <c r="L315" i="189"/>
  <c r="L314" i="189"/>
  <c r="L313" i="189"/>
  <c r="L312" i="189"/>
  <c r="L311" i="189"/>
  <c r="L310" i="189"/>
  <c r="L309" i="189"/>
  <c r="L308" i="189"/>
  <c r="L307" i="189"/>
  <c r="L306" i="189"/>
  <c r="L305" i="189"/>
  <c r="L304" i="189"/>
  <c r="L303" i="189"/>
  <c r="L302" i="189"/>
  <c r="L301" i="189"/>
  <c r="L300" i="189"/>
  <c r="L299" i="189"/>
  <c r="L298" i="189"/>
  <c r="L297" i="189"/>
  <c r="L296" i="189"/>
  <c r="L295" i="189"/>
  <c r="L294" i="189"/>
  <c r="L293" i="189"/>
  <c r="L292" i="189"/>
  <c r="L291" i="189"/>
  <c r="L290" i="189"/>
  <c r="L289" i="189"/>
  <c r="L288" i="189"/>
  <c r="L287" i="189"/>
  <c r="L286" i="189"/>
  <c r="L285" i="189"/>
  <c r="L284" i="189"/>
  <c r="L283" i="189"/>
  <c r="L282" i="189"/>
  <c r="L281" i="189"/>
  <c r="L280" i="189"/>
  <c r="L279" i="189"/>
  <c r="L278" i="189"/>
  <c r="L277" i="189"/>
  <c r="L276" i="189"/>
  <c r="L275" i="189"/>
  <c r="L274" i="189"/>
  <c r="L273" i="189"/>
  <c r="L272" i="189"/>
  <c r="L271" i="189"/>
  <c r="L270" i="189"/>
  <c r="L269" i="189"/>
  <c r="L268" i="189"/>
  <c r="L267" i="189"/>
  <c r="L266" i="189"/>
  <c r="L265" i="189"/>
  <c r="L264" i="189"/>
  <c r="L263" i="189"/>
  <c r="L262" i="189"/>
  <c r="L261" i="189"/>
  <c r="L260" i="189"/>
  <c r="L259" i="189"/>
  <c r="L258" i="189"/>
  <c r="L257" i="189"/>
  <c r="L256" i="189"/>
  <c r="L255" i="189"/>
  <c r="L254" i="189"/>
  <c r="L253" i="189"/>
  <c r="L252" i="189"/>
  <c r="L251" i="189"/>
  <c r="L250" i="189"/>
  <c r="L249" i="189"/>
  <c r="L248" i="189"/>
  <c r="L247" i="189"/>
  <c r="L246" i="189"/>
  <c r="L245" i="189"/>
  <c r="L244" i="189"/>
  <c r="L243" i="189"/>
  <c r="L242" i="189"/>
  <c r="L241" i="189"/>
  <c r="L240" i="189"/>
  <c r="L239" i="189"/>
  <c r="L238" i="189"/>
  <c r="L237" i="189"/>
  <c r="L236" i="189"/>
  <c r="L235" i="189"/>
  <c r="L234" i="189"/>
  <c r="L233" i="189"/>
  <c r="L232" i="189"/>
  <c r="L231" i="189"/>
  <c r="L230" i="189"/>
  <c r="L229" i="189"/>
  <c r="L228" i="189"/>
  <c r="L227" i="189"/>
  <c r="L226" i="189"/>
  <c r="L225" i="189"/>
  <c r="L224" i="189"/>
  <c r="L223" i="189"/>
  <c r="L222" i="189"/>
  <c r="L221" i="189"/>
  <c r="L220" i="189"/>
  <c r="L219" i="189"/>
  <c r="L218" i="189"/>
  <c r="L217" i="189"/>
  <c r="L216" i="189"/>
  <c r="L215" i="189"/>
  <c r="L214" i="189"/>
  <c r="L213" i="189"/>
  <c r="L212" i="189"/>
  <c r="L211" i="189"/>
  <c r="L210" i="189"/>
  <c r="L209" i="189"/>
  <c r="L208" i="189"/>
  <c r="L207" i="189"/>
  <c r="L206" i="189"/>
  <c r="L205" i="189"/>
  <c r="L204" i="189"/>
  <c r="L203" i="189"/>
  <c r="L202" i="189"/>
  <c r="L201" i="189"/>
  <c r="L200" i="189"/>
  <c r="L199" i="189"/>
  <c r="L198" i="189"/>
  <c r="L197" i="189"/>
  <c r="L196" i="189"/>
  <c r="L195" i="189"/>
  <c r="L194" i="189"/>
  <c r="L193" i="189"/>
  <c r="L192" i="189"/>
  <c r="L191" i="189"/>
  <c r="L190" i="189"/>
  <c r="L189" i="189"/>
  <c r="L188" i="189"/>
  <c r="L187" i="189"/>
  <c r="L186" i="189"/>
  <c r="L185" i="189"/>
  <c r="L184" i="189"/>
  <c r="L183" i="189"/>
  <c r="L182" i="189"/>
  <c r="L181" i="189"/>
  <c r="L180" i="189"/>
  <c r="L179" i="189"/>
  <c r="L178" i="189"/>
  <c r="L177" i="189"/>
  <c r="L176" i="189"/>
  <c r="L175" i="189"/>
  <c r="L174" i="189"/>
  <c r="L173" i="189"/>
  <c r="L172" i="189"/>
  <c r="L171" i="189"/>
  <c r="L170" i="189"/>
  <c r="L169" i="189"/>
  <c r="L168" i="189"/>
  <c r="L167" i="189"/>
  <c r="L166" i="189"/>
  <c r="L165" i="189"/>
  <c r="L164" i="189"/>
  <c r="L163" i="189"/>
  <c r="L162" i="189"/>
  <c r="L161" i="189"/>
  <c r="L160" i="189"/>
  <c r="L159" i="189"/>
  <c r="L158" i="189"/>
  <c r="L157" i="189"/>
  <c r="L156" i="189"/>
  <c r="L155" i="189"/>
  <c r="L154" i="189"/>
  <c r="L153" i="189"/>
  <c r="L152" i="189"/>
  <c r="L151" i="189"/>
  <c r="L150" i="189"/>
  <c r="L149" i="189"/>
  <c r="L148" i="189"/>
  <c r="L147" i="189"/>
  <c r="L146" i="189"/>
  <c r="L145" i="189"/>
  <c r="L144" i="189"/>
  <c r="L143" i="189"/>
  <c r="L142" i="189"/>
  <c r="L141" i="189"/>
  <c r="L140" i="189"/>
  <c r="L139" i="189"/>
  <c r="L138" i="189"/>
  <c r="L137" i="189"/>
  <c r="L136" i="189"/>
  <c r="L135" i="189"/>
  <c r="L134" i="189"/>
  <c r="L133" i="189"/>
  <c r="L132" i="189"/>
  <c r="L131" i="189"/>
  <c r="L130" i="189"/>
  <c r="L129" i="189"/>
  <c r="L128" i="189"/>
  <c r="L127" i="189"/>
  <c r="L126" i="189"/>
  <c r="L125" i="189"/>
  <c r="L124" i="189"/>
  <c r="L123" i="189"/>
  <c r="L122" i="189"/>
  <c r="L121" i="189"/>
  <c r="L120" i="189"/>
  <c r="L119" i="189"/>
  <c r="L118" i="189"/>
  <c r="L117" i="189"/>
  <c r="L116" i="189"/>
  <c r="L115" i="189"/>
  <c r="L114" i="189"/>
  <c r="L113" i="189"/>
  <c r="L112" i="189"/>
  <c r="L111" i="189"/>
  <c r="L110" i="189"/>
  <c r="L109" i="189"/>
  <c r="L108" i="189"/>
  <c r="L107" i="189"/>
  <c r="L106" i="189"/>
  <c r="L105" i="189"/>
  <c r="L104" i="189"/>
  <c r="L103" i="189"/>
  <c r="L102" i="189"/>
  <c r="L101" i="189"/>
  <c r="L100" i="189"/>
  <c r="L99" i="189"/>
  <c r="L98" i="189"/>
  <c r="L97" i="189"/>
  <c r="L96" i="189"/>
  <c r="L95" i="189"/>
  <c r="L94" i="189"/>
  <c r="L93" i="189"/>
  <c r="L92" i="189"/>
  <c r="L91" i="189"/>
  <c r="L90" i="189"/>
  <c r="L89" i="189"/>
  <c r="L88" i="189"/>
  <c r="L87" i="189"/>
  <c r="L86" i="189"/>
  <c r="L85" i="189"/>
  <c r="L84" i="189"/>
  <c r="L83" i="189"/>
  <c r="L82" i="189"/>
  <c r="L81" i="189"/>
  <c r="L80" i="189"/>
  <c r="L79" i="189"/>
  <c r="L78" i="189"/>
  <c r="L77" i="189"/>
  <c r="L76" i="189"/>
  <c r="L75" i="189"/>
  <c r="L74" i="189"/>
  <c r="L73" i="189"/>
  <c r="L72" i="189"/>
  <c r="L71" i="189"/>
  <c r="L70" i="189"/>
  <c r="L69" i="189"/>
  <c r="L68" i="189"/>
  <c r="L67" i="189"/>
  <c r="L66" i="189"/>
  <c r="L65" i="189"/>
  <c r="L64" i="189"/>
  <c r="L63" i="189"/>
  <c r="L62" i="189"/>
  <c r="L61" i="189"/>
  <c r="L60" i="189"/>
  <c r="L59" i="189"/>
  <c r="L58" i="189"/>
  <c r="L57" i="189"/>
  <c r="L56" i="189"/>
  <c r="L55" i="189"/>
  <c r="L54" i="189"/>
  <c r="L53" i="189"/>
  <c r="L52" i="189"/>
  <c r="L51" i="189"/>
  <c r="L50" i="189"/>
  <c r="L49" i="189"/>
  <c r="L48" i="189"/>
  <c r="L47" i="189"/>
  <c r="L46" i="189"/>
  <c r="L45" i="189"/>
  <c r="L44" i="189"/>
  <c r="L43" i="189"/>
  <c r="L42" i="189"/>
  <c r="L41" i="189"/>
  <c r="L40" i="189"/>
  <c r="L39" i="189"/>
  <c r="L38" i="189"/>
  <c r="L37" i="189"/>
  <c r="L36" i="189"/>
  <c r="L35" i="189"/>
  <c r="L34" i="189"/>
  <c r="L33" i="189"/>
  <c r="L32" i="189"/>
  <c r="L31" i="189"/>
  <c r="L30" i="189"/>
  <c r="L29" i="189"/>
  <c r="L28" i="189"/>
  <c r="L27" i="189"/>
  <c r="L26" i="189"/>
  <c r="L25" i="189"/>
  <c r="L23" i="189"/>
  <c r="L21" i="189"/>
  <c r="L20" i="189"/>
  <c r="L19" i="189"/>
  <c r="L17" i="189"/>
  <c r="A404" i="190"/>
  <c r="M401" i="190"/>
  <c r="G401" i="190" s="1"/>
  <c r="I401" i="190" s="1"/>
  <c r="K401" i="190"/>
  <c r="F401" i="190" s="1"/>
  <c r="M400" i="190"/>
  <c r="G400" i="190" s="1"/>
  <c r="K400" i="190"/>
  <c r="M399" i="190"/>
  <c r="K399" i="190"/>
  <c r="F399" i="190" s="1"/>
  <c r="M398" i="190"/>
  <c r="G398" i="190" s="1"/>
  <c r="I398" i="190" s="1"/>
  <c r="K398" i="190"/>
  <c r="M397" i="190"/>
  <c r="G397" i="190" s="1"/>
  <c r="K397" i="190"/>
  <c r="F397" i="190" s="1"/>
  <c r="M396" i="190"/>
  <c r="G396" i="190" s="1"/>
  <c r="K396" i="190"/>
  <c r="F396" i="190" s="1"/>
  <c r="M395" i="190"/>
  <c r="G395" i="190" s="1"/>
  <c r="K395" i="190"/>
  <c r="F395" i="190" s="1"/>
  <c r="M394" i="190"/>
  <c r="G394" i="190" s="1"/>
  <c r="K394" i="190"/>
  <c r="F394" i="190" s="1"/>
  <c r="M393" i="190"/>
  <c r="G393" i="190" s="1"/>
  <c r="K393" i="190"/>
  <c r="M392" i="190"/>
  <c r="G392" i="190" s="1"/>
  <c r="I392" i="190" s="1"/>
  <c r="G392" i="5" s="1"/>
  <c r="K392" i="190"/>
  <c r="M391" i="190"/>
  <c r="G391" i="190" s="1"/>
  <c r="I391" i="190" s="1"/>
  <c r="G391" i="5" s="1"/>
  <c r="K391" i="190"/>
  <c r="M390" i="190"/>
  <c r="G390" i="190" s="1"/>
  <c r="K390" i="190"/>
  <c r="M389" i="190"/>
  <c r="G389" i="190" s="1"/>
  <c r="K389" i="190"/>
  <c r="M388" i="190"/>
  <c r="G388" i="190" s="1"/>
  <c r="I388" i="190" s="1"/>
  <c r="G388" i="5" s="1"/>
  <c r="K388" i="190"/>
  <c r="M387" i="190"/>
  <c r="G387" i="190" s="1"/>
  <c r="I387" i="190" s="1"/>
  <c r="G387" i="5" s="1"/>
  <c r="K387" i="190"/>
  <c r="M386" i="190"/>
  <c r="G386" i="190" s="1"/>
  <c r="K386" i="190"/>
  <c r="M385" i="190"/>
  <c r="G385" i="190" s="1"/>
  <c r="K385" i="190"/>
  <c r="M384" i="190"/>
  <c r="G384" i="190" s="1"/>
  <c r="K384" i="190"/>
  <c r="F384" i="190" s="1"/>
  <c r="M383" i="190"/>
  <c r="G383" i="190" s="1"/>
  <c r="K383" i="190"/>
  <c r="F383" i="190" s="1"/>
  <c r="M382" i="190"/>
  <c r="G382" i="190" s="1"/>
  <c r="K382" i="190"/>
  <c r="F382" i="190" s="1"/>
  <c r="M381" i="190"/>
  <c r="G381" i="190" s="1"/>
  <c r="K381" i="190"/>
  <c r="F381" i="190" s="1"/>
  <c r="M380" i="190"/>
  <c r="G380" i="190" s="1"/>
  <c r="K380" i="190"/>
  <c r="F380" i="190" s="1"/>
  <c r="M379" i="190"/>
  <c r="G379" i="190" s="1"/>
  <c r="K379" i="190"/>
  <c r="M378" i="190"/>
  <c r="G378" i="190" s="1"/>
  <c r="I378" i="190" s="1"/>
  <c r="K378" i="190"/>
  <c r="M377" i="190"/>
  <c r="G377" i="190" s="1"/>
  <c r="K377" i="190"/>
  <c r="F377" i="190" s="1"/>
  <c r="M376" i="190"/>
  <c r="G376" i="190" s="1"/>
  <c r="K376" i="190"/>
  <c r="F376" i="190" s="1"/>
  <c r="M375" i="190"/>
  <c r="G375" i="190" s="1"/>
  <c r="K375" i="190"/>
  <c r="F375" i="190" s="1"/>
  <c r="M374" i="190"/>
  <c r="G374" i="190" s="1"/>
  <c r="I374" i="190" s="1"/>
  <c r="K374" i="190"/>
  <c r="M373" i="190"/>
  <c r="G373" i="190" s="1"/>
  <c r="K373" i="190"/>
  <c r="F373" i="190" s="1"/>
  <c r="M372" i="190"/>
  <c r="G372" i="190" s="1"/>
  <c r="K372" i="190"/>
  <c r="F372" i="190" s="1"/>
  <c r="M371" i="190"/>
  <c r="G371" i="190" s="1"/>
  <c r="K371" i="190"/>
  <c r="F371" i="190" s="1"/>
  <c r="M370" i="190"/>
  <c r="G370" i="190" s="1"/>
  <c r="K370" i="190"/>
  <c r="F370" i="190" s="1"/>
  <c r="M369" i="190"/>
  <c r="G369" i="190" s="1"/>
  <c r="K369" i="190"/>
  <c r="F369" i="190" s="1"/>
  <c r="M368" i="190"/>
  <c r="K368" i="190"/>
  <c r="F368" i="190" s="1"/>
  <c r="M367" i="190"/>
  <c r="G367" i="190" s="1"/>
  <c r="K367" i="190"/>
  <c r="F367" i="190" s="1"/>
  <c r="M366" i="190"/>
  <c r="G366" i="190" s="1"/>
  <c r="I366" i="190" s="1"/>
  <c r="K366" i="190"/>
  <c r="M365" i="190"/>
  <c r="G365" i="190" s="1"/>
  <c r="K365" i="190"/>
  <c r="F365" i="190" s="1"/>
  <c r="M364" i="190"/>
  <c r="G364" i="190" s="1"/>
  <c r="K364" i="190"/>
  <c r="F364" i="190" s="1"/>
  <c r="M363" i="190"/>
  <c r="K363" i="190"/>
  <c r="F363" i="190" s="1"/>
  <c r="M362" i="190"/>
  <c r="G362" i="190" s="1"/>
  <c r="K362" i="190"/>
  <c r="F362" i="190" s="1"/>
  <c r="M361" i="190"/>
  <c r="G361" i="190" s="1"/>
  <c r="K361" i="190"/>
  <c r="F361" i="190" s="1"/>
  <c r="M360" i="190"/>
  <c r="G360" i="190" s="1"/>
  <c r="K360" i="190"/>
  <c r="F360" i="190" s="1"/>
  <c r="M359" i="190"/>
  <c r="G359" i="190" s="1"/>
  <c r="I359" i="190" s="1"/>
  <c r="K359" i="190"/>
  <c r="M358" i="190"/>
  <c r="G358" i="190" s="1"/>
  <c r="K358" i="190"/>
  <c r="F358" i="190" s="1"/>
  <c r="M357" i="190"/>
  <c r="G357" i="190" s="1"/>
  <c r="K357" i="190"/>
  <c r="F357" i="190" s="1"/>
  <c r="M356" i="190"/>
  <c r="G356" i="190" s="1"/>
  <c r="K356" i="190"/>
  <c r="F356" i="190" s="1"/>
  <c r="M355" i="190"/>
  <c r="K355" i="190"/>
  <c r="F355" i="190" s="1"/>
  <c r="M354" i="190"/>
  <c r="G354" i="190" s="1"/>
  <c r="I354" i="190" s="1"/>
  <c r="K354" i="190"/>
  <c r="M353" i="190"/>
  <c r="G353" i="190" s="1"/>
  <c r="K353" i="190"/>
  <c r="F353" i="190" s="1"/>
  <c r="M352" i="190"/>
  <c r="G352" i="190" s="1"/>
  <c r="K352" i="190"/>
  <c r="F352" i="190" s="1"/>
  <c r="M351" i="190"/>
  <c r="G351" i="190" s="1"/>
  <c r="K351" i="190"/>
  <c r="F351" i="190" s="1"/>
  <c r="M350" i="190"/>
  <c r="G350" i="190" s="1"/>
  <c r="K350" i="190"/>
  <c r="F350" i="190" s="1"/>
  <c r="M349" i="190"/>
  <c r="G349" i="190" s="1"/>
  <c r="K349" i="190"/>
  <c r="F349" i="190" s="1"/>
  <c r="M347" i="190"/>
  <c r="G347" i="190" s="1"/>
  <c r="K347" i="190"/>
  <c r="F347" i="190" s="1"/>
  <c r="M346" i="190"/>
  <c r="G346" i="190" s="1"/>
  <c r="K346" i="190"/>
  <c r="F346" i="190" s="1"/>
  <c r="M344" i="190"/>
  <c r="G344" i="190" s="1"/>
  <c r="K344" i="190"/>
  <c r="F344" i="190" s="1"/>
  <c r="M342" i="190"/>
  <c r="G342" i="190" s="1"/>
  <c r="K342" i="190"/>
  <c r="M341" i="190"/>
  <c r="G341" i="190" s="1"/>
  <c r="K341" i="190"/>
  <c r="F341" i="190" s="1"/>
  <c r="M334" i="190"/>
  <c r="G334" i="190" s="1"/>
  <c r="K334" i="190"/>
  <c r="F334" i="190" s="1"/>
  <c r="M332" i="190"/>
  <c r="G332" i="190" s="1"/>
  <c r="K332" i="190"/>
  <c r="F332" i="190" s="1"/>
  <c r="M330" i="190"/>
  <c r="G330" i="190" s="1"/>
  <c r="K330" i="190"/>
  <c r="F330" i="190" s="1"/>
  <c r="M321" i="190"/>
  <c r="G321" i="190" s="1"/>
  <c r="K321" i="190"/>
  <c r="F321" i="190" s="1"/>
  <c r="M319" i="190"/>
  <c r="G319" i="190" s="1"/>
  <c r="I319" i="190" s="1"/>
  <c r="K319" i="190"/>
  <c r="M318" i="190"/>
  <c r="G318" i="190" s="1"/>
  <c r="K318" i="190"/>
  <c r="F318" i="190" s="1"/>
  <c r="M317" i="190"/>
  <c r="G317" i="190" s="1"/>
  <c r="K317" i="190"/>
  <c r="F317" i="190" s="1"/>
  <c r="M316" i="190"/>
  <c r="G316" i="190" s="1"/>
  <c r="K316" i="190"/>
  <c r="F316" i="190" s="1"/>
  <c r="M315" i="190"/>
  <c r="G315" i="190" s="1"/>
  <c r="K315" i="190"/>
  <c r="F315" i="190" s="1"/>
  <c r="M314" i="190"/>
  <c r="G314" i="190" s="1"/>
  <c r="K314" i="190"/>
  <c r="F314" i="190" s="1"/>
  <c r="M313" i="190"/>
  <c r="G313" i="190" s="1"/>
  <c r="K313" i="190"/>
  <c r="M312" i="190"/>
  <c r="G312" i="190" s="1"/>
  <c r="K312" i="190"/>
  <c r="F312" i="190" s="1"/>
  <c r="M311" i="190"/>
  <c r="G311" i="190" s="1"/>
  <c r="K311" i="190"/>
  <c r="F311" i="190" s="1"/>
  <c r="M310" i="190"/>
  <c r="G310" i="190" s="1"/>
  <c r="K310" i="190"/>
  <c r="F310" i="190" s="1"/>
  <c r="M309" i="190"/>
  <c r="G309" i="190" s="1"/>
  <c r="K309" i="190"/>
  <c r="F309" i="190" s="1"/>
  <c r="M308" i="190"/>
  <c r="G308" i="190" s="1"/>
  <c r="K308" i="190"/>
  <c r="F308" i="190" s="1"/>
  <c r="M307" i="190"/>
  <c r="G307" i="190" s="1"/>
  <c r="K307" i="190"/>
  <c r="M302" i="190"/>
  <c r="G302" i="190" s="1"/>
  <c r="I302" i="190" s="1"/>
  <c r="K302" i="190"/>
  <c r="M283" i="190"/>
  <c r="G283" i="190" s="1"/>
  <c r="I283" i="190" s="1"/>
  <c r="K283" i="190"/>
  <c r="M282" i="190"/>
  <c r="G282" i="190" s="1"/>
  <c r="I282" i="190" s="1"/>
  <c r="G282" i="5" s="1"/>
  <c r="K282" i="190"/>
  <c r="M281" i="190"/>
  <c r="G281" i="190" s="1"/>
  <c r="K281" i="190"/>
  <c r="M280" i="190"/>
  <c r="G280" i="190" s="1"/>
  <c r="K280" i="190"/>
  <c r="M279" i="190"/>
  <c r="G279" i="190" s="1"/>
  <c r="I279" i="190" s="1"/>
  <c r="K279" i="190"/>
  <c r="M278" i="190"/>
  <c r="G278" i="190" s="1"/>
  <c r="I278" i="190" s="1"/>
  <c r="G278" i="5" s="1"/>
  <c r="K278" i="190"/>
  <c r="M277" i="190"/>
  <c r="G277" i="190" s="1"/>
  <c r="K277" i="190"/>
  <c r="M276" i="190"/>
  <c r="G276" i="190" s="1"/>
  <c r="K276" i="190"/>
  <c r="M275" i="190"/>
  <c r="G275" i="190" s="1"/>
  <c r="I275" i="190" s="1"/>
  <c r="K275" i="190"/>
  <c r="M274" i="190"/>
  <c r="G274" i="190" s="1"/>
  <c r="K274" i="190"/>
  <c r="M273" i="190"/>
  <c r="G273" i="190" s="1"/>
  <c r="K273" i="190"/>
  <c r="M272" i="190"/>
  <c r="G272" i="190" s="1"/>
  <c r="K272" i="190"/>
  <c r="M271" i="190"/>
  <c r="G271" i="190" s="1"/>
  <c r="I271" i="190" s="1"/>
  <c r="K271" i="190"/>
  <c r="M270" i="190"/>
  <c r="G270" i="190" s="1"/>
  <c r="I270" i="190" s="1"/>
  <c r="G270" i="5" s="1"/>
  <c r="K270" i="190"/>
  <c r="M269" i="190"/>
  <c r="G269" i="190" s="1"/>
  <c r="I269" i="190" s="1"/>
  <c r="G269" i="5" s="1"/>
  <c r="K269" i="190"/>
  <c r="M268" i="190"/>
  <c r="G268" i="190" s="1"/>
  <c r="K268" i="190"/>
  <c r="M267" i="190"/>
  <c r="G267" i="190" s="1"/>
  <c r="I267" i="190" s="1"/>
  <c r="K267" i="190"/>
  <c r="M266" i="190"/>
  <c r="G266" i="190" s="1"/>
  <c r="K266" i="190"/>
  <c r="M265" i="190"/>
  <c r="G265" i="190" s="1"/>
  <c r="K265" i="190"/>
  <c r="M264" i="190"/>
  <c r="G264" i="190" s="1"/>
  <c r="K264" i="190"/>
  <c r="M263" i="190"/>
  <c r="G263" i="190" s="1"/>
  <c r="I263" i="190" s="1"/>
  <c r="K263" i="190"/>
  <c r="M262" i="190"/>
  <c r="G262" i="190" s="1"/>
  <c r="I262" i="190" s="1"/>
  <c r="G262" i="5" s="1"/>
  <c r="K262" i="190"/>
  <c r="M261" i="190"/>
  <c r="G261" i="190" s="1"/>
  <c r="K261" i="190"/>
  <c r="M260" i="190"/>
  <c r="G260" i="190" s="1"/>
  <c r="K260" i="190"/>
  <c r="M259" i="190"/>
  <c r="G259" i="190" s="1"/>
  <c r="I259" i="190" s="1"/>
  <c r="K259" i="190"/>
  <c r="M258" i="190"/>
  <c r="G258" i="190" s="1"/>
  <c r="K258" i="190"/>
  <c r="M257" i="190"/>
  <c r="G257" i="190" s="1"/>
  <c r="K257" i="190"/>
  <c r="M256" i="190"/>
  <c r="G256" i="190" s="1"/>
  <c r="K256" i="190"/>
  <c r="M255" i="190"/>
  <c r="G255" i="190" s="1"/>
  <c r="I255" i="190" s="1"/>
  <c r="K255" i="190"/>
  <c r="M254" i="190"/>
  <c r="G254" i="190" s="1"/>
  <c r="I254" i="190" s="1"/>
  <c r="G254" i="5" s="1"/>
  <c r="K254" i="190"/>
  <c r="M253" i="190"/>
  <c r="G253" i="190" s="1"/>
  <c r="I253" i="190" s="1"/>
  <c r="G253" i="5" s="1"/>
  <c r="K253" i="190"/>
  <c r="M252" i="190"/>
  <c r="G252" i="190" s="1"/>
  <c r="K252" i="190"/>
  <c r="M251" i="190"/>
  <c r="G251" i="190" s="1"/>
  <c r="K251" i="190"/>
  <c r="M238" i="190"/>
  <c r="G238" i="190" s="1"/>
  <c r="K238" i="190"/>
  <c r="M237" i="190"/>
  <c r="G237" i="190" s="1"/>
  <c r="I237" i="190" s="1"/>
  <c r="G237" i="5" s="1"/>
  <c r="K237" i="190"/>
  <c r="M236" i="190"/>
  <c r="G236" i="190" s="1"/>
  <c r="K236" i="190"/>
  <c r="M235" i="190"/>
  <c r="G235" i="190" s="1"/>
  <c r="I235" i="190" s="1"/>
  <c r="K235" i="190"/>
  <c r="M232" i="190"/>
  <c r="G232" i="190" s="1"/>
  <c r="I232" i="190" s="1"/>
  <c r="G232" i="5" s="1"/>
  <c r="K232" i="190"/>
  <c r="M231" i="190"/>
  <c r="G231" i="190" s="1"/>
  <c r="K231" i="190"/>
  <c r="M230" i="190"/>
  <c r="G230" i="190" s="1"/>
  <c r="K230" i="190"/>
  <c r="M229" i="190"/>
  <c r="G229" i="190" s="1"/>
  <c r="K229" i="190"/>
  <c r="M228" i="190"/>
  <c r="G228" i="190" s="1"/>
  <c r="K228" i="190"/>
  <c r="M227" i="190"/>
  <c r="G227" i="190" s="1"/>
  <c r="K227" i="190"/>
  <c r="M226" i="190"/>
  <c r="G226" i="190" s="1"/>
  <c r="K226" i="190"/>
  <c r="M225" i="190"/>
  <c r="G225" i="190" s="1"/>
  <c r="K225" i="190"/>
  <c r="M222" i="190"/>
  <c r="G222" i="190" s="1"/>
  <c r="K222" i="190"/>
  <c r="F222" i="190" s="1"/>
  <c r="M221" i="190"/>
  <c r="G221" i="190" s="1"/>
  <c r="K221" i="190"/>
  <c r="F221" i="190" s="1"/>
  <c r="M220" i="190"/>
  <c r="G220" i="190" s="1"/>
  <c r="K220" i="190"/>
  <c r="M219" i="190"/>
  <c r="G219" i="190" s="1"/>
  <c r="K219" i="190"/>
  <c r="F219" i="190" s="1"/>
  <c r="M218" i="190"/>
  <c r="G218" i="190" s="1"/>
  <c r="K218" i="190"/>
  <c r="F218" i="190" s="1"/>
  <c r="M217" i="190"/>
  <c r="G217" i="190" s="1"/>
  <c r="K217" i="190"/>
  <c r="F217" i="190" s="1"/>
  <c r="M216" i="190"/>
  <c r="G216" i="190" s="1"/>
  <c r="K216" i="190"/>
  <c r="F216" i="190" s="1"/>
  <c r="M215" i="190"/>
  <c r="G215" i="190" s="1"/>
  <c r="K215" i="190"/>
  <c r="F215" i="190" s="1"/>
  <c r="M214" i="190"/>
  <c r="G214" i="190" s="1"/>
  <c r="K214" i="190"/>
  <c r="F214" i="190" s="1"/>
  <c r="M213" i="190"/>
  <c r="G213" i="190" s="1"/>
  <c r="K213" i="190"/>
  <c r="F213" i="190" s="1"/>
  <c r="M212" i="190"/>
  <c r="G212" i="190" s="1"/>
  <c r="K212" i="190"/>
  <c r="F212" i="190" s="1"/>
  <c r="M211" i="190"/>
  <c r="G211" i="190" s="1"/>
  <c r="K211" i="190"/>
  <c r="F211" i="190" s="1"/>
  <c r="M210" i="190"/>
  <c r="K210" i="190"/>
  <c r="F210" i="190" s="1"/>
  <c r="M209" i="190"/>
  <c r="G209" i="190" s="1"/>
  <c r="K209" i="190"/>
  <c r="F209" i="190" s="1"/>
  <c r="M208" i="190"/>
  <c r="G208" i="190" s="1"/>
  <c r="K208" i="190"/>
  <c r="F208" i="190" s="1"/>
  <c r="M207" i="190"/>
  <c r="K207" i="190"/>
  <c r="F207" i="190" s="1"/>
  <c r="M206" i="190"/>
  <c r="G206" i="190" s="1"/>
  <c r="K206" i="190"/>
  <c r="F206" i="190" s="1"/>
  <c r="M205" i="190"/>
  <c r="G205" i="190" s="1"/>
  <c r="K205" i="190"/>
  <c r="F205" i="190" s="1"/>
  <c r="M204" i="190"/>
  <c r="G204" i="190" s="1"/>
  <c r="K204" i="190"/>
  <c r="F204" i="190" s="1"/>
  <c r="M203" i="190"/>
  <c r="G203" i="190" s="1"/>
  <c r="K203" i="190"/>
  <c r="F203" i="190" s="1"/>
  <c r="M202" i="190"/>
  <c r="G202" i="190" s="1"/>
  <c r="K202" i="190"/>
  <c r="F202" i="190" s="1"/>
  <c r="M201" i="190"/>
  <c r="G201" i="190" s="1"/>
  <c r="K201" i="190"/>
  <c r="F201" i="190" s="1"/>
  <c r="M200" i="190"/>
  <c r="G200" i="190" s="1"/>
  <c r="K200" i="190"/>
  <c r="F200" i="190" s="1"/>
  <c r="M197" i="190"/>
  <c r="G197" i="190" s="1"/>
  <c r="K197" i="190"/>
  <c r="F197" i="190" s="1"/>
  <c r="M196" i="190"/>
  <c r="G196" i="190" s="1"/>
  <c r="K196" i="190"/>
  <c r="F196" i="190" s="1"/>
  <c r="M195" i="190"/>
  <c r="G195" i="190" s="1"/>
  <c r="K195" i="190"/>
  <c r="F195" i="190" s="1"/>
  <c r="M194" i="190"/>
  <c r="G194" i="190" s="1"/>
  <c r="K194" i="190"/>
  <c r="F194" i="190" s="1"/>
  <c r="M193" i="190"/>
  <c r="G193" i="190" s="1"/>
  <c r="K193" i="190"/>
  <c r="F193" i="190" s="1"/>
  <c r="M192" i="190"/>
  <c r="G192" i="190" s="1"/>
  <c r="K192" i="190"/>
  <c r="F192" i="190" s="1"/>
  <c r="M191" i="190"/>
  <c r="G191" i="190" s="1"/>
  <c r="K191" i="190"/>
  <c r="F191" i="190" s="1"/>
  <c r="M190" i="190"/>
  <c r="G190" i="190" s="1"/>
  <c r="K190" i="190"/>
  <c r="F190" i="190" s="1"/>
  <c r="M189" i="190"/>
  <c r="G189" i="190" s="1"/>
  <c r="K189" i="190"/>
  <c r="F189" i="190" s="1"/>
  <c r="M188" i="190"/>
  <c r="G188" i="190" s="1"/>
  <c r="K188" i="190"/>
  <c r="F188" i="190" s="1"/>
  <c r="M187" i="190"/>
  <c r="G187" i="190" s="1"/>
  <c r="K187" i="190"/>
  <c r="F187" i="190" s="1"/>
  <c r="M186" i="190"/>
  <c r="G186" i="190" s="1"/>
  <c r="K186" i="190"/>
  <c r="F186" i="190" s="1"/>
  <c r="M185" i="190"/>
  <c r="G185" i="190" s="1"/>
  <c r="K185" i="190"/>
  <c r="M184" i="190"/>
  <c r="G184" i="190" s="1"/>
  <c r="K184" i="190"/>
  <c r="M183" i="190"/>
  <c r="G183" i="190" s="1"/>
  <c r="I183" i="190" s="1"/>
  <c r="G183" i="5" s="1"/>
  <c r="K183" i="190"/>
  <c r="M182" i="190"/>
  <c r="G182" i="190" s="1"/>
  <c r="I182" i="190" s="1"/>
  <c r="G182" i="5" s="1"/>
  <c r="K182" i="190"/>
  <c r="M181" i="190"/>
  <c r="G181" i="190" s="1"/>
  <c r="K181" i="190"/>
  <c r="M180" i="190"/>
  <c r="G180" i="190" s="1"/>
  <c r="I180" i="190" s="1"/>
  <c r="K180" i="190"/>
  <c r="M179" i="190"/>
  <c r="G179" i="190" s="1"/>
  <c r="I179" i="190" s="1"/>
  <c r="G179" i="5" s="1"/>
  <c r="K179" i="190"/>
  <c r="M178" i="190"/>
  <c r="G178" i="190" s="1"/>
  <c r="K178" i="190"/>
  <c r="M177" i="190"/>
  <c r="G177" i="190" s="1"/>
  <c r="K177" i="190"/>
  <c r="M176" i="190"/>
  <c r="G176" i="190" s="1"/>
  <c r="I176" i="190" s="1"/>
  <c r="K176" i="190"/>
  <c r="M175" i="190"/>
  <c r="G175" i="190" s="1"/>
  <c r="I175" i="190" s="1"/>
  <c r="G175" i="5" s="1"/>
  <c r="K175" i="190"/>
  <c r="M174" i="190"/>
  <c r="G174" i="190" s="1"/>
  <c r="I174" i="190" s="1"/>
  <c r="G174" i="5" s="1"/>
  <c r="K174" i="190"/>
  <c r="M173" i="190"/>
  <c r="G173" i="190" s="1"/>
  <c r="K173" i="190"/>
  <c r="M172" i="190"/>
  <c r="G172" i="190" s="1"/>
  <c r="K172" i="190"/>
  <c r="M171" i="190"/>
  <c r="G171" i="190" s="1"/>
  <c r="I171" i="190" s="1"/>
  <c r="G171" i="5" s="1"/>
  <c r="K171" i="190"/>
  <c r="M170" i="190"/>
  <c r="G170" i="190" s="1"/>
  <c r="K170" i="190"/>
  <c r="M169" i="190"/>
  <c r="G169" i="190" s="1"/>
  <c r="K169" i="190"/>
  <c r="M168" i="190"/>
  <c r="K168" i="190"/>
  <c r="M167" i="190"/>
  <c r="K167" i="190"/>
  <c r="M166" i="190"/>
  <c r="K166" i="190"/>
  <c r="M165" i="190"/>
  <c r="G165" i="190" s="1"/>
  <c r="I165" i="190" s="1"/>
  <c r="M164" i="190"/>
  <c r="G164" i="190" s="1"/>
  <c r="I164" i="190" s="1"/>
  <c r="M163" i="190"/>
  <c r="G163" i="190" s="1"/>
  <c r="I163" i="190" s="1"/>
  <c r="M161" i="190"/>
  <c r="G161" i="190" s="1"/>
  <c r="I161" i="190" s="1"/>
  <c r="M160" i="190"/>
  <c r="G160" i="190" s="1"/>
  <c r="I160" i="190" s="1"/>
  <c r="M159" i="190"/>
  <c r="G159" i="190" s="1"/>
  <c r="I159" i="190" s="1"/>
  <c r="M158" i="190"/>
  <c r="G158" i="190" s="1"/>
  <c r="I158" i="190" s="1"/>
  <c r="M157" i="190"/>
  <c r="G157" i="190" s="1"/>
  <c r="I157" i="190" s="1"/>
  <c r="M156" i="190"/>
  <c r="G156" i="190" s="1"/>
  <c r="I156" i="190" s="1"/>
  <c r="M155" i="190"/>
  <c r="G155" i="190" s="1"/>
  <c r="I155" i="190" s="1"/>
  <c r="M154" i="190"/>
  <c r="G154" i="190" s="1"/>
  <c r="I154" i="190" s="1"/>
  <c r="O1418" i="246" s="1"/>
  <c r="R1418" i="246" s="1"/>
  <c r="O1457" i="1"/>
  <c r="M153" i="190"/>
  <c r="G153" i="190" s="1"/>
  <c r="I153" i="190" s="1"/>
  <c r="O1417" i="246" s="1"/>
  <c r="R1417" i="246" s="1"/>
  <c r="O1456" i="1"/>
  <c r="M149" i="190"/>
  <c r="G149" i="190" s="1"/>
  <c r="I149" i="190" s="1"/>
  <c r="O1413" i="246" s="1"/>
  <c r="R1413" i="246" s="1"/>
  <c r="O1452" i="1"/>
  <c r="M148" i="190"/>
  <c r="G148" i="190" s="1"/>
  <c r="I148" i="190" s="1"/>
  <c r="O1412" i="246" s="1"/>
  <c r="R1412" i="246" s="1"/>
  <c r="O1451" i="1"/>
  <c r="M147" i="190"/>
  <c r="G147" i="190" s="1"/>
  <c r="I147" i="190" s="1"/>
  <c r="O1411" i="246" s="1"/>
  <c r="R1411" i="246" s="1"/>
  <c r="O1450" i="1"/>
  <c r="M146" i="190"/>
  <c r="G146" i="190" s="1"/>
  <c r="I146" i="190" s="1"/>
  <c r="O1410" i="246" s="1"/>
  <c r="R1410" i="246" s="1"/>
  <c r="O1449" i="1"/>
  <c r="M145" i="190"/>
  <c r="G145" i="190" s="1"/>
  <c r="I145" i="190" s="1"/>
  <c r="O1409" i="246" s="1"/>
  <c r="R1409" i="246" s="1"/>
  <c r="O1448" i="1"/>
  <c r="M144" i="190"/>
  <c r="G144" i="190" s="1"/>
  <c r="I144" i="190" s="1"/>
  <c r="M143" i="190"/>
  <c r="G143" i="190" s="1"/>
  <c r="I143" i="190" s="1"/>
  <c r="M142" i="190"/>
  <c r="G142" i="190" s="1"/>
  <c r="I142" i="190" s="1"/>
  <c r="M140" i="190"/>
  <c r="G140" i="190" s="1"/>
  <c r="I140" i="190" s="1"/>
  <c r="O3339" i="246" s="1"/>
  <c r="M139" i="190"/>
  <c r="G139" i="190" s="1"/>
  <c r="I139" i="190" s="1"/>
  <c r="O3338" i="246" s="1"/>
  <c r="M138" i="190"/>
  <c r="G138" i="190" s="1"/>
  <c r="I138" i="190" s="1"/>
  <c r="O3337" i="246" s="1"/>
  <c r="M137" i="190"/>
  <c r="G137" i="190" s="1"/>
  <c r="I137" i="190" s="1"/>
  <c r="O3336" i="246" s="1"/>
  <c r="M136" i="190"/>
  <c r="G136" i="190" s="1"/>
  <c r="I136" i="190" s="1"/>
  <c r="O3335" i="246" s="1"/>
  <c r="M135" i="190"/>
  <c r="G135" i="190" s="1"/>
  <c r="I135" i="190" s="1"/>
  <c r="O3334" i="246" s="1"/>
  <c r="M134" i="190"/>
  <c r="G134" i="190" s="1"/>
  <c r="I134" i="190" s="1"/>
  <c r="O3333" i="246" s="1"/>
  <c r="M133" i="190"/>
  <c r="G133" i="190" s="1"/>
  <c r="I133" i="190" s="1"/>
  <c r="O3332" i="246" s="1"/>
  <c r="M132" i="190"/>
  <c r="G132" i="190" s="1"/>
  <c r="I132" i="190" s="1"/>
  <c r="O3331" i="246" s="1"/>
  <c r="M131" i="190"/>
  <c r="G131" i="190" s="1"/>
  <c r="I131" i="190" s="1"/>
  <c r="O3330" i="246" s="1"/>
  <c r="M130" i="190"/>
  <c r="G130" i="190" s="1"/>
  <c r="I130" i="190" s="1"/>
  <c r="O3329" i="246" s="1"/>
  <c r="M129" i="190"/>
  <c r="G129" i="190" s="1"/>
  <c r="I129" i="190" s="1"/>
  <c r="O3328" i="246" s="1"/>
  <c r="M128" i="190"/>
  <c r="G128" i="190" s="1"/>
  <c r="I128" i="190" s="1"/>
  <c r="O3327" i="246" s="1"/>
  <c r="M127" i="190"/>
  <c r="G127" i="190" s="1"/>
  <c r="I127" i="190" s="1"/>
  <c r="M126" i="190"/>
  <c r="G126" i="190" s="1"/>
  <c r="I126" i="190" s="1"/>
  <c r="M125" i="190"/>
  <c r="G125" i="190" s="1"/>
  <c r="I125" i="190" s="1"/>
  <c r="O3325" i="246" s="1"/>
  <c r="M124" i="190"/>
  <c r="G124" i="190" s="1"/>
  <c r="I124" i="190" s="1"/>
  <c r="O3324" i="246" s="1"/>
  <c r="M123" i="190"/>
  <c r="G123" i="190" s="1"/>
  <c r="I123" i="190" s="1"/>
  <c r="M122" i="190"/>
  <c r="G122" i="190" s="1"/>
  <c r="I122" i="190" s="1"/>
  <c r="M121" i="190"/>
  <c r="G121" i="190" s="1"/>
  <c r="I121" i="190" s="1"/>
  <c r="O3320" i="246" s="1"/>
  <c r="M120" i="190"/>
  <c r="G120" i="190" s="1"/>
  <c r="I120" i="190" s="1"/>
  <c r="O3319" i="246" s="1"/>
  <c r="M119" i="190"/>
  <c r="G119" i="190" s="1"/>
  <c r="I119" i="190" s="1"/>
  <c r="O3318" i="246" s="1"/>
  <c r="M118" i="190"/>
  <c r="G118" i="190" s="1"/>
  <c r="I118" i="190" s="1"/>
  <c r="O3317" i="246" s="1"/>
  <c r="M117" i="190"/>
  <c r="G117" i="190" s="1"/>
  <c r="I117" i="190" s="1"/>
  <c r="M116" i="190"/>
  <c r="G116" i="190" s="1"/>
  <c r="I116" i="190" s="1"/>
  <c r="M115" i="190"/>
  <c r="G115" i="190" s="1"/>
  <c r="I115" i="190" s="1"/>
  <c r="M114" i="190"/>
  <c r="G114" i="190" s="1"/>
  <c r="I114" i="190" s="1"/>
  <c r="M113" i="190"/>
  <c r="G113" i="190" s="1"/>
  <c r="I113" i="190" s="1"/>
  <c r="M112" i="190"/>
  <c r="G112" i="190" s="1"/>
  <c r="I112" i="190" s="1"/>
  <c r="M111" i="190"/>
  <c r="G111" i="190" s="1"/>
  <c r="I111" i="190" s="1"/>
  <c r="M110" i="190"/>
  <c r="G110" i="190" s="1"/>
  <c r="I110" i="190" s="1"/>
  <c r="M109" i="190"/>
  <c r="G109" i="190" s="1"/>
  <c r="I109" i="190" s="1"/>
  <c r="M106" i="190"/>
  <c r="G106" i="190" s="1"/>
  <c r="I106" i="190" s="1"/>
  <c r="O3312" i="246" s="1"/>
  <c r="M105" i="190"/>
  <c r="G105" i="190" s="1"/>
  <c r="I105" i="190" s="1"/>
  <c r="O3311" i="246" s="1"/>
  <c r="M104" i="190"/>
  <c r="G104" i="190" s="1"/>
  <c r="I104" i="190" s="1"/>
  <c r="O3310" i="246" s="1"/>
  <c r="M103" i="190"/>
  <c r="G103" i="190" s="1"/>
  <c r="I103" i="190" s="1"/>
  <c r="O3309" i="246" s="1"/>
  <c r="M102" i="190"/>
  <c r="G102" i="190" s="1"/>
  <c r="I102" i="190" s="1"/>
  <c r="M101" i="190"/>
  <c r="G101" i="190" s="1"/>
  <c r="I101" i="190" s="1"/>
  <c r="M100" i="190"/>
  <c r="G100" i="190" s="1"/>
  <c r="I100" i="190" s="1"/>
  <c r="M99" i="190"/>
  <c r="G99" i="190" s="1"/>
  <c r="I99" i="190" s="1"/>
  <c r="M98" i="190"/>
  <c r="G98" i="190" s="1"/>
  <c r="I98" i="190" s="1"/>
  <c r="M96" i="190"/>
  <c r="G96" i="190" s="1"/>
  <c r="I96" i="190" s="1"/>
  <c r="O3352" i="246" s="1"/>
  <c r="M95" i="190"/>
  <c r="G95" i="190" s="1"/>
  <c r="I95" i="190" s="1"/>
  <c r="O3349" i="246" s="1"/>
  <c r="M94" i="190"/>
  <c r="G94" i="190" s="1"/>
  <c r="I94" i="190" s="1"/>
  <c r="M93" i="190"/>
  <c r="G93" i="190" s="1"/>
  <c r="I93" i="190" s="1"/>
  <c r="M91" i="190"/>
  <c r="G91" i="190" s="1"/>
  <c r="I91" i="190" s="1"/>
  <c r="M90" i="190"/>
  <c r="G90" i="190" s="1"/>
  <c r="I90" i="190" s="1"/>
  <c r="M89" i="190"/>
  <c r="G89" i="190" s="1"/>
  <c r="I89" i="190" s="1"/>
  <c r="O1350" i="246" s="1"/>
  <c r="R1350" i="246" s="1"/>
  <c r="O1389" i="1"/>
  <c r="M88" i="190"/>
  <c r="G88" i="190" s="1"/>
  <c r="I88" i="190" s="1"/>
  <c r="O1349" i="246" s="1"/>
  <c r="R1349" i="246" s="1"/>
  <c r="O1388" i="1"/>
  <c r="M87" i="190"/>
  <c r="G87" i="190" s="1"/>
  <c r="I87" i="190" s="1"/>
  <c r="O1348" i="246" s="1"/>
  <c r="R1348" i="246" s="1"/>
  <c r="O1387" i="1"/>
  <c r="M86" i="190"/>
  <c r="G86" i="190" s="1"/>
  <c r="I86" i="190" s="1"/>
  <c r="M85" i="190"/>
  <c r="G85" i="190" s="1"/>
  <c r="I85" i="190" s="1"/>
  <c r="M84" i="190"/>
  <c r="G84" i="190" s="1"/>
  <c r="I84" i="190" s="1"/>
  <c r="O3354" i="246" s="1"/>
  <c r="M83" i="190"/>
  <c r="G83" i="190" s="1"/>
  <c r="I83" i="190" s="1"/>
  <c r="M82" i="190"/>
  <c r="G82" i="190" s="1"/>
  <c r="I82" i="190" s="1"/>
  <c r="O3282" i="246" s="1"/>
  <c r="M81" i="190"/>
  <c r="G81" i="190" s="1"/>
  <c r="I81" i="190" s="1"/>
  <c r="O3281" i="246" s="1"/>
  <c r="M80" i="190"/>
  <c r="G80" i="190" s="1"/>
  <c r="I80" i="190" s="1"/>
  <c r="O3280" i="246" s="1"/>
  <c r="M79" i="190"/>
  <c r="G79" i="190" s="1"/>
  <c r="I79" i="190" s="1"/>
  <c r="O3279" i="246" s="1"/>
  <c r="M78" i="190"/>
  <c r="G78" i="190" s="1"/>
  <c r="I78" i="190" s="1"/>
  <c r="O3278" i="246" s="1"/>
  <c r="M77" i="190"/>
  <c r="G77" i="190" s="1"/>
  <c r="I77" i="190" s="1"/>
  <c r="O3277" i="246" s="1"/>
  <c r="M76" i="190"/>
  <c r="G76" i="190" s="1"/>
  <c r="I76" i="190" s="1"/>
  <c r="O3276" i="246" s="1"/>
  <c r="M75" i="190"/>
  <c r="G75" i="190" s="1"/>
  <c r="I75" i="190" s="1"/>
  <c r="O3275" i="246" s="1"/>
  <c r="M74" i="190"/>
  <c r="G74" i="190" s="1"/>
  <c r="I74" i="190" s="1"/>
  <c r="O3274" i="246" s="1"/>
  <c r="M73" i="190"/>
  <c r="G73" i="190" s="1"/>
  <c r="I73" i="190" s="1"/>
  <c r="O3273" i="246" s="1"/>
  <c r="M72" i="190"/>
  <c r="G72" i="190" s="1"/>
  <c r="I72" i="190" s="1"/>
  <c r="O3272" i="246" s="1"/>
  <c r="M71" i="190"/>
  <c r="G71" i="190" s="1"/>
  <c r="I71" i="190" s="1"/>
  <c r="O3271" i="246" s="1"/>
  <c r="M70" i="190"/>
  <c r="G70" i="190" s="1"/>
  <c r="I70" i="190" s="1"/>
  <c r="M69" i="190"/>
  <c r="G69" i="190" s="1"/>
  <c r="I69" i="190" s="1"/>
  <c r="M68" i="190"/>
  <c r="G68" i="190" s="1"/>
  <c r="I68" i="190" s="1"/>
  <c r="M67" i="190"/>
  <c r="G67" i="190" s="1"/>
  <c r="I67" i="190" s="1"/>
  <c r="M66" i="190"/>
  <c r="G66" i="190" s="1"/>
  <c r="I66" i="190" s="1"/>
  <c r="M64" i="190"/>
  <c r="G64" i="190" s="1"/>
  <c r="I64" i="190" s="1"/>
  <c r="O3267" i="246" s="1"/>
  <c r="M63" i="190"/>
  <c r="G63" i="190" s="1"/>
  <c r="I63" i="190" s="1"/>
  <c r="O1276" i="246" s="1"/>
  <c r="R1276" i="246" s="1"/>
  <c r="O1315" i="1"/>
  <c r="M62" i="190"/>
  <c r="G62" i="190" s="1"/>
  <c r="I62" i="190" s="1"/>
  <c r="O1275" i="246" s="1"/>
  <c r="R1275" i="246" s="1"/>
  <c r="O1314" i="1"/>
  <c r="M61" i="190"/>
  <c r="G61" i="190" s="1"/>
  <c r="I61" i="190" s="1"/>
  <c r="M60" i="190"/>
  <c r="G60" i="190" s="1"/>
  <c r="I60" i="190" s="1"/>
  <c r="M59" i="190"/>
  <c r="G59" i="190" s="1"/>
  <c r="I59" i="190" s="1"/>
  <c r="M58" i="190"/>
  <c r="G58" i="190" s="1"/>
  <c r="I58" i="190" s="1"/>
  <c r="M57" i="190"/>
  <c r="G57" i="190" s="1"/>
  <c r="I57" i="190" s="1"/>
  <c r="M56" i="190"/>
  <c r="G56" i="190" s="1"/>
  <c r="I56" i="190" s="1"/>
  <c r="M55" i="190"/>
  <c r="G55" i="190" s="1"/>
  <c r="I55" i="190" s="1"/>
  <c r="M54" i="190"/>
  <c r="G54" i="190" s="1"/>
  <c r="I54" i="190" s="1"/>
  <c r="M53" i="190"/>
  <c r="G53" i="190" s="1"/>
  <c r="I53" i="190" s="1"/>
  <c r="O3264" i="246" s="1"/>
  <c r="M52" i="190"/>
  <c r="G52" i="190" s="1"/>
  <c r="I52" i="190" s="1"/>
  <c r="M51" i="190"/>
  <c r="G51" i="190" s="1"/>
  <c r="I51" i="190" s="1"/>
  <c r="M50" i="190"/>
  <c r="G50" i="190" s="1"/>
  <c r="I50" i="190" s="1"/>
  <c r="O3262" i="246" s="1"/>
  <c r="M49" i="190"/>
  <c r="G49" i="190" s="1"/>
  <c r="I49" i="190" s="1"/>
  <c r="O3261" i="246" s="1"/>
  <c r="M48" i="190"/>
  <c r="G48" i="190" s="1"/>
  <c r="I48" i="190" s="1"/>
  <c r="O3260" i="246" s="1"/>
  <c r="M47" i="190"/>
  <c r="G47" i="190" s="1"/>
  <c r="I47" i="190" s="1"/>
  <c r="O3259" i="246" s="1"/>
  <c r="M46" i="190"/>
  <c r="G46" i="190" s="1"/>
  <c r="I46" i="190" s="1"/>
  <c r="M45" i="190"/>
  <c r="G45" i="190" s="1"/>
  <c r="I45" i="190" s="1"/>
  <c r="M44" i="190"/>
  <c r="G44" i="190" s="1"/>
  <c r="I44" i="190" s="1"/>
  <c r="M43" i="190"/>
  <c r="G43" i="190" s="1"/>
  <c r="I43" i="190" s="1"/>
  <c r="M42" i="190"/>
  <c r="G42" i="190" s="1"/>
  <c r="I42" i="190" s="1"/>
  <c r="O3257" i="246" s="1"/>
  <c r="M41" i="190"/>
  <c r="G41" i="190" s="1"/>
  <c r="I41" i="190" s="1"/>
  <c r="O3256" i="246" s="1"/>
  <c r="M40" i="190"/>
  <c r="G40" i="190" s="1"/>
  <c r="I40" i="190" s="1"/>
  <c r="O3255" i="246" s="1"/>
  <c r="M39" i="190"/>
  <c r="G39" i="190" s="1"/>
  <c r="I39" i="190" s="1"/>
  <c r="M38" i="190"/>
  <c r="G38" i="190" s="1"/>
  <c r="I38" i="190" s="1"/>
  <c r="M37" i="190"/>
  <c r="G37" i="190" s="1"/>
  <c r="I37" i="190" s="1"/>
  <c r="M36" i="190"/>
  <c r="G36" i="190" s="1"/>
  <c r="I36" i="190" s="1"/>
  <c r="M35" i="190"/>
  <c r="G35" i="190" s="1"/>
  <c r="I35" i="190" s="1"/>
  <c r="M34" i="190"/>
  <c r="G34" i="190" s="1"/>
  <c r="I34" i="190" s="1"/>
  <c r="M32" i="190"/>
  <c r="G32" i="190" s="1"/>
  <c r="I32" i="190" s="1"/>
  <c r="M31" i="190"/>
  <c r="G31" i="190" s="1"/>
  <c r="I31" i="190" s="1"/>
  <c r="M30" i="190"/>
  <c r="G30" i="190" s="1"/>
  <c r="I30" i="190" s="1"/>
  <c r="M29" i="190"/>
  <c r="G29" i="190" s="1"/>
  <c r="I29" i="190" s="1"/>
  <c r="M28" i="190"/>
  <c r="G28" i="190" s="1"/>
  <c r="I28" i="190" s="1"/>
  <c r="M27" i="190"/>
  <c r="G27" i="190" s="1"/>
  <c r="I27" i="190" s="1"/>
  <c r="M26" i="190"/>
  <c r="G26" i="190" s="1"/>
  <c r="I26" i="190" s="1"/>
  <c r="M25" i="190"/>
  <c r="G25" i="190" s="1"/>
  <c r="I25" i="190" s="1"/>
  <c r="M24" i="190"/>
  <c r="G24" i="190" s="1"/>
  <c r="I24" i="190" s="1"/>
  <c r="M23" i="190"/>
  <c r="M22" i="190"/>
  <c r="G22" i="190" s="1"/>
  <c r="I22" i="190" s="1"/>
  <c r="O3231" i="246" s="1"/>
  <c r="M21" i="190"/>
  <c r="G21" i="190" s="1"/>
  <c r="I21" i="190" s="1"/>
  <c r="O3230" i="246" s="1"/>
  <c r="M20" i="190"/>
  <c r="G20" i="190" s="1"/>
  <c r="I20" i="190" s="1"/>
  <c r="O3229" i="246" s="1"/>
  <c r="M19" i="190"/>
  <c r="G19" i="190" s="1"/>
  <c r="I19" i="190" s="1"/>
  <c r="O3228" i="246" s="1"/>
  <c r="M18" i="190"/>
  <c r="G18" i="190" s="1"/>
  <c r="I18" i="190" s="1"/>
  <c r="O3227" i="246" s="1"/>
  <c r="M17" i="190"/>
  <c r="M16" i="190"/>
  <c r="G16" i="190" s="1"/>
  <c r="I16" i="190" s="1"/>
  <c r="M15" i="190"/>
  <c r="G15" i="190" s="1"/>
  <c r="I15" i="190" s="1"/>
  <c r="M14" i="190"/>
  <c r="G14" i="190" s="1"/>
  <c r="I14" i="190" s="1"/>
  <c r="M13" i="190"/>
  <c r="M12" i="190"/>
  <c r="G12" i="190" s="1"/>
  <c r="I12" i="190" s="1"/>
  <c r="M11" i="190"/>
  <c r="G11" i="190" s="1"/>
  <c r="I11" i="190" s="1"/>
  <c r="M10" i="190"/>
  <c r="G10" i="190" s="1"/>
  <c r="I10" i="190" s="1"/>
  <c r="M5" i="190"/>
  <c r="G5" i="190" s="1"/>
  <c r="I5" i="190" s="1"/>
  <c r="E404" i="190"/>
  <c r="I1" i="190"/>
  <c r="H484" i="189"/>
  <c r="G484" i="189"/>
  <c r="F484" i="189"/>
  <c r="K482" i="189"/>
  <c r="J482" i="189"/>
  <c r="K481" i="189"/>
  <c r="J481" i="189"/>
  <c r="K480" i="189"/>
  <c r="J480" i="189"/>
  <c r="K479" i="189"/>
  <c r="J479" i="189"/>
  <c r="K478" i="189"/>
  <c r="J478" i="189"/>
  <c r="K477" i="189"/>
  <c r="J477" i="189"/>
  <c r="K476" i="189"/>
  <c r="J476" i="189"/>
  <c r="K475" i="189"/>
  <c r="J475" i="189"/>
  <c r="K474" i="189"/>
  <c r="J474" i="189"/>
  <c r="K473" i="189"/>
  <c r="J473" i="189"/>
  <c r="K472" i="189"/>
  <c r="J472" i="189"/>
  <c r="K471" i="189"/>
  <c r="J471" i="189"/>
  <c r="K470" i="189"/>
  <c r="J470" i="189"/>
  <c r="K469" i="189"/>
  <c r="J469" i="189"/>
  <c r="K468" i="189"/>
  <c r="J468" i="189"/>
  <c r="K467" i="189"/>
  <c r="J467" i="189"/>
  <c r="K466" i="189"/>
  <c r="J466" i="189"/>
  <c r="K465" i="189"/>
  <c r="J465" i="189"/>
  <c r="K464" i="189"/>
  <c r="J464" i="189"/>
  <c r="K463" i="189"/>
  <c r="J463" i="189"/>
  <c r="K462" i="189"/>
  <c r="J462" i="189"/>
  <c r="K461" i="189"/>
  <c r="J461" i="189"/>
  <c r="K460" i="189"/>
  <c r="J460" i="189"/>
  <c r="K459" i="189"/>
  <c r="J459" i="189"/>
  <c r="K458" i="189"/>
  <c r="J458" i="189"/>
  <c r="K457" i="189"/>
  <c r="J457" i="189"/>
  <c r="K456" i="189"/>
  <c r="J456" i="189"/>
  <c r="K455" i="189"/>
  <c r="J455" i="189"/>
  <c r="K454" i="189"/>
  <c r="J454" i="189"/>
  <c r="K453" i="189"/>
  <c r="J453" i="189"/>
  <c r="K452" i="189"/>
  <c r="J452" i="189"/>
  <c r="K451" i="189"/>
  <c r="J451" i="189"/>
  <c r="K450" i="189"/>
  <c r="J450" i="189"/>
  <c r="K449" i="189"/>
  <c r="J449" i="189"/>
  <c r="K448" i="189"/>
  <c r="J448" i="189"/>
  <c r="K447" i="189"/>
  <c r="J447" i="189"/>
  <c r="K446" i="189"/>
  <c r="J446" i="189"/>
  <c r="K445" i="189"/>
  <c r="J445" i="189"/>
  <c r="K444" i="189"/>
  <c r="J444" i="189"/>
  <c r="K443" i="189"/>
  <c r="J443" i="189"/>
  <c r="K442" i="189"/>
  <c r="J442" i="189"/>
  <c r="K441" i="189"/>
  <c r="J441" i="189"/>
  <c r="K440" i="189"/>
  <c r="J440" i="189"/>
  <c r="K439" i="189"/>
  <c r="J439" i="189"/>
  <c r="K438" i="189"/>
  <c r="J438" i="189"/>
  <c r="K437" i="189"/>
  <c r="J437" i="189"/>
  <c r="K436" i="189"/>
  <c r="J436" i="189"/>
  <c r="K435" i="189"/>
  <c r="J435" i="189"/>
  <c r="K434" i="189"/>
  <c r="J434" i="189"/>
  <c r="K433" i="189"/>
  <c r="J433" i="189"/>
  <c r="K432" i="189"/>
  <c r="J432" i="189"/>
  <c r="K431" i="189"/>
  <c r="J431" i="189"/>
  <c r="K430" i="189"/>
  <c r="J430" i="189"/>
  <c r="K429" i="189"/>
  <c r="J429" i="189"/>
  <c r="K428" i="189"/>
  <c r="J428" i="189"/>
  <c r="K427" i="189"/>
  <c r="J427" i="189"/>
  <c r="K426" i="189"/>
  <c r="J426" i="189"/>
  <c r="K425" i="189"/>
  <c r="J425" i="189"/>
  <c r="K424" i="189"/>
  <c r="J424" i="189"/>
  <c r="K423" i="189"/>
  <c r="J423" i="189"/>
  <c r="K422" i="189"/>
  <c r="J422" i="189"/>
  <c r="K421" i="189"/>
  <c r="J421" i="189"/>
  <c r="K420" i="189"/>
  <c r="J420" i="189"/>
  <c r="K419" i="189"/>
  <c r="J419" i="189"/>
  <c r="K418" i="189"/>
  <c r="J418" i="189"/>
  <c r="K417" i="189"/>
  <c r="J417" i="189"/>
  <c r="K416" i="189"/>
  <c r="J416" i="189"/>
  <c r="K415" i="189"/>
  <c r="J415" i="189"/>
  <c r="K414" i="189"/>
  <c r="J414" i="189"/>
  <c r="K413" i="189"/>
  <c r="J413" i="189"/>
  <c r="K412" i="189"/>
  <c r="J412" i="189"/>
  <c r="K411" i="189"/>
  <c r="J411" i="189"/>
  <c r="K410" i="189"/>
  <c r="J410" i="189"/>
  <c r="K409" i="189"/>
  <c r="J409" i="189"/>
  <c r="K408" i="189"/>
  <c r="J408" i="189"/>
  <c r="K407" i="189"/>
  <c r="J407" i="189"/>
  <c r="K406" i="189"/>
  <c r="J406" i="189"/>
  <c r="K405" i="189"/>
  <c r="J405" i="189"/>
  <c r="K404" i="189"/>
  <c r="J404" i="189"/>
  <c r="K403" i="189"/>
  <c r="J403" i="189"/>
  <c r="K402" i="189"/>
  <c r="J402" i="189"/>
  <c r="K401" i="189"/>
  <c r="J401" i="189"/>
  <c r="K400" i="189"/>
  <c r="J400" i="189"/>
  <c r="K399" i="189"/>
  <c r="J399" i="189"/>
  <c r="K398" i="189"/>
  <c r="J398" i="189"/>
  <c r="K397" i="189"/>
  <c r="J397" i="189"/>
  <c r="K396" i="189"/>
  <c r="J396" i="189"/>
  <c r="K395" i="189"/>
  <c r="J395" i="189"/>
  <c r="K394" i="189"/>
  <c r="J394" i="189"/>
  <c r="K393" i="189"/>
  <c r="J393" i="189"/>
  <c r="K392" i="189"/>
  <c r="J392" i="189"/>
  <c r="K391" i="189"/>
  <c r="J391" i="189"/>
  <c r="K390" i="189"/>
  <c r="J390" i="189"/>
  <c r="K389" i="189"/>
  <c r="J389" i="189"/>
  <c r="K388" i="189"/>
  <c r="J388" i="189"/>
  <c r="K387" i="189"/>
  <c r="J387" i="189"/>
  <c r="K386" i="189"/>
  <c r="J386" i="189"/>
  <c r="K385" i="189"/>
  <c r="J385" i="189"/>
  <c r="K384" i="189"/>
  <c r="J384" i="189"/>
  <c r="K383" i="189"/>
  <c r="J383" i="189"/>
  <c r="K382" i="189"/>
  <c r="J382" i="189"/>
  <c r="K381" i="189"/>
  <c r="J381" i="189"/>
  <c r="K380" i="189"/>
  <c r="J380" i="189"/>
  <c r="K379" i="189"/>
  <c r="J379" i="189"/>
  <c r="K378" i="189"/>
  <c r="J378" i="189"/>
  <c r="K377" i="189"/>
  <c r="J377" i="189"/>
  <c r="K376" i="189"/>
  <c r="J376" i="189"/>
  <c r="K375" i="189"/>
  <c r="J375" i="189"/>
  <c r="K374" i="189"/>
  <c r="J374" i="189"/>
  <c r="K373" i="189"/>
  <c r="J373" i="189"/>
  <c r="K372" i="189"/>
  <c r="J372" i="189"/>
  <c r="K371" i="189"/>
  <c r="J371" i="189"/>
  <c r="K370" i="189"/>
  <c r="J370" i="189"/>
  <c r="K369" i="189"/>
  <c r="J369" i="189"/>
  <c r="K368" i="189"/>
  <c r="J368" i="189"/>
  <c r="K367" i="189"/>
  <c r="J367" i="189"/>
  <c r="K366" i="189"/>
  <c r="J366" i="189"/>
  <c r="K365" i="189"/>
  <c r="J365" i="189"/>
  <c r="K364" i="189"/>
  <c r="J364" i="189"/>
  <c r="K363" i="189"/>
  <c r="J363" i="189"/>
  <c r="K362" i="189"/>
  <c r="J362" i="189"/>
  <c r="K361" i="189"/>
  <c r="J361" i="189"/>
  <c r="K360" i="189"/>
  <c r="J360" i="189"/>
  <c r="K359" i="189"/>
  <c r="J359" i="189"/>
  <c r="K358" i="189"/>
  <c r="J358" i="189"/>
  <c r="K357" i="189"/>
  <c r="J357" i="189"/>
  <c r="K356" i="189"/>
  <c r="J356" i="189"/>
  <c r="K355" i="189"/>
  <c r="J355" i="189"/>
  <c r="K354" i="189"/>
  <c r="J354" i="189"/>
  <c r="K353" i="189"/>
  <c r="J353" i="189"/>
  <c r="K352" i="189"/>
  <c r="J352" i="189"/>
  <c r="K351" i="189"/>
  <c r="J351" i="189"/>
  <c r="K350" i="189"/>
  <c r="J350" i="189"/>
  <c r="K349" i="189"/>
  <c r="J349" i="189"/>
  <c r="K348" i="189"/>
  <c r="J348" i="189"/>
  <c r="K347" i="189"/>
  <c r="J347" i="189"/>
  <c r="K346" i="189"/>
  <c r="J346" i="189"/>
  <c r="K345" i="189"/>
  <c r="J345" i="189"/>
  <c r="K344" i="189"/>
  <c r="J344" i="189"/>
  <c r="K343" i="189"/>
  <c r="J343" i="189"/>
  <c r="K342" i="189"/>
  <c r="J342" i="189"/>
  <c r="K341" i="189"/>
  <c r="J341" i="189"/>
  <c r="K340" i="189"/>
  <c r="J340" i="189"/>
  <c r="K339" i="189"/>
  <c r="J339" i="189"/>
  <c r="K338" i="189"/>
  <c r="J338" i="189"/>
  <c r="K337" i="189"/>
  <c r="J337" i="189"/>
  <c r="K336" i="189"/>
  <c r="J336" i="189"/>
  <c r="K335" i="189"/>
  <c r="J335" i="189"/>
  <c r="K334" i="189"/>
  <c r="J334" i="189"/>
  <c r="K333" i="189"/>
  <c r="J333" i="189"/>
  <c r="K332" i="189"/>
  <c r="J332" i="189"/>
  <c r="K331" i="189"/>
  <c r="J331" i="189"/>
  <c r="K330" i="189"/>
  <c r="J330" i="189"/>
  <c r="K329" i="189"/>
  <c r="J329" i="189"/>
  <c r="K328" i="189"/>
  <c r="J328" i="189"/>
  <c r="K327" i="189"/>
  <c r="J327" i="189"/>
  <c r="K326" i="189"/>
  <c r="J326" i="189"/>
  <c r="K325" i="189"/>
  <c r="J325" i="189"/>
  <c r="K324" i="189"/>
  <c r="J324" i="189"/>
  <c r="K323" i="189"/>
  <c r="J323" i="189"/>
  <c r="K322" i="189"/>
  <c r="J322" i="189"/>
  <c r="K321" i="189"/>
  <c r="J321" i="189"/>
  <c r="K320" i="189"/>
  <c r="J320" i="189"/>
  <c r="K319" i="189"/>
  <c r="J319" i="189"/>
  <c r="K318" i="189"/>
  <c r="J318" i="189"/>
  <c r="K317" i="189"/>
  <c r="J317" i="189"/>
  <c r="K316" i="189"/>
  <c r="J316" i="189"/>
  <c r="K315" i="189"/>
  <c r="J315" i="189"/>
  <c r="K314" i="189"/>
  <c r="J314" i="189"/>
  <c r="K313" i="189"/>
  <c r="J313" i="189"/>
  <c r="K312" i="189"/>
  <c r="J312" i="189"/>
  <c r="K311" i="189"/>
  <c r="J311" i="189"/>
  <c r="K310" i="189"/>
  <c r="J310" i="189"/>
  <c r="K309" i="189"/>
  <c r="J309" i="189"/>
  <c r="K308" i="189"/>
  <c r="J308" i="189"/>
  <c r="K307" i="189"/>
  <c r="J307" i="189"/>
  <c r="K306" i="189"/>
  <c r="J306" i="189"/>
  <c r="K305" i="189"/>
  <c r="J305" i="189"/>
  <c r="K304" i="189"/>
  <c r="J304" i="189"/>
  <c r="K303" i="189"/>
  <c r="J303" i="189"/>
  <c r="K302" i="189"/>
  <c r="J302" i="189"/>
  <c r="K301" i="189"/>
  <c r="J301" i="189"/>
  <c r="K300" i="189"/>
  <c r="J300" i="189"/>
  <c r="K299" i="189"/>
  <c r="J299" i="189"/>
  <c r="K298" i="189"/>
  <c r="J298" i="189"/>
  <c r="K297" i="189"/>
  <c r="J297" i="189"/>
  <c r="K296" i="189"/>
  <c r="J296" i="189"/>
  <c r="K295" i="189"/>
  <c r="J295" i="189"/>
  <c r="K294" i="189"/>
  <c r="J294" i="189"/>
  <c r="K293" i="189"/>
  <c r="J293" i="189"/>
  <c r="K292" i="189"/>
  <c r="J292" i="189"/>
  <c r="K291" i="189"/>
  <c r="J291" i="189"/>
  <c r="K290" i="189"/>
  <c r="J290" i="189"/>
  <c r="K289" i="189"/>
  <c r="J289" i="189"/>
  <c r="K288" i="189"/>
  <c r="J288" i="189"/>
  <c r="K287" i="189"/>
  <c r="J287" i="189"/>
  <c r="K286" i="189"/>
  <c r="J286" i="189"/>
  <c r="K285" i="189"/>
  <c r="J285" i="189"/>
  <c r="K284" i="189"/>
  <c r="J284" i="189"/>
  <c r="K283" i="189"/>
  <c r="J283" i="189"/>
  <c r="K282" i="189"/>
  <c r="J282" i="189"/>
  <c r="K281" i="189"/>
  <c r="J281" i="189"/>
  <c r="K280" i="189"/>
  <c r="J280" i="189"/>
  <c r="K279" i="189"/>
  <c r="J279" i="189"/>
  <c r="K278" i="189"/>
  <c r="J278" i="189"/>
  <c r="K277" i="189"/>
  <c r="J277" i="189"/>
  <c r="K276" i="189"/>
  <c r="J276" i="189"/>
  <c r="K275" i="189"/>
  <c r="J275" i="189"/>
  <c r="K274" i="189"/>
  <c r="J274" i="189"/>
  <c r="K273" i="189"/>
  <c r="J273" i="189"/>
  <c r="K272" i="189"/>
  <c r="J272" i="189"/>
  <c r="K271" i="189"/>
  <c r="J271" i="189"/>
  <c r="K270" i="189"/>
  <c r="J270" i="189"/>
  <c r="K269" i="189"/>
  <c r="J269" i="189"/>
  <c r="K268" i="189"/>
  <c r="J268" i="189"/>
  <c r="K267" i="189"/>
  <c r="J267" i="189"/>
  <c r="K266" i="189"/>
  <c r="J266" i="189"/>
  <c r="K265" i="189"/>
  <c r="J265" i="189"/>
  <c r="K264" i="189"/>
  <c r="J264" i="189"/>
  <c r="K263" i="189"/>
  <c r="J263" i="189"/>
  <c r="K262" i="189"/>
  <c r="J262" i="189"/>
  <c r="K261" i="189"/>
  <c r="J261" i="189"/>
  <c r="K260" i="189"/>
  <c r="J260" i="189"/>
  <c r="K259" i="189"/>
  <c r="J259" i="189"/>
  <c r="K258" i="189"/>
  <c r="J258" i="189"/>
  <c r="K257" i="189"/>
  <c r="J257" i="189"/>
  <c r="K256" i="189"/>
  <c r="J256" i="189"/>
  <c r="K255" i="189"/>
  <c r="J255" i="189"/>
  <c r="K254" i="189"/>
  <c r="J254" i="189"/>
  <c r="K253" i="189"/>
  <c r="J253" i="189"/>
  <c r="K252" i="189"/>
  <c r="J252" i="189"/>
  <c r="K251" i="189"/>
  <c r="J251" i="189"/>
  <c r="K250" i="189"/>
  <c r="J250" i="189"/>
  <c r="K249" i="189"/>
  <c r="J249" i="189"/>
  <c r="K248" i="189"/>
  <c r="J248" i="189"/>
  <c r="K247" i="189"/>
  <c r="J247" i="189"/>
  <c r="K246" i="189"/>
  <c r="J246" i="189"/>
  <c r="K245" i="189"/>
  <c r="J245" i="189"/>
  <c r="K244" i="189"/>
  <c r="J244" i="189"/>
  <c r="K243" i="189"/>
  <c r="J243" i="189"/>
  <c r="K242" i="189"/>
  <c r="J242" i="189"/>
  <c r="K241" i="189"/>
  <c r="J241" i="189"/>
  <c r="K240" i="189"/>
  <c r="J240" i="189"/>
  <c r="K239" i="189"/>
  <c r="J239" i="189"/>
  <c r="K238" i="189"/>
  <c r="J238" i="189"/>
  <c r="K237" i="189"/>
  <c r="J237" i="189"/>
  <c r="K236" i="189"/>
  <c r="J236" i="189"/>
  <c r="K235" i="189"/>
  <c r="J235" i="189"/>
  <c r="K234" i="189"/>
  <c r="J234" i="189"/>
  <c r="K233" i="189"/>
  <c r="J233" i="189"/>
  <c r="K232" i="189"/>
  <c r="J232" i="189"/>
  <c r="K231" i="189"/>
  <c r="J231" i="189"/>
  <c r="K230" i="189"/>
  <c r="J230" i="189"/>
  <c r="K229" i="189"/>
  <c r="J229" i="189"/>
  <c r="K228" i="189"/>
  <c r="J228" i="189"/>
  <c r="K227" i="189"/>
  <c r="J227" i="189"/>
  <c r="K226" i="189"/>
  <c r="J226" i="189"/>
  <c r="K225" i="189"/>
  <c r="J225" i="189"/>
  <c r="K224" i="189"/>
  <c r="J224" i="189"/>
  <c r="K223" i="189"/>
  <c r="J223" i="189"/>
  <c r="K222" i="189"/>
  <c r="J222" i="189"/>
  <c r="K221" i="189"/>
  <c r="J221" i="189"/>
  <c r="K220" i="189"/>
  <c r="J220" i="189"/>
  <c r="K219" i="189"/>
  <c r="J219" i="189"/>
  <c r="K218" i="189"/>
  <c r="J218" i="189"/>
  <c r="K217" i="189"/>
  <c r="J217" i="189"/>
  <c r="K216" i="189"/>
  <c r="J216" i="189"/>
  <c r="K215" i="189"/>
  <c r="J215" i="189"/>
  <c r="K214" i="189"/>
  <c r="J214" i="189"/>
  <c r="K213" i="189"/>
  <c r="J213" i="189"/>
  <c r="K212" i="189"/>
  <c r="J212" i="189"/>
  <c r="K211" i="189"/>
  <c r="J211" i="189"/>
  <c r="K210" i="189"/>
  <c r="J210" i="189"/>
  <c r="K209" i="189"/>
  <c r="J209" i="189"/>
  <c r="K208" i="189"/>
  <c r="J208" i="189"/>
  <c r="K207" i="189"/>
  <c r="J207" i="189"/>
  <c r="K206" i="189"/>
  <c r="J206" i="189"/>
  <c r="K205" i="189"/>
  <c r="J205" i="189"/>
  <c r="K204" i="189"/>
  <c r="J204" i="189"/>
  <c r="K203" i="189"/>
  <c r="J203" i="189"/>
  <c r="K202" i="189"/>
  <c r="J202" i="189"/>
  <c r="K201" i="189"/>
  <c r="J201" i="189"/>
  <c r="K200" i="189"/>
  <c r="J200" i="189"/>
  <c r="K199" i="189"/>
  <c r="J199" i="189"/>
  <c r="K198" i="189"/>
  <c r="J198" i="189"/>
  <c r="K197" i="189"/>
  <c r="J197" i="189"/>
  <c r="K196" i="189"/>
  <c r="J196" i="189"/>
  <c r="K195" i="189"/>
  <c r="J195" i="189"/>
  <c r="K194" i="189"/>
  <c r="J194" i="189"/>
  <c r="K193" i="189"/>
  <c r="J193" i="189"/>
  <c r="K192" i="189"/>
  <c r="J192" i="189"/>
  <c r="K191" i="189"/>
  <c r="J191" i="189"/>
  <c r="K190" i="189"/>
  <c r="J190" i="189"/>
  <c r="K189" i="189"/>
  <c r="J189" i="189"/>
  <c r="K188" i="189"/>
  <c r="J188" i="189"/>
  <c r="K187" i="189"/>
  <c r="J187" i="189"/>
  <c r="K186" i="189"/>
  <c r="J186" i="189"/>
  <c r="K185" i="189"/>
  <c r="J185" i="189"/>
  <c r="K184" i="189"/>
  <c r="J184" i="189"/>
  <c r="K183" i="189"/>
  <c r="J183" i="189"/>
  <c r="K182" i="189"/>
  <c r="J182" i="189"/>
  <c r="K181" i="189"/>
  <c r="J181" i="189"/>
  <c r="K180" i="189"/>
  <c r="J180" i="189"/>
  <c r="K179" i="189"/>
  <c r="J179" i="189"/>
  <c r="K178" i="189"/>
  <c r="J178" i="189"/>
  <c r="K177" i="189"/>
  <c r="J177" i="189"/>
  <c r="K176" i="189"/>
  <c r="J176" i="189"/>
  <c r="K175" i="189"/>
  <c r="J175" i="189"/>
  <c r="K174" i="189"/>
  <c r="J174" i="189"/>
  <c r="K173" i="189"/>
  <c r="J173" i="189"/>
  <c r="K172" i="189"/>
  <c r="J172" i="189"/>
  <c r="K171" i="189"/>
  <c r="J171" i="189"/>
  <c r="K170" i="189"/>
  <c r="J170" i="189"/>
  <c r="K169" i="189"/>
  <c r="J169" i="189"/>
  <c r="K168" i="189"/>
  <c r="J168" i="189"/>
  <c r="K167" i="189"/>
  <c r="J167" i="189"/>
  <c r="K166" i="189"/>
  <c r="J166" i="189"/>
  <c r="K165" i="189"/>
  <c r="J165" i="189"/>
  <c r="K164" i="189"/>
  <c r="J164" i="189"/>
  <c r="K163" i="189"/>
  <c r="J163" i="189"/>
  <c r="K162" i="189"/>
  <c r="J162" i="189"/>
  <c r="K161" i="189"/>
  <c r="J161" i="189"/>
  <c r="K160" i="189"/>
  <c r="J160" i="189"/>
  <c r="K159" i="189"/>
  <c r="J159" i="189"/>
  <c r="K158" i="189"/>
  <c r="J158" i="189"/>
  <c r="K157" i="189"/>
  <c r="J157" i="189"/>
  <c r="K156" i="189"/>
  <c r="J156" i="189"/>
  <c r="K155" i="189"/>
  <c r="J155" i="189"/>
  <c r="K154" i="189"/>
  <c r="J154" i="189"/>
  <c r="K153" i="189"/>
  <c r="J153" i="189"/>
  <c r="K152" i="189"/>
  <c r="J152" i="189"/>
  <c r="K151" i="189"/>
  <c r="J151" i="189"/>
  <c r="K150" i="189"/>
  <c r="J150" i="189"/>
  <c r="K149" i="189"/>
  <c r="J149" i="189"/>
  <c r="K148" i="189"/>
  <c r="J148" i="189"/>
  <c r="K147" i="189"/>
  <c r="J147" i="189"/>
  <c r="K146" i="189"/>
  <c r="J146" i="189"/>
  <c r="K145" i="189"/>
  <c r="J145" i="189"/>
  <c r="K144" i="189"/>
  <c r="J144" i="189"/>
  <c r="K143" i="189"/>
  <c r="J143" i="189"/>
  <c r="K142" i="189"/>
  <c r="J142" i="189"/>
  <c r="K141" i="189"/>
  <c r="J141" i="189"/>
  <c r="K140" i="189"/>
  <c r="J140" i="189"/>
  <c r="K139" i="189"/>
  <c r="J139" i="189"/>
  <c r="K138" i="189"/>
  <c r="J138" i="189"/>
  <c r="K137" i="189"/>
  <c r="J137" i="189"/>
  <c r="K136" i="189"/>
  <c r="J136" i="189"/>
  <c r="K135" i="189"/>
  <c r="J135" i="189"/>
  <c r="K134" i="189"/>
  <c r="J134" i="189"/>
  <c r="K133" i="189"/>
  <c r="J133" i="189"/>
  <c r="K132" i="189"/>
  <c r="J132" i="189"/>
  <c r="K131" i="189"/>
  <c r="J131" i="189"/>
  <c r="K130" i="189"/>
  <c r="J130" i="189"/>
  <c r="K129" i="189"/>
  <c r="J129" i="189"/>
  <c r="K128" i="189"/>
  <c r="J128" i="189"/>
  <c r="K127" i="189"/>
  <c r="J127" i="189"/>
  <c r="K126" i="189"/>
  <c r="J126" i="189"/>
  <c r="K125" i="189"/>
  <c r="J125" i="189"/>
  <c r="K124" i="189"/>
  <c r="J124" i="189"/>
  <c r="K123" i="189"/>
  <c r="J123" i="189"/>
  <c r="K122" i="189"/>
  <c r="J122" i="189"/>
  <c r="K121" i="189"/>
  <c r="J121" i="189"/>
  <c r="K120" i="189"/>
  <c r="J120" i="189"/>
  <c r="K119" i="189"/>
  <c r="J119" i="189"/>
  <c r="K118" i="189"/>
  <c r="J118" i="189"/>
  <c r="K117" i="189"/>
  <c r="J117" i="189"/>
  <c r="K116" i="189"/>
  <c r="J116" i="189"/>
  <c r="K115" i="189"/>
  <c r="J115" i="189"/>
  <c r="K114" i="189"/>
  <c r="J114" i="189"/>
  <c r="K113" i="189"/>
  <c r="J113" i="189"/>
  <c r="K112" i="189"/>
  <c r="J112" i="189"/>
  <c r="K111" i="189"/>
  <c r="J111" i="189"/>
  <c r="K110" i="189"/>
  <c r="J110" i="189"/>
  <c r="K109" i="189"/>
  <c r="J109" i="189"/>
  <c r="K108" i="189"/>
  <c r="J108" i="189"/>
  <c r="K107" i="189"/>
  <c r="J107" i="189"/>
  <c r="K106" i="189"/>
  <c r="J106" i="189"/>
  <c r="K105" i="189"/>
  <c r="J105" i="189"/>
  <c r="K104" i="189"/>
  <c r="J104" i="189"/>
  <c r="K103" i="189"/>
  <c r="J103" i="189"/>
  <c r="K102" i="189"/>
  <c r="J102" i="189"/>
  <c r="K101" i="189"/>
  <c r="J101" i="189"/>
  <c r="K100" i="189"/>
  <c r="J100" i="189"/>
  <c r="K99" i="189"/>
  <c r="J99" i="189"/>
  <c r="K98" i="189"/>
  <c r="J98" i="189"/>
  <c r="K97" i="189"/>
  <c r="J97" i="189"/>
  <c r="K96" i="189"/>
  <c r="J96" i="189"/>
  <c r="K95" i="189"/>
  <c r="J95" i="189"/>
  <c r="K94" i="189"/>
  <c r="J94" i="189"/>
  <c r="K93" i="189"/>
  <c r="J93" i="189"/>
  <c r="K92" i="189"/>
  <c r="J92" i="189"/>
  <c r="K91" i="189"/>
  <c r="J91" i="189"/>
  <c r="K90" i="189"/>
  <c r="J90" i="189"/>
  <c r="K89" i="189"/>
  <c r="J89" i="189"/>
  <c r="K88" i="189"/>
  <c r="J88" i="189"/>
  <c r="K87" i="189"/>
  <c r="J87" i="189"/>
  <c r="K86" i="189"/>
  <c r="J86" i="189"/>
  <c r="K85" i="189"/>
  <c r="J85" i="189"/>
  <c r="K84" i="189"/>
  <c r="J84" i="189"/>
  <c r="K83" i="189"/>
  <c r="J83" i="189"/>
  <c r="K82" i="189"/>
  <c r="J82" i="189"/>
  <c r="K81" i="189"/>
  <c r="J81" i="189"/>
  <c r="K80" i="189"/>
  <c r="J80" i="189"/>
  <c r="K79" i="189"/>
  <c r="J79" i="189"/>
  <c r="K78" i="189"/>
  <c r="J78" i="189"/>
  <c r="K77" i="189"/>
  <c r="J77" i="189"/>
  <c r="K76" i="189"/>
  <c r="J76" i="189"/>
  <c r="K75" i="189"/>
  <c r="J75" i="189"/>
  <c r="K74" i="189"/>
  <c r="J74" i="189"/>
  <c r="K73" i="189"/>
  <c r="J73" i="189"/>
  <c r="K72" i="189"/>
  <c r="J72" i="189"/>
  <c r="K71" i="189"/>
  <c r="J71" i="189"/>
  <c r="K70" i="189"/>
  <c r="J70" i="189"/>
  <c r="K69" i="189"/>
  <c r="J69" i="189"/>
  <c r="K68" i="189"/>
  <c r="J68" i="189"/>
  <c r="K67" i="189"/>
  <c r="J67" i="189"/>
  <c r="K66" i="189"/>
  <c r="J66" i="189"/>
  <c r="K65" i="189"/>
  <c r="J65" i="189"/>
  <c r="K64" i="189"/>
  <c r="J64" i="189"/>
  <c r="K63" i="189"/>
  <c r="J63" i="189"/>
  <c r="K62" i="189"/>
  <c r="J62" i="189"/>
  <c r="K61" i="189"/>
  <c r="J61" i="189"/>
  <c r="K60" i="189"/>
  <c r="J60" i="189"/>
  <c r="K59" i="189"/>
  <c r="J59" i="189"/>
  <c r="K58" i="189"/>
  <c r="J58" i="189"/>
  <c r="K57" i="189"/>
  <c r="J57" i="189"/>
  <c r="K56" i="189"/>
  <c r="J56" i="189"/>
  <c r="K55" i="189"/>
  <c r="J55" i="189"/>
  <c r="K54" i="189"/>
  <c r="J54" i="189"/>
  <c r="K53" i="189"/>
  <c r="J53" i="189"/>
  <c r="K52" i="189"/>
  <c r="J52" i="189"/>
  <c r="K51" i="189"/>
  <c r="J51" i="189"/>
  <c r="K50" i="189"/>
  <c r="J50" i="189"/>
  <c r="K49" i="189"/>
  <c r="J49" i="189"/>
  <c r="K48" i="189"/>
  <c r="J48" i="189"/>
  <c r="K47" i="189"/>
  <c r="J47" i="189"/>
  <c r="K46" i="189"/>
  <c r="J46" i="189"/>
  <c r="K45" i="189"/>
  <c r="J45" i="189"/>
  <c r="K44" i="189"/>
  <c r="J44" i="189"/>
  <c r="K43" i="189"/>
  <c r="J43" i="189"/>
  <c r="K42" i="189"/>
  <c r="J42" i="189"/>
  <c r="K41" i="189"/>
  <c r="J41" i="189"/>
  <c r="K40" i="189"/>
  <c r="J40" i="189"/>
  <c r="K39" i="189"/>
  <c r="J39" i="189"/>
  <c r="K38" i="189"/>
  <c r="J38" i="189"/>
  <c r="K37" i="189"/>
  <c r="J37" i="189"/>
  <c r="K36" i="189"/>
  <c r="J36" i="189"/>
  <c r="K35" i="189"/>
  <c r="J35" i="189"/>
  <c r="K34" i="189"/>
  <c r="J34" i="189"/>
  <c r="K33" i="189"/>
  <c r="J33" i="189"/>
  <c r="K32" i="189"/>
  <c r="J32" i="189"/>
  <c r="K31" i="189"/>
  <c r="J31" i="189"/>
  <c r="K30" i="189"/>
  <c r="J30" i="189"/>
  <c r="K29" i="189"/>
  <c r="J29" i="189"/>
  <c r="K28" i="189"/>
  <c r="J28" i="189"/>
  <c r="K27" i="189"/>
  <c r="J27" i="189"/>
  <c r="K26" i="189"/>
  <c r="J26" i="189"/>
  <c r="K25" i="189"/>
  <c r="J25" i="189"/>
  <c r="K24" i="189"/>
  <c r="J24" i="189"/>
  <c r="K23" i="189"/>
  <c r="J23" i="189"/>
  <c r="I484" i="189"/>
  <c r="K22" i="189"/>
  <c r="J22" i="189"/>
  <c r="K21" i="189"/>
  <c r="J21" i="189"/>
  <c r="K20" i="189"/>
  <c r="J20" i="189"/>
  <c r="K19" i="189"/>
  <c r="J19" i="189"/>
  <c r="K18" i="189"/>
  <c r="J18" i="189"/>
  <c r="K17" i="189"/>
  <c r="J17" i="189"/>
  <c r="K16" i="189"/>
  <c r="J16" i="189"/>
  <c r="G6" i="190" s="1"/>
  <c r="I6" i="190" s="1"/>
  <c r="K15" i="189"/>
  <c r="J15" i="189"/>
  <c r="G108" i="190" s="1"/>
  <c r="I108" i="190" s="1"/>
  <c r="D4" i="189"/>
  <c r="C2" i="189"/>
  <c r="O3710" i="1" l="1"/>
  <c r="O3314" i="246"/>
  <c r="M3546" i="1"/>
  <c r="O3747" i="1"/>
  <c r="O3756" i="1"/>
  <c r="S3756" i="1" s="1"/>
  <c r="M3592" i="1"/>
  <c r="S3592" i="1" s="1"/>
  <c r="O3360" i="246"/>
  <c r="S3360" i="246" s="1"/>
  <c r="O3918" i="1"/>
  <c r="O3923" i="1"/>
  <c r="O1959" i="246"/>
  <c r="R1959" i="246" s="1"/>
  <c r="R674" i="1"/>
  <c r="C47" i="234"/>
  <c r="D47" i="234"/>
  <c r="F230" i="190"/>
  <c r="F236" i="190"/>
  <c r="O3402" i="246"/>
  <c r="S3402" i="246" s="1"/>
  <c r="O3527" i="246" s="1"/>
  <c r="O3962" i="1"/>
  <c r="S3962" i="1" s="1"/>
  <c r="M3798" i="1"/>
  <c r="S3798" i="1" s="1"/>
  <c r="O3321" i="246"/>
  <c r="O3717" i="1"/>
  <c r="M3553" i="1"/>
  <c r="I230" i="190"/>
  <c r="G233" i="190"/>
  <c r="I233" i="190" s="1"/>
  <c r="G233" i="5" s="1"/>
  <c r="R2019" i="1"/>
  <c r="V674" i="1"/>
  <c r="R2024" i="1"/>
  <c r="R2018" i="1" s="1"/>
  <c r="O3810" i="1"/>
  <c r="O3846" i="1"/>
  <c r="O3263" i="246"/>
  <c r="O3616" i="1"/>
  <c r="S3616" i="1" s="1"/>
  <c r="O3220" i="246"/>
  <c r="S3220" i="246" s="1"/>
  <c r="O3218" i="246"/>
  <c r="S3218" i="246" s="1"/>
  <c r="O3270" i="246"/>
  <c r="O3315" i="246"/>
  <c r="O3326" i="246"/>
  <c r="O3308" i="246"/>
  <c r="O3353" i="246"/>
  <c r="O3323" i="246"/>
  <c r="O1182" i="246"/>
  <c r="R1182" i="246" s="1"/>
  <c r="O3242" i="246"/>
  <c r="O3244" i="246"/>
  <c r="O1184" i="246"/>
  <c r="R1184" i="246" s="1"/>
  <c r="O3258" i="246"/>
  <c r="O1408" i="246"/>
  <c r="R1408" i="246" s="1"/>
  <c r="O3245" i="246"/>
  <c r="O1185" i="246"/>
  <c r="R1185" i="246" s="1"/>
  <c r="O3266" i="246"/>
  <c r="O1274" i="246"/>
  <c r="R1274" i="246" s="1"/>
  <c r="M3554" i="1"/>
  <c r="O3322" i="246"/>
  <c r="O3243" i="246"/>
  <c r="O1183" i="246"/>
  <c r="R1183" i="246" s="1"/>
  <c r="O3265" i="246"/>
  <c r="O3269" i="246"/>
  <c r="O1347" i="246"/>
  <c r="R1347" i="246" s="1"/>
  <c r="O3351" i="246"/>
  <c r="O3350" i="246"/>
  <c r="O1181" i="246"/>
  <c r="R1181" i="246" s="1"/>
  <c r="O3241" i="246"/>
  <c r="O3316" i="246"/>
  <c r="O3946" i="1"/>
  <c r="S3946" i="1" s="1"/>
  <c r="M3490" i="1"/>
  <c r="M3477" i="1"/>
  <c r="O3641" i="1"/>
  <c r="M3488" i="1"/>
  <c r="O3652" i="1"/>
  <c r="O3657" i="1"/>
  <c r="M3493" i="1"/>
  <c r="M3504" i="1"/>
  <c r="O3668" i="1"/>
  <c r="M3512" i="1"/>
  <c r="O3676" i="1"/>
  <c r="O3749" i="1"/>
  <c r="M3585" i="1"/>
  <c r="O3719" i="1"/>
  <c r="M3555" i="1"/>
  <c r="O3706" i="1"/>
  <c r="M3542" i="1"/>
  <c r="M3552" i="1"/>
  <c r="O3716" i="1"/>
  <c r="M3564" i="1"/>
  <c r="O3728" i="1"/>
  <c r="M3450" i="1"/>
  <c r="S3450" i="1" s="1"/>
  <c r="O3614" i="1"/>
  <c r="S3614" i="1" s="1"/>
  <c r="M3489" i="1"/>
  <c r="O3653" i="1"/>
  <c r="O3658" i="1"/>
  <c r="M3494" i="1"/>
  <c r="O3666" i="1"/>
  <c r="M3502" i="1"/>
  <c r="M3509" i="1"/>
  <c r="O3673" i="1"/>
  <c r="M3547" i="1"/>
  <c r="O3711" i="1"/>
  <c r="M3561" i="1"/>
  <c r="O3725" i="1"/>
  <c r="O3733" i="1"/>
  <c r="M3569" i="1"/>
  <c r="M3452" i="1"/>
  <c r="S3452" i="1" s="1"/>
  <c r="O3624" i="1"/>
  <c r="M3460" i="1"/>
  <c r="M3476" i="1"/>
  <c r="O3640" i="1"/>
  <c r="O3651" i="1"/>
  <c r="M3487" i="1"/>
  <c r="O3656" i="1"/>
  <c r="M3492" i="1"/>
  <c r="O3667" i="1"/>
  <c r="M3503" i="1"/>
  <c r="O3671" i="1"/>
  <c r="M3507" i="1"/>
  <c r="O3675" i="1"/>
  <c r="M3511" i="1"/>
  <c r="M3540" i="1"/>
  <c r="O3708" i="1"/>
  <c r="M3544" i="1"/>
  <c r="M3551" i="1"/>
  <c r="O3715" i="1"/>
  <c r="M3556" i="1"/>
  <c r="O3720" i="1"/>
  <c r="M3559" i="1"/>
  <c r="O3723" i="1"/>
  <c r="M3563" i="1"/>
  <c r="O3727" i="1"/>
  <c r="O3731" i="1"/>
  <c r="M3567" i="1"/>
  <c r="M3571" i="1"/>
  <c r="O3735" i="1"/>
  <c r="O3625" i="1"/>
  <c r="M3461" i="1"/>
  <c r="O3660" i="1"/>
  <c r="M3496" i="1"/>
  <c r="O3662" i="1"/>
  <c r="M3498" i="1"/>
  <c r="M3508" i="1"/>
  <c r="O3672" i="1"/>
  <c r="O3750" i="1"/>
  <c r="M3586" i="1"/>
  <c r="M3557" i="1"/>
  <c r="O3721" i="1"/>
  <c r="O3724" i="1"/>
  <c r="M3560" i="1"/>
  <c r="M3568" i="1"/>
  <c r="O3732" i="1"/>
  <c r="O3626" i="1"/>
  <c r="M3462" i="1"/>
  <c r="O3638" i="1"/>
  <c r="M3474" i="1"/>
  <c r="O3654" i="1"/>
  <c r="O3663" i="1"/>
  <c r="M3499" i="1"/>
  <c r="O3669" i="1"/>
  <c r="M3505" i="1"/>
  <c r="O3677" i="1"/>
  <c r="M3513" i="1"/>
  <c r="M3581" i="1"/>
  <c r="O3745" i="1"/>
  <c r="O3705" i="1"/>
  <c r="M3541" i="1"/>
  <c r="O3713" i="1"/>
  <c r="M3549" i="1"/>
  <c r="M3558" i="1"/>
  <c r="O3722" i="1"/>
  <c r="O3729" i="1"/>
  <c r="M3565" i="1"/>
  <c r="M3459" i="1"/>
  <c r="O3623" i="1"/>
  <c r="M3463" i="1"/>
  <c r="O3627" i="1"/>
  <c r="O3639" i="1"/>
  <c r="M3475" i="1"/>
  <c r="O3655" i="1"/>
  <c r="M3491" i="1"/>
  <c r="M3495" i="1"/>
  <c r="O3659" i="1"/>
  <c r="O3661" i="1"/>
  <c r="M3497" i="1"/>
  <c r="O3665" i="1"/>
  <c r="M3501" i="1"/>
  <c r="M3506" i="1"/>
  <c r="O3670" i="1"/>
  <c r="M3510" i="1"/>
  <c r="O3674" i="1"/>
  <c r="M3514" i="1"/>
  <c r="O3678" i="1"/>
  <c r="M3583" i="1"/>
  <c r="M3582" i="1"/>
  <c r="O3746" i="1"/>
  <c r="M3584" i="1"/>
  <c r="O3748" i="1"/>
  <c r="O3704" i="1"/>
  <c r="O3707" i="1"/>
  <c r="M3543" i="1"/>
  <c r="O3714" i="1"/>
  <c r="M3550" i="1"/>
  <c r="O3718" i="1"/>
  <c r="O3726" i="1"/>
  <c r="M3562" i="1"/>
  <c r="O3730" i="1"/>
  <c r="M3566" i="1"/>
  <c r="M3570" i="1"/>
  <c r="O3734" i="1"/>
  <c r="O3637" i="1"/>
  <c r="M3473" i="1"/>
  <c r="M3548" i="1"/>
  <c r="O3712" i="1"/>
  <c r="M3782" i="1"/>
  <c r="S3782" i="1" s="1"/>
  <c r="M3865" i="1"/>
  <c r="S3865" i="1" s="1"/>
  <c r="O4029" i="1"/>
  <c r="S4029" i="1" s="1"/>
  <c r="O3904" i="1"/>
  <c r="O3862" i="1"/>
  <c r="M1314" i="1"/>
  <c r="R1314" i="1" s="1"/>
  <c r="M1389" i="1"/>
  <c r="R1389" i="1" s="1"/>
  <c r="M1315" i="1"/>
  <c r="R1315" i="1" s="1"/>
  <c r="E100" i="231"/>
  <c r="F100" i="231" s="1"/>
  <c r="G100" i="231" s="1"/>
  <c r="I194" i="190"/>
  <c r="G194" i="5" s="1"/>
  <c r="G401" i="5"/>
  <c r="I357" i="190"/>
  <c r="G357" i="5" s="1"/>
  <c r="G355" i="190"/>
  <c r="I355" i="190" s="1"/>
  <c r="G355" i="5" s="1"/>
  <c r="G399" i="190"/>
  <c r="I399" i="190" s="1"/>
  <c r="G399" i="5" s="1"/>
  <c r="I189" i="190"/>
  <c r="G189" i="5" s="1"/>
  <c r="F264" i="190"/>
  <c r="I264" i="190" s="1"/>
  <c r="F272" i="190"/>
  <c r="I272" i="190" s="1"/>
  <c r="I314" i="190"/>
  <c r="G314" i="5" s="1"/>
  <c r="G23" i="190"/>
  <c r="I23" i="190" s="1"/>
  <c r="I367" i="190"/>
  <c r="G367" i="5" s="1"/>
  <c r="I382" i="190"/>
  <c r="G382" i="5" s="1"/>
  <c r="I309" i="190"/>
  <c r="G309" i="5" s="1"/>
  <c r="O1220" i="1"/>
  <c r="O1222" i="1"/>
  <c r="O1313" i="1"/>
  <c r="I216" i="190"/>
  <c r="G216" i="5" s="1"/>
  <c r="I190" i="190"/>
  <c r="G190" i="5" s="1"/>
  <c r="I200" i="190"/>
  <c r="G200" i="5" s="1"/>
  <c r="I212" i="190"/>
  <c r="G212" i="5" s="1"/>
  <c r="G207" i="190"/>
  <c r="I207" i="190" s="1"/>
  <c r="G207" i="5" s="1"/>
  <c r="O1219" i="1"/>
  <c r="O1221" i="1"/>
  <c r="O1223" i="1"/>
  <c r="O1386" i="1"/>
  <c r="O1447" i="1"/>
  <c r="F177" i="190"/>
  <c r="I177" i="190" s="1"/>
  <c r="I236" i="190"/>
  <c r="F256" i="190"/>
  <c r="I256" i="190" s="1"/>
  <c r="L18" i="189"/>
  <c r="A18" i="189" s="1"/>
  <c r="L22" i="189"/>
  <c r="A22" i="189" s="1"/>
  <c r="L24" i="189"/>
  <c r="A24" i="189" s="1"/>
  <c r="G17" i="190"/>
  <c r="I17" i="190" s="1"/>
  <c r="O3226" i="246" s="1"/>
  <c r="G210" i="190"/>
  <c r="I210" i="190" s="1"/>
  <c r="G210" i="5" s="1"/>
  <c r="I371" i="190"/>
  <c r="G371" i="5" s="1"/>
  <c r="G363" i="190"/>
  <c r="I363" i="190" s="1"/>
  <c r="G363" i="5" s="1"/>
  <c r="I377" i="190"/>
  <c r="G377" i="5" s="1"/>
  <c r="I187" i="190"/>
  <c r="G187" i="5" s="1"/>
  <c r="I334" i="190"/>
  <c r="G334" i="5" s="1"/>
  <c r="M1223" i="1"/>
  <c r="I221" i="190"/>
  <c r="M1220" i="1"/>
  <c r="I261" i="190"/>
  <c r="G261" i="5" s="1"/>
  <c r="I273" i="190"/>
  <c r="G273" i="5" s="1"/>
  <c r="I281" i="190"/>
  <c r="G281" i="5" s="1"/>
  <c r="M17" i="189"/>
  <c r="A17" i="189" s="1"/>
  <c r="G368" i="190"/>
  <c r="I368" i="190" s="1"/>
  <c r="G368" i="5" s="1"/>
  <c r="M1219" i="1"/>
  <c r="L16" i="189"/>
  <c r="A16" i="189" s="1"/>
  <c r="L15" i="189"/>
  <c r="A15" i="189" s="1"/>
  <c r="I375" i="190"/>
  <c r="G375" i="5" s="1"/>
  <c r="I166" i="190"/>
  <c r="F8" i="189"/>
  <c r="D8" i="189" s="1"/>
  <c r="I167" i="190"/>
  <c r="I168" i="190"/>
  <c r="G13" i="190"/>
  <c r="I13" i="190" s="1"/>
  <c r="O3225" i="246" s="1"/>
  <c r="I361" i="190"/>
  <c r="G361" i="5" s="1"/>
  <c r="I191" i="190"/>
  <c r="G191" i="5" s="1"/>
  <c r="I213" i="190"/>
  <c r="G213" i="5" s="1"/>
  <c r="I307" i="190"/>
  <c r="I315" i="190"/>
  <c r="G315" i="5" s="1"/>
  <c r="I178" i="190"/>
  <c r="G178" i="5" s="1"/>
  <c r="I209" i="190"/>
  <c r="G209" i="5" s="1"/>
  <c r="I318" i="190"/>
  <c r="G318" i="5" s="1"/>
  <c r="I370" i="190"/>
  <c r="G370" i="5" s="1"/>
  <c r="I313" i="190"/>
  <c r="I353" i="190"/>
  <c r="G353" i="5" s="1"/>
  <c r="I169" i="190"/>
  <c r="I225" i="190"/>
  <c r="G225" i="5" s="1"/>
  <c r="I229" i="190"/>
  <c r="I266" i="190"/>
  <c r="G266" i="5" s="1"/>
  <c r="I321" i="190"/>
  <c r="G321" i="5" s="1"/>
  <c r="I362" i="190"/>
  <c r="G362" i="5" s="1"/>
  <c r="I400" i="190"/>
  <c r="I172" i="190"/>
  <c r="I186" i="190"/>
  <c r="G186" i="5" s="1"/>
  <c r="I310" i="190"/>
  <c r="G310" i="5" s="1"/>
  <c r="I332" i="190"/>
  <c r="G332" i="5" s="1"/>
  <c r="I341" i="190"/>
  <c r="G341" i="5" s="1"/>
  <c r="I358" i="190"/>
  <c r="G358" i="5" s="1"/>
  <c r="I390" i="190"/>
  <c r="G390" i="5" s="1"/>
  <c r="I393" i="190"/>
  <c r="I389" i="190"/>
  <c r="G389" i="5" s="1"/>
  <c r="I395" i="190"/>
  <c r="G395" i="5" s="1"/>
  <c r="I317" i="190"/>
  <c r="G317" i="5" s="1"/>
  <c r="I369" i="190"/>
  <c r="G369" i="5" s="1"/>
  <c r="I385" i="190"/>
  <c r="I220" i="190"/>
  <c r="I226" i="190"/>
  <c r="G226" i="5" s="1"/>
  <c r="I330" i="190"/>
  <c r="G330" i="5" s="1"/>
  <c r="I185" i="190"/>
  <c r="I193" i="190"/>
  <c r="G193" i="5" s="1"/>
  <c r="I211" i="190"/>
  <c r="G211" i="5" s="1"/>
  <c r="I251" i="190"/>
  <c r="I342" i="190"/>
  <c r="F181" i="190"/>
  <c r="I181" i="190" s="1"/>
  <c r="F386" i="190"/>
  <c r="I386" i="190" s="1"/>
  <c r="F173" i="190"/>
  <c r="I173" i="190" s="1"/>
  <c r="I197" i="190"/>
  <c r="G197" i="5" s="1"/>
  <c r="I215" i="190"/>
  <c r="G215" i="5" s="1"/>
  <c r="I208" i="190"/>
  <c r="G208" i="5" s="1"/>
  <c r="I219" i="190"/>
  <c r="G219" i="5" s="1"/>
  <c r="F268" i="190"/>
  <c r="I268" i="190" s="1"/>
  <c r="F276" i="190"/>
  <c r="I276" i="190" s="1"/>
  <c r="I344" i="190"/>
  <c r="G344" i="5" s="1"/>
  <c r="I349" i="190"/>
  <c r="G349" i="5" s="1"/>
  <c r="I188" i="190"/>
  <c r="G188" i="5" s="1"/>
  <c r="I347" i="190"/>
  <c r="G347" i="5" s="1"/>
  <c r="I356" i="190"/>
  <c r="G356" i="5" s="1"/>
  <c r="I372" i="190"/>
  <c r="G372" i="5" s="1"/>
  <c r="I376" i="190"/>
  <c r="G376" i="5" s="1"/>
  <c r="I394" i="190"/>
  <c r="F252" i="190"/>
  <c r="I252" i="190" s="1"/>
  <c r="F260" i="190"/>
  <c r="I260" i="190" s="1"/>
  <c r="F280" i="190"/>
  <c r="I280" i="190" s="1"/>
  <c r="I238" i="190"/>
  <c r="G238" i="5" s="1"/>
  <c r="I258" i="190"/>
  <c r="G258" i="5" s="1"/>
  <c r="I380" i="190"/>
  <c r="G380" i="5" s="1"/>
  <c r="I228" i="190"/>
  <c r="G228" i="5" s="1"/>
  <c r="I312" i="190"/>
  <c r="G312" i="5" s="1"/>
  <c r="I351" i="190"/>
  <c r="G351" i="5" s="1"/>
  <c r="I397" i="190"/>
  <c r="G397" i="5" s="1"/>
  <c r="I218" i="190"/>
  <c r="G218" i="5" s="1"/>
  <c r="I227" i="190"/>
  <c r="G227" i="5" s="1"/>
  <c r="I231" i="190"/>
  <c r="G231" i="5" s="1"/>
  <c r="I265" i="190"/>
  <c r="G265" i="5" s="1"/>
  <c r="I277" i="190"/>
  <c r="G277" i="5" s="1"/>
  <c r="I308" i="190"/>
  <c r="G308" i="5" s="1"/>
  <c r="I352" i="190"/>
  <c r="G352" i="5" s="1"/>
  <c r="I379" i="190"/>
  <c r="I383" i="190"/>
  <c r="G383" i="5" s="1"/>
  <c r="I214" i="190"/>
  <c r="G214" i="5" s="1"/>
  <c r="I257" i="190"/>
  <c r="G257" i="5" s="1"/>
  <c r="I274" i="190"/>
  <c r="G274" i="5" s="1"/>
  <c r="I204" i="190"/>
  <c r="G204" i="5" s="1"/>
  <c r="D404" i="190"/>
  <c r="D2" i="190" s="1"/>
  <c r="H2" i="190" s="1"/>
  <c r="F184" i="190"/>
  <c r="I184" i="190" s="1"/>
  <c r="I192" i="190"/>
  <c r="G192" i="5" s="1"/>
  <c r="I195" i="190"/>
  <c r="G195" i="5" s="1"/>
  <c r="I202" i="190"/>
  <c r="I203" i="190"/>
  <c r="G203" i="5" s="1"/>
  <c r="I217" i="190"/>
  <c r="G217" i="5" s="1"/>
  <c r="I222" i="190"/>
  <c r="K404" i="190"/>
  <c r="K2" i="190" s="1"/>
  <c r="F170" i="190"/>
  <c r="I196" i="190"/>
  <c r="G196" i="5" s="1"/>
  <c r="I201" i="190"/>
  <c r="I205" i="190"/>
  <c r="G205" i="5" s="1"/>
  <c r="I206" i="190"/>
  <c r="G206" i="5" s="1"/>
  <c r="I360" i="190"/>
  <c r="G360" i="5" s="1"/>
  <c r="I365" i="190"/>
  <c r="G365" i="5" s="1"/>
  <c r="I396" i="190"/>
  <c r="G396" i="5" s="1"/>
  <c r="I311" i="190"/>
  <c r="G311" i="5" s="1"/>
  <c r="I316" i="190"/>
  <c r="G316" i="5" s="1"/>
  <c r="I346" i="190"/>
  <c r="G346" i="5" s="1"/>
  <c r="I350" i="190"/>
  <c r="G350" i="5" s="1"/>
  <c r="I364" i="190"/>
  <c r="G364" i="5" s="1"/>
  <c r="I381" i="190"/>
  <c r="G381" i="5" s="1"/>
  <c r="I384" i="190"/>
  <c r="G384" i="5" s="1"/>
  <c r="I373" i="190"/>
  <c r="G373" i="5" s="1"/>
  <c r="A71" i="189"/>
  <c r="A260" i="189"/>
  <c r="A472" i="189"/>
  <c r="A473" i="189"/>
  <c r="A51" i="189"/>
  <c r="A248" i="189"/>
  <c r="A256" i="189"/>
  <c r="A424" i="189"/>
  <c r="A452" i="189"/>
  <c r="A468" i="189"/>
  <c r="A164" i="189"/>
  <c r="A181" i="189"/>
  <c r="A205" i="189"/>
  <c r="A220" i="189"/>
  <c r="A224" i="189"/>
  <c r="A226" i="189"/>
  <c r="A227" i="189"/>
  <c r="A229" i="189"/>
  <c r="A230" i="189"/>
  <c r="A231" i="189"/>
  <c r="A232" i="189"/>
  <c r="A234" i="189"/>
  <c r="A235" i="189"/>
  <c r="A236" i="189"/>
  <c r="A237" i="189"/>
  <c r="A245" i="189"/>
  <c r="A246" i="189"/>
  <c r="A247" i="189"/>
  <c r="A309" i="189"/>
  <c r="A333" i="189"/>
  <c r="A389" i="189"/>
  <c r="A396" i="189"/>
  <c r="A400" i="189"/>
  <c r="A402" i="189"/>
  <c r="A403" i="189"/>
  <c r="A404" i="189"/>
  <c r="A405" i="189"/>
  <c r="A406" i="189"/>
  <c r="A407" i="189"/>
  <c r="A408" i="189"/>
  <c r="A412" i="189"/>
  <c r="A79" i="189"/>
  <c r="A95" i="189"/>
  <c r="A97" i="189"/>
  <c r="A98" i="189"/>
  <c r="A103" i="189"/>
  <c r="A105" i="189"/>
  <c r="A106" i="189"/>
  <c r="A107" i="189"/>
  <c r="A109" i="189"/>
  <c r="A110" i="189"/>
  <c r="A111" i="189"/>
  <c r="A113" i="189"/>
  <c r="A114" i="189"/>
  <c r="A115" i="189"/>
  <c r="A119" i="189"/>
  <c r="A143" i="189"/>
  <c r="A145" i="189"/>
  <c r="A146" i="189"/>
  <c r="A147" i="189"/>
  <c r="A148" i="189"/>
  <c r="A153" i="189"/>
  <c r="A156" i="189"/>
  <c r="A158" i="189"/>
  <c r="A159" i="189"/>
  <c r="A160" i="189"/>
  <c r="A162" i="189"/>
  <c r="A163" i="189"/>
  <c r="A277" i="189"/>
  <c r="A292" i="189"/>
  <c r="A293" i="189"/>
  <c r="A300" i="189"/>
  <c r="A336" i="189"/>
  <c r="A376" i="189"/>
  <c r="A84" i="189"/>
  <c r="A63" i="189"/>
  <c r="A65" i="189"/>
  <c r="A316" i="189"/>
  <c r="A318" i="189"/>
  <c r="A319" i="189"/>
  <c r="A323" i="189"/>
  <c r="A326" i="189"/>
  <c r="A328" i="189"/>
  <c r="A331" i="189"/>
  <c r="A438" i="189"/>
  <c r="A444" i="189"/>
  <c r="A447" i="189"/>
  <c r="A127" i="189"/>
  <c r="A184" i="189"/>
  <c r="A192" i="189"/>
  <c r="A194" i="189"/>
  <c r="A195" i="189"/>
  <c r="A197" i="189"/>
  <c r="A198" i="189"/>
  <c r="A199" i="189"/>
  <c r="A200" i="189"/>
  <c r="A202" i="189"/>
  <c r="A203" i="189"/>
  <c r="A204" i="189"/>
  <c r="A261" i="189"/>
  <c r="A262" i="189"/>
  <c r="A263" i="189"/>
  <c r="A264" i="189"/>
  <c r="A266" i="189"/>
  <c r="A267" i="189"/>
  <c r="A268" i="189"/>
  <c r="A272" i="189"/>
  <c r="A274" i="189"/>
  <c r="A275" i="189"/>
  <c r="A276" i="189"/>
  <c r="A352" i="189"/>
  <c r="A354" i="189"/>
  <c r="A355" i="189"/>
  <c r="A364" i="189"/>
  <c r="A368" i="189"/>
  <c r="A370" i="189"/>
  <c r="A371" i="189"/>
  <c r="A372" i="189"/>
  <c r="A373" i="189"/>
  <c r="A374" i="189"/>
  <c r="A375" i="189"/>
  <c r="A83" i="189"/>
  <c r="A55" i="189"/>
  <c r="A66" i="189"/>
  <c r="A280" i="189"/>
  <c r="A312" i="189"/>
  <c r="A317" i="189"/>
  <c r="A320" i="189"/>
  <c r="A322" i="189"/>
  <c r="A325" i="189"/>
  <c r="A327" i="189"/>
  <c r="A330" i="189"/>
  <c r="A332" i="189"/>
  <c r="A436" i="189"/>
  <c r="A439" i="189"/>
  <c r="A446" i="189"/>
  <c r="A448" i="189"/>
  <c r="A450" i="189"/>
  <c r="A451" i="189"/>
  <c r="A99" i="189"/>
  <c r="A100" i="189"/>
  <c r="A185" i="189"/>
  <c r="A196" i="189"/>
  <c r="A313" i="189"/>
  <c r="A397" i="189"/>
  <c r="A52" i="189"/>
  <c r="A56" i="189"/>
  <c r="A60" i="189"/>
  <c r="A131" i="189"/>
  <c r="A132" i="189"/>
  <c r="A228" i="189"/>
  <c r="A281" i="189"/>
  <c r="A337" i="189"/>
  <c r="A344" i="189"/>
  <c r="A345" i="189"/>
  <c r="A356" i="189"/>
  <c r="A361" i="189"/>
  <c r="A365" i="189"/>
  <c r="A425" i="189"/>
  <c r="A428" i="189"/>
  <c r="A429" i="189"/>
  <c r="A433" i="189"/>
  <c r="A440" i="189"/>
  <c r="A441" i="189"/>
  <c r="A27" i="189"/>
  <c r="A31" i="189"/>
  <c r="A32" i="189"/>
  <c r="A44" i="189"/>
  <c r="A81" i="189"/>
  <c r="A82" i="189"/>
  <c r="A87" i="189"/>
  <c r="A89" i="189"/>
  <c r="A90" i="189"/>
  <c r="A91" i="189"/>
  <c r="A93" i="189"/>
  <c r="A94" i="189"/>
  <c r="A120" i="189"/>
  <c r="A124" i="189"/>
  <c r="A129" i="189"/>
  <c r="A130" i="189"/>
  <c r="A135" i="189"/>
  <c r="A137" i="189"/>
  <c r="A138" i="189"/>
  <c r="A139" i="189"/>
  <c r="A141" i="189"/>
  <c r="A142" i="189"/>
  <c r="A165" i="189"/>
  <c r="A169" i="189"/>
  <c r="A173" i="189"/>
  <c r="A182" i="189"/>
  <c r="A183" i="189"/>
  <c r="A208" i="189"/>
  <c r="A209" i="189"/>
  <c r="A216" i="189"/>
  <c r="A217" i="189"/>
  <c r="A221" i="189"/>
  <c r="A222" i="189"/>
  <c r="A223" i="189"/>
  <c r="A249" i="189"/>
  <c r="A252" i="189"/>
  <c r="A258" i="189"/>
  <c r="A259" i="189"/>
  <c r="A284" i="189"/>
  <c r="A285" i="189"/>
  <c r="A286" i="189"/>
  <c r="A287" i="189"/>
  <c r="A288" i="189"/>
  <c r="A290" i="189"/>
  <c r="A291" i="189"/>
  <c r="A301" i="189"/>
  <c r="A310" i="189"/>
  <c r="A311" i="189"/>
  <c r="A341" i="189"/>
  <c r="A342" i="189"/>
  <c r="A343" i="189"/>
  <c r="A348" i="189"/>
  <c r="A349" i="189"/>
  <c r="A350" i="189"/>
  <c r="A351" i="189"/>
  <c r="A377" i="189"/>
  <c r="A380" i="189"/>
  <c r="A388" i="189"/>
  <c r="A390" i="189"/>
  <c r="A391" i="189"/>
  <c r="A392" i="189"/>
  <c r="A394" i="189"/>
  <c r="A395" i="189"/>
  <c r="A413" i="189"/>
  <c r="A417" i="189"/>
  <c r="A456" i="189"/>
  <c r="A457" i="189"/>
  <c r="A470" i="189"/>
  <c r="A471" i="189"/>
  <c r="A476" i="189"/>
  <c r="A478" i="189"/>
  <c r="A479" i="189"/>
  <c r="A480" i="189"/>
  <c r="A482" i="189"/>
  <c r="A47" i="189"/>
  <c r="A49" i="189"/>
  <c r="A50" i="189"/>
  <c r="A67" i="189"/>
  <c r="A68" i="189"/>
  <c r="A73" i="189"/>
  <c r="A74" i="189"/>
  <c r="A75" i="189"/>
  <c r="A77" i="189"/>
  <c r="A78" i="189"/>
  <c r="A116" i="189"/>
  <c r="A149" i="189"/>
  <c r="A172" i="189"/>
  <c r="A176" i="189"/>
  <c r="A178" i="189"/>
  <c r="A179" i="189"/>
  <c r="A180" i="189"/>
  <c r="A213" i="189"/>
  <c r="A214" i="189"/>
  <c r="A215" i="189"/>
  <c r="A240" i="189"/>
  <c r="A241" i="189"/>
  <c r="A269" i="189"/>
  <c r="A278" i="189"/>
  <c r="A279" i="189"/>
  <c r="A297" i="189"/>
  <c r="A304" i="189"/>
  <c r="A306" i="189"/>
  <c r="A307" i="189"/>
  <c r="A308" i="189"/>
  <c r="A324" i="189"/>
  <c r="A384" i="189"/>
  <c r="A386" i="189"/>
  <c r="A387" i="189"/>
  <c r="A409" i="189"/>
  <c r="A420" i="189"/>
  <c r="A422" i="189"/>
  <c r="A423" i="189"/>
  <c r="A454" i="189"/>
  <c r="A455" i="189"/>
  <c r="A460" i="189"/>
  <c r="A462" i="189"/>
  <c r="A463" i="189"/>
  <c r="A464" i="189"/>
  <c r="A466" i="189"/>
  <c r="A467" i="189"/>
  <c r="A108" i="189"/>
  <c r="A401" i="189"/>
  <c r="A477" i="189"/>
  <c r="A481" i="189"/>
  <c r="A88" i="189"/>
  <c r="A92" i="189"/>
  <c r="A104" i="189"/>
  <c r="A35" i="189"/>
  <c r="A37" i="189"/>
  <c r="A38" i="189"/>
  <c r="A39" i="189"/>
  <c r="A41" i="189"/>
  <c r="A42" i="189"/>
  <c r="A43" i="189"/>
  <c r="A45" i="189"/>
  <c r="A46" i="189"/>
  <c r="A154" i="189"/>
  <c r="A233" i="189"/>
  <c r="A157" i="189"/>
  <c r="A273" i="189"/>
  <c r="A329" i="189"/>
  <c r="A461" i="189"/>
  <c r="A465" i="189"/>
  <c r="A57" i="189"/>
  <c r="A58" i="189"/>
  <c r="A59" i="189"/>
  <c r="A61" i="189"/>
  <c r="A62" i="189"/>
  <c r="A72" i="189"/>
  <c r="A76" i="189"/>
  <c r="A121" i="189"/>
  <c r="A122" i="189"/>
  <c r="A123" i="189"/>
  <c r="A125" i="189"/>
  <c r="A126" i="189"/>
  <c r="A136" i="189"/>
  <c r="A140" i="189"/>
  <c r="A188" i="189"/>
  <c r="A189" i="189"/>
  <c r="A190" i="189"/>
  <c r="A191" i="189"/>
  <c r="A201" i="189"/>
  <c r="A242" i="189"/>
  <c r="A243" i="189"/>
  <c r="A244" i="189"/>
  <c r="A357" i="189"/>
  <c r="A358" i="189"/>
  <c r="A359" i="189"/>
  <c r="A360" i="189"/>
  <c r="A362" i="189"/>
  <c r="A363" i="189"/>
  <c r="A369" i="189"/>
  <c r="A414" i="189"/>
  <c r="A415" i="189"/>
  <c r="A416" i="189"/>
  <c r="A418" i="189"/>
  <c r="A419" i="189"/>
  <c r="A21" i="189"/>
  <c r="A23" i="189"/>
  <c r="A26" i="189"/>
  <c r="A48" i="189"/>
  <c r="A53" i="189"/>
  <c r="A54" i="189"/>
  <c r="A64" i="189"/>
  <c r="A69" i="189"/>
  <c r="A70" i="189"/>
  <c r="A80" i="189"/>
  <c r="A85" i="189"/>
  <c r="A86" i="189"/>
  <c r="A96" i="189"/>
  <c r="A101" i="189"/>
  <c r="A102" i="189"/>
  <c r="A112" i="189"/>
  <c r="A117" i="189"/>
  <c r="A118" i="189"/>
  <c r="A128" i="189"/>
  <c r="A133" i="189"/>
  <c r="A134" i="189"/>
  <c r="A166" i="189"/>
  <c r="A167" i="189"/>
  <c r="A168" i="189"/>
  <c r="A170" i="189"/>
  <c r="A171" i="189"/>
  <c r="A177" i="189"/>
  <c r="A210" i="189"/>
  <c r="A211" i="189"/>
  <c r="A212" i="189"/>
  <c r="A253" i="189"/>
  <c r="A254" i="189"/>
  <c r="A255" i="189"/>
  <c r="A265" i="189"/>
  <c r="A294" i="189"/>
  <c r="A295" i="189"/>
  <c r="A296" i="189"/>
  <c r="A298" i="189"/>
  <c r="A299" i="189"/>
  <c r="A305" i="189"/>
  <c r="A338" i="189"/>
  <c r="A339" i="189"/>
  <c r="A340" i="189"/>
  <c r="A381" i="189"/>
  <c r="A382" i="189"/>
  <c r="A383" i="189"/>
  <c r="A393" i="189"/>
  <c r="A430" i="189"/>
  <c r="A431" i="189"/>
  <c r="A432" i="189"/>
  <c r="A434" i="189"/>
  <c r="A435" i="189"/>
  <c r="A445" i="189"/>
  <c r="A449" i="189"/>
  <c r="A144" i="189"/>
  <c r="A150" i="189"/>
  <c r="A151" i="189"/>
  <c r="A152" i="189"/>
  <c r="A161" i="189"/>
  <c r="A174" i="189"/>
  <c r="A175" i="189"/>
  <c r="A186" i="189"/>
  <c r="A187" i="189"/>
  <c r="A193" i="189"/>
  <c r="A206" i="189"/>
  <c r="A207" i="189"/>
  <c r="A218" i="189"/>
  <c r="A219" i="189"/>
  <c r="A225" i="189"/>
  <c r="A238" i="189"/>
  <c r="A239" i="189"/>
  <c r="A250" i="189"/>
  <c r="A251" i="189"/>
  <c r="A257" i="189"/>
  <c r="A270" i="189"/>
  <c r="A271" i="189"/>
  <c r="A282" i="189"/>
  <c r="A283" i="189"/>
  <c r="A289" i="189"/>
  <c r="A302" i="189"/>
  <c r="A303" i="189"/>
  <c r="A314" i="189"/>
  <c r="A315" i="189"/>
  <c r="A321" i="189"/>
  <c r="A334" i="189"/>
  <c r="A335" i="189"/>
  <c r="A346" i="189"/>
  <c r="A347" i="189"/>
  <c r="A353" i="189"/>
  <c r="A366" i="189"/>
  <c r="A367" i="189"/>
  <c r="A378" i="189"/>
  <c r="A379" i="189"/>
  <c r="A385" i="189"/>
  <c r="A398" i="189"/>
  <c r="A399" i="189"/>
  <c r="A410" i="189"/>
  <c r="A411" i="189"/>
  <c r="A421" i="189"/>
  <c r="A426" i="189"/>
  <c r="A427" i="189"/>
  <c r="A437" i="189"/>
  <c r="A442" i="189"/>
  <c r="A443" i="189"/>
  <c r="A453" i="189"/>
  <c r="A458" i="189"/>
  <c r="A459" i="189"/>
  <c r="A469" i="189"/>
  <c r="A474" i="189"/>
  <c r="A475" i="189"/>
  <c r="A19" i="189"/>
  <c r="A20" i="189"/>
  <c r="A25" i="189"/>
  <c r="A29" i="189"/>
  <c r="A30" i="189"/>
  <c r="A40" i="189"/>
  <c r="F486" i="189"/>
  <c r="F9" i="189" s="1"/>
  <c r="A36" i="189"/>
  <c r="A28" i="189"/>
  <c r="A33" i="189"/>
  <c r="A34" i="189"/>
  <c r="A155" i="189"/>
  <c r="O3522" i="246" l="1"/>
  <c r="M3918" i="1"/>
  <c r="M3923" i="1"/>
  <c r="Z3923" i="1" s="1"/>
  <c r="R1958" i="246"/>
  <c r="R1953" i="246"/>
  <c r="U676" i="246"/>
  <c r="R1964" i="246"/>
  <c r="R1947" i="246"/>
  <c r="R1942" i="246"/>
  <c r="R1961" i="246"/>
  <c r="R1963" i="246"/>
  <c r="R1949" i="246"/>
  <c r="R1962" i="246"/>
  <c r="R1951" i="246"/>
  <c r="R1945" i="246"/>
  <c r="R1966" i="246"/>
  <c r="R1944" i="246"/>
  <c r="R1948" i="246"/>
  <c r="R1957" i="246"/>
  <c r="R1960" i="246"/>
  <c r="R1943" i="246"/>
  <c r="R1952" i="246"/>
  <c r="R1965" i="246"/>
  <c r="R1946" i="246"/>
  <c r="R1950" i="246"/>
  <c r="O3346" i="246"/>
  <c r="S3346" i="246" s="1"/>
  <c r="O3742" i="1"/>
  <c r="S3742" i="1" s="1"/>
  <c r="O3634" i="1"/>
  <c r="S3634" i="1" s="1"/>
  <c r="O3508" i="246"/>
  <c r="D3508" i="246" s="1"/>
  <c r="O3414" i="246"/>
  <c r="O3466" i="246"/>
  <c r="D3466" i="246" s="1"/>
  <c r="O3450" i="246"/>
  <c r="D3450" i="246" s="1"/>
  <c r="O3238" i="246"/>
  <c r="S3238" i="246" s="1"/>
  <c r="O3974" i="1"/>
  <c r="M3846" i="1"/>
  <c r="Y3846" i="1" s="1"/>
  <c r="M3470" i="1"/>
  <c r="S3470" i="1" s="1"/>
  <c r="R2009" i="1"/>
  <c r="R2028" i="1"/>
  <c r="R2023" i="1"/>
  <c r="R2015" i="1"/>
  <c r="R2011" i="1"/>
  <c r="R2026" i="1"/>
  <c r="R2017" i="1"/>
  <c r="R2008" i="1"/>
  <c r="R2029" i="1"/>
  <c r="R2025" i="1"/>
  <c r="R2016" i="1"/>
  <c r="R2012" i="1"/>
  <c r="R2007" i="1"/>
  <c r="R2031" i="1"/>
  <c r="R2027" i="1"/>
  <c r="R2022" i="1"/>
  <c r="R2014" i="1"/>
  <c r="R2010" i="1"/>
  <c r="R2030" i="1"/>
  <c r="R2013" i="1"/>
  <c r="O3305" i="246"/>
  <c r="S3305" i="246" s="1"/>
  <c r="O3252" i="246"/>
  <c r="S3252" i="246" s="1"/>
  <c r="O3628" i="1"/>
  <c r="O3232" i="246"/>
  <c r="O3222" i="246" s="1"/>
  <c r="S3222" i="246" s="1"/>
  <c r="O4010" i="1"/>
  <c r="D4010" i="1" s="1"/>
  <c r="O3960" i="1"/>
  <c r="D3960" i="1" s="1"/>
  <c r="O4026" i="1"/>
  <c r="D4026" i="1" s="1"/>
  <c r="O4087" i="1"/>
  <c r="D4087" i="1" s="1"/>
  <c r="O4068" i="1"/>
  <c r="D4068" i="1" s="1"/>
  <c r="M3810" i="1"/>
  <c r="M3458" i="1"/>
  <c r="O3622" i="1"/>
  <c r="O3701" i="1"/>
  <c r="S3701" i="1" s="1"/>
  <c r="M3578" i="1"/>
  <c r="S3578" i="1" s="1"/>
  <c r="O3648" i="1"/>
  <c r="S3648" i="1" s="1"/>
  <c r="O3621" i="1"/>
  <c r="M3457" i="1"/>
  <c r="M3537" i="1"/>
  <c r="S3537" i="1" s="1"/>
  <c r="M3484" i="1"/>
  <c r="S3484" i="1" s="1"/>
  <c r="M3464" i="1"/>
  <c r="O4082" i="1"/>
  <c r="M3904" i="1"/>
  <c r="Y3904" i="1" s="1"/>
  <c r="M3862" i="1"/>
  <c r="Z3862" i="1" s="1"/>
  <c r="M3796" i="1"/>
  <c r="Z3796" i="1" s="1"/>
  <c r="X3862" i="1"/>
  <c r="M1448" i="1"/>
  <c r="R1448" i="1" s="1"/>
  <c r="M1457" i="1"/>
  <c r="R1457" i="1" s="1"/>
  <c r="M1387" i="1"/>
  <c r="R1387" i="1" s="1"/>
  <c r="M1450" i="1"/>
  <c r="R1450" i="1" s="1"/>
  <c r="M1451" i="1"/>
  <c r="R1451" i="1" s="1"/>
  <c r="M1456" i="1"/>
  <c r="R1456" i="1" s="1"/>
  <c r="M1447" i="1"/>
  <c r="R1447" i="1" s="1"/>
  <c r="M1386" i="1"/>
  <c r="R1386" i="1" s="1"/>
  <c r="M1452" i="1"/>
  <c r="R1452" i="1" s="1"/>
  <c r="M1388" i="1"/>
  <c r="R1388" i="1" s="1"/>
  <c r="M1449" i="1"/>
  <c r="R1449" i="1" s="1"/>
  <c r="E101" i="231"/>
  <c r="F101" i="231" s="1"/>
  <c r="G101" i="231" s="1"/>
  <c r="R1220" i="1"/>
  <c r="R1219" i="1"/>
  <c r="R1223" i="1"/>
  <c r="M1222" i="1"/>
  <c r="M1221" i="1"/>
  <c r="M1313" i="1"/>
  <c r="R1313" i="1" s="1"/>
  <c r="G404" i="190"/>
  <c r="G2" i="190" s="1"/>
  <c r="N2" i="190"/>
  <c r="G36" i="5" s="1"/>
  <c r="F404" i="190"/>
  <c r="I170" i="190"/>
  <c r="C1446" i="1"/>
  <c r="C1445" i="1"/>
  <c r="C1441" i="1"/>
  <c r="C1440" i="1"/>
  <c r="C1439" i="1"/>
  <c r="C1438" i="1"/>
  <c r="C1437" i="1"/>
  <c r="C1436" i="1"/>
  <c r="D1385" i="1"/>
  <c r="D1384" i="1"/>
  <c r="D1383" i="1"/>
  <c r="D1382" i="1"/>
  <c r="C1312" i="1"/>
  <c r="C1311" i="1"/>
  <c r="C1310" i="1"/>
  <c r="C1217" i="1"/>
  <c r="C1216" i="1"/>
  <c r="C1215" i="1"/>
  <c r="C1214" i="1"/>
  <c r="O3358" i="246" l="1"/>
  <c r="O3363" i="246"/>
  <c r="R3370" i="246"/>
  <c r="D3527" i="246"/>
  <c r="R3766" i="1"/>
  <c r="U3466" i="246"/>
  <c r="Z3846" i="1"/>
  <c r="D3846" i="1" s="1"/>
  <c r="R3930" i="1"/>
  <c r="O3236" i="246"/>
  <c r="D3236" i="246" s="1"/>
  <c r="O3286" i="246"/>
  <c r="D3286" i="246" s="1"/>
  <c r="O3250" i="246"/>
  <c r="O3344" i="246"/>
  <c r="D3344" i="246" s="1"/>
  <c r="O3302" i="246"/>
  <c r="D3302" i="246" s="1"/>
  <c r="V4026" i="1"/>
  <c r="Y3796" i="1"/>
  <c r="D3796" i="1" s="1"/>
  <c r="M3454" i="1"/>
  <c r="S3454" i="1" s="1"/>
  <c r="O3618" i="1"/>
  <c r="S3618" i="1" s="1"/>
  <c r="O3759" i="1" s="1"/>
  <c r="Y3923" i="1"/>
  <c r="D3923" i="1" s="1"/>
  <c r="V3862" i="1"/>
  <c r="Y3862" i="1"/>
  <c r="D3862" i="1" s="1"/>
  <c r="Z3904" i="1"/>
  <c r="D3904" i="1" s="1"/>
  <c r="R1221" i="1"/>
  <c r="R1222" i="1"/>
  <c r="E102" i="231"/>
  <c r="F102" i="231" s="1"/>
  <c r="G102" i="231" s="1"/>
  <c r="I404" i="190"/>
  <c r="I2" i="190" s="1"/>
  <c r="O2283" i="1"/>
  <c r="M2283" i="1"/>
  <c r="R3432" i="246" l="1"/>
  <c r="R3478" i="246"/>
  <c r="R3992" i="1"/>
  <c r="R4038" i="1"/>
  <c r="R3828" i="1"/>
  <c r="R3874" i="1"/>
  <c r="R3410" i="246"/>
  <c r="R3522" i="246"/>
  <c r="R4082" i="1"/>
  <c r="R3914" i="1"/>
  <c r="R3918" i="1"/>
  <c r="O3754" i="1"/>
  <c r="M3595" i="1"/>
  <c r="M3590" i="1"/>
  <c r="M3576" i="1"/>
  <c r="Z3576" i="1" s="1"/>
  <c r="R3486" i="246"/>
  <c r="R3430" i="246"/>
  <c r="R3444" i="246"/>
  <c r="R3408" i="246"/>
  <c r="R3381" i="246"/>
  <c r="R3527" i="246"/>
  <c r="R3494" i="246"/>
  <c r="R3474" i="246"/>
  <c r="R3416" i="246"/>
  <c r="R3417" i="246" s="1"/>
  <c r="R3418" i="246" s="1"/>
  <c r="R3503" i="246"/>
  <c r="R3419" i="246"/>
  <c r="R3485" i="246"/>
  <c r="R3489" i="246"/>
  <c r="R3438" i="246"/>
  <c r="R3428" i="246"/>
  <c r="R3373" i="246"/>
  <c r="R3382" i="246"/>
  <c r="R3383" i="246" s="1"/>
  <c r="R3532" i="246"/>
  <c r="R3515" i="246"/>
  <c r="R3513" i="246"/>
  <c r="R3459" i="246"/>
  <c r="R3506" i="246"/>
  <c r="R3476" i="246"/>
  <c r="R3420" i="246"/>
  <c r="R3454" i="246"/>
  <c r="R3469" i="246"/>
  <c r="R3505" i="246" s="1"/>
  <c r="R3421" i="246"/>
  <c r="R3391" i="246"/>
  <c r="R3392" i="246"/>
  <c r="R3465" i="246"/>
  <c r="R3423" i="246"/>
  <c r="R3450" i="246"/>
  <c r="R3372" i="246"/>
  <c r="R3452" i="246"/>
  <c r="R3440" i="246"/>
  <c r="R3460" i="246"/>
  <c r="R3437" i="246"/>
  <c r="R3498" i="246"/>
  <c r="R3491" i="246"/>
  <c r="R3502" i="246"/>
  <c r="R3384" i="246"/>
  <c r="R3385" i="246" s="1"/>
  <c r="R3434" i="246"/>
  <c r="R3451" i="246"/>
  <c r="R3425" i="246"/>
  <c r="R3448" i="246"/>
  <c r="R3439" i="246"/>
  <c r="R3445" i="246"/>
  <c r="R3466" i="246"/>
  <c r="R3483" i="246"/>
  <c r="R3528" i="246"/>
  <c r="R3482" i="246"/>
  <c r="R3394" i="246"/>
  <c r="R3457" i="246"/>
  <c r="R3500" i="246"/>
  <c r="R3495" i="246"/>
  <c r="R3484" i="246"/>
  <c r="R3461" i="246"/>
  <c r="R3526" i="246"/>
  <c r="R3390" i="246"/>
  <c r="R3453" i="246"/>
  <c r="R3496" i="246"/>
  <c r="R3422" i="246"/>
  <c r="R3386" i="246"/>
  <c r="R3398" i="246" s="1"/>
  <c r="R3399" i="246" s="1"/>
  <c r="R3400" i="246" s="1"/>
  <c r="R3401" i="246" s="1"/>
  <c r="R3407" i="246"/>
  <c r="R3487" i="246"/>
  <c r="R3507" i="246"/>
  <c r="R3377" i="246"/>
  <c r="R3524" i="246"/>
  <c r="R3477" i="246"/>
  <c r="R3518" i="246"/>
  <c r="R3426" i="246"/>
  <c r="R3442" i="246"/>
  <c r="R3464" i="246"/>
  <c r="R3490" i="246"/>
  <c r="R3531" i="246"/>
  <c r="R3516" i="246"/>
  <c r="R3435" i="246"/>
  <c r="R3492" i="246"/>
  <c r="R3475" i="246"/>
  <c r="R3431" i="246"/>
  <c r="R3378" i="246"/>
  <c r="R3480" i="246"/>
  <c r="R3462" i="246"/>
  <c r="R3396" i="246"/>
  <c r="R3458" i="246"/>
  <c r="R3436" i="246"/>
  <c r="R3463" i="246"/>
  <c r="R3402" i="246"/>
  <c r="R3403" i="246" s="1"/>
  <c r="R3441" i="246"/>
  <c r="R3405" i="246"/>
  <c r="R3379" i="246"/>
  <c r="R3481" i="246"/>
  <c r="R3449" i="246"/>
  <c r="R3501" i="246"/>
  <c r="R3409" i="246"/>
  <c r="R3443" i="246"/>
  <c r="R3525" i="246"/>
  <c r="R3433" i="246"/>
  <c r="R3374" i="246"/>
  <c r="R3510" i="246"/>
  <c r="R3519" i="246" s="1"/>
  <c r="R3395" i="246"/>
  <c r="R3517" i="246"/>
  <c r="R3530" i="246"/>
  <c r="R3838" i="1"/>
  <c r="R3869" i="1"/>
  <c r="R3427" i="246"/>
  <c r="R3467" i="246"/>
  <c r="R3493" i="246"/>
  <c r="R3473" i="246"/>
  <c r="R3488" i="246"/>
  <c r="R3468" i="246"/>
  <c r="R3772" i="1"/>
  <c r="R3406" i="246"/>
  <c r="R3472" i="246"/>
  <c r="R3529" i="246"/>
  <c r="R3380" i="246"/>
  <c r="R3376" i="246"/>
  <c r="R3371" i="246"/>
  <c r="R3499" i="246"/>
  <c r="R3446" i="246"/>
  <c r="R3424" i="246"/>
  <c r="R3479" i="246"/>
  <c r="R3456" i="246"/>
  <c r="R3514" i="246"/>
  <c r="R3389" i="246"/>
  <c r="R3509" i="246"/>
  <c r="R3429" i="246"/>
  <c r="R3393" i="246"/>
  <c r="R3375" i="246"/>
  <c r="R3455" i="246"/>
  <c r="R3497" i="246"/>
  <c r="R3533" i="246"/>
  <c r="R3508" i="246"/>
  <c r="R3504" i="246"/>
  <c r="R3812" i="1"/>
  <c r="R3813" i="1" s="1"/>
  <c r="R3814" i="1" s="1"/>
  <c r="R3857" i="1"/>
  <c r="R3206" i="246"/>
  <c r="D3363" i="246"/>
  <c r="R3898" i="1"/>
  <c r="R3803" i="1"/>
  <c r="R3769" i="1"/>
  <c r="R3910" i="1"/>
  <c r="R3844" i="1"/>
  <c r="R3836" i="1"/>
  <c r="R3872" i="1"/>
  <c r="R3913" i="1"/>
  <c r="R3854" i="1"/>
  <c r="R3827" i="1"/>
  <c r="R3776" i="1"/>
  <c r="R3879" i="1"/>
  <c r="R3850" i="1"/>
  <c r="R3858" i="1"/>
  <c r="R3881" i="1"/>
  <c r="R3890" i="1"/>
  <c r="R3923" i="1"/>
  <c r="R3835" i="1"/>
  <c r="R3912" i="1"/>
  <c r="R3902" i="1"/>
  <c r="R3852" i="1"/>
  <c r="R3816" i="1"/>
  <c r="R3825" i="1"/>
  <c r="R3924" i="1"/>
  <c r="R3875" i="1"/>
  <c r="R3802" i="1"/>
  <c r="R3864" i="1"/>
  <c r="R3906" i="1"/>
  <c r="R3907" i="1" s="1"/>
  <c r="R3908" i="1" s="1"/>
  <c r="R3798" i="1"/>
  <c r="R3799" i="1" s="1"/>
  <c r="R3900" i="1"/>
  <c r="R3782" i="1"/>
  <c r="R3793" i="1" s="1"/>
  <c r="R3778" i="1"/>
  <c r="R3779" i="1" s="1"/>
  <c r="R3894" i="1"/>
  <c r="R3895" i="1"/>
  <c r="R3877" i="1"/>
  <c r="R3897" i="1"/>
  <c r="R3785" i="1"/>
  <c r="R3821" i="1"/>
  <c r="R3929" i="1"/>
  <c r="R3921" i="1"/>
  <c r="R3904" i="1"/>
  <c r="R3845" i="1"/>
  <c r="R3786" i="1"/>
  <c r="R3888" i="1"/>
  <c r="R3927" i="1"/>
  <c r="R3817" i="1"/>
  <c r="R3818" i="1"/>
  <c r="R3887" i="1"/>
  <c r="R3832" i="1"/>
  <c r="R3804" i="1"/>
  <c r="R3889" i="1"/>
  <c r="R3841" i="1"/>
  <c r="R3903" i="1"/>
  <c r="R3767" i="1"/>
  <c r="R3882" i="1"/>
  <c r="R3886" i="1"/>
  <c r="R3773" i="1"/>
  <c r="R3849" i="1"/>
  <c r="R3822" i="1"/>
  <c r="R3860" i="1"/>
  <c r="R3829" i="1"/>
  <c r="R3834" i="1"/>
  <c r="R3791" i="1"/>
  <c r="R3909" i="1"/>
  <c r="R3911" i="1"/>
  <c r="R3896" i="1"/>
  <c r="R3851" i="1"/>
  <c r="R3842" i="1"/>
  <c r="R3920" i="1"/>
  <c r="R3925" i="1"/>
  <c r="R3870" i="1"/>
  <c r="R3824" i="1"/>
  <c r="R3861" i="1"/>
  <c r="R3846" i="1"/>
  <c r="R3774" i="1"/>
  <c r="R3777" i="1"/>
  <c r="R3873" i="1"/>
  <c r="R3801" i="1"/>
  <c r="R3905" i="1"/>
  <c r="R3788" i="1"/>
  <c r="R3868" i="1"/>
  <c r="R3771" i="1"/>
  <c r="R3863" i="1"/>
  <c r="R3922" i="1"/>
  <c r="R3830" i="1"/>
  <c r="R3780" i="1"/>
  <c r="R3781" i="1" s="1"/>
  <c r="R3883" i="1"/>
  <c r="R3840" i="1"/>
  <c r="R3831" i="1"/>
  <c r="R3893" i="1"/>
  <c r="R3855" i="1"/>
  <c r="R3789" i="1"/>
  <c r="R3892" i="1"/>
  <c r="R3848" i="1"/>
  <c r="R3899" i="1"/>
  <c r="R3876" i="1"/>
  <c r="R3880" i="1"/>
  <c r="R3878" i="1"/>
  <c r="R3833" i="1"/>
  <c r="R3853" i="1"/>
  <c r="R3820" i="1"/>
  <c r="R3871" i="1"/>
  <c r="R3805" i="1"/>
  <c r="R3839" i="1"/>
  <c r="R3837" i="1"/>
  <c r="R3770" i="1"/>
  <c r="R3928" i="1"/>
  <c r="R3856" i="1"/>
  <c r="R3859" i="1"/>
  <c r="R3815" i="1"/>
  <c r="R3885" i="1"/>
  <c r="R3819" i="1"/>
  <c r="R3775" i="1"/>
  <c r="R3865" i="1"/>
  <c r="R3901" i="1" s="1"/>
  <c r="R3891" i="1"/>
  <c r="R3787" i="1"/>
  <c r="R3884" i="1"/>
  <c r="R3847" i="1"/>
  <c r="R3926" i="1"/>
  <c r="R3826" i="1"/>
  <c r="R3823" i="1"/>
  <c r="R3862" i="1"/>
  <c r="R3792" i="1"/>
  <c r="R3768" i="1"/>
  <c r="R3790" i="1"/>
  <c r="R3806" i="1"/>
  <c r="R3970" i="1"/>
  <c r="R4089" i="1"/>
  <c r="R4064" i="1"/>
  <c r="U3302" i="246"/>
  <c r="R3962" i="1"/>
  <c r="R3964" i="1" s="1"/>
  <c r="R4037" i="1"/>
  <c r="R3988" i="1"/>
  <c r="R3993" i="1"/>
  <c r="R3951" i="1"/>
  <c r="R3979" i="1"/>
  <c r="R4058" i="1"/>
  <c r="R4019" i="1"/>
  <c r="R4020" i="1"/>
  <c r="R4045" i="1"/>
  <c r="R3946" i="1"/>
  <c r="R3947" i="1" s="1"/>
  <c r="R3948" i="1" s="1"/>
  <c r="R3969" i="1"/>
  <c r="R4060" i="1"/>
  <c r="R4047" i="1"/>
  <c r="R4085" i="1"/>
  <c r="R3955" i="1"/>
  <c r="R4093" i="1"/>
  <c r="R4049" i="1"/>
  <c r="R4024" i="1"/>
  <c r="R4061" i="1"/>
  <c r="R3994" i="1"/>
  <c r="R4088" i="1"/>
  <c r="R4087" i="1"/>
  <c r="R4009" i="1"/>
  <c r="R4039" i="1"/>
  <c r="R3982" i="1"/>
  <c r="R3984" i="1"/>
  <c r="R4006" i="1"/>
  <c r="R4015" i="1"/>
  <c r="R3956" i="1"/>
  <c r="R3983" i="1"/>
  <c r="R4063" i="1"/>
  <c r="R4036" i="1"/>
  <c r="R3986" i="1"/>
  <c r="R4066" i="1"/>
  <c r="R3940" i="1"/>
  <c r="R4035" i="1"/>
  <c r="R4084" i="1"/>
  <c r="R4021" i="1"/>
  <c r="R4010" i="1"/>
  <c r="R4078" i="1"/>
  <c r="R4062" i="1"/>
  <c r="R3932" i="1"/>
  <c r="R4028" i="1"/>
  <c r="R3989" i="1"/>
  <c r="R4068" i="1"/>
  <c r="R4002" i="1"/>
  <c r="R4018" i="1"/>
  <c r="R4051" i="1"/>
  <c r="R3997" i="1"/>
  <c r="R4000" i="1"/>
  <c r="R4025" i="1"/>
  <c r="R3965" i="1"/>
  <c r="R4069" i="1"/>
  <c r="R3968" i="1"/>
  <c r="R4043" i="1"/>
  <c r="R4059" i="1"/>
  <c r="R4048" i="1"/>
  <c r="R3936" i="1"/>
  <c r="R4017" i="1"/>
  <c r="R4032" i="1"/>
  <c r="R4091" i="1"/>
  <c r="R3942" i="1"/>
  <c r="R3943" i="1" s="1"/>
  <c r="R4074" i="1"/>
  <c r="R4075" i="1"/>
  <c r="R3949" i="1"/>
  <c r="R3981" i="1"/>
  <c r="R3934" i="1"/>
  <c r="R4011" i="1"/>
  <c r="R4042" i="1"/>
  <c r="R4067" i="1"/>
  <c r="R3937" i="1"/>
  <c r="R4034" i="1"/>
  <c r="R3985" i="1"/>
  <c r="R4008" i="1"/>
  <c r="R4027" i="1"/>
  <c r="R4013" i="1"/>
  <c r="R3966" i="1"/>
  <c r="R4092" i="1"/>
  <c r="R3944" i="1"/>
  <c r="R3945" i="1" s="1"/>
  <c r="R3933" i="1"/>
  <c r="R4005" i="1"/>
  <c r="R3991" i="1"/>
  <c r="R4050" i="1"/>
  <c r="R4086" i="1"/>
  <c r="R3976" i="1"/>
  <c r="R3977" i="1" s="1"/>
  <c r="R3978" i="1" s="1"/>
  <c r="R4012" i="1"/>
  <c r="R4053" i="1"/>
  <c r="R3952" i="1"/>
  <c r="R3998" i="1"/>
  <c r="R4055" i="1"/>
  <c r="R4004" i="1"/>
  <c r="R4057" i="1"/>
  <c r="R4077" i="1"/>
  <c r="R3996" i="1"/>
  <c r="R3999" i="1"/>
  <c r="R4023" i="1"/>
  <c r="R3953" i="1"/>
  <c r="R3931" i="1"/>
  <c r="R4041" i="1"/>
  <c r="R3990" i="1"/>
  <c r="R3967" i="1"/>
  <c r="R4073" i="1"/>
  <c r="R4076" i="1"/>
  <c r="R4003" i="1"/>
  <c r="R4046" i="1"/>
  <c r="R3935" i="1"/>
  <c r="R4014" i="1"/>
  <c r="R4029" i="1"/>
  <c r="R4065" i="1" s="1"/>
  <c r="R4056" i="1"/>
  <c r="R3939" i="1"/>
  <c r="R3954" i="1"/>
  <c r="R4026" i="1"/>
  <c r="R4044" i="1"/>
  <c r="R4052" i="1"/>
  <c r="R4033" i="1"/>
  <c r="R4070" i="1"/>
  <c r="R4079" i="1" s="1"/>
  <c r="R3995" i="1"/>
  <c r="R3941" i="1"/>
  <c r="R3987" i="1"/>
  <c r="R3980" i="1"/>
  <c r="R4090" i="1"/>
  <c r="R3950" i="1"/>
  <c r="R4054" i="1"/>
  <c r="R4022" i="1"/>
  <c r="R4016" i="1"/>
  <c r="R4040" i="1"/>
  <c r="R3938" i="1"/>
  <c r="R4001" i="1"/>
  <c r="M3482" i="1"/>
  <c r="M3518" i="1"/>
  <c r="M3534" i="1"/>
  <c r="M3468" i="1"/>
  <c r="O3682" i="1"/>
  <c r="D3682" i="1" s="1"/>
  <c r="O3632" i="1"/>
  <c r="D3632" i="1" s="1"/>
  <c r="O3740" i="1"/>
  <c r="D3740" i="1" s="1"/>
  <c r="O3646" i="1"/>
  <c r="O3698" i="1"/>
  <c r="D3698" i="1" s="1"/>
  <c r="E103" i="231"/>
  <c r="F103" i="231" s="1"/>
  <c r="G103" i="231" s="1"/>
  <c r="D2889" i="1"/>
  <c r="M2726" i="1"/>
  <c r="D2723" i="1"/>
  <c r="D2720" i="1"/>
  <c r="R2720" i="1" s="1"/>
  <c r="D2719" i="1"/>
  <c r="M1362" i="1"/>
  <c r="D1359" i="1"/>
  <c r="D1356" i="1"/>
  <c r="D1355" i="1"/>
  <c r="M1336" i="1"/>
  <c r="D1333" i="1"/>
  <c r="D1330" i="1"/>
  <c r="D1329" i="1"/>
  <c r="M1303" i="1"/>
  <c r="D1300" i="1"/>
  <c r="D1297" i="1"/>
  <c r="D1296" i="1"/>
  <c r="M1547" i="1"/>
  <c r="D1544" i="1"/>
  <c r="D1541" i="1"/>
  <c r="R1541" i="1" s="1"/>
  <c r="D1540" i="1"/>
  <c r="M1506" i="1"/>
  <c r="D1503" i="1"/>
  <c r="D1500" i="1"/>
  <c r="R1500" i="1" s="1"/>
  <c r="D1499" i="1"/>
  <c r="M2609" i="1"/>
  <c r="D2606" i="1"/>
  <c r="D2603" i="1"/>
  <c r="D2602" i="1"/>
  <c r="M2585" i="1"/>
  <c r="D2582" i="1"/>
  <c r="D2579" i="1"/>
  <c r="D2578" i="1"/>
  <c r="M2531" i="1"/>
  <c r="D2528" i="1"/>
  <c r="D2525" i="1"/>
  <c r="D2524" i="1"/>
  <c r="M2440" i="1"/>
  <c r="D2437" i="1"/>
  <c r="D2434" i="1"/>
  <c r="D2433" i="1"/>
  <c r="M2325" i="1"/>
  <c r="D2322" i="1"/>
  <c r="D2319" i="1"/>
  <c r="D2318" i="1"/>
  <c r="M2301" i="1"/>
  <c r="D2298" i="1"/>
  <c r="D2295" i="1"/>
  <c r="D2294" i="1"/>
  <c r="M2278" i="1"/>
  <c r="D2275" i="1"/>
  <c r="D2272" i="1"/>
  <c r="R2272" i="1" s="1"/>
  <c r="D2271" i="1"/>
  <c r="M2221" i="1"/>
  <c r="D2218" i="1"/>
  <c r="D2215" i="1"/>
  <c r="R2215" i="1" s="1"/>
  <c r="D2214" i="1"/>
  <c r="M2163" i="1"/>
  <c r="D2160" i="1"/>
  <c r="D2157" i="1"/>
  <c r="D2156" i="1"/>
  <c r="M153" i="136"/>
  <c r="G153" i="136" s="1"/>
  <c r="I153" i="136" s="1"/>
  <c r="O1406" i="246" s="1"/>
  <c r="R1406" i="246" s="1"/>
  <c r="O1445" i="1"/>
  <c r="R3268" i="246" l="1"/>
  <c r="R3314" i="246"/>
  <c r="R3919" i="1"/>
  <c r="R3917" i="1"/>
  <c r="R3916" i="1"/>
  <c r="R3520" i="246"/>
  <c r="R3521" i="246"/>
  <c r="R3523" i="246"/>
  <c r="R3358" i="246"/>
  <c r="R4080" i="1"/>
  <c r="R4083" i="1"/>
  <c r="R4081" i="1"/>
  <c r="Y3576" i="1"/>
  <c r="D3576" i="1" s="1"/>
  <c r="R3447" i="246"/>
  <c r="R3511" i="246"/>
  <c r="R3512" i="246" s="1"/>
  <c r="R3414" i="246"/>
  <c r="R3415" i="246" s="1"/>
  <c r="R3404" i="246"/>
  <c r="R3411" i="246"/>
  <c r="R3412" i="246" s="1"/>
  <c r="R3413" i="246" s="1"/>
  <c r="R3397" i="246"/>
  <c r="R3387" i="246"/>
  <c r="R3388" i="246" s="1"/>
  <c r="R3470" i="246"/>
  <c r="R3471" i="246" s="1"/>
  <c r="R3843" i="1"/>
  <c r="R3293" i="246"/>
  <c r="R3230" i="246"/>
  <c r="R3351" i="246"/>
  <c r="R3334" i="246"/>
  <c r="R3275" i="246"/>
  <c r="R3272" i="246"/>
  <c r="R3290" i="246"/>
  <c r="R3335" i="246"/>
  <c r="R3295" i="246"/>
  <c r="R3342" i="246"/>
  <c r="R3276" i="246"/>
  <c r="R3362" i="246"/>
  <c r="R3226" i="246"/>
  <c r="R3273" i="246"/>
  <c r="R3315" i="246"/>
  <c r="R3288" i="246"/>
  <c r="R3258" i="246"/>
  <c r="R3322" i="246"/>
  <c r="R3304" i="246"/>
  <c r="R3312" i="246"/>
  <c r="R3278" i="246"/>
  <c r="R3261" i="246"/>
  <c r="R3297" i="246"/>
  <c r="R3309" i="246"/>
  <c r="R3323" i="246"/>
  <c r="R3326" i="246"/>
  <c r="R3264" i="246"/>
  <c r="R3337" i="246"/>
  <c r="R3284" i="246"/>
  <c r="R3211" i="246"/>
  <c r="R3310" i="246"/>
  <c r="R3291" i="246"/>
  <c r="R3363" i="246"/>
  <c r="R3252" i="246"/>
  <c r="R3253" i="246" s="1"/>
  <c r="R3254" i="246" s="1"/>
  <c r="R3212" i="246"/>
  <c r="R3245" i="246"/>
  <c r="R3313" i="246"/>
  <c r="R3368" i="246"/>
  <c r="R3225" i="246"/>
  <c r="R3344" i="246"/>
  <c r="R3287" i="246"/>
  <c r="R3259" i="246"/>
  <c r="R3282" i="246"/>
  <c r="R3286" i="246"/>
  <c r="R3243" i="246"/>
  <c r="R3319" i="246"/>
  <c r="R3294" i="246"/>
  <c r="R3352" i="246"/>
  <c r="R3255" i="246"/>
  <c r="R3274" i="246"/>
  <c r="R3308" i="246"/>
  <c r="R3354" i="246"/>
  <c r="R3333" i="246"/>
  <c r="R3292" i="246"/>
  <c r="R3270" i="246"/>
  <c r="R3298" i="246"/>
  <c r="R3231" i="246"/>
  <c r="R3299" i="246"/>
  <c r="R3215" i="246"/>
  <c r="R3244" i="246"/>
  <c r="R3266" i="246"/>
  <c r="R3329" i="246"/>
  <c r="R3350" i="246"/>
  <c r="R3262" i="246"/>
  <c r="R3246" i="246"/>
  <c r="R3208" i="246"/>
  <c r="R3257" i="246"/>
  <c r="R3281" i="246"/>
  <c r="R3222" i="246"/>
  <c r="R3233" i="246" s="1"/>
  <c r="R3260" i="246"/>
  <c r="R3325" i="246"/>
  <c r="R3289" i="246"/>
  <c r="R3330" i="246"/>
  <c r="R3220" i="246"/>
  <c r="R3221" i="246" s="1"/>
  <c r="R3302" i="246"/>
  <c r="R3269" i="246"/>
  <c r="R3317" i="246"/>
  <c r="R3232" i="246"/>
  <c r="R3345" i="246"/>
  <c r="R3265" i="246"/>
  <c r="R3238" i="246"/>
  <c r="R3240" i="246" s="1"/>
  <c r="R3256" i="246"/>
  <c r="R3296" i="246"/>
  <c r="R3349" i="246"/>
  <c r="R3228" i="246"/>
  <c r="R3303" i="246"/>
  <c r="R3285" i="246"/>
  <c r="R3346" i="246"/>
  <c r="R3355" i="246" s="1"/>
  <c r="R3267" i="246"/>
  <c r="R3311" i="246"/>
  <c r="R3364" i="246"/>
  <c r="R3277" i="246"/>
  <c r="R3343" i="246"/>
  <c r="R3216" i="246"/>
  <c r="R3360" i="246"/>
  <c r="R3328" i="246"/>
  <c r="R3241" i="246"/>
  <c r="R3324" i="246"/>
  <c r="R3340" i="246"/>
  <c r="R3279" i="246"/>
  <c r="R3369" i="246"/>
  <c r="R3300" i="246"/>
  <c r="R3280" i="246"/>
  <c r="R3213" i="246"/>
  <c r="R3366" i="246"/>
  <c r="R3209" i="246"/>
  <c r="R3318" i="246"/>
  <c r="R3332" i="246"/>
  <c r="R3338" i="246"/>
  <c r="R3331" i="246"/>
  <c r="R3229" i="246"/>
  <c r="R3339" i="246"/>
  <c r="R3271" i="246"/>
  <c r="R3242" i="246"/>
  <c r="R3336" i="246"/>
  <c r="R3365" i="246"/>
  <c r="R3367" i="246"/>
  <c r="R3301" i="246"/>
  <c r="R3353" i="246"/>
  <c r="R3227" i="246"/>
  <c r="R3320" i="246"/>
  <c r="R3217" i="246"/>
  <c r="R3210" i="246"/>
  <c r="R3263" i="246"/>
  <c r="R3214" i="246"/>
  <c r="R3316" i="246"/>
  <c r="R3321" i="246"/>
  <c r="R3327" i="246"/>
  <c r="R3305" i="246"/>
  <c r="R3341" i="246" s="1"/>
  <c r="R3218" i="246"/>
  <c r="R3219" i="246" s="1"/>
  <c r="R3207" i="246"/>
  <c r="R3361" i="246"/>
  <c r="R3794" i="1"/>
  <c r="R3795" i="1" s="1"/>
  <c r="R3796" i="1" s="1"/>
  <c r="R3797" i="1" s="1"/>
  <c r="R3602" i="1"/>
  <c r="D3759" i="1"/>
  <c r="R3915" i="1"/>
  <c r="R3783" i="1"/>
  <c r="R3784" i="1" s="1"/>
  <c r="R3810" i="1"/>
  <c r="R3811" i="1" s="1"/>
  <c r="R3800" i="1"/>
  <c r="R3807" i="1"/>
  <c r="R3808" i="1" s="1"/>
  <c r="R3809" i="1" s="1"/>
  <c r="R3866" i="1"/>
  <c r="R3867" i="1" s="1"/>
  <c r="Z3595" i="1"/>
  <c r="R3438" i="1"/>
  <c r="R3958" i="1"/>
  <c r="R3959" i="1" s="1"/>
  <c r="R3960" i="1" s="1"/>
  <c r="R3961" i="1" s="1"/>
  <c r="Y3534" i="1"/>
  <c r="Z3534" i="1"/>
  <c r="Y3468" i="1"/>
  <c r="Z3468" i="1"/>
  <c r="Y3518" i="1"/>
  <c r="Z3518" i="1"/>
  <c r="R3974" i="1"/>
  <c r="R3975" i="1" s="1"/>
  <c r="R3971" i="1"/>
  <c r="R3972" i="1" s="1"/>
  <c r="R3973" i="1" s="1"/>
  <c r="R3963" i="1"/>
  <c r="R3957" i="1"/>
  <c r="R4071" i="1"/>
  <c r="R4072" i="1" s="1"/>
  <c r="R4030" i="1"/>
  <c r="R4031" i="1" s="1"/>
  <c r="R4007" i="1"/>
  <c r="V3534" i="1"/>
  <c r="Y3595" i="1"/>
  <c r="V3698" i="1"/>
  <c r="E104" i="231"/>
  <c r="F104" i="231" s="1"/>
  <c r="G104" i="231" s="1"/>
  <c r="M1445" i="1"/>
  <c r="R1445" i="1" s="1"/>
  <c r="K168" i="136"/>
  <c r="K167" i="136"/>
  <c r="K166" i="136"/>
  <c r="C1" i="136"/>
  <c r="M38" i="136"/>
  <c r="G38" i="136" s="1"/>
  <c r="I38" i="136" s="1"/>
  <c r="M37" i="136"/>
  <c r="G37" i="136" s="1"/>
  <c r="I37" i="136" s="1"/>
  <c r="M36" i="136"/>
  <c r="G36" i="136" s="1"/>
  <c r="I36" i="136" s="1"/>
  <c r="M35" i="136"/>
  <c r="G35" i="136" s="1"/>
  <c r="I35" i="136" s="1"/>
  <c r="M34" i="136"/>
  <c r="G34" i="136" s="1"/>
  <c r="I34" i="136" s="1"/>
  <c r="R3664" i="1" l="1"/>
  <c r="R3710" i="1"/>
  <c r="R3500" i="1"/>
  <c r="R3546" i="1"/>
  <c r="R3357" i="246"/>
  <c r="R3359" i="246"/>
  <c r="R3356" i="246"/>
  <c r="R3754" i="1"/>
  <c r="R3454" i="1"/>
  <c r="R3590" i="1"/>
  <c r="R3247" i="246"/>
  <c r="R3248" i="246" s="1"/>
  <c r="R3249" i="246" s="1"/>
  <c r="R3250" i="246"/>
  <c r="R3251" i="246" s="1"/>
  <c r="R3234" i="246"/>
  <c r="R3235" i="246" s="1"/>
  <c r="R3236" i="246" s="1"/>
  <c r="R3237" i="246" s="1"/>
  <c r="R3239" i="246"/>
  <c r="R3223" i="246"/>
  <c r="R3224" i="246" s="1"/>
  <c r="R3347" i="246"/>
  <c r="R3348" i="246" s="1"/>
  <c r="R3283" i="246"/>
  <c r="R3306" i="246"/>
  <c r="R3307" i="246" s="1"/>
  <c r="D3595" i="1"/>
  <c r="R3736" i="1"/>
  <c r="R3642" i="1"/>
  <c r="D3518" i="1"/>
  <c r="D3534" i="1"/>
  <c r="D3468" i="1"/>
  <c r="R3478" i="1"/>
  <c r="R3572" i="1"/>
  <c r="R3685" i="1"/>
  <c r="R3720" i="1"/>
  <c r="R3652" i="1"/>
  <c r="R3742" i="1"/>
  <c r="R3613" i="1"/>
  <c r="R3708" i="1"/>
  <c r="R3622" i="1"/>
  <c r="R3750" i="1"/>
  <c r="R3626" i="1"/>
  <c r="R3610" i="1"/>
  <c r="R3625" i="1"/>
  <c r="R3758" i="1"/>
  <c r="R3747" i="1"/>
  <c r="R3662" i="1"/>
  <c r="R3614" i="1"/>
  <c r="R3615" i="1" s="1"/>
  <c r="R3605" i="1"/>
  <c r="R3709" i="1"/>
  <c r="R3723" i="1"/>
  <c r="R3734" i="1"/>
  <c r="R3741" i="1"/>
  <c r="R3623" i="1"/>
  <c r="R3725" i="1"/>
  <c r="R3748" i="1"/>
  <c r="R3674" i="1"/>
  <c r="R3727" i="1"/>
  <c r="R3687" i="1"/>
  <c r="R3606" i="1"/>
  <c r="R3760" i="1"/>
  <c r="R3724" i="1"/>
  <c r="R3671" i="1"/>
  <c r="R3677" i="1"/>
  <c r="R3728" i="1"/>
  <c r="R3678" i="1"/>
  <c r="R3689" i="1"/>
  <c r="R3698" i="1"/>
  <c r="R3621" i="1"/>
  <c r="R3634" i="1"/>
  <c r="R3612" i="1"/>
  <c r="R3738" i="1"/>
  <c r="R3691" i="1"/>
  <c r="R3726" i="1"/>
  <c r="R3712" i="1"/>
  <c r="R3749" i="1"/>
  <c r="R3665" i="1"/>
  <c r="R3663" i="1"/>
  <c r="R3641" i="1"/>
  <c r="R3696" i="1"/>
  <c r="R3667" i="1"/>
  <c r="R3656" i="1"/>
  <c r="R3740" i="1"/>
  <c r="R3604" i="1"/>
  <c r="R3653" i="1"/>
  <c r="R3718" i="1"/>
  <c r="R3683" i="1"/>
  <c r="R3611" i="1"/>
  <c r="R3731" i="1"/>
  <c r="R3616" i="1"/>
  <c r="R3617" i="1" s="1"/>
  <c r="R3692" i="1"/>
  <c r="R3660" i="1"/>
  <c r="R3762" i="1"/>
  <c r="R3658" i="1"/>
  <c r="R3730" i="1"/>
  <c r="R3699" i="1"/>
  <c r="R3693" i="1"/>
  <c r="R3680" i="1"/>
  <c r="R3765" i="1"/>
  <c r="R3721" i="1"/>
  <c r="R3700" i="1"/>
  <c r="R3713" i="1"/>
  <c r="R3722" i="1"/>
  <c r="R3618" i="1"/>
  <c r="R3745" i="1"/>
  <c r="R3654" i="1"/>
  <c r="R3704" i="1"/>
  <c r="R3706" i="1"/>
  <c r="R3739" i="1"/>
  <c r="R3661" i="1"/>
  <c r="R3607" i="1"/>
  <c r="R3675" i="1"/>
  <c r="R3715" i="1"/>
  <c r="R3735" i="1"/>
  <c r="R3608" i="1"/>
  <c r="R3695" i="1"/>
  <c r="R3668" i="1"/>
  <c r="R3756" i="1"/>
  <c r="R3757" i="1"/>
  <c r="R3627" i="1"/>
  <c r="R3719" i="1"/>
  <c r="R3672" i="1"/>
  <c r="R3746" i="1"/>
  <c r="R3697" i="1"/>
  <c r="R3764" i="1"/>
  <c r="R3676" i="1"/>
  <c r="R3624" i="1"/>
  <c r="R3690" i="1"/>
  <c r="R3638" i="1"/>
  <c r="R3694" i="1"/>
  <c r="R3733" i="1"/>
  <c r="R3717" i="1"/>
  <c r="R3761" i="1"/>
  <c r="R3729" i="1"/>
  <c r="R3686" i="1"/>
  <c r="R3655" i="1"/>
  <c r="R3640" i="1"/>
  <c r="R3705" i="1"/>
  <c r="R3673" i="1"/>
  <c r="R3759" i="1"/>
  <c r="R3603" i="1"/>
  <c r="R3609" i="1"/>
  <c r="R3682" i="1"/>
  <c r="R3763" i="1"/>
  <c r="R3716" i="1"/>
  <c r="R3639" i="1"/>
  <c r="R3707" i="1"/>
  <c r="R3637" i="1"/>
  <c r="R3684" i="1"/>
  <c r="R3688" i="1"/>
  <c r="R3732" i="1"/>
  <c r="R3666" i="1"/>
  <c r="R3670" i="1"/>
  <c r="R3648" i="1"/>
  <c r="R3711" i="1"/>
  <c r="R3669" i="1"/>
  <c r="R3681" i="1"/>
  <c r="R3657" i="1"/>
  <c r="R3651" i="1"/>
  <c r="R3628" i="1"/>
  <c r="R3714" i="1"/>
  <c r="R3659" i="1"/>
  <c r="R3701" i="1"/>
  <c r="D3077" i="246"/>
  <c r="C1175" i="246"/>
  <c r="R3450" i="1"/>
  <c r="R3451" i="1" s="1"/>
  <c r="R3444" i="1"/>
  <c r="R3497" i="1"/>
  <c r="R3545" i="1"/>
  <c r="R3535" i="1"/>
  <c r="R3463" i="1"/>
  <c r="R3536" i="1"/>
  <c r="R3578" i="1"/>
  <c r="R3506" i="1"/>
  <c r="R3476" i="1"/>
  <c r="R3494" i="1"/>
  <c r="R3460" i="1"/>
  <c r="R3534" i="1"/>
  <c r="R3547" i="1"/>
  <c r="R3501" i="1"/>
  <c r="R3552" i="1"/>
  <c r="R3601" i="1"/>
  <c r="R3508" i="1"/>
  <c r="R3544" i="1"/>
  <c r="R3440" i="1"/>
  <c r="R3458" i="1"/>
  <c r="R3565" i="1"/>
  <c r="R3527" i="1"/>
  <c r="R3445" i="1"/>
  <c r="R3531" i="1"/>
  <c r="R3585" i="1"/>
  <c r="R3586" i="1"/>
  <c r="R3558" i="1"/>
  <c r="R3490" i="1"/>
  <c r="R3510" i="1"/>
  <c r="R3575" i="1"/>
  <c r="R3570" i="1"/>
  <c r="R3473" i="1"/>
  <c r="R3517" i="1"/>
  <c r="R3505" i="1"/>
  <c r="R3516" i="1"/>
  <c r="R3540" i="1"/>
  <c r="R3518" i="1"/>
  <c r="R3477" i="1"/>
  <c r="R3581" i="1"/>
  <c r="R3600" i="1"/>
  <c r="R3523" i="1"/>
  <c r="R3532" i="1"/>
  <c r="R3474" i="1"/>
  <c r="R3502" i="1"/>
  <c r="R3447" i="1"/>
  <c r="R3470" i="1"/>
  <c r="R3484" i="1"/>
  <c r="R3442" i="1"/>
  <c r="R3576" i="1"/>
  <c r="R3599" i="1"/>
  <c r="R3562" i="1"/>
  <c r="R3533" i="1"/>
  <c r="R3542" i="1"/>
  <c r="R3441" i="1"/>
  <c r="R3507" i="1"/>
  <c r="R3564" i="1"/>
  <c r="R3489" i="1"/>
  <c r="R3520" i="1"/>
  <c r="R3525" i="1"/>
  <c r="R3553" i="1"/>
  <c r="R3491" i="1"/>
  <c r="R3522" i="1"/>
  <c r="R3597" i="1"/>
  <c r="R3488" i="1"/>
  <c r="R3567" i="1"/>
  <c r="R3563" i="1"/>
  <c r="R3514" i="1"/>
  <c r="R3529" i="1"/>
  <c r="R3561" i="1"/>
  <c r="R3457" i="1"/>
  <c r="R3511" i="1"/>
  <c r="R3498" i="1"/>
  <c r="R3571" i="1"/>
  <c r="R3594" i="1"/>
  <c r="R3551" i="1"/>
  <c r="R3521" i="1"/>
  <c r="R3509" i="1"/>
  <c r="R3559" i="1"/>
  <c r="R3459" i="1"/>
  <c r="R3549" i="1"/>
  <c r="R3554" i="1"/>
  <c r="R3566" i="1"/>
  <c r="R3574" i="1"/>
  <c r="R3550" i="1"/>
  <c r="R3449" i="1"/>
  <c r="R3548" i="1"/>
  <c r="R3592" i="1"/>
  <c r="R3495" i="1"/>
  <c r="R3493" i="1"/>
  <c r="R3443" i="1"/>
  <c r="R3461" i="1"/>
  <c r="R3568" i="1"/>
  <c r="R3452" i="1"/>
  <c r="R3453" i="1" s="1"/>
  <c r="R3512" i="1"/>
  <c r="R3598" i="1"/>
  <c r="R3583" i="1"/>
  <c r="R3526" i="1"/>
  <c r="R3503" i="1"/>
  <c r="R3475" i="1"/>
  <c r="R3556" i="1"/>
  <c r="R3504" i="1"/>
  <c r="R3595" i="1"/>
  <c r="R3530" i="1"/>
  <c r="R3543" i="1"/>
  <c r="R3537" i="1"/>
  <c r="R3560" i="1"/>
  <c r="R3464" i="1"/>
  <c r="R3448" i="1"/>
  <c r="R3519" i="1"/>
  <c r="R3541" i="1"/>
  <c r="R3528" i="1"/>
  <c r="R3557" i="1"/>
  <c r="R3492" i="1"/>
  <c r="R3593" i="1"/>
  <c r="R3446" i="1"/>
  <c r="R3596" i="1"/>
  <c r="R3439" i="1"/>
  <c r="R3577" i="1"/>
  <c r="R3569" i="1"/>
  <c r="R3496" i="1"/>
  <c r="R3513" i="1"/>
  <c r="R3582" i="1"/>
  <c r="R3555" i="1"/>
  <c r="R3462" i="1"/>
  <c r="R3524" i="1"/>
  <c r="R3499" i="1"/>
  <c r="R3584" i="1"/>
  <c r="R3487" i="1"/>
  <c r="D3309" i="1"/>
  <c r="D3145" i="1"/>
  <c r="C1213" i="1"/>
  <c r="E105" i="231"/>
  <c r="F105" i="231" s="1"/>
  <c r="G105" i="231" s="1"/>
  <c r="H404" i="5"/>
  <c r="H2" i="5" s="1"/>
  <c r="H1" i="5"/>
  <c r="G1" i="5"/>
  <c r="F1" i="5"/>
  <c r="D1" i="5"/>
  <c r="R3752" i="1" l="1"/>
  <c r="R3755" i="1"/>
  <c r="R3753" i="1"/>
  <c r="R3588" i="1"/>
  <c r="R3591" i="1"/>
  <c r="R3589" i="1"/>
  <c r="R3679" i="1"/>
  <c r="R3649" i="1"/>
  <c r="R3650" i="1" s="1"/>
  <c r="R3743" i="1"/>
  <c r="R3744" i="1" s="1"/>
  <c r="R3751" i="1"/>
  <c r="R3702" i="1"/>
  <c r="R3703" i="1" s="1"/>
  <c r="R3737" i="1"/>
  <c r="R3629" i="1"/>
  <c r="R3619" i="1"/>
  <c r="R3620" i="1" s="1"/>
  <c r="R3630" i="1"/>
  <c r="R3631" i="1" s="1"/>
  <c r="R3632" i="1" s="1"/>
  <c r="R3633" i="1" s="1"/>
  <c r="R3646" i="1"/>
  <c r="R3647" i="1" s="1"/>
  <c r="R3635" i="1"/>
  <c r="R3636" i="1"/>
  <c r="R3643" i="1"/>
  <c r="R3644" i="1" s="1"/>
  <c r="R3645" i="1" s="1"/>
  <c r="D2770" i="246"/>
  <c r="C1169" i="246"/>
  <c r="R3472" i="1"/>
  <c r="R3471" i="1"/>
  <c r="R3482" i="1"/>
  <c r="R3483" i="1" s="1"/>
  <c r="R3479" i="1"/>
  <c r="R3480" i="1" s="1"/>
  <c r="R3481" i="1" s="1"/>
  <c r="R3573" i="1"/>
  <c r="R3538" i="1"/>
  <c r="R3539" i="1" s="1"/>
  <c r="R3485" i="1"/>
  <c r="R3486" i="1" s="1"/>
  <c r="R3515" i="1"/>
  <c r="R3466" i="1"/>
  <c r="R3467" i="1" s="1"/>
  <c r="R3468" i="1" s="1"/>
  <c r="R3469" i="1" s="1"/>
  <c r="R3455" i="1"/>
  <c r="R3456" i="1" s="1"/>
  <c r="R3465" i="1"/>
  <c r="R3579" i="1"/>
  <c r="R3580" i="1" s="1"/>
  <c r="R3587" i="1"/>
  <c r="E106" i="231"/>
  <c r="F106" i="231" s="1"/>
  <c r="G106" i="231" s="1"/>
  <c r="G83" i="187"/>
  <c r="G69" i="187"/>
  <c r="G52" i="187"/>
  <c r="G35" i="187"/>
  <c r="G10" i="187"/>
  <c r="E3" i="187"/>
  <c r="C2" i="187"/>
  <c r="E107" i="231" l="1"/>
  <c r="F107" i="231" s="1"/>
  <c r="G107" i="231" s="1"/>
  <c r="G28" i="178"/>
  <c r="C17" i="178"/>
  <c r="C16" i="178"/>
  <c r="C15" i="178"/>
  <c r="C14" i="178"/>
  <c r="C13" i="178"/>
  <c r="C12" i="178"/>
  <c r="G10" i="178"/>
  <c r="E3" i="178"/>
  <c r="C2" i="178"/>
  <c r="C15" i="170"/>
  <c r="C14" i="170"/>
  <c r="C13" i="170"/>
  <c r="C12" i="170"/>
  <c r="C9" i="170"/>
  <c r="C8" i="170"/>
  <c r="C8" i="169"/>
  <c r="C9" i="169"/>
  <c r="C10" i="169"/>
  <c r="C11" i="169"/>
  <c r="C12" i="169"/>
  <c r="C13" i="169"/>
  <c r="C14" i="169"/>
  <c r="C15" i="169"/>
  <c r="C16" i="169"/>
  <c r="C17" i="169"/>
  <c r="C18" i="169"/>
  <c r="C19" i="169"/>
  <c r="C20" i="169"/>
  <c r="C21" i="169"/>
  <c r="C22" i="169"/>
  <c r="C23" i="169"/>
  <c r="C24" i="169"/>
  <c r="G6" i="170"/>
  <c r="E3" i="170"/>
  <c r="C2" i="170"/>
  <c r="G6" i="169"/>
  <c r="E3" i="169"/>
  <c r="C2" i="169"/>
  <c r="C18" i="168"/>
  <c r="C17" i="168"/>
  <c r="C16" i="168"/>
  <c r="C15" i="168"/>
  <c r="C14" i="168"/>
  <c r="C13" i="168"/>
  <c r="C12" i="168"/>
  <c r="C11" i="168"/>
  <c r="C10" i="168"/>
  <c r="C9" i="168"/>
  <c r="C8" i="168"/>
  <c r="G6" i="168"/>
  <c r="E3" i="168"/>
  <c r="C2" i="168"/>
  <c r="G81" i="167"/>
  <c r="G61" i="167"/>
  <c r="G44" i="167"/>
  <c r="G27" i="167"/>
  <c r="G10" i="167"/>
  <c r="E3" i="167"/>
  <c r="C2" i="167"/>
  <c r="E108" i="231" l="1"/>
  <c r="F108" i="231" s="1"/>
  <c r="G108" i="231" s="1"/>
  <c r="C2" i="124"/>
  <c r="P361" i="5"/>
  <c r="J361" i="5" s="1"/>
  <c r="E109" i="231" l="1"/>
  <c r="F109" i="231" s="1"/>
  <c r="G109" i="231" s="1"/>
  <c r="E110" i="231" l="1"/>
  <c r="F110" i="231" s="1"/>
  <c r="G110" i="231" s="1"/>
  <c r="K67" i="89"/>
  <c r="Z67" i="89" s="1"/>
  <c r="AB67" i="89" s="1"/>
  <c r="Q21" i="80"/>
  <c r="R21" i="80" s="1"/>
  <c r="K149" i="89" l="1"/>
  <c r="K373" i="89" s="1"/>
  <c r="E111" i="231"/>
  <c r="F111" i="231" s="1"/>
  <c r="G111" i="231" s="1"/>
  <c r="Q20" i="80"/>
  <c r="S23" i="80"/>
  <c r="T23" i="80"/>
  <c r="Q18" i="80"/>
  <c r="Q15" i="80"/>
  <c r="Q16" i="80"/>
  <c r="Q17" i="80"/>
  <c r="Q19" i="80"/>
  <c r="P23" i="80"/>
  <c r="O23" i="80"/>
  <c r="Z149" i="89" l="1"/>
  <c r="Z373" i="89" s="1"/>
  <c r="E112" i="231"/>
  <c r="F112" i="231" s="1"/>
  <c r="G112" i="231" s="1"/>
  <c r="Q23" i="80"/>
  <c r="Y14" i="89"/>
  <c r="Y15" i="89"/>
  <c r="R14" i="89"/>
  <c r="Q14" i="89"/>
  <c r="R15" i="89"/>
  <c r="Q15" i="89"/>
  <c r="R16" i="89"/>
  <c r="Q16" i="89"/>
  <c r="T84" i="242" l="1"/>
  <c r="AB149" i="89"/>
  <c r="AB373" i="89" s="1"/>
  <c r="AC67" i="89"/>
  <c r="AC149" i="89" s="1"/>
  <c r="AC373" i="89" s="1"/>
  <c r="E113" i="231"/>
  <c r="F113" i="231" s="1"/>
  <c r="G113" i="231" s="1"/>
  <c r="Y12" i="89"/>
  <c r="R12" i="89"/>
  <c r="R17" i="89" s="1"/>
  <c r="Q12" i="89"/>
  <c r="R13" i="89"/>
  <c r="Y13" i="89"/>
  <c r="Q13" i="89"/>
  <c r="Y16" i="89"/>
  <c r="N16" i="242" l="1"/>
  <c r="Q17" i="89"/>
  <c r="T10" i="242"/>
  <c r="G504" i="4" s="1"/>
  <c r="W84" i="242"/>
  <c r="V84" i="242"/>
  <c r="Y374" i="89"/>
  <c r="Q374" i="89"/>
  <c r="R374" i="89"/>
  <c r="E114" i="231"/>
  <c r="F114" i="231" s="1"/>
  <c r="G114" i="231" s="1"/>
  <c r="C1434" i="1"/>
  <c r="P153" i="5"/>
  <c r="J23" i="149"/>
  <c r="M482" i="149"/>
  <c r="L482" i="149"/>
  <c r="K482" i="149"/>
  <c r="J482" i="149"/>
  <c r="M481" i="149"/>
  <c r="L481" i="149"/>
  <c r="K481" i="149"/>
  <c r="J481" i="149"/>
  <c r="M480" i="149"/>
  <c r="L480" i="149"/>
  <c r="K480" i="149"/>
  <c r="J480" i="149"/>
  <c r="M479" i="149"/>
  <c r="L479" i="149"/>
  <c r="K479" i="149"/>
  <c r="J479" i="149"/>
  <c r="M478" i="149"/>
  <c r="L478" i="149"/>
  <c r="K478" i="149"/>
  <c r="J478" i="149"/>
  <c r="M477" i="149"/>
  <c r="L477" i="149"/>
  <c r="K477" i="149"/>
  <c r="J477" i="149"/>
  <c r="M476" i="149"/>
  <c r="L476" i="149"/>
  <c r="K476" i="149"/>
  <c r="J476" i="149"/>
  <c r="M475" i="149"/>
  <c r="L475" i="149"/>
  <c r="K475" i="149"/>
  <c r="J475" i="149"/>
  <c r="M474" i="149"/>
  <c r="L474" i="149"/>
  <c r="K474" i="149"/>
  <c r="J474" i="149"/>
  <c r="M473" i="149"/>
  <c r="L473" i="149"/>
  <c r="K473" i="149"/>
  <c r="J473" i="149"/>
  <c r="M472" i="149"/>
  <c r="L472" i="149"/>
  <c r="K472" i="149"/>
  <c r="J472" i="149"/>
  <c r="M471" i="149"/>
  <c r="L471" i="149"/>
  <c r="K471" i="149"/>
  <c r="J471" i="149"/>
  <c r="M470" i="149"/>
  <c r="L470" i="149"/>
  <c r="K470" i="149"/>
  <c r="J470" i="149"/>
  <c r="M469" i="149"/>
  <c r="L469" i="149"/>
  <c r="K469" i="149"/>
  <c r="J469" i="149"/>
  <c r="M468" i="149"/>
  <c r="L468" i="149"/>
  <c r="K468" i="149"/>
  <c r="J468" i="149"/>
  <c r="M467" i="149"/>
  <c r="L467" i="149"/>
  <c r="K467" i="149"/>
  <c r="J467" i="149"/>
  <c r="M466" i="149"/>
  <c r="L466" i="149"/>
  <c r="K466" i="149"/>
  <c r="J466" i="149"/>
  <c r="M465" i="149"/>
  <c r="L465" i="149"/>
  <c r="K465" i="149"/>
  <c r="J465" i="149"/>
  <c r="M464" i="149"/>
  <c r="L464" i="149"/>
  <c r="K464" i="149"/>
  <c r="J464" i="149"/>
  <c r="M463" i="149"/>
  <c r="L463" i="149"/>
  <c r="K463" i="149"/>
  <c r="J463" i="149"/>
  <c r="M462" i="149"/>
  <c r="L462" i="149"/>
  <c r="K462" i="149"/>
  <c r="J462" i="149"/>
  <c r="M461" i="149"/>
  <c r="L461" i="149"/>
  <c r="K461" i="149"/>
  <c r="J461" i="149"/>
  <c r="M460" i="149"/>
  <c r="L460" i="149"/>
  <c r="K460" i="149"/>
  <c r="J460" i="149"/>
  <c r="M459" i="149"/>
  <c r="L459" i="149"/>
  <c r="K459" i="149"/>
  <c r="J459" i="149"/>
  <c r="M458" i="149"/>
  <c r="L458" i="149"/>
  <c r="K458" i="149"/>
  <c r="J458" i="149"/>
  <c r="M457" i="149"/>
  <c r="L457" i="149"/>
  <c r="K457" i="149"/>
  <c r="J457" i="149"/>
  <c r="M456" i="149"/>
  <c r="L456" i="149"/>
  <c r="K456" i="149"/>
  <c r="J456" i="149"/>
  <c r="M455" i="149"/>
  <c r="L455" i="149"/>
  <c r="K455" i="149"/>
  <c r="J455" i="149"/>
  <c r="M454" i="149"/>
  <c r="L454" i="149"/>
  <c r="K454" i="149"/>
  <c r="J454" i="149"/>
  <c r="M453" i="149"/>
  <c r="L453" i="149"/>
  <c r="K453" i="149"/>
  <c r="J453" i="149"/>
  <c r="M452" i="149"/>
  <c r="L452" i="149"/>
  <c r="K452" i="149"/>
  <c r="J452" i="149"/>
  <c r="M451" i="149"/>
  <c r="L451" i="149"/>
  <c r="K451" i="149"/>
  <c r="J451" i="149"/>
  <c r="M450" i="149"/>
  <c r="L450" i="149"/>
  <c r="K450" i="149"/>
  <c r="J450" i="149"/>
  <c r="M449" i="149"/>
  <c r="L449" i="149"/>
  <c r="K449" i="149"/>
  <c r="J449" i="149"/>
  <c r="M448" i="149"/>
  <c r="L448" i="149"/>
  <c r="K448" i="149"/>
  <c r="J448" i="149"/>
  <c r="M447" i="149"/>
  <c r="L447" i="149"/>
  <c r="K447" i="149"/>
  <c r="J447" i="149"/>
  <c r="M446" i="149"/>
  <c r="L446" i="149"/>
  <c r="K446" i="149"/>
  <c r="J446" i="149"/>
  <c r="M445" i="149"/>
  <c r="L445" i="149"/>
  <c r="K445" i="149"/>
  <c r="J445" i="149"/>
  <c r="M444" i="149"/>
  <c r="L444" i="149"/>
  <c r="K444" i="149"/>
  <c r="J444" i="149"/>
  <c r="M443" i="149"/>
  <c r="L443" i="149"/>
  <c r="K443" i="149"/>
  <c r="J443" i="149"/>
  <c r="M442" i="149"/>
  <c r="L442" i="149"/>
  <c r="K442" i="149"/>
  <c r="J442" i="149"/>
  <c r="M441" i="149"/>
  <c r="L441" i="149"/>
  <c r="K441" i="149"/>
  <c r="J441" i="149"/>
  <c r="M440" i="149"/>
  <c r="L440" i="149"/>
  <c r="K440" i="149"/>
  <c r="J440" i="149"/>
  <c r="M439" i="149"/>
  <c r="L439" i="149"/>
  <c r="K439" i="149"/>
  <c r="J439" i="149"/>
  <c r="M438" i="149"/>
  <c r="L438" i="149"/>
  <c r="K438" i="149"/>
  <c r="J438" i="149"/>
  <c r="M437" i="149"/>
  <c r="L437" i="149"/>
  <c r="K437" i="149"/>
  <c r="J437" i="149"/>
  <c r="M436" i="149"/>
  <c r="L436" i="149"/>
  <c r="K436" i="149"/>
  <c r="J436" i="149"/>
  <c r="M435" i="149"/>
  <c r="L435" i="149"/>
  <c r="K435" i="149"/>
  <c r="J435" i="149"/>
  <c r="M434" i="149"/>
  <c r="L434" i="149"/>
  <c r="K434" i="149"/>
  <c r="J434" i="149"/>
  <c r="M433" i="149"/>
  <c r="L433" i="149"/>
  <c r="K433" i="149"/>
  <c r="J433" i="149"/>
  <c r="M432" i="149"/>
  <c r="L432" i="149"/>
  <c r="K432" i="149"/>
  <c r="J432" i="149"/>
  <c r="M431" i="149"/>
  <c r="L431" i="149"/>
  <c r="K431" i="149"/>
  <c r="J431" i="149"/>
  <c r="M430" i="149"/>
  <c r="L430" i="149"/>
  <c r="K430" i="149"/>
  <c r="J430" i="149"/>
  <c r="M429" i="149"/>
  <c r="L429" i="149"/>
  <c r="K429" i="149"/>
  <c r="J429" i="149"/>
  <c r="M428" i="149"/>
  <c r="L428" i="149"/>
  <c r="K428" i="149"/>
  <c r="J428" i="149"/>
  <c r="M427" i="149"/>
  <c r="L427" i="149"/>
  <c r="K427" i="149"/>
  <c r="J427" i="149"/>
  <c r="M426" i="149"/>
  <c r="L426" i="149"/>
  <c r="K426" i="149"/>
  <c r="J426" i="149"/>
  <c r="M425" i="149"/>
  <c r="L425" i="149"/>
  <c r="K425" i="149"/>
  <c r="J425" i="149"/>
  <c r="M424" i="149"/>
  <c r="L424" i="149"/>
  <c r="K424" i="149"/>
  <c r="J424" i="149"/>
  <c r="M423" i="149"/>
  <c r="L423" i="149"/>
  <c r="K423" i="149"/>
  <c r="J423" i="149"/>
  <c r="M422" i="149"/>
  <c r="L422" i="149"/>
  <c r="K422" i="149"/>
  <c r="J422" i="149"/>
  <c r="M421" i="149"/>
  <c r="L421" i="149"/>
  <c r="K421" i="149"/>
  <c r="J421" i="149"/>
  <c r="M420" i="149"/>
  <c r="L420" i="149"/>
  <c r="K420" i="149"/>
  <c r="J420" i="149"/>
  <c r="M419" i="149"/>
  <c r="L419" i="149"/>
  <c r="K419" i="149"/>
  <c r="J419" i="149"/>
  <c r="M418" i="149"/>
  <c r="L418" i="149"/>
  <c r="K418" i="149"/>
  <c r="J418" i="149"/>
  <c r="M417" i="149"/>
  <c r="L417" i="149"/>
  <c r="K417" i="149"/>
  <c r="J417" i="149"/>
  <c r="M416" i="149"/>
  <c r="L416" i="149"/>
  <c r="K416" i="149"/>
  <c r="J416" i="149"/>
  <c r="M415" i="149"/>
  <c r="L415" i="149"/>
  <c r="K415" i="149"/>
  <c r="J415" i="149"/>
  <c r="M414" i="149"/>
  <c r="L414" i="149"/>
  <c r="K414" i="149"/>
  <c r="J414" i="149"/>
  <c r="M413" i="149"/>
  <c r="L413" i="149"/>
  <c r="K413" i="149"/>
  <c r="J413" i="149"/>
  <c r="M412" i="149"/>
  <c r="L412" i="149"/>
  <c r="K412" i="149"/>
  <c r="J412" i="149"/>
  <c r="M411" i="149"/>
  <c r="L411" i="149"/>
  <c r="K411" i="149"/>
  <c r="J411" i="149"/>
  <c r="M410" i="149"/>
  <c r="L410" i="149"/>
  <c r="K410" i="149"/>
  <c r="J410" i="149"/>
  <c r="M409" i="149"/>
  <c r="L409" i="149"/>
  <c r="K409" i="149"/>
  <c r="J409" i="149"/>
  <c r="M408" i="149"/>
  <c r="L408" i="149"/>
  <c r="K408" i="149"/>
  <c r="J408" i="149"/>
  <c r="M407" i="149"/>
  <c r="L407" i="149"/>
  <c r="K407" i="149"/>
  <c r="J407" i="149"/>
  <c r="M406" i="149"/>
  <c r="L406" i="149"/>
  <c r="K406" i="149"/>
  <c r="J406" i="149"/>
  <c r="M405" i="149"/>
  <c r="L405" i="149"/>
  <c r="K405" i="149"/>
  <c r="J405" i="149"/>
  <c r="M404" i="149"/>
  <c r="L404" i="149"/>
  <c r="K404" i="149"/>
  <c r="J404" i="149"/>
  <c r="M403" i="149"/>
  <c r="L403" i="149"/>
  <c r="K403" i="149"/>
  <c r="J403" i="149"/>
  <c r="M402" i="149"/>
  <c r="L402" i="149"/>
  <c r="K402" i="149"/>
  <c r="J402" i="149"/>
  <c r="M401" i="149"/>
  <c r="L401" i="149"/>
  <c r="K401" i="149"/>
  <c r="J401" i="149"/>
  <c r="M400" i="149"/>
  <c r="L400" i="149"/>
  <c r="K400" i="149"/>
  <c r="J400" i="149"/>
  <c r="M399" i="149"/>
  <c r="L399" i="149"/>
  <c r="K399" i="149"/>
  <c r="J399" i="149"/>
  <c r="M398" i="149"/>
  <c r="L398" i="149"/>
  <c r="K398" i="149"/>
  <c r="J398" i="149"/>
  <c r="M397" i="149"/>
  <c r="L397" i="149"/>
  <c r="K397" i="149"/>
  <c r="J397" i="149"/>
  <c r="M396" i="149"/>
  <c r="L396" i="149"/>
  <c r="K396" i="149"/>
  <c r="J396" i="149"/>
  <c r="M395" i="149"/>
  <c r="L395" i="149"/>
  <c r="K395" i="149"/>
  <c r="J395" i="149"/>
  <c r="M394" i="149"/>
  <c r="L394" i="149"/>
  <c r="K394" i="149"/>
  <c r="J394" i="149"/>
  <c r="M393" i="149"/>
  <c r="L393" i="149"/>
  <c r="K393" i="149"/>
  <c r="J393" i="149"/>
  <c r="M392" i="149"/>
  <c r="L392" i="149"/>
  <c r="K392" i="149"/>
  <c r="J392" i="149"/>
  <c r="M391" i="149"/>
  <c r="L391" i="149"/>
  <c r="K391" i="149"/>
  <c r="J391" i="149"/>
  <c r="M390" i="149"/>
  <c r="L390" i="149"/>
  <c r="K390" i="149"/>
  <c r="J390" i="149"/>
  <c r="M389" i="149"/>
  <c r="L389" i="149"/>
  <c r="K389" i="149"/>
  <c r="J389" i="149"/>
  <c r="M388" i="149"/>
  <c r="L388" i="149"/>
  <c r="K388" i="149"/>
  <c r="J388" i="149"/>
  <c r="M387" i="149"/>
  <c r="L387" i="149"/>
  <c r="K387" i="149"/>
  <c r="J387" i="149"/>
  <c r="M386" i="149"/>
  <c r="L386" i="149"/>
  <c r="K386" i="149"/>
  <c r="J386" i="149"/>
  <c r="M385" i="149"/>
  <c r="L385" i="149"/>
  <c r="K385" i="149"/>
  <c r="J385" i="149"/>
  <c r="M384" i="149"/>
  <c r="L384" i="149"/>
  <c r="K384" i="149"/>
  <c r="J384" i="149"/>
  <c r="M383" i="149"/>
  <c r="L383" i="149"/>
  <c r="K383" i="149"/>
  <c r="J383" i="149"/>
  <c r="M382" i="149"/>
  <c r="L382" i="149"/>
  <c r="K382" i="149"/>
  <c r="J382" i="149"/>
  <c r="M381" i="149"/>
  <c r="L381" i="149"/>
  <c r="K381" i="149"/>
  <c r="J381" i="149"/>
  <c r="M380" i="149"/>
  <c r="L380" i="149"/>
  <c r="K380" i="149"/>
  <c r="J380" i="149"/>
  <c r="M379" i="149"/>
  <c r="L379" i="149"/>
  <c r="K379" i="149"/>
  <c r="J379" i="149"/>
  <c r="M378" i="149"/>
  <c r="L378" i="149"/>
  <c r="K378" i="149"/>
  <c r="J378" i="149"/>
  <c r="M377" i="149"/>
  <c r="L377" i="149"/>
  <c r="K377" i="149"/>
  <c r="J377" i="149"/>
  <c r="M376" i="149"/>
  <c r="L376" i="149"/>
  <c r="K376" i="149"/>
  <c r="J376" i="149"/>
  <c r="M375" i="149"/>
  <c r="L375" i="149"/>
  <c r="K375" i="149"/>
  <c r="J375" i="149"/>
  <c r="M374" i="149"/>
  <c r="L374" i="149"/>
  <c r="K374" i="149"/>
  <c r="J374" i="149"/>
  <c r="M373" i="149"/>
  <c r="L373" i="149"/>
  <c r="K373" i="149"/>
  <c r="J373" i="149"/>
  <c r="M372" i="149"/>
  <c r="L372" i="149"/>
  <c r="K372" i="149"/>
  <c r="J372" i="149"/>
  <c r="M371" i="149"/>
  <c r="L371" i="149"/>
  <c r="K371" i="149"/>
  <c r="J371" i="149"/>
  <c r="M370" i="149"/>
  <c r="L370" i="149"/>
  <c r="K370" i="149"/>
  <c r="J370" i="149"/>
  <c r="M369" i="149"/>
  <c r="L369" i="149"/>
  <c r="K369" i="149"/>
  <c r="J369" i="149"/>
  <c r="M368" i="149"/>
  <c r="L368" i="149"/>
  <c r="K368" i="149"/>
  <c r="J368" i="149"/>
  <c r="M367" i="149"/>
  <c r="L367" i="149"/>
  <c r="K367" i="149"/>
  <c r="J367" i="149"/>
  <c r="M366" i="149"/>
  <c r="L366" i="149"/>
  <c r="K366" i="149"/>
  <c r="J366" i="149"/>
  <c r="M365" i="149"/>
  <c r="L365" i="149"/>
  <c r="K365" i="149"/>
  <c r="J365" i="149"/>
  <c r="M364" i="149"/>
  <c r="L364" i="149"/>
  <c r="K364" i="149"/>
  <c r="J364" i="149"/>
  <c r="M363" i="149"/>
  <c r="L363" i="149"/>
  <c r="K363" i="149"/>
  <c r="J363" i="149"/>
  <c r="M362" i="149"/>
  <c r="L362" i="149"/>
  <c r="K362" i="149"/>
  <c r="J362" i="149"/>
  <c r="M361" i="149"/>
  <c r="L361" i="149"/>
  <c r="K361" i="149"/>
  <c r="J361" i="149"/>
  <c r="M360" i="149"/>
  <c r="L360" i="149"/>
  <c r="K360" i="149"/>
  <c r="J360" i="149"/>
  <c r="M359" i="149"/>
  <c r="L359" i="149"/>
  <c r="K359" i="149"/>
  <c r="J359" i="149"/>
  <c r="M358" i="149"/>
  <c r="L358" i="149"/>
  <c r="K358" i="149"/>
  <c r="J358" i="149"/>
  <c r="M357" i="149"/>
  <c r="L357" i="149"/>
  <c r="K357" i="149"/>
  <c r="J357" i="149"/>
  <c r="M356" i="149"/>
  <c r="L356" i="149"/>
  <c r="K356" i="149"/>
  <c r="J356" i="149"/>
  <c r="M355" i="149"/>
  <c r="L355" i="149"/>
  <c r="K355" i="149"/>
  <c r="J355" i="149"/>
  <c r="M354" i="149"/>
  <c r="L354" i="149"/>
  <c r="K354" i="149"/>
  <c r="J354" i="149"/>
  <c r="M353" i="149"/>
  <c r="L353" i="149"/>
  <c r="K353" i="149"/>
  <c r="J353" i="149"/>
  <c r="M352" i="149"/>
  <c r="L352" i="149"/>
  <c r="K352" i="149"/>
  <c r="J352" i="149"/>
  <c r="M351" i="149"/>
  <c r="L351" i="149"/>
  <c r="K351" i="149"/>
  <c r="J351" i="149"/>
  <c r="M350" i="149"/>
  <c r="L350" i="149"/>
  <c r="K350" i="149"/>
  <c r="J350" i="149"/>
  <c r="M349" i="149"/>
  <c r="L349" i="149"/>
  <c r="K349" i="149"/>
  <c r="J349" i="149"/>
  <c r="M348" i="149"/>
  <c r="L348" i="149"/>
  <c r="K348" i="149"/>
  <c r="J348" i="149"/>
  <c r="M347" i="149"/>
  <c r="L347" i="149"/>
  <c r="K347" i="149"/>
  <c r="J347" i="149"/>
  <c r="M346" i="149"/>
  <c r="L346" i="149"/>
  <c r="K346" i="149"/>
  <c r="J346" i="149"/>
  <c r="M345" i="149"/>
  <c r="L345" i="149"/>
  <c r="K345" i="149"/>
  <c r="J345" i="149"/>
  <c r="M344" i="149"/>
  <c r="L344" i="149"/>
  <c r="K344" i="149"/>
  <c r="J344" i="149"/>
  <c r="M343" i="149"/>
  <c r="L343" i="149"/>
  <c r="K343" i="149"/>
  <c r="J343" i="149"/>
  <c r="M342" i="149"/>
  <c r="L342" i="149"/>
  <c r="K342" i="149"/>
  <c r="J342" i="149"/>
  <c r="M341" i="149"/>
  <c r="L341" i="149"/>
  <c r="K341" i="149"/>
  <c r="J341" i="149"/>
  <c r="M340" i="149"/>
  <c r="L340" i="149"/>
  <c r="K340" i="149"/>
  <c r="J340" i="149"/>
  <c r="M339" i="149"/>
  <c r="L339" i="149"/>
  <c r="K339" i="149"/>
  <c r="J339" i="149"/>
  <c r="M338" i="149"/>
  <c r="L338" i="149"/>
  <c r="K338" i="149"/>
  <c r="J338" i="149"/>
  <c r="M337" i="149"/>
  <c r="L337" i="149"/>
  <c r="K337" i="149"/>
  <c r="J337" i="149"/>
  <c r="M336" i="149"/>
  <c r="L336" i="149"/>
  <c r="K336" i="149"/>
  <c r="J336" i="149"/>
  <c r="M335" i="149"/>
  <c r="L335" i="149"/>
  <c r="K335" i="149"/>
  <c r="J335" i="149"/>
  <c r="M334" i="149"/>
  <c r="L334" i="149"/>
  <c r="K334" i="149"/>
  <c r="J334" i="149"/>
  <c r="M333" i="149"/>
  <c r="L333" i="149"/>
  <c r="K333" i="149"/>
  <c r="J333" i="149"/>
  <c r="M332" i="149"/>
  <c r="L332" i="149"/>
  <c r="K332" i="149"/>
  <c r="J332" i="149"/>
  <c r="M331" i="149"/>
  <c r="L331" i="149"/>
  <c r="K331" i="149"/>
  <c r="J331" i="149"/>
  <c r="M330" i="149"/>
  <c r="L330" i="149"/>
  <c r="K330" i="149"/>
  <c r="J330" i="149"/>
  <c r="M329" i="149"/>
  <c r="L329" i="149"/>
  <c r="K329" i="149"/>
  <c r="J329" i="149"/>
  <c r="M328" i="149"/>
  <c r="L328" i="149"/>
  <c r="K328" i="149"/>
  <c r="J328" i="149"/>
  <c r="M327" i="149"/>
  <c r="L327" i="149"/>
  <c r="K327" i="149"/>
  <c r="J327" i="149"/>
  <c r="M326" i="149"/>
  <c r="L326" i="149"/>
  <c r="K326" i="149"/>
  <c r="J326" i="149"/>
  <c r="M325" i="149"/>
  <c r="L325" i="149"/>
  <c r="K325" i="149"/>
  <c r="J325" i="149"/>
  <c r="M324" i="149"/>
  <c r="L324" i="149"/>
  <c r="K324" i="149"/>
  <c r="J324" i="149"/>
  <c r="M323" i="149"/>
  <c r="L323" i="149"/>
  <c r="K323" i="149"/>
  <c r="J323" i="149"/>
  <c r="M322" i="149"/>
  <c r="L322" i="149"/>
  <c r="K322" i="149"/>
  <c r="J322" i="149"/>
  <c r="M321" i="149"/>
  <c r="L321" i="149"/>
  <c r="K321" i="149"/>
  <c r="J321" i="149"/>
  <c r="M320" i="149"/>
  <c r="L320" i="149"/>
  <c r="K320" i="149"/>
  <c r="J320" i="149"/>
  <c r="M319" i="149"/>
  <c r="L319" i="149"/>
  <c r="K319" i="149"/>
  <c r="J319" i="149"/>
  <c r="M318" i="149"/>
  <c r="L318" i="149"/>
  <c r="K318" i="149"/>
  <c r="J318" i="149"/>
  <c r="M317" i="149"/>
  <c r="L317" i="149"/>
  <c r="K317" i="149"/>
  <c r="J317" i="149"/>
  <c r="M316" i="149"/>
  <c r="L316" i="149"/>
  <c r="K316" i="149"/>
  <c r="J316" i="149"/>
  <c r="M315" i="149"/>
  <c r="L315" i="149"/>
  <c r="K315" i="149"/>
  <c r="J315" i="149"/>
  <c r="M314" i="149"/>
  <c r="L314" i="149"/>
  <c r="K314" i="149"/>
  <c r="J314" i="149"/>
  <c r="M313" i="149"/>
  <c r="L313" i="149"/>
  <c r="K313" i="149"/>
  <c r="J313" i="149"/>
  <c r="M312" i="149"/>
  <c r="L312" i="149"/>
  <c r="K312" i="149"/>
  <c r="J312" i="149"/>
  <c r="M311" i="149"/>
  <c r="L311" i="149"/>
  <c r="K311" i="149"/>
  <c r="J311" i="149"/>
  <c r="M310" i="149"/>
  <c r="L310" i="149"/>
  <c r="K310" i="149"/>
  <c r="J310" i="149"/>
  <c r="M309" i="149"/>
  <c r="L309" i="149"/>
  <c r="K309" i="149"/>
  <c r="J309" i="149"/>
  <c r="M308" i="149"/>
  <c r="L308" i="149"/>
  <c r="K308" i="149"/>
  <c r="J308" i="149"/>
  <c r="M307" i="149"/>
  <c r="L307" i="149"/>
  <c r="K307" i="149"/>
  <c r="J307" i="149"/>
  <c r="M306" i="149"/>
  <c r="L306" i="149"/>
  <c r="K306" i="149"/>
  <c r="J306" i="149"/>
  <c r="M305" i="149"/>
  <c r="L305" i="149"/>
  <c r="K305" i="149"/>
  <c r="J305" i="149"/>
  <c r="M304" i="149"/>
  <c r="L304" i="149"/>
  <c r="K304" i="149"/>
  <c r="J304" i="149"/>
  <c r="M303" i="149"/>
  <c r="L303" i="149"/>
  <c r="K303" i="149"/>
  <c r="J303" i="149"/>
  <c r="M302" i="149"/>
  <c r="L302" i="149"/>
  <c r="K302" i="149"/>
  <c r="J302" i="149"/>
  <c r="M301" i="149"/>
  <c r="L301" i="149"/>
  <c r="K301" i="149"/>
  <c r="J301" i="149"/>
  <c r="M300" i="149"/>
  <c r="L300" i="149"/>
  <c r="K300" i="149"/>
  <c r="J300" i="149"/>
  <c r="M299" i="149"/>
  <c r="L299" i="149"/>
  <c r="K299" i="149"/>
  <c r="J299" i="149"/>
  <c r="M298" i="149"/>
  <c r="L298" i="149"/>
  <c r="K298" i="149"/>
  <c r="J298" i="149"/>
  <c r="M297" i="149"/>
  <c r="L297" i="149"/>
  <c r="K297" i="149"/>
  <c r="J297" i="149"/>
  <c r="M296" i="149"/>
  <c r="L296" i="149"/>
  <c r="K296" i="149"/>
  <c r="J296" i="149"/>
  <c r="M295" i="149"/>
  <c r="L295" i="149"/>
  <c r="K295" i="149"/>
  <c r="J295" i="149"/>
  <c r="M294" i="149"/>
  <c r="L294" i="149"/>
  <c r="K294" i="149"/>
  <c r="J294" i="149"/>
  <c r="M293" i="149"/>
  <c r="L293" i="149"/>
  <c r="K293" i="149"/>
  <c r="J293" i="149"/>
  <c r="M292" i="149"/>
  <c r="L292" i="149"/>
  <c r="K292" i="149"/>
  <c r="J292" i="149"/>
  <c r="M291" i="149"/>
  <c r="L291" i="149"/>
  <c r="K291" i="149"/>
  <c r="J291" i="149"/>
  <c r="M290" i="149"/>
  <c r="L290" i="149"/>
  <c r="K290" i="149"/>
  <c r="J290" i="149"/>
  <c r="M289" i="149"/>
  <c r="L289" i="149"/>
  <c r="K289" i="149"/>
  <c r="J289" i="149"/>
  <c r="M288" i="149"/>
  <c r="L288" i="149"/>
  <c r="K288" i="149"/>
  <c r="J288" i="149"/>
  <c r="M287" i="149"/>
  <c r="L287" i="149"/>
  <c r="K287" i="149"/>
  <c r="J287" i="149"/>
  <c r="M286" i="149"/>
  <c r="L286" i="149"/>
  <c r="K286" i="149"/>
  <c r="J286" i="149"/>
  <c r="M285" i="149"/>
  <c r="L285" i="149"/>
  <c r="K285" i="149"/>
  <c r="J285" i="149"/>
  <c r="M284" i="149"/>
  <c r="L284" i="149"/>
  <c r="K284" i="149"/>
  <c r="J284" i="149"/>
  <c r="M283" i="149"/>
  <c r="L283" i="149"/>
  <c r="K283" i="149"/>
  <c r="J283" i="149"/>
  <c r="M282" i="149"/>
  <c r="L282" i="149"/>
  <c r="K282" i="149"/>
  <c r="J282" i="149"/>
  <c r="M281" i="149"/>
  <c r="L281" i="149"/>
  <c r="K281" i="149"/>
  <c r="J281" i="149"/>
  <c r="M280" i="149"/>
  <c r="L280" i="149"/>
  <c r="K280" i="149"/>
  <c r="J280" i="149"/>
  <c r="M279" i="149"/>
  <c r="L279" i="149"/>
  <c r="K279" i="149"/>
  <c r="J279" i="149"/>
  <c r="M278" i="149"/>
  <c r="L278" i="149"/>
  <c r="K278" i="149"/>
  <c r="J278" i="149"/>
  <c r="M277" i="149"/>
  <c r="L277" i="149"/>
  <c r="K277" i="149"/>
  <c r="J277" i="149"/>
  <c r="M276" i="149"/>
  <c r="L276" i="149"/>
  <c r="K276" i="149"/>
  <c r="J276" i="149"/>
  <c r="M275" i="149"/>
  <c r="L275" i="149"/>
  <c r="K275" i="149"/>
  <c r="J275" i="149"/>
  <c r="M274" i="149"/>
  <c r="L274" i="149"/>
  <c r="K274" i="149"/>
  <c r="J274" i="149"/>
  <c r="M273" i="149"/>
  <c r="L273" i="149"/>
  <c r="K273" i="149"/>
  <c r="J273" i="149"/>
  <c r="M272" i="149"/>
  <c r="L272" i="149"/>
  <c r="K272" i="149"/>
  <c r="J272" i="149"/>
  <c r="M271" i="149"/>
  <c r="L271" i="149"/>
  <c r="K271" i="149"/>
  <c r="J271" i="149"/>
  <c r="M270" i="149"/>
  <c r="L270" i="149"/>
  <c r="K270" i="149"/>
  <c r="J270" i="149"/>
  <c r="M269" i="149"/>
  <c r="L269" i="149"/>
  <c r="K269" i="149"/>
  <c r="J269" i="149"/>
  <c r="M268" i="149"/>
  <c r="L268" i="149"/>
  <c r="K268" i="149"/>
  <c r="J268" i="149"/>
  <c r="M267" i="149"/>
  <c r="L267" i="149"/>
  <c r="K267" i="149"/>
  <c r="J267" i="149"/>
  <c r="M266" i="149"/>
  <c r="L266" i="149"/>
  <c r="K266" i="149"/>
  <c r="J266" i="149"/>
  <c r="M265" i="149"/>
  <c r="L265" i="149"/>
  <c r="K265" i="149"/>
  <c r="J265" i="149"/>
  <c r="M264" i="149"/>
  <c r="L264" i="149"/>
  <c r="K264" i="149"/>
  <c r="J264" i="149"/>
  <c r="M263" i="149"/>
  <c r="L263" i="149"/>
  <c r="K263" i="149"/>
  <c r="J263" i="149"/>
  <c r="M262" i="149"/>
  <c r="L262" i="149"/>
  <c r="K262" i="149"/>
  <c r="J262" i="149"/>
  <c r="M261" i="149"/>
  <c r="L261" i="149"/>
  <c r="K261" i="149"/>
  <c r="J261" i="149"/>
  <c r="M260" i="149"/>
  <c r="L260" i="149"/>
  <c r="K260" i="149"/>
  <c r="J260" i="149"/>
  <c r="M259" i="149"/>
  <c r="L259" i="149"/>
  <c r="K259" i="149"/>
  <c r="J259" i="149"/>
  <c r="M258" i="149"/>
  <c r="L258" i="149"/>
  <c r="K258" i="149"/>
  <c r="J258" i="149"/>
  <c r="M257" i="149"/>
  <c r="L257" i="149"/>
  <c r="K257" i="149"/>
  <c r="J257" i="149"/>
  <c r="M256" i="149"/>
  <c r="L256" i="149"/>
  <c r="K256" i="149"/>
  <c r="J256" i="149"/>
  <c r="M255" i="149"/>
  <c r="L255" i="149"/>
  <c r="K255" i="149"/>
  <c r="J255" i="149"/>
  <c r="M254" i="149"/>
  <c r="L254" i="149"/>
  <c r="K254" i="149"/>
  <c r="J254" i="149"/>
  <c r="M253" i="149"/>
  <c r="L253" i="149"/>
  <c r="K253" i="149"/>
  <c r="J253" i="149"/>
  <c r="M252" i="149"/>
  <c r="L252" i="149"/>
  <c r="K252" i="149"/>
  <c r="J252" i="149"/>
  <c r="M251" i="149"/>
  <c r="L251" i="149"/>
  <c r="K251" i="149"/>
  <c r="J251" i="149"/>
  <c r="M250" i="149"/>
  <c r="L250" i="149"/>
  <c r="K250" i="149"/>
  <c r="J250" i="149"/>
  <c r="M249" i="149"/>
  <c r="L249" i="149"/>
  <c r="K249" i="149"/>
  <c r="J249" i="149"/>
  <c r="M248" i="149"/>
  <c r="L248" i="149"/>
  <c r="K248" i="149"/>
  <c r="J248" i="149"/>
  <c r="M247" i="149"/>
  <c r="L247" i="149"/>
  <c r="K247" i="149"/>
  <c r="J247" i="149"/>
  <c r="M246" i="149"/>
  <c r="L246" i="149"/>
  <c r="K246" i="149"/>
  <c r="J246" i="149"/>
  <c r="M245" i="149"/>
  <c r="L245" i="149"/>
  <c r="K245" i="149"/>
  <c r="J245" i="149"/>
  <c r="M244" i="149"/>
  <c r="L244" i="149"/>
  <c r="K244" i="149"/>
  <c r="J244" i="149"/>
  <c r="M243" i="149"/>
  <c r="L243" i="149"/>
  <c r="K243" i="149"/>
  <c r="J243" i="149"/>
  <c r="M242" i="149"/>
  <c r="L242" i="149"/>
  <c r="K242" i="149"/>
  <c r="J242" i="149"/>
  <c r="M241" i="149"/>
  <c r="L241" i="149"/>
  <c r="K241" i="149"/>
  <c r="J241" i="149"/>
  <c r="M240" i="149"/>
  <c r="L240" i="149"/>
  <c r="K240" i="149"/>
  <c r="J240" i="149"/>
  <c r="M239" i="149"/>
  <c r="L239" i="149"/>
  <c r="K239" i="149"/>
  <c r="J239" i="149"/>
  <c r="M238" i="149"/>
  <c r="L238" i="149"/>
  <c r="K238" i="149"/>
  <c r="J238" i="149"/>
  <c r="M237" i="149"/>
  <c r="L237" i="149"/>
  <c r="K237" i="149"/>
  <c r="J237" i="149"/>
  <c r="M236" i="149"/>
  <c r="L236" i="149"/>
  <c r="K236" i="149"/>
  <c r="J236" i="149"/>
  <c r="M235" i="149"/>
  <c r="L235" i="149"/>
  <c r="K235" i="149"/>
  <c r="J235" i="149"/>
  <c r="M234" i="149"/>
  <c r="L234" i="149"/>
  <c r="K234" i="149"/>
  <c r="J234" i="149"/>
  <c r="M233" i="149"/>
  <c r="L233" i="149"/>
  <c r="K233" i="149"/>
  <c r="J233" i="149"/>
  <c r="M232" i="149"/>
  <c r="L232" i="149"/>
  <c r="K232" i="149"/>
  <c r="J232" i="149"/>
  <c r="M231" i="149"/>
  <c r="L231" i="149"/>
  <c r="K231" i="149"/>
  <c r="J231" i="149"/>
  <c r="M230" i="149"/>
  <c r="L230" i="149"/>
  <c r="K230" i="149"/>
  <c r="J230" i="149"/>
  <c r="M229" i="149"/>
  <c r="L229" i="149"/>
  <c r="K229" i="149"/>
  <c r="J229" i="149"/>
  <c r="M228" i="149"/>
  <c r="L228" i="149"/>
  <c r="K228" i="149"/>
  <c r="J228" i="149"/>
  <c r="M227" i="149"/>
  <c r="L227" i="149"/>
  <c r="K227" i="149"/>
  <c r="J227" i="149"/>
  <c r="M226" i="149"/>
  <c r="L226" i="149"/>
  <c r="K226" i="149"/>
  <c r="J226" i="149"/>
  <c r="M225" i="149"/>
  <c r="L225" i="149"/>
  <c r="K225" i="149"/>
  <c r="J225" i="149"/>
  <c r="M224" i="149"/>
  <c r="L224" i="149"/>
  <c r="K224" i="149"/>
  <c r="J224" i="149"/>
  <c r="M223" i="149"/>
  <c r="L223" i="149"/>
  <c r="K223" i="149"/>
  <c r="J223" i="149"/>
  <c r="M222" i="149"/>
  <c r="L222" i="149"/>
  <c r="K222" i="149"/>
  <c r="J222" i="149"/>
  <c r="M221" i="149"/>
  <c r="L221" i="149"/>
  <c r="K221" i="149"/>
  <c r="J221" i="149"/>
  <c r="M220" i="149"/>
  <c r="L220" i="149"/>
  <c r="K220" i="149"/>
  <c r="J220" i="149"/>
  <c r="M219" i="149"/>
  <c r="L219" i="149"/>
  <c r="K219" i="149"/>
  <c r="J219" i="149"/>
  <c r="M218" i="149"/>
  <c r="L218" i="149"/>
  <c r="K218" i="149"/>
  <c r="J218" i="149"/>
  <c r="M217" i="149"/>
  <c r="L217" i="149"/>
  <c r="K217" i="149"/>
  <c r="J217" i="149"/>
  <c r="M216" i="149"/>
  <c r="L216" i="149"/>
  <c r="K216" i="149"/>
  <c r="J216" i="149"/>
  <c r="M215" i="149"/>
  <c r="L215" i="149"/>
  <c r="K215" i="149"/>
  <c r="J215" i="149"/>
  <c r="M214" i="149"/>
  <c r="L214" i="149"/>
  <c r="K214" i="149"/>
  <c r="J214" i="149"/>
  <c r="M213" i="149"/>
  <c r="L213" i="149"/>
  <c r="K213" i="149"/>
  <c r="J213" i="149"/>
  <c r="M212" i="149"/>
  <c r="L212" i="149"/>
  <c r="K212" i="149"/>
  <c r="J212" i="149"/>
  <c r="M211" i="149"/>
  <c r="L211" i="149"/>
  <c r="K211" i="149"/>
  <c r="J211" i="149"/>
  <c r="M210" i="149"/>
  <c r="L210" i="149"/>
  <c r="K210" i="149"/>
  <c r="J210" i="149"/>
  <c r="M209" i="149"/>
  <c r="L209" i="149"/>
  <c r="K209" i="149"/>
  <c r="J209" i="149"/>
  <c r="M208" i="149"/>
  <c r="L208" i="149"/>
  <c r="K208" i="149"/>
  <c r="J208" i="149"/>
  <c r="M207" i="149"/>
  <c r="L207" i="149"/>
  <c r="K207" i="149"/>
  <c r="J207" i="149"/>
  <c r="M206" i="149"/>
  <c r="L206" i="149"/>
  <c r="K206" i="149"/>
  <c r="J206" i="149"/>
  <c r="M205" i="149"/>
  <c r="L205" i="149"/>
  <c r="K205" i="149"/>
  <c r="J205" i="149"/>
  <c r="M204" i="149"/>
  <c r="L204" i="149"/>
  <c r="K204" i="149"/>
  <c r="J204" i="149"/>
  <c r="M203" i="149"/>
  <c r="L203" i="149"/>
  <c r="K203" i="149"/>
  <c r="J203" i="149"/>
  <c r="M202" i="149"/>
  <c r="L202" i="149"/>
  <c r="K202" i="149"/>
  <c r="J202" i="149"/>
  <c r="M201" i="149"/>
  <c r="L201" i="149"/>
  <c r="K201" i="149"/>
  <c r="J201" i="149"/>
  <c r="M200" i="149"/>
  <c r="L200" i="149"/>
  <c r="K200" i="149"/>
  <c r="J200" i="149"/>
  <c r="M199" i="149"/>
  <c r="L199" i="149"/>
  <c r="K199" i="149"/>
  <c r="J199" i="149"/>
  <c r="M198" i="149"/>
  <c r="L198" i="149"/>
  <c r="K198" i="149"/>
  <c r="J198" i="149"/>
  <c r="M197" i="149"/>
  <c r="L197" i="149"/>
  <c r="K197" i="149"/>
  <c r="J197" i="149"/>
  <c r="M196" i="149"/>
  <c r="L196" i="149"/>
  <c r="K196" i="149"/>
  <c r="J196" i="149"/>
  <c r="M195" i="149"/>
  <c r="L195" i="149"/>
  <c r="K195" i="149"/>
  <c r="J195" i="149"/>
  <c r="M194" i="149"/>
  <c r="L194" i="149"/>
  <c r="K194" i="149"/>
  <c r="J194" i="149"/>
  <c r="M193" i="149"/>
  <c r="L193" i="149"/>
  <c r="K193" i="149"/>
  <c r="J193" i="149"/>
  <c r="M192" i="149"/>
  <c r="L192" i="149"/>
  <c r="K192" i="149"/>
  <c r="J192" i="149"/>
  <c r="M191" i="149"/>
  <c r="L191" i="149"/>
  <c r="K191" i="149"/>
  <c r="J191" i="149"/>
  <c r="M190" i="149"/>
  <c r="L190" i="149"/>
  <c r="K190" i="149"/>
  <c r="J190" i="149"/>
  <c r="M189" i="149"/>
  <c r="L189" i="149"/>
  <c r="K189" i="149"/>
  <c r="J189" i="149"/>
  <c r="M188" i="149"/>
  <c r="L188" i="149"/>
  <c r="K188" i="149"/>
  <c r="J188" i="149"/>
  <c r="M187" i="149"/>
  <c r="L187" i="149"/>
  <c r="K187" i="149"/>
  <c r="J187" i="149"/>
  <c r="M186" i="149"/>
  <c r="L186" i="149"/>
  <c r="K186" i="149"/>
  <c r="J186" i="149"/>
  <c r="M185" i="149"/>
  <c r="L185" i="149"/>
  <c r="K185" i="149"/>
  <c r="J185" i="149"/>
  <c r="M184" i="149"/>
  <c r="L184" i="149"/>
  <c r="K184" i="149"/>
  <c r="J184" i="149"/>
  <c r="M183" i="149"/>
  <c r="L183" i="149"/>
  <c r="K183" i="149"/>
  <c r="J183" i="149"/>
  <c r="M182" i="149"/>
  <c r="L182" i="149"/>
  <c r="K182" i="149"/>
  <c r="J182" i="149"/>
  <c r="M181" i="149"/>
  <c r="L181" i="149"/>
  <c r="K181" i="149"/>
  <c r="J181" i="149"/>
  <c r="M180" i="149"/>
  <c r="L180" i="149"/>
  <c r="K180" i="149"/>
  <c r="J180" i="149"/>
  <c r="M179" i="149"/>
  <c r="L179" i="149"/>
  <c r="K179" i="149"/>
  <c r="J179" i="149"/>
  <c r="M178" i="149"/>
  <c r="L178" i="149"/>
  <c r="K178" i="149"/>
  <c r="J178" i="149"/>
  <c r="M177" i="149"/>
  <c r="L177" i="149"/>
  <c r="K177" i="149"/>
  <c r="J177" i="149"/>
  <c r="M176" i="149"/>
  <c r="L176" i="149"/>
  <c r="K176" i="149"/>
  <c r="J176" i="149"/>
  <c r="M175" i="149"/>
  <c r="L175" i="149"/>
  <c r="K175" i="149"/>
  <c r="J175" i="149"/>
  <c r="M174" i="149"/>
  <c r="L174" i="149"/>
  <c r="K174" i="149"/>
  <c r="J174" i="149"/>
  <c r="M173" i="149"/>
  <c r="L173" i="149"/>
  <c r="K173" i="149"/>
  <c r="J173" i="149"/>
  <c r="M172" i="149"/>
  <c r="L172" i="149"/>
  <c r="K172" i="149"/>
  <c r="J172" i="149"/>
  <c r="M171" i="149"/>
  <c r="L171" i="149"/>
  <c r="K171" i="149"/>
  <c r="J171" i="149"/>
  <c r="M170" i="149"/>
  <c r="L170" i="149"/>
  <c r="K170" i="149"/>
  <c r="J170" i="149"/>
  <c r="M169" i="149"/>
  <c r="L169" i="149"/>
  <c r="K169" i="149"/>
  <c r="J169" i="149"/>
  <c r="M168" i="149"/>
  <c r="L168" i="149"/>
  <c r="K168" i="149"/>
  <c r="J168" i="149"/>
  <c r="M167" i="149"/>
  <c r="L167" i="149"/>
  <c r="K167" i="149"/>
  <c r="J167" i="149"/>
  <c r="M166" i="149"/>
  <c r="L166" i="149"/>
  <c r="K166" i="149"/>
  <c r="J166" i="149"/>
  <c r="M165" i="149"/>
  <c r="L165" i="149"/>
  <c r="K165" i="149"/>
  <c r="J165" i="149"/>
  <c r="M164" i="149"/>
  <c r="L164" i="149"/>
  <c r="K164" i="149"/>
  <c r="J164" i="149"/>
  <c r="M163" i="149"/>
  <c r="L163" i="149"/>
  <c r="K163" i="149"/>
  <c r="J163" i="149"/>
  <c r="M162" i="149"/>
  <c r="L162" i="149"/>
  <c r="K162" i="149"/>
  <c r="J162" i="149"/>
  <c r="M161" i="149"/>
  <c r="L161" i="149"/>
  <c r="K161" i="149"/>
  <c r="J161" i="149"/>
  <c r="M160" i="149"/>
  <c r="L160" i="149"/>
  <c r="K160" i="149"/>
  <c r="J160" i="149"/>
  <c r="M159" i="149"/>
  <c r="L159" i="149"/>
  <c r="K159" i="149"/>
  <c r="J159" i="149"/>
  <c r="M158" i="149"/>
  <c r="L158" i="149"/>
  <c r="K158" i="149"/>
  <c r="J158" i="149"/>
  <c r="M157" i="149"/>
  <c r="L157" i="149"/>
  <c r="K157" i="149"/>
  <c r="J157" i="149"/>
  <c r="M156" i="149"/>
  <c r="L156" i="149"/>
  <c r="K156" i="149"/>
  <c r="J156" i="149"/>
  <c r="M155" i="149"/>
  <c r="L155" i="149"/>
  <c r="K155" i="149"/>
  <c r="J155" i="149"/>
  <c r="M154" i="149"/>
  <c r="L154" i="149"/>
  <c r="K154" i="149"/>
  <c r="J154" i="149"/>
  <c r="M153" i="149"/>
  <c r="L153" i="149"/>
  <c r="K153" i="149"/>
  <c r="J153" i="149"/>
  <c r="M152" i="149"/>
  <c r="L152" i="149"/>
  <c r="K152" i="149"/>
  <c r="J152" i="149"/>
  <c r="M151" i="149"/>
  <c r="L151" i="149"/>
  <c r="K151" i="149"/>
  <c r="J151" i="149"/>
  <c r="M150" i="149"/>
  <c r="L150" i="149"/>
  <c r="K150" i="149"/>
  <c r="J150" i="149"/>
  <c r="M149" i="149"/>
  <c r="L149" i="149"/>
  <c r="K149" i="149"/>
  <c r="J149" i="149"/>
  <c r="M148" i="149"/>
  <c r="L148" i="149"/>
  <c r="K148" i="149"/>
  <c r="J148" i="149"/>
  <c r="M147" i="149"/>
  <c r="L147" i="149"/>
  <c r="K147" i="149"/>
  <c r="J147" i="149"/>
  <c r="M146" i="149"/>
  <c r="L146" i="149"/>
  <c r="K146" i="149"/>
  <c r="J146" i="149"/>
  <c r="M145" i="149"/>
  <c r="L145" i="149"/>
  <c r="K145" i="149"/>
  <c r="J145" i="149"/>
  <c r="M144" i="149"/>
  <c r="L144" i="149"/>
  <c r="K144" i="149"/>
  <c r="J144" i="149"/>
  <c r="M143" i="149"/>
  <c r="L143" i="149"/>
  <c r="K143" i="149"/>
  <c r="J143" i="149"/>
  <c r="M142" i="149"/>
  <c r="L142" i="149"/>
  <c r="K142" i="149"/>
  <c r="J142" i="149"/>
  <c r="M141" i="149"/>
  <c r="L141" i="149"/>
  <c r="K141" i="149"/>
  <c r="J141" i="149"/>
  <c r="M140" i="149"/>
  <c r="L140" i="149"/>
  <c r="K140" i="149"/>
  <c r="J140" i="149"/>
  <c r="M139" i="149"/>
  <c r="L139" i="149"/>
  <c r="K139" i="149"/>
  <c r="J139" i="149"/>
  <c r="M138" i="149"/>
  <c r="L138" i="149"/>
  <c r="K138" i="149"/>
  <c r="J138" i="149"/>
  <c r="M137" i="149"/>
  <c r="L137" i="149"/>
  <c r="K137" i="149"/>
  <c r="J137" i="149"/>
  <c r="M136" i="149"/>
  <c r="L136" i="149"/>
  <c r="K136" i="149"/>
  <c r="J136" i="149"/>
  <c r="M135" i="149"/>
  <c r="L135" i="149"/>
  <c r="K135" i="149"/>
  <c r="J135" i="149"/>
  <c r="M134" i="149"/>
  <c r="L134" i="149"/>
  <c r="K134" i="149"/>
  <c r="J134" i="149"/>
  <c r="M133" i="149"/>
  <c r="L133" i="149"/>
  <c r="K133" i="149"/>
  <c r="J133" i="149"/>
  <c r="M132" i="149"/>
  <c r="L132" i="149"/>
  <c r="K132" i="149"/>
  <c r="J132" i="149"/>
  <c r="M131" i="149"/>
  <c r="L131" i="149"/>
  <c r="K131" i="149"/>
  <c r="J131" i="149"/>
  <c r="M130" i="149"/>
  <c r="L130" i="149"/>
  <c r="K130" i="149"/>
  <c r="J130" i="149"/>
  <c r="M129" i="149"/>
  <c r="L129" i="149"/>
  <c r="K129" i="149"/>
  <c r="J129" i="149"/>
  <c r="M128" i="149"/>
  <c r="L128" i="149"/>
  <c r="K128" i="149"/>
  <c r="J128" i="149"/>
  <c r="M127" i="149"/>
  <c r="L127" i="149"/>
  <c r="K127" i="149"/>
  <c r="J127" i="149"/>
  <c r="M126" i="149"/>
  <c r="L126" i="149"/>
  <c r="K126" i="149"/>
  <c r="J126" i="149"/>
  <c r="M125" i="149"/>
  <c r="L125" i="149"/>
  <c r="K125" i="149"/>
  <c r="J125" i="149"/>
  <c r="M124" i="149"/>
  <c r="L124" i="149"/>
  <c r="K124" i="149"/>
  <c r="J124" i="149"/>
  <c r="M123" i="149"/>
  <c r="L123" i="149"/>
  <c r="K123" i="149"/>
  <c r="J123" i="149"/>
  <c r="M122" i="149"/>
  <c r="L122" i="149"/>
  <c r="K122" i="149"/>
  <c r="J122" i="149"/>
  <c r="M121" i="149"/>
  <c r="L121" i="149"/>
  <c r="K121" i="149"/>
  <c r="J121" i="149"/>
  <c r="M120" i="149"/>
  <c r="L120" i="149"/>
  <c r="K120" i="149"/>
  <c r="J120" i="149"/>
  <c r="M119" i="149"/>
  <c r="L119" i="149"/>
  <c r="K119" i="149"/>
  <c r="J119" i="149"/>
  <c r="M118" i="149"/>
  <c r="L118" i="149"/>
  <c r="K118" i="149"/>
  <c r="J118" i="149"/>
  <c r="M117" i="149"/>
  <c r="L117" i="149"/>
  <c r="K117" i="149"/>
  <c r="J117" i="149"/>
  <c r="M116" i="149"/>
  <c r="L116" i="149"/>
  <c r="K116" i="149"/>
  <c r="J116" i="149"/>
  <c r="M115" i="149"/>
  <c r="L115" i="149"/>
  <c r="K115" i="149"/>
  <c r="J115" i="149"/>
  <c r="M114" i="149"/>
  <c r="L114" i="149"/>
  <c r="K114" i="149"/>
  <c r="J114" i="149"/>
  <c r="M113" i="149"/>
  <c r="L113" i="149"/>
  <c r="K113" i="149"/>
  <c r="J113" i="149"/>
  <c r="M112" i="149"/>
  <c r="L112" i="149"/>
  <c r="K112" i="149"/>
  <c r="J112" i="149"/>
  <c r="M111" i="149"/>
  <c r="L111" i="149"/>
  <c r="K111" i="149"/>
  <c r="J111" i="149"/>
  <c r="M110" i="149"/>
  <c r="L110" i="149"/>
  <c r="K110" i="149"/>
  <c r="J110" i="149"/>
  <c r="M109" i="149"/>
  <c r="L109" i="149"/>
  <c r="K109" i="149"/>
  <c r="J109" i="149"/>
  <c r="M108" i="149"/>
  <c r="L108" i="149"/>
  <c r="K108" i="149"/>
  <c r="J108" i="149"/>
  <c r="M107" i="149"/>
  <c r="L107" i="149"/>
  <c r="K107" i="149"/>
  <c r="J107" i="149"/>
  <c r="M106" i="149"/>
  <c r="L106" i="149"/>
  <c r="K106" i="149"/>
  <c r="J106" i="149"/>
  <c r="M105" i="149"/>
  <c r="L105" i="149"/>
  <c r="K105" i="149"/>
  <c r="J105" i="149"/>
  <c r="M104" i="149"/>
  <c r="L104" i="149"/>
  <c r="K104" i="149"/>
  <c r="J104" i="149"/>
  <c r="M103" i="149"/>
  <c r="L103" i="149"/>
  <c r="K103" i="149"/>
  <c r="J103" i="149"/>
  <c r="M102" i="149"/>
  <c r="L102" i="149"/>
  <c r="K102" i="149"/>
  <c r="J102" i="149"/>
  <c r="M101" i="149"/>
  <c r="L101" i="149"/>
  <c r="K101" i="149"/>
  <c r="J101" i="149"/>
  <c r="M100" i="149"/>
  <c r="L100" i="149"/>
  <c r="K100" i="149"/>
  <c r="J100" i="149"/>
  <c r="M99" i="149"/>
  <c r="L99" i="149"/>
  <c r="K99" i="149"/>
  <c r="J99" i="149"/>
  <c r="M98" i="149"/>
  <c r="L98" i="149"/>
  <c r="K98" i="149"/>
  <c r="J98" i="149"/>
  <c r="M97" i="149"/>
  <c r="L97" i="149"/>
  <c r="K97" i="149"/>
  <c r="J97" i="149"/>
  <c r="M96" i="149"/>
  <c r="L96" i="149"/>
  <c r="K96" i="149"/>
  <c r="J96" i="149"/>
  <c r="M95" i="149"/>
  <c r="L95" i="149"/>
  <c r="K95" i="149"/>
  <c r="J95" i="149"/>
  <c r="M94" i="149"/>
  <c r="L94" i="149"/>
  <c r="K94" i="149"/>
  <c r="J94" i="149"/>
  <c r="M93" i="149"/>
  <c r="L93" i="149"/>
  <c r="K93" i="149"/>
  <c r="J93" i="149"/>
  <c r="M92" i="149"/>
  <c r="L92" i="149"/>
  <c r="K92" i="149"/>
  <c r="J92" i="149"/>
  <c r="M91" i="149"/>
  <c r="L91" i="149"/>
  <c r="K91" i="149"/>
  <c r="J91" i="149"/>
  <c r="M90" i="149"/>
  <c r="L90" i="149"/>
  <c r="K90" i="149"/>
  <c r="J90" i="149"/>
  <c r="M89" i="149"/>
  <c r="L89" i="149"/>
  <c r="K89" i="149"/>
  <c r="J89" i="149"/>
  <c r="M88" i="149"/>
  <c r="L88" i="149"/>
  <c r="K88" i="149"/>
  <c r="J88" i="149"/>
  <c r="M87" i="149"/>
  <c r="L87" i="149"/>
  <c r="K87" i="149"/>
  <c r="J87" i="149"/>
  <c r="M86" i="149"/>
  <c r="L86" i="149"/>
  <c r="K86" i="149"/>
  <c r="J86" i="149"/>
  <c r="M85" i="149"/>
  <c r="L85" i="149"/>
  <c r="K85" i="149"/>
  <c r="J85" i="149"/>
  <c r="M84" i="149"/>
  <c r="L84" i="149"/>
  <c r="K84" i="149"/>
  <c r="J84" i="149"/>
  <c r="M83" i="149"/>
  <c r="L83" i="149"/>
  <c r="K83" i="149"/>
  <c r="J83" i="149"/>
  <c r="M82" i="149"/>
  <c r="L82" i="149"/>
  <c r="K82" i="149"/>
  <c r="J82" i="149"/>
  <c r="M81" i="149"/>
  <c r="L81" i="149"/>
  <c r="K81" i="149"/>
  <c r="J81" i="149"/>
  <c r="M80" i="149"/>
  <c r="L80" i="149"/>
  <c r="K80" i="149"/>
  <c r="J80" i="149"/>
  <c r="M79" i="149"/>
  <c r="L79" i="149"/>
  <c r="K79" i="149"/>
  <c r="J79" i="149"/>
  <c r="M78" i="149"/>
  <c r="L78" i="149"/>
  <c r="K78" i="149"/>
  <c r="J78" i="149"/>
  <c r="M77" i="149"/>
  <c r="L77" i="149"/>
  <c r="K77" i="149"/>
  <c r="J77" i="149"/>
  <c r="M76" i="149"/>
  <c r="L76" i="149"/>
  <c r="K76" i="149"/>
  <c r="J76" i="149"/>
  <c r="M75" i="149"/>
  <c r="L75" i="149"/>
  <c r="K75" i="149"/>
  <c r="J75" i="149"/>
  <c r="M74" i="149"/>
  <c r="L74" i="149"/>
  <c r="K74" i="149"/>
  <c r="J74" i="149"/>
  <c r="M73" i="149"/>
  <c r="L73" i="149"/>
  <c r="K73" i="149"/>
  <c r="J73" i="149"/>
  <c r="M72" i="149"/>
  <c r="L72" i="149"/>
  <c r="K72" i="149"/>
  <c r="J72" i="149"/>
  <c r="M71" i="149"/>
  <c r="L71" i="149"/>
  <c r="K71" i="149"/>
  <c r="J71" i="149"/>
  <c r="M70" i="149"/>
  <c r="L70" i="149"/>
  <c r="K70" i="149"/>
  <c r="J70" i="149"/>
  <c r="M69" i="149"/>
  <c r="L69" i="149"/>
  <c r="K69" i="149"/>
  <c r="J69" i="149"/>
  <c r="M68" i="149"/>
  <c r="L68" i="149"/>
  <c r="K68" i="149"/>
  <c r="J68" i="149"/>
  <c r="M67" i="149"/>
  <c r="L67" i="149"/>
  <c r="K67" i="149"/>
  <c r="J67" i="149"/>
  <c r="M66" i="149"/>
  <c r="L66" i="149"/>
  <c r="K66" i="149"/>
  <c r="J66" i="149"/>
  <c r="M65" i="149"/>
  <c r="L65" i="149"/>
  <c r="K65" i="149"/>
  <c r="J65" i="149"/>
  <c r="M64" i="149"/>
  <c r="L64" i="149"/>
  <c r="K64" i="149"/>
  <c r="J64" i="149"/>
  <c r="M63" i="149"/>
  <c r="L63" i="149"/>
  <c r="K63" i="149"/>
  <c r="J63" i="149"/>
  <c r="M62" i="149"/>
  <c r="L62" i="149"/>
  <c r="K62" i="149"/>
  <c r="J62" i="149"/>
  <c r="M61" i="149"/>
  <c r="L61" i="149"/>
  <c r="K61" i="149"/>
  <c r="J61" i="149"/>
  <c r="M60" i="149"/>
  <c r="L60" i="149"/>
  <c r="K60" i="149"/>
  <c r="J60" i="149"/>
  <c r="M59" i="149"/>
  <c r="L59" i="149"/>
  <c r="K59" i="149"/>
  <c r="J59" i="149"/>
  <c r="M58" i="149"/>
  <c r="L58" i="149"/>
  <c r="K58" i="149"/>
  <c r="J58" i="149"/>
  <c r="M57" i="149"/>
  <c r="L57" i="149"/>
  <c r="K57" i="149"/>
  <c r="J57" i="149"/>
  <c r="M56" i="149"/>
  <c r="L56" i="149"/>
  <c r="K56" i="149"/>
  <c r="J56" i="149"/>
  <c r="M55" i="149"/>
  <c r="L55" i="149"/>
  <c r="K55" i="149"/>
  <c r="J55" i="149"/>
  <c r="M54" i="149"/>
  <c r="L54" i="149"/>
  <c r="K54" i="149"/>
  <c r="J54" i="149"/>
  <c r="M53" i="149"/>
  <c r="L53" i="149"/>
  <c r="K53" i="149"/>
  <c r="J53" i="149"/>
  <c r="M52" i="149"/>
  <c r="L52" i="149"/>
  <c r="K52" i="149"/>
  <c r="J52" i="149"/>
  <c r="M51" i="149"/>
  <c r="L51" i="149"/>
  <c r="K51" i="149"/>
  <c r="J51" i="149"/>
  <c r="M50" i="149"/>
  <c r="L50" i="149"/>
  <c r="K50" i="149"/>
  <c r="J50" i="149"/>
  <c r="M49" i="149"/>
  <c r="L49" i="149"/>
  <c r="K49" i="149"/>
  <c r="J49" i="149"/>
  <c r="M48" i="149"/>
  <c r="L48" i="149"/>
  <c r="K48" i="149"/>
  <c r="J48" i="149"/>
  <c r="M47" i="149"/>
  <c r="L47" i="149"/>
  <c r="K47" i="149"/>
  <c r="J47" i="149"/>
  <c r="M46" i="149"/>
  <c r="L46" i="149"/>
  <c r="K46" i="149"/>
  <c r="J46" i="149"/>
  <c r="M45" i="149"/>
  <c r="L45" i="149"/>
  <c r="K45" i="149"/>
  <c r="J45" i="149"/>
  <c r="M44" i="149"/>
  <c r="L44" i="149"/>
  <c r="K44" i="149"/>
  <c r="J44" i="149"/>
  <c r="M43" i="149"/>
  <c r="L43" i="149"/>
  <c r="K43" i="149"/>
  <c r="J43" i="149"/>
  <c r="M42" i="149"/>
  <c r="L42" i="149"/>
  <c r="K42" i="149"/>
  <c r="J42" i="149"/>
  <c r="M41" i="149"/>
  <c r="L41" i="149"/>
  <c r="K41" i="149"/>
  <c r="J41" i="149"/>
  <c r="M40" i="149"/>
  <c r="L40" i="149"/>
  <c r="K40" i="149"/>
  <c r="J40" i="149"/>
  <c r="M39" i="149"/>
  <c r="L39" i="149"/>
  <c r="K39" i="149"/>
  <c r="J39" i="149"/>
  <c r="M38" i="149"/>
  <c r="L38" i="149"/>
  <c r="K38" i="149"/>
  <c r="J38" i="149"/>
  <c r="M37" i="149"/>
  <c r="L37" i="149"/>
  <c r="K37" i="149"/>
  <c r="J37" i="149"/>
  <c r="M36" i="149"/>
  <c r="L36" i="149"/>
  <c r="K36" i="149"/>
  <c r="J36" i="149"/>
  <c r="M35" i="149"/>
  <c r="L35" i="149"/>
  <c r="K35" i="149"/>
  <c r="J35" i="149"/>
  <c r="M34" i="149"/>
  <c r="L34" i="149"/>
  <c r="K34" i="149"/>
  <c r="J34" i="149"/>
  <c r="M33" i="149"/>
  <c r="L33" i="149"/>
  <c r="K33" i="149"/>
  <c r="J33" i="149"/>
  <c r="M32" i="149"/>
  <c r="L32" i="149"/>
  <c r="K32" i="149"/>
  <c r="J32" i="149"/>
  <c r="M31" i="149"/>
  <c r="L31" i="149"/>
  <c r="K31" i="149"/>
  <c r="J31" i="149"/>
  <c r="M30" i="149"/>
  <c r="L30" i="149"/>
  <c r="K30" i="149"/>
  <c r="J30" i="149"/>
  <c r="M29" i="149"/>
  <c r="K29" i="149"/>
  <c r="J29" i="149"/>
  <c r="M28" i="149"/>
  <c r="K28" i="149"/>
  <c r="M27" i="149"/>
  <c r="L27" i="149"/>
  <c r="K27" i="149"/>
  <c r="J27" i="149"/>
  <c r="L26" i="149"/>
  <c r="K26" i="149"/>
  <c r="J26" i="149"/>
  <c r="L25" i="149"/>
  <c r="K25" i="149"/>
  <c r="J25" i="149"/>
  <c r="M24" i="149"/>
  <c r="L24" i="149"/>
  <c r="K24" i="149"/>
  <c r="J24" i="149"/>
  <c r="L23" i="149"/>
  <c r="K23" i="149"/>
  <c r="M22" i="149"/>
  <c r="K22" i="149"/>
  <c r="J22" i="149"/>
  <c r="K21" i="149"/>
  <c r="J21" i="149"/>
  <c r="L20" i="149"/>
  <c r="K20" i="149"/>
  <c r="J20" i="149"/>
  <c r="K19" i="149"/>
  <c r="J19" i="149"/>
  <c r="L18" i="149"/>
  <c r="K18" i="149"/>
  <c r="J18" i="149"/>
  <c r="L17" i="149"/>
  <c r="K17" i="149"/>
  <c r="J17" i="149"/>
  <c r="K16" i="149"/>
  <c r="J16" i="149"/>
  <c r="G6" i="136" s="1"/>
  <c r="I6" i="136" s="1"/>
  <c r="M15" i="149"/>
  <c r="J15" i="149"/>
  <c r="G233" i="136" l="1"/>
  <c r="I233" i="136" s="1"/>
  <c r="F233" i="5" s="1"/>
  <c r="G108" i="136"/>
  <c r="I108" i="136" s="1"/>
  <c r="G92" i="136"/>
  <c r="I92" i="136" s="1"/>
  <c r="O1142" i="246"/>
  <c r="R1142" i="246" s="1"/>
  <c r="M1180" i="1"/>
  <c r="M3005" i="1"/>
  <c r="R3005" i="1" s="1"/>
  <c r="M2937" i="246"/>
  <c r="V10" i="242"/>
  <c r="W10" i="242"/>
  <c r="E115" i="231"/>
  <c r="F115" i="231" s="1"/>
  <c r="G115" i="231" s="1"/>
  <c r="O3382" i="1" l="1"/>
  <c r="O3150" i="246"/>
  <c r="M3218" i="1"/>
  <c r="M1371" i="1"/>
  <c r="R1371" i="1" s="1"/>
  <c r="M3008" i="1"/>
  <c r="R3008" i="1" s="1"/>
  <c r="M2940" i="246"/>
  <c r="R2940" i="246" s="1"/>
  <c r="O1332" i="246"/>
  <c r="R1332" i="246" s="1"/>
  <c r="R1180" i="1"/>
  <c r="E116" i="231"/>
  <c r="F116" i="231" s="1"/>
  <c r="G116" i="231" s="1"/>
  <c r="P38" i="5"/>
  <c r="J38" i="5" s="1"/>
  <c r="P37" i="5"/>
  <c r="J37" i="5" s="1"/>
  <c r="P36" i="5"/>
  <c r="J36" i="5" s="1"/>
  <c r="P35" i="5"/>
  <c r="J35" i="5" s="1"/>
  <c r="P34" i="5"/>
  <c r="J34" i="5" s="1"/>
  <c r="L34" i="5" s="1"/>
  <c r="E117" i="231" l="1"/>
  <c r="F117" i="231" s="1"/>
  <c r="G117" i="231" s="1"/>
  <c r="L37" i="5"/>
  <c r="L38" i="5"/>
  <c r="L36" i="5"/>
  <c r="O2885" i="246" l="1"/>
  <c r="R2885" i="246" s="1"/>
  <c r="M2953" i="1"/>
  <c r="O2884" i="246"/>
  <c r="R2884" i="246" s="1"/>
  <c r="M2952" i="1"/>
  <c r="E118" i="231"/>
  <c r="F118" i="231" s="1"/>
  <c r="G118" i="231" s="1"/>
  <c r="S2885" i="246" l="1"/>
  <c r="W2885" i="246"/>
  <c r="D2885" i="246" s="1"/>
  <c r="U3527" i="246"/>
  <c r="U3363" i="246"/>
  <c r="S2884" i="246"/>
  <c r="V3759" i="1"/>
  <c r="W2884" i="246"/>
  <c r="D2884" i="246" s="1"/>
  <c r="V4087" i="1"/>
  <c r="V3923" i="1"/>
  <c r="V3595" i="1"/>
  <c r="S2952" i="1"/>
  <c r="S2953" i="1"/>
  <c r="E119" i="231"/>
  <c r="F119" i="231" s="1"/>
  <c r="G119" i="231" s="1"/>
  <c r="C2369" i="1"/>
  <c r="C2368" i="1"/>
  <c r="C2367" i="1"/>
  <c r="C2366" i="1"/>
  <c r="C2365" i="1"/>
  <c r="J115" i="1"/>
  <c r="J116" i="1"/>
  <c r="R116" i="1" s="1"/>
  <c r="J118" i="1"/>
  <c r="J120" i="1"/>
  <c r="J121" i="1"/>
  <c r="J122" i="1"/>
  <c r="J123" i="1"/>
  <c r="J124" i="1"/>
  <c r="J126" i="1"/>
  <c r="J127" i="1"/>
  <c r="J128" i="1"/>
  <c r="J129" i="1"/>
  <c r="J138" i="1"/>
  <c r="J139" i="1"/>
  <c r="J145" i="1"/>
  <c r="J980" i="1"/>
  <c r="J981" i="1"/>
  <c r="J982" i="1"/>
  <c r="J983" i="1"/>
  <c r="C379" i="4"/>
  <c r="C374" i="4"/>
  <c r="C359" i="4"/>
  <c r="C354" i="4"/>
  <c r="C349" i="4"/>
  <c r="C344" i="4"/>
  <c r="C339" i="4"/>
  <c r="C334" i="4"/>
  <c r="L23" i="80"/>
  <c r="K23" i="80"/>
  <c r="I23" i="80"/>
  <c r="H23" i="80"/>
  <c r="G23" i="80"/>
  <c r="F23" i="80"/>
  <c r="F25" i="80" s="1"/>
  <c r="C21" i="80"/>
  <c r="C15" i="80"/>
  <c r="E4" i="80"/>
  <c r="E120" i="231" l="1"/>
  <c r="F120" i="231" s="1"/>
  <c r="G120" i="231" s="1"/>
  <c r="M140" i="136"/>
  <c r="G140" i="136" s="1"/>
  <c r="I140" i="136" s="1"/>
  <c r="M139" i="136"/>
  <c r="G139" i="136" s="1"/>
  <c r="I139" i="136" s="1"/>
  <c r="O3174" i="246" s="1"/>
  <c r="M138" i="136"/>
  <c r="G138" i="136" s="1"/>
  <c r="I138" i="136" s="1"/>
  <c r="O3173" i="246" s="1"/>
  <c r="M137" i="136"/>
  <c r="G137" i="136" s="1"/>
  <c r="I137" i="136" s="1"/>
  <c r="O3172" i="246" s="1"/>
  <c r="M136" i="136"/>
  <c r="G136" i="136" s="1"/>
  <c r="I136" i="136" s="1"/>
  <c r="O3171" i="246" s="1"/>
  <c r="H484" i="149"/>
  <c r="G484" i="149"/>
  <c r="I484" i="149"/>
  <c r="K15" i="149"/>
  <c r="D4" i="149"/>
  <c r="C2" i="149"/>
  <c r="K367" i="136"/>
  <c r="F367" i="136" s="1"/>
  <c r="K368" i="136"/>
  <c r="F368" i="136" s="1"/>
  <c r="M401" i="136"/>
  <c r="M400" i="136"/>
  <c r="G400" i="136" s="1"/>
  <c r="I400" i="136" s="1"/>
  <c r="M399" i="136"/>
  <c r="G399" i="136" s="1"/>
  <c r="M398" i="136"/>
  <c r="G398" i="136" s="1"/>
  <c r="M397" i="136"/>
  <c r="G397" i="136" s="1"/>
  <c r="M396" i="136"/>
  <c r="G396" i="136" s="1"/>
  <c r="M395" i="136"/>
  <c r="G395" i="136" s="1"/>
  <c r="M394" i="136"/>
  <c r="G394" i="136" s="1"/>
  <c r="M393" i="136"/>
  <c r="G393" i="136" s="1"/>
  <c r="I393" i="136" s="1"/>
  <c r="M392" i="136"/>
  <c r="G392" i="136" s="1"/>
  <c r="M391" i="136"/>
  <c r="G391" i="136" s="1"/>
  <c r="M390" i="136"/>
  <c r="G390" i="136" s="1"/>
  <c r="M389" i="136"/>
  <c r="G389" i="136" s="1"/>
  <c r="I389" i="136" s="1"/>
  <c r="F389" i="5" s="1"/>
  <c r="M388" i="136"/>
  <c r="G388" i="136" s="1"/>
  <c r="M387" i="136"/>
  <c r="G387" i="136" s="1"/>
  <c r="M386" i="136"/>
  <c r="G386" i="136" s="1"/>
  <c r="M385" i="136"/>
  <c r="G385" i="136" s="1"/>
  <c r="M384" i="136"/>
  <c r="G384" i="136" s="1"/>
  <c r="M383" i="136"/>
  <c r="G383" i="136" s="1"/>
  <c r="M382" i="136"/>
  <c r="G382" i="136" s="1"/>
  <c r="M381" i="136"/>
  <c r="G381" i="136" s="1"/>
  <c r="M380" i="136"/>
  <c r="G380" i="136" s="1"/>
  <c r="M379" i="136"/>
  <c r="G379" i="136" s="1"/>
  <c r="M378" i="136"/>
  <c r="G378" i="136" s="1"/>
  <c r="M377" i="136"/>
  <c r="G377" i="136" s="1"/>
  <c r="M376" i="136"/>
  <c r="G376" i="136" s="1"/>
  <c r="M375" i="136"/>
  <c r="G375" i="136" s="1"/>
  <c r="M374" i="136"/>
  <c r="G374" i="136" s="1"/>
  <c r="I374" i="136" s="1"/>
  <c r="M373" i="136"/>
  <c r="G373" i="136" s="1"/>
  <c r="M372" i="136"/>
  <c r="G372" i="136" s="1"/>
  <c r="M371" i="136"/>
  <c r="G371" i="136" s="1"/>
  <c r="M370" i="136"/>
  <c r="G370" i="136" s="1"/>
  <c r="M369" i="136"/>
  <c r="G369" i="136" s="1"/>
  <c r="M368" i="136"/>
  <c r="G368" i="136" s="1"/>
  <c r="M367" i="136"/>
  <c r="G367" i="136" s="1"/>
  <c r="M366" i="136"/>
  <c r="G366" i="136" s="1"/>
  <c r="M365" i="136"/>
  <c r="G365" i="136" s="1"/>
  <c r="M364" i="136"/>
  <c r="G364" i="136" s="1"/>
  <c r="M363" i="136"/>
  <c r="G363" i="136" s="1"/>
  <c r="M362" i="136"/>
  <c r="G362" i="136" s="1"/>
  <c r="M361" i="136"/>
  <c r="G361" i="136" s="1"/>
  <c r="M360" i="136"/>
  <c r="G360" i="136" s="1"/>
  <c r="M359" i="136"/>
  <c r="G359" i="136" s="1"/>
  <c r="M358" i="136"/>
  <c r="M357" i="136"/>
  <c r="G357" i="136" s="1"/>
  <c r="M356" i="136"/>
  <c r="G356" i="136" s="1"/>
  <c r="M355" i="136"/>
  <c r="G355" i="136" s="1"/>
  <c r="M354" i="136"/>
  <c r="G354" i="136" s="1"/>
  <c r="I354" i="136" s="1"/>
  <c r="M353" i="136"/>
  <c r="G353" i="136" s="1"/>
  <c r="M352" i="136"/>
  <c r="G352" i="136" s="1"/>
  <c r="M351" i="136"/>
  <c r="G351" i="136" s="1"/>
  <c r="M350" i="136"/>
  <c r="G350" i="136" s="1"/>
  <c r="M349" i="136"/>
  <c r="G349" i="136" s="1"/>
  <c r="M347" i="136"/>
  <c r="G347" i="136" s="1"/>
  <c r="M346" i="136"/>
  <c r="G346" i="136" s="1"/>
  <c r="M344" i="136"/>
  <c r="G344" i="136" s="1"/>
  <c r="M342" i="136"/>
  <c r="G342" i="136" s="1"/>
  <c r="M341" i="136"/>
  <c r="G341" i="136" s="1"/>
  <c r="M334" i="136"/>
  <c r="G334" i="136" s="1"/>
  <c r="M332" i="136"/>
  <c r="G332" i="136" s="1"/>
  <c r="M330" i="136"/>
  <c r="G330" i="136" s="1"/>
  <c r="M321" i="136"/>
  <c r="G321" i="136" s="1"/>
  <c r="M319" i="136"/>
  <c r="G319" i="136" s="1"/>
  <c r="M318" i="136"/>
  <c r="G318" i="136" s="1"/>
  <c r="M317" i="136"/>
  <c r="G317" i="136" s="1"/>
  <c r="M316" i="136"/>
  <c r="G316" i="136" s="1"/>
  <c r="M315" i="136"/>
  <c r="G315" i="136" s="1"/>
  <c r="M314" i="136"/>
  <c r="G314" i="136" s="1"/>
  <c r="M313" i="136"/>
  <c r="G313" i="136" s="1"/>
  <c r="M312" i="136"/>
  <c r="G312" i="136" s="1"/>
  <c r="M311" i="136"/>
  <c r="G311" i="136" s="1"/>
  <c r="M310" i="136"/>
  <c r="G310" i="136" s="1"/>
  <c r="M309" i="136"/>
  <c r="G309" i="136" s="1"/>
  <c r="M308" i="136"/>
  <c r="G308" i="136" s="1"/>
  <c r="M307" i="136"/>
  <c r="G307" i="136" s="1"/>
  <c r="M302" i="136"/>
  <c r="G302" i="136" s="1"/>
  <c r="I302" i="136" s="1"/>
  <c r="M283" i="136"/>
  <c r="G283" i="136" s="1"/>
  <c r="M282" i="136"/>
  <c r="G282" i="136" s="1"/>
  <c r="I282" i="136" s="1"/>
  <c r="F282" i="5" s="1"/>
  <c r="M281" i="136"/>
  <c r="G281" i="136" s="1"/>
  <c r="I281" i="136" s="1"/>
  <c r="F281" i="5" s="1"/>
  <c r="M280" i="136"/>
  <c r="G280" i="136" s="1"/>
  <c r="M279" i="136"/>
  <c r="G279" i="136" s="1"/>
  <c r="I279" i="136" s="1"/>
  <c r="M278" i="136"/>
  <c r="G278" i="136" s="1"/>
  <c r="I278" i="136" s="1"/>
  <c r="F278" i="5" s="1"/>
  <c r="M277" i="136"/>
  <c r="G277" i="136" s="1"/>
  <c r="I277" i="136" s="1"/>
  <c r="F277" i="5" s="1"/>
  <c r="M276" i="136"/>
  <c r="G276" i="136" s="1"/>
  <c r="M275" i="136"/>
  <c r="G275" i="136" s="1"/>
  <c r="I275" i="136" s="1"/>
  <c r="M274" i="136"/>
  <c r="G274" i="136" s="1"/>
  <c r="I274" i="136" s="1"/>
  <c r="F274" i="5" s="1"/>
  <c r="M273" i="136"/>
  <c r="G273" i="136" s="1"/>
  <c r="I273" i="136" s="1"/>
  <c r="F273" i="5" s="1"/>
  <c r="M272" i="136"/>
  <c r="G272" i="136" s="1"/>
  <c r="M271" i="136"/>
  <c r="G271" i="136" s="1"/>
  <c r="I271" i="136" s="1"/>
  <c r="M270" i="136"/>
  <c r="G270" i="136" s="1"/>
  <c r="I270" i="136" s="1"/>
  <c r="F270" i="5" s="1"/>
  <c r="M269" i="136"/>
  <c r="G269" i="136" s="1"/>
  <c r="I269" i="136" s="1"/>
  <c r="F269" i="5" s="1"/>
  <c r="M268" i="136"/>
  <c r="G268" i="136" s="1"/>
  <c r="M267" i="136"/>
  <c r="G267" i="136" s="1"/>
  <c r="I267" i="136" s="1"/>
  <c r="M266" i="136"/>
  <c r="G266" i="136" s="1"/>
  <c r="I266" i="136" s="1"/>
  <c r="F266" i="5" s="1"/>
  <c r="M265" i="136"/>
  <c r="G265" i="136" s="1"/>
  <c r="I265" i="136" s="1"/>
  <c r="F265" i="5" s="1"/>
  <c r="M264" i="136"/>
  <c r="G264" i="136" s="1"/>
  <c r="M263" i="136"/>
  <c r="G263" i="136" s="1"/>
  <c r="I263" i="136" s="1"/>
  <c r="M262" i="136"/>
  <c r="G262" i="136" s="1"/>
  <c r="I262" i="136" s="1"/>
  <c r="F262" i="5" s="1"/>
  <c r="M261" i="136"/>
  <c r="G261" i="136" s="1"/>
  <c r="I261" i="136" s="1"/>
  <c r="F261" i="5" s="1"/>
  <c r="M260" i="136"/>
  <c r="G260" i="136" s="1"/>
  <c r="M259" i="136"/>
  <c r="G259" i="136" s="1"/>
  <c r="I259" i="136" s="1"/>
  <c r="M258" i="136"/>
  <c r="G258" i="136" s="1"/>
  <c r="I258" i="136" s="1"/>
  <c r="F258" i="5" s="1"/>
  <c r="M257" i="136"/>
  <c r="G257" i="136" s="1"/>
  <c r="I257" i="136" s="1"/>
  <c r="F257" i="5" s="1"/>
  <c r="M256" i="136"/>
  <c r="G256" i="136" s="1"/>
  <c r="M255" i="136"/>
  <c r="G255" i="136" s="1"/>
  <c r="I255" i="136" s="1"/>
  <c r="M254" i="136"/>
  <c r="G254" i="136" s="1"/>
  <c r="I254" i="136" s="1"/>
  <c r="F254" i="5" s="1"/>
  <c r="M253" i="136"/>
  <c r="G253" i="136" s="1"/>
  <c r="I253" i="136" s="1"/>
  <c r="F253" i="5" s="1"/>
  <c r="M252" i="136"/>
  <c r="G252" i="136" s="1"/>
  <c r="M251" i="136"/>
  <c r="G251" i="136" s="1"/>
  <c r="I251" i="136" s="1"/>
  <c r="M238" i="136"/>
  <c r="G238" i="136" s="1"/>
  <c r="I238" i="136" s="1"/>
  <c r="F238" i="5" s="1"/>
  <c r="M237" i="136"/>
  <c r="G237" i="136" s="1"/>
  <c r="I237" i="136" s="1"/>
  <c r="F237" i="5" s="1"/>
  <c r="M236" i="136"/>
  <c r="G236" i="136" s="1"/>
  <c r="M235" i="136"/>
  <c r="G235" i="136" s="1"/>
  <c r="I235" i="136" s="1"/>
  <c r="M232" i="136"/>
  <c r="G232" i="136" s="1"/>
  <c r="I232" i="136" s="1"/>
  <c r="F232" i="5" s="1"/>
  <c r="M231" i="136"/>
  <c r="G231" i="136" s="1"/>
  <c r="I231" i="136" s="1"/>
  <c r="F231" i="5" s="1"/>
  <c r="M230" i="136"/>
  <c r="G230" i="136" s="1"/>
  <c r="M229" i="136"/>
  <c r="G229" i="136" s="1"/>
  <c r="I229" i="136" s="1"/>
  <c r="M228" i="136"/>
  <c r="G228" i="136" s="1"/>
  <c r="I228" i="136" s="1"/>
  <c r="F228" i="5" s="1"/>
  <c r="M227" i="136"/>
  <c r="G227" i="136" s="1"/>
  <c r="I227" i="136" s="1"/>
  <c r="F227" i="5" s="1"/>
  <c r="M226" i="136"/>
  <c r="G226" i="136" s="1"/>
  <c r="I226" i="136" s="1"/>
  <c r="F226" i="5" s="1"/>
  <c r="M225" i="136"/>
  <c r="G225" i="136" s="1"/>
  <c r="I225" i="136" s="1"/>
  <c r="F225" i="5" s="1"/>
  <c r="M222" i="136"/>
  <c r="G222" i="136" s="1"/>
  <c r="M221" i="136"/>
  <c r="G221" i="136" s="1"/>
  <c r="M220" i="136"/>
  <c r="G220" i="136" s="1"/>
  <c r="I220" i="136" s="1"/>
  <c r="M219" i="136"/>
  <c r="G219" i="136" s="1"/>
  <c r="M218" i="136"/>
  <c r="G218" i="136" s="1"/>
  <c r="M217" i="136"/>
  <c r="G217" i="136" s="1"/>
  <c r="M216" i="136"/>
  <c r="G216" i="136" s="1"/>
  <c r="M215" i="136"/>
  <c r="G215" i="136" s="1"/>
  <c r="M214" i="136"/>
  <c r="G214" i="136" s="1"/>
  <c r="M213" i="136"/>
  <c r="G213" i="136" s="1"/>
  <c r="M212" i="136"/>
  <c r="G212" i="136" s="1"/>
  <c r="M211" i="136"/>
  <c r="G211" i="136" s="1"/>
  <c r="M210" i="136"/>
  <c r="G210" i="136" s="1"/>
  <c r="M209" i="136"/>
  <c r="G209" i="136" s="1"/>
  <c r="M208" i="136"/>
  <c r="G208" i="136" s="1"/>
  <c r="M207" i="136"/>
  <c r="G207" i="136" s="1"/>
  <c r="M206" i="136"/>
  <c r="G206" i="136" s="1"/>
  <c r="M205" i="136"/>
  <c r="G205" i="136" s="1"/>
  <c r="M204" i="136"/>
  <c r="G204" i="136" s="1"/>
  <c r="M203" i="136"/>
  <c r="M202" i="136"/>
  <c r="G202" i="136" s="1"/>
  <c r="M201" i="136"/>
  <c r="G201" i="136" s="1"/>
  <c r="M200" i="136"/>
  <c r="G200" i="136" s="1"/>
  <c r="M197" i="136"/>
  <c r="G197" i="136" s="1"/>
  <c r="M196" i="136"/>
  <c r="G196" i="136" s="1"/>
  <c r="M195" i="136"/>
  <c r="G195" i="136" s="1"/>
  <c r="M194" i="136"/>
  <c r="G194" i="136" s="1"/>
  <c r="M193" i="136"/>
  <c r="G193" i="136" s="1"/>
  <c r="M192" i="136"/>
  <c r="G192" i="136" s="1"/>
  <c r="M191" i="136"/>
  <c r="G191" i="136" s="1"/>
  <c r="M190" i="136"/>
  <c r="G190" i="136" s="1"/>
  <c r="M189" i="136"/>
  <c r="G189" i="136" s="1"/>
  <c r="M188" i="136"/>
  <c r="G188" i="136" s="1"/>
  <c r="M187" i="136"/>
  <c r="G187" i="136" s="1"/>
  <c r="M186" i="136"/>
  <c r="G186" i="136" s="1"/>
  <c r="M185" i="136"/>
  <c r="G185" i="136" s="1"/>
  <c r="I185" i="136" s="1"/>
  <c r="M184" i="136"/>
  <c r="G184" i="136" s="1"/>
  <c r="M183" i="136"/>
  <c r="G183" i="136" s="1"/>
  <c r="I183" i="136" s="1"/>
  <c r="F183" i="5" s="1"/>
  <c r="M182" i="136"/>
  <c r="G182" i="136" s="1"/>
  <c r="I182" i="136" s="1"/>
  <c r="F182" i="5" s="1"/>
  <c r="M181" i="136"/>
  <c r="G181" i="136" s="1"/>
  <c r="M180" i="136"/>
  <c r="G180" i="136" s="1"/>
  <c r="I180" i="136" s="1"/>
  <c r="M179" i="136"/>
  <c r="G179" i="136" s="1"/>
  <c r="I179" i="136" s="1"/>
  <c r="F179" i="5" s="1"/>
  <c r="M178" i="136"/>
  <c r="G178" i="136" s="1"/>
  <c r="I178" i="136" s="1"/>
  <c r="F178" i="5" s="1"/>
  <c r="M177" i="136"/>
  <c r="G177" i="136" s="1"/>
  <c r="M176" i="136"/>
  <c r="G176" i="136" s="1"/>
  <c r="I176" i="136" s="1"/>
  <c r="M175" i="136"/>
  <c r="G175" i="136" s="1"/>
  <c r="I175" i="136" s="1"/>
  <c r="F175" i="5" s="1"/>
  <c r="M174" i="136"/>
  <c r="G174" i="136" s="1"/>
  <c r="I174" i="136" s="1"/>
  <c r="F174" i="5" s="1"/>
  <c r="M173" i="136"/>
  <c r="G173" i="136" s="1"/>
  <c r="M172" i="136"/>
  <c r="G172" i="136" s="1"/>
  <c r="I172" i="136" s="1"/>
  <c r="M171" i="136"/>
  <c r="G171" i="136" s="1"/>
  <c r="I171" i="136" s="1"/>
  <c r="F171" i="5" s="1"/>
  <c r="M170" i="136"/>
  <c r="G170" i="136" s="1"/>
  <c r="M169" i="136"/>
  <c r="K401" i="136"/>
  <c r="F401" i="136" s="1"/>
  <c r="K400" i="136"/>
  <c r="K399" i="136"/>
  <c r="F399" i="136" s="1"/>
  <c r="K398" i="136"/>
  <c r="K397" i="136"/>
  <c r="F397" i="136" s="1"/>
  <c r="K396" i="136"/>
  <c r="F396" i="136" s="1"/>
  <c r="K395" i="136"/>
  <c r="F395" i="136" s="1"/>
  <c r="K394" i="136"/>
  <c r="F394" i="136" s="1"/>
  <c r="K393" i="136"/>
  <c r="K392" i="136"/>
  <c r="K391" i="136"/>
  <c r="K390" i="136"/>
  <c r="K389" i="136"/>
  <c r="K388" i="136"/>
  <c r="K387" i="136"/>
  <c r="K386" i="136"/>
  <c r="K385" i="136"/>
  <c r="K384" i="136"/>
  <c r="F384" i="136" s="1"/>
  <c r="K383" i="136"/>
  <c r="F383" i="136" s="1"/>
  <c r="K382" i="136"/>
  <c r="F382" i="136" s="1"/>
  <c r="K381" i="136"/>
  <c r="F381" i="136" s="1"/>
  <c r="K380" i="136"/>
  <c r="F380" i="136" s="1"/>
  <c r="K379" i="136"/>
  <c r="K378" i="136"/>
  <c r="K377" i="136"/>
  <c r="F377" i="136" s="1"/>
  <c r="K376" i="136"/>
  <c r="F376" i="136" s="1"/>
  <c r="K375" i="136"/>
  <c r="F375" i="136" s="1"/>
  <c r="K374" i="136"/>
  <c r="K373" i="136"/>
  <c r="F373" i="136" s="1"/>
  <c r="K372" i="136"/>
  <c r="F372" i="136" s="1"/>
  <c r="K371" i="136"/>
  <c r="F371" i="136" s="1"/>
  <c r="K370" i="136"/>
  <c r="F370" i="136" s="1"/>
  <c r="K369" i="136"/>
  <c r="F369" i="136" s="1"/>
  <c r="K366" i="136"/>
  <c r="K365" i="136"/>
  <c r="F365" i="136" s="1"/>
  <c r="K364" i="136"/>
  <c r="F364" i="136" s="1"/>
  <c r="K363" i="136"/>
  <c r="F363" i="136" s="1"/>
  <c r="K362" i="136"/>
  <c r="F362" i="136" s="1"/>
  <c r="K361" i="136"/>
  <c r="F361" i="136" s="1"/>
  <c r="K360" i="136"/>
  <c r="F360" i="136" s="1"/>
  <c r="K359" i="136"/>
  <c r="K358" i="136"/>
  <c r="F358" i="136" s="1"/>
  <c r="K357" i="136"/>
  <c r="F357" i="136" s="1"/>
  <c r="K356" i="136"/>
  <c r="F356" i="136" s="1"/>
  <c r="K355" i="136"/>
  <c r="F355" i="136" s="1"/>
  <c r="K354" i="136"/>
  <c r="K353" i="136"/>
  <c r="F353" i="136" s="1"/>
  <c r="K352" i="136"/>
  <c r="F352" i="136" s="1"/>
  <c r="K351" i="136"/>
  <c r="F351" i="136" s="1"/>
  <c r="K350" i="136"/>
  <c r="F350" i="136" s="1"/>
  <c r="K349" i="136"/>
  <c r="F349" i="136" s="1"/>
  <c r="K347" i="136"/>
  <c r="F347" i="136" s="1"/>
  <c r="K346" i="136"/>
  <c r="F346" i="136" s="1"/>
  <c r="K344" i="136"/>
  <c r="F344" i="136" s="1"/>
  <c r="K342" i="136"/>
  <c r="K341" i="136"/>
  <c r="F341" i="136" s="1"/>
  <c r="K334" i="136"/>
  <c r="F334" i="136" s="1"/>
  <c r="K332" i="136"/>
  <c r="F332" i="136" s="1"/>
  <c r="K330" i="136"/>
  <c r="F330" i="136" s="1"/>
  <c r="K321" i="136"/>
  <c r="F321" i="136" s="1"/>
  <c r="K319" i="136"/>
  <c r="K318" i="136"/>
  <c r="F318" i="136" s="1"/>
  <c r="K317" i="136"/>
  <c r="F317" i="136" s="1"/>
  <c r="K316" i="136"/>
  <c r="F316" i="136" s="1"/>
  <c r="K315" i="136"/>
  <c r="F315" i="136" s="1"/>
  <c r="K314" i="136"/>
  <c r="F314" i="136" s="1"/>
  <c r="K313" i="136"/>
  <c r="K312" i="136"/>
  <c r="F312" i="136" s="1"/>
  <c r="K311" i="136"/>
  <c r="F311" i="136" s="1"/>
  <c r="K310" i="136"/>
  <c r="F310" i="136" s="1"/>
  <c r="K309" i="136"/>
  <c r="F309" i="136" s="1"/>
  <c r="K308" i="136"/>
  <c r="F308" i="136" s="1"/>
  <c r="K307" i="136"/>
  <c r="K302" i="136"/>
  <c r="K283" i="136"/>
  <c r="K282" i="136"/>
  <c r="K281" i="136"/>
  <c r="K280" i="136"/>
  <c r="K279" i="136"/>
  <c r="K278" i="136"/>
  <c r="K277" i="136"/>
  <c r="K276" i="136"/>
  <c r="K275" i="136"/>
  <c r="K274" i="136"/>
  <c r="K273" i="136"/>
  <c r="K272" i="136"/>
  <c r="K271" i="136"/>
  <c r="K270" i="136"/>
  <c r="K269" i="136"/>
  <c r="K268" i="136"/>
  <c r="K267" i="136"/>
  <c r="K266" i="136"/>
  <c r="K265" i="136"/>
  <c r="K264" i="136"/>
  <c r="K263" i="136"/>
  <c r="K262" i="136"/>
  <c r="K261" i="136"/>
  <c r="K260" i="136"/>
  <c r="K259" i="136"/>
  <c r="K258" i="136"/>
  <c r="K257" i="136"/>
  <c r="K256" i="136"/>
  <c r="K255" i="136"/>
  <c r="K254" i="136"/>
  <c r="K253" i="136"/>
  <c r="K252" i="136"/>
  <c r="K251" i="136"/>
  <c r="K238" i="136"/>
  <c r="K237" i="136"/>
  <c r="K236" i="136"/>
  <c r="K235" i="136"/>
  <c r="K232" i="136"/>
  <c r="K231" i="136"/>
  <c r="K230" i="136"/>
  <c r="K229" i="136"/>
  <c r="K228" i="136"/>
  <c r="K227" i="136"/>
  <c r="K226" i="136"/>
  <c r="K225" i="136"/>
  <c r="K222" i="136"/>
  <c r="K221" i="136"/>
  <c r="F221" i="136" s="1"/>
  <c r="K220" i="136"/>
  <c r="K219" i="136"/>
  <c r="F219" i="136" s="1"/>
  <c r="K218" i="136"/>
  <c r="F218" i="136" s="1"/>
  <c r="K217" i="136"/>
  <c r="F217" i="136" s="1"/>
  <c r="K216" i="136"/>
  <c r="F216" i="136" s="1"/>
  <c r="K215" i="136"/>
  <c r="F215" i="136" s="1"/>
  <c r="K214" i="136"/>
  <c r="F214" i="136" s="1"/>
  <c r="K213" i="136"/>
  <c r="F213" i="136" s="1"/>
  <c r="K212" i="136"/>
  <c r="F212" i="136" s="1"/>
  <c r="K211" i="136"/>
  <c r="F211" i="136" s="1"/>
  <c r="K210" i="136"/>
  <c r="F210" i="136" s="1"/>
  <c r="K209" i="136"/>
  <c r="F209" i="136" s="1"/>
  <c r="K208" i="136"/>
  <c r="F208" i="136" s="1"/>
  <c r="K207" i="136"/>
  <c r="F207" i="136" s="1"/>
  <c r="K206" i="136"/>
  <c r="F206" i="136" s="1"/>
  <c r="K205" i="136"/>
  <c r="F205" i="136" s="1"/>
  <c r="K204" i="136"/>
  <c r="F204" i="136" s="1"/>
  <c r="K203" i="136"/>
  <c r="F203" i="136" s="1"/>
  <c r="K202" i="136"/>
  <c r="F202" i="136" s="1"/>
  <c r="K201" i="136"/>
  <c r="F201" i="136" s="1"/>
  <c r="K200" i="136"/>
  <c r="F200" i="136" s="1"/>
  <c r="K197" i="136"/>
  <c r="F197" i="136" s="1"/>
  <c r="K196" i="136"/>
  <c r="F196" i="136" s="1"/>
  <c r="K195" i="136"/>
  <c r="F195" i="136" s="1"/>
  <c r="K194" i="136"/>
  <c r="F194" i="136" s="1"/>
  <c r="K193" i="136"/>
  <c r="F193" i="136" s="1"/>
  <c r="K192" i="136"/>
  <c r="F192" i="136" s="1"/>
  <c r="K191" i="136"/>
  <c r="F191" i="136" s="1"/>
  <c r="K190" i="136"/>
  <c r="F190" i="136" s="1"/>
  <c r="K189" i="136"/>
  <c r="F189" i="136" s="1"/>
  <c r="K188" i="136"/>
  <c r="F188" i="136" s="1"/>
  <c r="K187" i="136"/>
  <c r="F187" i="136" s="1"/>
  <c r="K186" i="136"/>
  <c r="F186" i="136" s="1"/>
  <c r="K185" i="136"/>
  <c r="K184" i="136"/>
  <c r="K183" i="136"/>
  <c r="K182" i="136"/>
  <c r="K181" i="136"/>
  <c r="K180" i="136"/>
  <c r="K179" i="136"/>
  <c r="K178" i="136"/>
  <c r="K177" i="136"/>
  <c r="K176" i="136"/>
  <c r="K175" i="136"/>
  <c r="K174" i="136"/>
  <c r="K173" i="136"/>
  <c r="K172" i="136"/>
  <c r="K171" i="136"/>
  <c r="K170" i="136"/>
  <c r="K169" i="136"/>
  <c r="AA226" i="89"/>
  <c r="K279" i="89"/>
  <c r="K278" i="89"/>
  <c r="M165" i="136"/>
  <c r="G165" i="136" s="1"/>
  <c r="I165" i="136" s="1"/>
  <c r="K280" i="89"/>
  <c r="K368" i="89"/>
  <c r="K367" i="89"/>
  <c r="K293" i="89"/>
  <c r="K292" i="89"/>
  <c r="K291" i="89"/>
  <c r="K290" i="89"/>
  <c r="K289" i="89"/>
  <c r="K288" i="89"/>
  <c r="K287" i="89"/>
  <c r="K286" i="89"/>
  <c r="K285" i="89"/>
  <c r="E3" i="124"/>
  <c r="F222" i="136" l="1"/>
  <c r="F230" i="136"/>
  <c r="I230" i="136" s="1"/>
  <c r="F236" i="136"/>
  <c r="O3175" i="246"/>
  <c r="M3243" i="1"/>
  <c r="U162" i="242"/>
  <c r="Z278" i="89"/>
  <c r="AB278" i="89" s="1"/>
  <c r="AC278" i="89" s="1"/>
  <c r="Z279" i="89"/>
  <c r="AB279" i="89" s="1"/>
  <c r="AC279" i="89" s="1"/>
  <c r="Z290" i="89"/>
  <c r="AB290" i="89" s="1"/>
  <c r="AC290" i="89" s="1"/>
  <c r="Z286" i="89"/>
  <c r="AB286" i="89" s="1"/>
  <c r="AC286" i="89" s="1"/>
  <c r="Z367" i="89"/>
  <c r="AB367" i="89" s="1"/>
  <c r="AC367" i="89" s="1"/>
  <c r="Z287" i="89"/>
  <c r="AB287" i="89" s="1"/>
  <c r="AC287" i="89" s="1"/>
  <c r="Z291" i="89"/>
  <c r="AB291" i="89" s="1"/>
  <c r="AC291" i="89" s="1"/>
  <c r="Z368" i="89"/>
  <c r="AB368" i="89" s="1"/>
  <c r="AC368" i="89" s="1"/>
  <c r="Z288" i="89"/>
  <c r="AB288" i="89" s="1"/>
  <c r="AC288" i="89" s="1"/>
  <c r="Z292" i="89"/>
  <c r="AB292" i="89" s="1"/>
  <c r="AC292" i="89" s="1"/>
  <c r="Z280" i="89"/>
  <c r="AB280" i="89" s="1"/>
  <c r="AC280" i="89" s="1"/>
  <c r="Z285" i="89"/>
  <c r="AB285" i="89" s="1"/>
  <c r="AC285" i="89" s="1"/>
  <c r="Z289" i="89"/>
  <c r="AB289" i="89" s="1"/>
  <c r="AC289" i="89" s="1"/>
  <c r="Z293" i="89"/>
  <c r="AB293" i="89" s="1"/>
  <c r="AC293" i="89" s="1"/>
  <c r="O3405" i="1"/>
  <c r="M3241" i="1"/>
  <c r="M3242" i="1"/>
  <c r="O3406" i="1"/>
  <c r="O3404" i="1"/>
  <c r="M3240" i="1"/>
  <c r="O3403" i="1"/>
  <c r="M3239" i="1"/>
  <c r="O3407" i="1"/>
  <c r="M21" i="149"/>
  <c r="E121" i="231"/>
  <c r="F121" i="231" s="1"/>
  <c r="G121" i="231" s="1"/>
  <c r="M16" i="149"/>
  <c r="M18" i="149"/>
  <c r="A18" i="149" s="1"/>
  <c r="G169" i="136"/>
  <c r="I169" i="136" s="1"/>
  <c r="M26" i="149"/>
  <c r="A26" i="149" s="1"/>
  <c r="M25" i="149"/>
  <c r="A25" i="149" s="1"/>
  <c r="M23" i="149"/>
  <c r="A23" i="149" s="1"/>
  <c r="M20" i="149"/>
  <c r="M19" i="149"/>
  <c r="M17" i="149"/>
  <c r="I395" i="136"/>
  <c r="F395" i="5" s="1"/>
  <c r="G358" i="136"/>
  <c r="I358" i="136" s="1"/>
  <c r="F358" i="5" s="1"/>
  <c r="G203" i="136"/>
  <c r="I203" i="136" s="1"/>
  <c r="F203" i="5" s="1"/>
  <c r="G401" i="136"/>
  <c r="I401" i="136" s="1"/>
  <c r="F401" i="5" s="1"/>
  <c r="I209" i="136"/>
  <c r="F209" i="5" s="1"/>
  <c r="I213" i="136"/>
  <c r="F213" i="5" s="1"/>
  <c r="I187" i="136"/>
  <c r="F187" i="5" s="1"/>
  <c r="I196" i="136"/>
  <c r="F196" i="5" s="1"/>
  <c r="I195" i="136"/>
  <c r="F195" i="5" s="1"/>
  <c r="I207" i="136"/>
  <c r="F207" i="5" s="1"/>
  <c r="F170" i="136"/>
  <c r="I170" i="136" s="1"/>
  <c r="I212" i="136"/>
  <c r="F212" i="5" s="1"/>
  <c r="F181" i="136"/>
  <c r="I181" i="136" s="1"/>
  <c r="A304" i="149"/>
  <c r="A464" i="149"/>
  <c r="I221" i="136"/>
  <c r="I189" i="136"/>
  <c r="F189" i="5" s="1"/>
  <c r="I193" i="136"/>
  <c r="F193" i="5" s="1"/>
  <c r="I370" i="136"/>
  <c r="F370" i="5" s="1"/>
  <c r="I236" i="136"/>
  <c r="F252" i="136"/>
  <c r="I252" i="136" s="1"/>
  <c r="F256" i="136"/>
  <c r="I256" i="136" s="1"/>
  <c r="F260" i="136"/>
  <c r="I260" i="136" s="1"/>
  <c r="F264" i="136"/>
  <c r="I264" i="136" s="1"/>
  <c r="F268" i="136"/>
  <c r="I268" i="136" s="1"/>
  <c r="F272" i="136"/>
  <c r="I272" i="136" s="1"/>
  <c r="F276" i="136"/>
  <c r="I276" i="136" s="1"/>
  <c r="F280" i="136"/>
  <c r="I280" i="136" s="1"/>
  <c r="A49" i="149"/>
  <c r="A51" i="149"/>
  <c r="A52" i="149"/>
  <c r="A57" i="149"/>
  <c r="A59" i="149"/>
  <c r="A60" i="149"/>
  <c r="A61" i="149"/>
  <c r="A63" i="149"/>
  <c r="A64" i="149"/>
  <c r="A65" i="149"/>
  <c r="A67" i="149"/>
  <c r="A68" i="149"/>
  <c r="A73" i="149"/>
  <c r="A75" i="149"/>
  <c r="A76" i="149"/>
  <c r="A77" i="149"/>
  <c r="A79" i="149"/>
  <c r="A80" i="149"/>
  <c r="A149" i="149"/>
  <c r="A181" i="149"/>
  <c r="A189" i="149"/>
  <c r="A192" i="149"/>
  <c r="A197" i="149"/>
  <c r="A198" i="149"/>
  <c r="A199" i="149"/>
  <c r="A204" i="149"/>
  <c r="A205" i="149"/>
  <c r="A206" i="149"/>
  <c r="A207" i="149"/>
  <c r="A208" i="149"/>
  <c r="A210" i="149"/>
  <c r="A211" i="149"/>
  <c r="A212" i="149"/>
  <c r="A236" i="149"/>
  <c r="A238" i="149"/>
  <c r="A239" i="149"/>
  <c r="A240" i="149"/>
  <c r="A244" i="149"/>
  <c r="I222" i="136"/>
  <c r="I197" i="136"/>
  <c r="F197" i="5" s="1"/>
  <c r="I204" i="136"/>
  <c r="F204" i="5" s="1"/>
  <c r="I208" i="136"/>
  <c r="F208" i="5" s="1"/>
  <c r="I216" i="136"/>
  <c r="F216" i="5" s="1"/>
  <c r="I310" i="136"/>
  <c r="F310" i="5" s="1"/>
  <c r="F173" i="136"/>
  <c r="I173" i="136" s="1"/>
  <c r="F177" i="136"/>
  <c r="I177" i="136" s="1"/>
  <c r="F386" i="136"/>
  <c r="I386" i="136" s="1"/>
  <c r="I318" i="136"/>
  <c r="F318" i="5" s="1"/>
  <c r="I344" i="136"/>
  <c r="F344" i="5" s="1"/>
  <c r="I186" i="136"/>
  <c r="F186" i="5" s="1"/>
  <c r="I190" i="136"/>
  <c r="F190" i="5" s="1"/>
  <c r="I194" i="136"/>
  <c r="F194" i="5" s="1"/>
  <c r="I200" i="136"/>
  <c r="F200" i="5" s="1"/>
  <c r="I205" i="136"/>
  <c r="F205" i="5" s="1"/>
  <c r="I217" i="136"/>
  <c r="F217" i="5" s="1"/>
  <c r="I191" i="136"/>
  <c r="F191" i="5" s="1"/>
  <c r="I201" i="136"/>
  <c r="I206" i="136"/>
  <c r="F206" i="5" s="1"/>
  <c r="I210" i="136"/>
  <c r="F210" i="5" s="1"/>
  <c r="I214" i="136"/>
  <c r="F214" i="5" s="1"/>
  <c r="I218" i="136"/>
  <c r="F218" i="5" s="1"/>
  <c r="I312" i="136"/>
  <c r="F312" i="5" s="1"/>
  <c r="I347" i="136"/>
  <c r="F347" i="5" s="1"/>
  <c r="I352" i="136"/>
  <c r="F352" i="5" s="1"/>
  <c r="I360" i="136"/>
  <c r="F360" i="5" s="1"/>
  <c r="I188" i="136"/>
  <c r="F188" i="5" s="1"/>
  <c r="I192" i="136"/>
  <c r="F192" i="5" s="1"/>
  <c r="I202" i="136"/>
  <c r="I211" i="136"/>
  <c r="F211" i="5" s="1"/>
  <c r="I215" i="136"/>
  <c r="F215" i="5" s="1"/>
  <c r="I219" i="136"/>
  <c r="F219" i="5" s="1"/>
  <c r="I317" i="136"/>
  <c r="F317" i="5" s="1"/>
  <c r="I365" i="136"/>
  <c r="F365" i="5" s="1"/>
  <c r="I384" i="136"/>
  <c r="F384" i="5" s="1"/>
  <c r="I308" i="136"/>
  <c r="F308" i="5" s="1"/>
  <c r="I316" i="136"/>
  <c r="F316" i="5" s="1"/>
  <c r="I321" i="136"/>
  <c r="F321" i="5" s="1"/>
  <c r="I341" i="136"/>
  <c r="F341" i="5" s="1"/>
  <c r="I356" i="136"/>
  <c r="F356" i="5" s="1"/>
  <c r="I364" i="136"/>
  <c r="F364" i="5" s="1"/>
  <c r="I368" i="136"/>
  <c r="F368" i="5" s="1"/>
  <c r="I372" i="136"/>
  <c r="F372" i="5" s="1"/>
  <c r="I375" i="136"/>
  <c r="F375" i="5" s="1"/>
  <c r="I379" i="136"/>
  <c r="I383" i="136"/>
  <c r="F383" i="5" s="1"/>
  <c r="I387" i="136"/>
  <c r="F387" i="5" s="1"/>
  <c r="I391" i="136"/>
  <c r="F391" i="5" s="1"/>
  <c r="I397" i="136"/>
  <c r="F397" i="5" s="1"/>
  <c r="A81" i="149"/>
  <c r="A153" i="149"/>
  <c r="A156" i="149"/>
  <c r="A364" i="149"/>
  <c r="A380" i="149"/>
  <c r="A382" i="149"/>
  <c r="A383" i="149"/>
  <c r="A388" i="149"/>
  <c r="A390" i="149"/>
  <c r="A391" i="149"/>
  <c r="A392" i="149"/>
  <c r="A394" i="149"/>
  <c r="A395" i="149"/>
  <c r="A396" i="149"/>
  <c r="A398" i="149"/>
  <c r="A399" i="149"/>
  <c r="A400" i="149"/>
  <c r="A412" i="149"/>
  <c r="A414" i="149"/>
  <c r="A415" i="149"/>
  <c r="A420" i="149"/>
  <c r="A432" i="149"/>
  <c r="A436" i="149"/>
  <c r="A444" i="149"/>
  <c r="A446" i="149"/>
  <c r="A447" i="149"/>
  <c r="A452" i="149"/>
  <c r="A454" i="149"/>
  <c r="A455" i="149"/>
  <c r="A456" i="149"/>
  <c r="A458" i="149"/>
  <c r="A459" i="149"/>
  <c r="A460" i="149"/>
  <c r="A462" i="149"/>
  <c r="A463" i="149"/>
  <c r="A252" i="149"/>
  <c r="A305" i="149"/>
  <c r="A309" i="149"/>
  <c r="A313" i="149"/>
  <c r="A316" i="149"/>
  <c r="A320" i="149"/>
  <c r="A321" i="149"/>
  <c r="A188" i="149"/>
  <c r="A368" i="149"/>
  <c r="A369" i="149"/>
  <c r="A373" i="149"/>
  <c r="A377" i="149"/>
  <c r="A37" i="149"/>
  <c r="A38" i="149"/>
  <c r="A113" i="149"/>
  <c r="A115" i="149"/>
  <c r="A116" i="149"/>
  <c r="A121" i="149"/>
  <c r="A123" i="149"/>
  <c r="A124" i="149"/>
  <c r="A125" i="149"/>
  <c r="A127" i="149"/>
  <c r="A128" i="149"/>
  <c r="A129" i="149"/>
  <c r="A131" i="149"/>
  <c r="A132" i="149"/>
  <c r="A141" i="149"/>
  <c r="A143" i="149"/>
  <c r="A144" i="149"/>
  <c r="A213" i="149"/>
  <c r="A217" i="149"/>
  <c r="A224" i="149"/>
  <c r="A225" i="149"/>
  <c r="A228" i="149"/>
  <c r="A292" i="149"/>
  <c r="A294" i="149"/>
  <c r="A295" i="149"/>
  <c r="A296" i="149"/>
  <c r="A298" i="149"/>
  <c r="A299" i="149"/>
  <c r="A300" i="149"/>
  <c r="A302" i="149"/>
  <c r="A303" i="149"/>
  <c r="A428" i="149"/>
  <c r="A85" i="149"/>
  <c r="A86" i="149"/>
  <c r="A97" i="149"/>
  <c r="A101" i="149"/>
  <c r="A102" i="149"/>
  <c r="A161" i="149"/>
  <c r="A162" i="149"/>
  <c r="A163" i="149"/>
  <c r="A165" i="149"/>
  <c r="A166" i="149"/>
  <c r="A167" i="149"/>
  <c r="A168" i="149"/>
  <c r="A169" i="149"/>
  <c r="A170" i="149"/>
  <c r="A171" i="149"/>
  <c r="A172" i="149"/>
  <c r="A177" i="149"/>
  <c r="A178" i="149"/>
  <c r="A179" i="149"/>
  <c r="A256" i="149"/>
  <c r="A257" i="149"/>
  <c r="A272" i="149"/>
  <c r="A273" i="149"/>
  <c r="A276" i="149"/>
  <c r="A277" i="149"/>
  <c r="A281" i="149"/>
  <c r="A288" i="149"/>
  <c r="A289" i="149"/>
  <c r="A336" i="149"/>
  <c r="A348" i="149"/>
  <c r="A350" i="149"/>
  <c r="A351" i="149"/>
  <c r="A356" i="149"/>
  <c r="A358" i="149"/>
  <c r="A359" i="149"/>
  <c r="A360" i="149"/>
  <c r="A362" i="149"/>
  <c r="A363" i="149"/>
  <c r="A465" i="149"/>
  <c r="A468" i="149"/>
  <c r="A469" i="149"/>
  <c r="A473" i="149"/>
  <c r="A480" i="149"/>
  <c r="A481" i="149"/>
  <c r="A53" i="149"/>
  <c r="A54" i="149"/>
  <c r="A117" i="149"/>
  <c r="A341" i="149"/>
  <c r="A384" i="149"/>
  <c r="A433" i="149"/>
  <c r="A441" i="149"/>
  <c r="A24" i="149"/>
  <c r="A27" i="149"/>
  <c r="A69" i="149"/>
  <c r="A70" i="149"/>
  <c r="A83" i="149"/>
  <c r="A84" i="149"/>
  <c r="A89" i="149"/>
  <c r="A91" i="149"/>
  <c r="A92" i="149"/>
  <c r="A93" i="149"/>
  <c r="A95" i="149"/>
  <c r="A96" i="149"/>
  <c r="A133" i="149"/>
  <c r="A134" i="149"/>
  <c r="A138" i="149"/>
  <c r="A145" i="149"/>
  <c r="A146" i="149"/>
  <c r="A150" i="149"/>
  <c r="A151" i="149"/>
  <c r="A152" i="149"/>
  <c r="A173" i="149"/>
  <c r="A180" i="149"/>
  <c r="A182" i="149"/>
  <c r="A183" i="149"/>
  <c r="A184" i="149"/>
  <c r="A186" i="149"/>
  <c r="A187" i="149"/>
  <c r="A200" i="149"/>
  <c r="A201" i="149"/>
  <c r="A220" i="149"/>
  <c r="A222" i="149"/>
  <c r="A223" i="149"/>
  <c r="A241" i="149"/>
  <c r="A245" i="149"/>
  <c r="A249" i="149"/>
  <c r="A254" i="149"/>
  <c r="A255" i="149"/>
  <c r="A260" i="149"/>
  <c r="A262" i="149"/>
  <c r="A263" i="149"/>
  <c r="A264" i="149"/>
  <c r="A266" i="149"/>
  <c r="A267" i="149"/>
  <c r="A268" i="149"/>
  <c r="A270" i="149"/>
  <c r="A271" i="149"/>
  <c r="A308" i="149"/>
  <c r="A366" i="149"/>
  <c r="A367" i="149"/>
  <c r="A401" i="149"/>
  <c r="A404" i="149"/>
  <c r="A405" i="149"/>
  <c r="A409" i="149"/>
  <c r="A416" i="149"/>
  <c r="A417" i="149"/>
  <c r="A422" i="149"/>
  <c r="A423" i="149"/>
  <c r="A424" i="149"/>
  <c r="A426" i="149"/>
  <c r="A427" i="149"/>
  <c r="A448" i="149"/>
  <c r="A449" i="149"/>
  <c r="A476" i="149"/>
  <c r="A478" i="149"/>
  <c r="A479" i="149"/>
  <c r="A118" i="149"/>
  <c r="A164" i="149"/>
  <c r="A193" i="149"/>
  <c r="A337" i="149"/>
  <c r="A340" i="149"/>
  <c r="A345" i="149"/>
  <c r="A352" i="149"/>
  <c r="A353" i="149"/>
  <c r="A385" i="149"/>
  <c r="A437" i="149"/>
  <c r="A35" i="149"/>
  <c r="A36" i="149"/>
  <c r="A41" i="149"/>
  <c r="A43" i="149"/>
  <c r="A44" i="149"/>
  <c r="A45" i="149"/>
  <c r="A47" i="149"/>
  <c r="A48" i="149"/>
  <c r="A99" i="149"/>
  <c r="A100" i="149"/>
  <c r="A105" i="149"/>
  <c r="A107" i="149"/>
  <c r="A108" i="149"/>
  <c r="A109" i="149"/>
  <c r="A111" i="149"/>
  <c r="A112" i="149"/>
  <c r="A154" i="149"/>
  <c r="A155" i="149"/>
  <c r="A157" i="149"/>
  <c r="A158" i="149"/>
  <c r="A159" i="149"/>
  <c r="A160" i="149"/>
  <c r="A230" i="149"/>
  <c r="A231" i="149"/>
  <c r="A232" i="149"/>
  <c r="A234" i="149"/>
  <c r="A235" i="149"/>
  <c r="A284" i="149"/>
  <c r="A286" i="149"/>
  <c r="A287" i="149"/>
  <c r="A318" i="149"/>
  <c r="A319" i="149"/>
  <c r="A324" i="149"/>
  <c r="A326" i="149"/>
  <c r="A327" i="149"/>
  <c r="A328" i="149"/>
  <c r="A330" i="149"/>
  <c r="A331" i="149"/>
  <c r="A332" i="149"/>
  <c r="A334" i="149"/>
  <c r="A335" i="149"/>
  <c r="A372" i="149"/>
  <c r="A430" i="149"/>
  <c r="A431" i="149"/>
  <c r="A46" i="149"/>
  <c r="A62" i="149"/>
  <c r="A78" i="149"/>
  <c r="A94" i="149"/>
  <c r="A110" i="149"/>
  <c r="A126" i="149"/>
  <c r="A33" i="149"/>
  <c r="A34" i="149"/>
  <c r="A39" i="149"/>
  <c r="A40" i="149"/>
  <c r="A50" i="149"/>
  <c r="A55" i="149"/>
  <c r="A56" i="149"/>
  <c r="A66" i="149"/>
  <c r="A71" i="149"/>
  <c r="A72" i="149"/>
  <c r="A82" i="149"/>
  <c r="A87" i="149"/>
  <c r="A88" i="149"/>
  <c r="A98" i="149"/>
  <c r="A103" i="149"/>
  <c r="A104" i="149"/>
  <c r="A114" i="149"/>
  <c r="A119" i="149"/>
  <c r="A120" i="149"/>
  <c r="A130" i="149"/>
  <c r="A135" i="149"/>
  <c r="A136" i="149"/>
  <c r="A137" i="149"/>
  <c r="A139" i="149"/>
  <c r="A140" i="149"/>
  <c r="A174" i="149"/>
  <c r="A175" i="149"/>
  <c r="A176" i="149"/>
  <c r="A185" i="149"/>
  <c r="A214" i="149"/>
  <c r="A215" i="149"/>
  <c r="A216" i="149"/>
  <c r="A218" i="149"/>
  <c r="A219" i="149"/>
  <c r="A229" i="149"/>
  <c r="A233" i="149"/>
  <c r="A278" i="149"/>
  <c r="A279" i="149"/>
  <c r="A280" i="149"/>
  <c r="A282" i="149"/>
  <c r="A283" i="149"/>
  <c r="A293" i="149"/>
  <c r="A297" i="149"/>
  <c r="A342" i="149"/>
  <c r="A343" i="149"/>
  <c r="A344" i="149"/>
  <c r="A346" i="149"/>
  <c r="A347" i="149"/>
  <c r="A357" i="149"/>
  <c r="A361" i="149"/>
  <c r="A406" i="149"/>
  <c r="A407" i="149"/>
  <c r="A408" i="149"/>
  <c r="A410" i="149"/>
  <c r="A411" i="149"/>
  <c r="A421" i="149"/>
  <c r="A425" i="149"/>
  <c r="A470" i="149"/>
  <c r="A471" i="149"/>
  <c r="A472" i="149"/>
  <c r="A474" i="149"/>
  <c r="A475" i="149"/>
  <c r="A42" i="149"/>
  <c r="A58" i="149"/>
  <c r="A74" i="149"/>
  <c r="A90" i="149"/>
  <c r="A106" i="149"/>
  <c r="A122" i="149"/>
  <c r="A194" i="149"/>
  <c r="A195" i="149"/>
  <c r="A196" i="149"/>
  <c r="A246" i="149"/>
  <c r="A247" i="149"/>
  <c r="A248" i="149"/>
  <c r="A250" i="149"/>
  <c r="A251" i="149"/>
  <c r="A261" i="149"/>
  <c r="A265" i="149"/>
  <c r="A310" i="149"/>
  <c r="A311" i="149"/>
  <c r="A312" i="149"/>
  <c r="A314" i="149"/>
  <c r="A315" i="149"/>
  <c r="A325" i="149"/>
  <c r="A329" i="149"/>
  <c r="A374" i="149"/>
  <c r="A375" i="149"/>
  <c r="A376" i="149"/>
  <c r="A378" i="149"/>
  <c r="A379" i="149"/>
  <c r="A389" i="149"/>
  <c r="A393" i="149"/>
  <c r="A438" i="149"/>
  <c r="A439" i="149"/>
  <c r="A440" i="149"/>
  <c r="A442" i="149"/>
  <c r="A443" i="149"/>
  <c r="A453" i="149"/>
  <c r="A457" i="149"/>
  <c r="A142" i="149"/>
  <c r="A147" i="149"/>
  <c r="A148" i="149"/>
  <c r="A190" i="149"/>
  <c r="A191" i="149"/>
  <c r="A202" i="149"/>
  <c r="A203" i="149"/>
  <c r="A209" i="149"/>
  <c r="A221" i="149"/>
  <c r="A226" i="149"/>
  <c r="A227" i="149"/>
  <c r="A237" i="149"/>
  <c r="A242" i="149"/>
  <c r="A243" i="149"/>
  <c r="A253" i="149"/>
  <c r="A258" i="149"/>
  <c r="A259" i="149"/>
  <c r="A269" i="149"/>
  <c r="A274" i="149"/>
  <c r="A275" i="149"/>
  <c r="A285" i="149"/>
  <c r="A290" i="149"/>
  <c r="A291" i="149"/>
  <c r="A301" i="149"/>
  <c r="A306" i="149"/>
  <c r="A307" i="149"/>
  <c r="A317" i="149"/>
  <c r="A322" i="149"/>
  <c r="A323" i="149"/>
  <c r="A333" i="149"/>
  <c r="A338" i="149"/>
  <c r="A339" i="149"/>
  <c r="A349" i="149"/>
  <c r="A354" i="149"/>
  <c r="A355" i="149"/>
  <c r="A365" i="149"/>
  <c r="A370" i="149"/>
  <c r="A371" i="149"/>
  <c r="A381" i="149"/>
  <c r="A386" i="149"/>
  <c r="A387" i="149"/>
  <c r="A397" i="149"/>
  <c r="A402" i="149"/>
  <c r="A403" i="149"/>
  <c r="A413" i="149"/>
  <c r="A418" i="149"/>
  <c r="A419" i="149"/>
  <c r="A429" i="149"/>
  <c r="A434" i="149"/>
  <c r="A435" i="149"/>
  <c r="A445" i="149"/>
  <c r="A450" i="149"/>
  <c r="A451" i="149"/>
  <c r="A461" i="149"/>
  <c r="A466" i="149"/>
  <c r="A467" i="149"/>
  <c r="A477" i="149"/>
  <c r="A482" i="149"/>
  <c r="I311" i="136"/>
  <c r="F311" i="5" s="1"/>
  <c r="I315" i="136"/>
  <c r="F315" i="5" s="1"/>
  <c r="I319" i="136"/>
  <c r="I334" i="136"/>
  <c r="F334" i="5" s="1"/>
  <c r="I346" i="136"/>
  <c r="F346" i="5" s="1"/>
  <c r="L346" i="5" s="1"/>
  <c r="I351" i="136"/>
  <c r="F351" i="5" s="1"/>
  <c r="I355" i="136"/>
  <c r="F355" i="5" s="1"/>
  <c r="I359" i="136"/>
  <c r="I363" i="136"/>
  <c r="F363" i="5" s="1"/>
  <c r="I371" i="136"/>
  <c r="F371" i="5" s="1"/>
  <c r="I378" i="136"/>
  <c r="I382" i="136"/>
  <c r="F382" i="5" s="1"/>
  <c r="I390" i="136"/>
  <c r="F390" i="5" s="1"/>
  <c r="I396" i="136"/>
  <c r="F396" i="5" s="1"/>
  <c r="I307" i="136"/>
  <c r="I283" i="136"/>
  <c r="I309" i="136"/>
  <c r="F309" i="5" s="1"/>
  <c r="I313" i="136"/>
  <c r="I330" i="136"/>
  <c r="F330" i="5" s="1"/>
  <c r="I342" i="136"/>
  <c r="I349" i="136"/>
  <c r="F349" i="5" s="1"/>
  <c r="I353" i="136"/>
  <c r="F353" i="5" s="1"/>
  <c r="I357" i="136"/>
  <c r="F357" i="5" s="1"/>
  <c r="I361" i="136"/>
  <c r="F361" i="5" s="1"/>
  <c r="I369" i="136"/>
  <c r="F369" i="5" s="1"/>
  <c r="I373" i="136"/>
  <c r="F373" i="5" s="1"/>
  <c r="I376" i="136"/>
  <c r="F376" i="5" s="1"/>
  <c r="I380" i="136"/>
  <c r="F380" i="5" s="1"/>
  <c r="I388" i="136"/>
  <c r="F388" i="5" s="1"/>
  <c r="I392" i="136"/>
  <c r="F392" i="5" s="1"/>
  <c r="I394" i="136"/>
  <c r="I398" i="136"/>
  <c r="A30" i="149"/>
  <c r="A31" i="149"/>
  <c r="A32" i="149"/>
  <c r="I367" i="136"/>
  <c r="F367" i="5" s="1"/>
  <c r="I314" i="136"/>
  <c r="F314" i="5" s="1"/>
  <c r="I332" i="136"/>
  <c r="F332" i="5" s="1"/>
  <c r="I350" i="136"/>
  <c r="F350" i="5" s="1"/>
  <c r="I362" i="136"/>
  <c r="F362" i="5" s="1"/>
  <c r="I366" i="136"/>
  <c r="I377" i="136"/>
  <c r="F377" i="5" s="1"/>
  <c r="I381" i="136"/>
  <c r="F381" i="5" s="1"/>
  <c r="I385" i="136"/>
  <c r="I399" i="136"/>
  <c r="F399" i="5" s="1"/>
  <c r="E294" i="4" l="1"/>
  <c r="G23" i="229"/>
  <c r="M2123" i="1"/>
  <c r="R2123" i="1" s="1"/>
  <c r="O2057" i="246"/>
  <c r="R2057" i="246" s="1"/>
  <c r="E122" i="231"/>
  <c r="F122" i="231" s="1"/>
  <c r="G122" i="231" s="1"/>
  <c r="E123" i="231" l="1"/>
  <c r="F123" i="231" s="1"/>
  <c r="G123" i="231" s="1"/>
  <c r="D404" i="136"/>
  <c r="P228" i="5"/>
  <c r="P222" i="5"/>
  <c r="J222" i="5" s="1"/>
  <c r="E124" i="231" l="1"/>
  <c r="F124" i="231" s="1"/>
  <c r="G124" i="231" s="1"/>
  <c r="A404" i="136"/>
  <c r="F469" i="4"/>
  <c r="O854" i="1" s="1"/>
  <c r="F428" i="4"/>
  <c r="O813" i="1" s="1"/>
  <c r="F457" i="4"/>
  <c r="O842" i="1" s="1"/>
  <c r="F450" i="4"/>
  <c r="O835" i="1" s="1"/>
  <c r="F448" i="4"/>
  <c r="O833" i="1" s="1"/>
  <c r="F446" i="4"/>
  <c r="O831" i="1" s="1"/>
  <c r="F438" i="4"/>
  <c r="U823" i="1" s="1"/>
  <c r="F436" i="4"/>
  <c r="O821" i="1" s="1"/>
  <c r="F427" i="4"/>
  <c r="O812" i="1" s="1"/>
  <c r="F426" i="4"/>
  <c r="O811" i="1" s="1"/>
  <c r="F425" i="4"/>
  <c r="O810" i="1" s="1"/>
  <c r="U811" i="1" l="1"/>
  <c r="U831" i="1"/>
  <c r="U813" i="1"/>
  <c r="U812" i="1"/>
  <c r="U833" i="1"/>
  <c r="U821" i="1"/>
  <c r="U835" i="1"/>
  <c r="U810" i="1"/>
  <c r="U842" i="1"/>
  <c r="E125" i="231"/>
  <c r="F125" i="231" s="1"/>
  <c r="G125" i="231" s="1"/>
  <c r="F437" i="4"/>
  <c r="O822" i="1" s="1"/>
  <c r="U822" i="1" s="1"/>
  <c r="F424" i="4"/>
  <c r="O809" i="1" s="1"/>
  <c r="O818" i="1" l="1"/>
  <c r="O806" i="1"/>
  <c r="U809" i="1"/>
  <c r="E126" i="231"/>
  <c r="F126" i="231" s="1"/>
  <c r="G126" i="231" s="1"/>
  <c r="E127" i="231" l="1"/>
  <c r="F127" i="231" l="1"/>
  <c r="G127" i="231" l="1"/>
  <c r="C2421" i="1"/>
  <c r="C2420" i="1"/>
  <c r="C2419" i="1"/>
  <c r="C2418" i="1"/>
  <c r="C2417" i="1"/>
  <c r="C2416" i="1"/>
  <c r="C2415" i="1"/>
  <c r="C2414" i="1"/>
  <c r="C2413" i="1"/>
  <c r="C2412" i="1"/>
  <c r="C2411" i="1"/>
  <c r="C2410" i="1"/>
  <c r="C2409" i="1"/>
  <c r="C2408" i="1"/>
  <c r="C2407" i="1"/>
  <c r="C2406" i="1"/>
  <c r="D2936" i="1"/>
  <c r="D2935" i="1"/>
  <c r="D2934" i="1"/>
  <c r="D2933" i="1"/>
  <c r="D2932" i="1"/>
  <c r="D2878" i="1"/>
  <c r="D2877" i="1"/>
  <c r="D2876" i="1"/>
  <c r="D2875" i="1"/>
  <c r="D2874" i="1"/>
  <c r="D2873" i="1"/>
  <c r="D2872" i="1"/>
  <c r="D2871" i="1"/>
  <c r="D2870" i="1"/>
  <c r="E128" i="231" l="1"/>
  <c r="P140" i="5"/>
  <c r="P139" i="5"/>
  <c r="J139" i="5" s="1"/>
  <c r="L139" i="5" s="1"/>
  <c r="P138" i="5"/>
  <c r="J138" i="5" s="1"/>
  <c r="L138" i="5" s="1"/>
  <c r="P137" i="5"/>
  <c r="J137" i="5" s="1"/>
  <c r="L137" i="5" s="1"/>
  <c r="P136" i="5"/>
  <c r="J136" i="5" s="1"/>
  <c r="L136" i="5" s="1"/>
  <c r="O2864" i="246" l="1"/>
  <c r="R2864" i="246" s="1"/>
  <c r="O2866" i="246"/>
  <c r="R2866" i="246" s="1"/>
  <c r="O2865" i="246"/>
  <c r="R2865" i="246" s="1"/>
  <c r="O2867" i="246"/>
  <c r="R2867" i="246" s="1"/>
  <c r="F128" i="231"/>
  <c r="M2934" i="1"/>
  <c r="M2933" i="1"/>
  <c r="M2935" i="1"/>
  <c r="M2932" i="1"/>
  <c r="P200" i="5"/>
  <c r="P199" i="5"/>
  <c r="P196" i="5"/>
  <c r="P202" i="5"/>
  <c r="J202" i="5" s="1"/>
  <c r="P201" i="5"/>
  <c r="J201" i="5" s="1"/>
  <c r="P195" i="5"/>
  <c r="J195" i="5" s="1"/>
  <c r="P194" i="5"/>
  <c r="P193" i="5"/>
  <c r="P192" i="5"/>
  <c r="P191" i="5"/>
  <c r="G128" i="231" l="1"/>
  <c r="M164" i="136"/>
  <c r="M163" i="136"/>
  <c r="M161" i="136"/>
  <c r="M160" i="136"/>
  <c r="M159" i="136"/>
  <c r="M158" i="136"/>
  <c r="M157" i="136"/>
  <c r="M156" i="136"/>
  <c r="M155" i="136"/>
  <c r="M154" i="136"/>
  <c r="O1446" i="1"/>
  <c r="M149" i="136"/>
  <c r="O1441" i="1"/>
  <c r="M148" i="136"/>
  <c r="O1440" i="1"/>
  <c r="M147" i="136"/>
  <c r="O1439" i="1"/>
  <c r="M146" i="136"/>
  <c r="O1438" i="1"/>
  <c r="M145" i="136"/>
  <c r="O1437" i="1"/>
  <c r="M144" i="136"/>
  <c r="M143" i="136"/>
  <c r="M142" i="136"/>
  <c r="M135" i="136"/>
  <c r="M134" i="136"/>
  <c r="M133" i="136"/>
  <c r="M132" i="136"/>
  <c r="M131" i="136"/>
  <c r="M130" i="136"/>
  <c r="M129" i="136"/>
  <c r="M128" i="136"/>
  <c r="M127" i="136"/>
  <c r="M126" i="136"/>
  <c r="M125" i="136"/>
  <c r="M124" i="136"/>
  <c r="M123" i="136"/>
  <c r="M122" i="136"/>
  <c r="M121" i="136"/>
  <c r="M120" i="136"/>
  <c r="M119" i="136"/>
  <c r="M118" i="136"/>
  <c r="M117" i="136"/>
  <c r="M116" i="136"/>
  <c r="M115" i="136"/>
  <c r="M114" i="136"/>
  <c r="M113" i="136"/>
  <c r="M112" i="136"/>
  <c r="M111" i="136"/>
  <c r="M110" i="136"/>
  <c r="M109" i="136"/>
  <c r="M106" i="136"/>
  <c r="G106" i="136" s="1"/>
  <c r="I106" i="136" s="1"/>
  <c r="O3148" i="246" s="1"/>
  <c r="M105" i="136"/>
  <c r="M104" i="136"/>
  <c r="M103" i="136"/>
  <c r="M102" i="136"/>
  <c r="M101" i="136"/>
  <c r="M100" i="136"/>
  <c r="M99" i="136"/>
  <c r="M98" i="136"/>
  <c r="M96" i="136"/>
  <c r="M95" i="136"/>
  <c r="M94" i="136"/>
  <c r="G94" i="136" s="1"/>
  <c r="I94" i="136" s="1"/>
  <c r="M93" i="136"/>
  <c r="M91" i="136"/>
  <c r="M90" i="136"/>
  <c r="M89" i="136"/>
  <c r="O1385" i="1"/>
  <c r="M88" i="136"/>
  <c r="O1384" i="1"/>
  <c r="M87" i="136"/>
  <c r="O1383" i="1"/>
  <c r="M86" i="136"/>
  <c r="M85" i="136"/>
  <c r="M84" i="136"/>
  <c r="M83" i="136"/>
  <c r="M82" i="136"/>
  <c r="G82" i="136" s="1"/>
  <c r="I82" i="136" s="1"/>
  <c r="O3118" i="246" s="1"/>
  <c r="M81" i="136"/>
  <c r="M80" i="136"/>
  <c r="M79" i="136"/>
  <c r="M78" i="136"/>
  <c r="M77" i="136"/>
  <c r="M76" i="136"/>
  <c r="M75" i="136"/>
  <c r="G75" i="136" s="1"/>
  <c r="I75" i="136" s="1"/>
  <c r="O3111" i="246" s="1"/>
  <c r="M74" i="136"/>
  <c r="G74" i="136" s="1"/>
  <c r="I74" i="136" s="1"/>
  <c r="O3110" i="246" s="1"/>
  <c r="M73" i="136"/>
  <c r="M72" i="136"/>
  <c r="M71" i="136"/>
  <c r="M70" i="136"/>
  <c r="M69" i="136"/>
  <c r="M68" i="136"/>
  <c r="M67" i="136"/>
  <c r="M66" i="136"/>
  <c r="M64" i="136"/>
  <c r="M63" i="136"/>
  <c r="O1312" i="1"/>
  <c r="M62" i="136"/>
  <c r="O1311" i="1"/>
  <c r="M61" i="136"/>
  <c r="L21" i="149" s="1"/>
  <c r="A21" i="149" s="1"/>
  <c r="M60" i="136"/>
  <c r="M59" i="136"/>
  <c r="M58" i="136"/>
  <c r="M57" i="136"/>
  <c r="M56" i="136"/>
  <c r="M55" i="136"/>
  <c r="M54" i="136"/>
  <c r="M53" i="136"/>
  <c r="G53" i="136" s="1"/>
  <c r="I53" i="136" s="1"/>
  <c r="O3100" i="246" s="1"/>
  <c r="M52" i="136"/>
  <c r="M51" i="136"/>
  <c r="M50" i="136"/>
  <c r="G50" i="136" s="1"/>
  <c r="I50" i="136" s="1"/>
  <c r="O3098" i="246" s="1"/>
  <c r="M49" i="136"/>
  <c r="M48" i="136"/>
  <c r="M47" i="136"/>
  <c r="M46" i="136"/>
  <c r="M45" i="136"/>
  <c r="M44" i="136"/>
  <c r="M43" i="136"/>
  <c r="M42" i="136"/>
  <c r="M41" i="136"/>
  <c r="M40" i="136"/>
  <c r="M39" i="136"/>
  <c r="M32" i="136"/>
  <c r="M31" i="136"/>
  <c r="M30" i="136"/>
  <c r="M29" i="136"/>
  <c r="M28" i="136"/>
  <c r="M27" i="136"/>
  <c r="M26" i="136"/>
  <c r="M25" i="136"/>
  <c r="M24" i="136"/>
  <c r="M23" i="136"/>
  <c r="M22" i="136"/>
  <c r="M21" i="136"/>
  <c r="M20" i="136"/>
  <c r="M19" i="136"/>
  <c r="M18" i="136"/>
  <c r="M17" i="136"/>
  <c r="M16" i="136"/>
  <c r="M15" i="136"/>
  <c r="M14" i="136"/>
  <c r="M13" i="136"/>
  <c r="M12" i="136"/>
  <c r="M11" i="136"/>
  <c r="M10" i="136"/>
  <c r="M5" i="136"/>
  <c r="I1" i="136"/>
  <c r="P211" i="5"/>
  <c r="J211" i="5" s="1"/>
  <c r="P210" i="5"/>
  <c r="P209" i="5"/>
  <c r="J209" i="5" s="1"/>
  <c r="P208" i="5"/>
  <c r="J208" i="5" s="1"/>
  <c r="O3189" i="246" l="1"/>
  <c r="O3159" i="246"/>
  <c r="O3330" i="1"/>
  <c r="M3166" i="1"/>
  <c r="M3178" i="1"/>
  <c r="O3342" i="1"/>
  <c r="O3350" i="1"/>
  <c r="M3186" i="1"/>
  <c r="M3179" i="1"/>
  <c r="O3343" i="1"/>
  <c r="O3380" i="1"/>
  <c r="M3216" i="1"/>
  <c r="O3332" i="1"/>
  <c r="M3168" i="1"/>
  <c r="M3227" i="1"/>
  <c r="O3391" i="1"/>
  <c r="O3421" i="1"/>
  <c r="M3257" i="1"/>
  <c r="E129" i="231"/>
  <c r="O1310" i="1"/>
  <c r="L19" i="149"/>
  <c r="O1382" i="1"/>
  <c r="O1436" i="1"/>
  <c r="L28" i="149"/>
  <c r="A28" i="149" s="1"/>
  <c r="L29" i="149"/>
  <c r="A29" i="149" s="1"/>
  <c r="O1216" i="1"/>
  <c r="O1214" i="1"/>
  <c r="O1213" i="1"/>
  <c r="O1215" i="1"/>
  <c r="O1217" i="1"/>
  <c r="L22" i="149"/>
  <c r="A22" i="149" s="1"/>
  <c r="L16" i="149"/>
  <c r="L15" i="149"/>
  <c r="G144" i="136"/>
  <c r="I144" i="136" s="1"/>
  <c r="G156" i="136"/>
  <c r="I156" i="136" s="1"/>
  <c r="G51" i="136"/>
  <c r="I51" i="136" s="1"/>
  <c r="G76" i="136"/>
  <c r="I76" i="136" s="1"/>
  <c r="O3112" i="246" s="1"/>
  <c r="G78" i="136"/>
  <c r="I78" i="136" s="1"/>
  <c r="O3114" i="246" s="1"/>
  <c r="G80" i="136"/>
  <c r="I80" i="136" s="1"/>
  <c r="O3116" i="246" s="1"/>
  <c r="G96" i="136"/>
  <c r="I96" i="136" s="1"/>
  <c r="O3188" i="246" s="1"/>
  <c r="G100" i="136"/>
  <c r="I100" i="136" s="1"/>
  <c r="G102" i="136"/>
  <c r="I102" i="136" s="1"/>
  <c r="G104" i="136"/>
  <c r="I104" i="136" s="1"/>
  <c r="G110" i="136"/>
  <c r="I110" i="136" s="1"/>
  <c r="G111" i="136"/>
  <c r="I111" i="136" s="1"/>
  <c r="G112" i="136"/>
  <c r="I112" i="136" s="1"/>
  <c r="G114" i="136"/>
  <c r="I114" i="136" s="1"/>
  <c r="G116" i="136"/>
  <c r="I116" i="136" s="1"/>
  <c r="G118" i="136"/>
  <c r="I118" i="136" s="1"/>
  <c r="O3153" i="246" s="1"/>
  <c r="G120" i="136"/>
  <c r="I120" i="136" s="1"/>
  <c r="O3155" i="246" s="1"/>
  <c r="G122" i="136"/>
  <c r="I122" i="136" s="1"/>
  <c r="G124" i="136"/>
  <c r="I124" i="136" s="1"/>
  <c r="O3160" i="246" s="1"/>
  <c r="G126" i="136"/>
  <c r="I126" i="136" s="1"/>
  <c r="G127" i="136"/>
  <c r="I127" i="136" s="1"/>
  <c r="G129" i="136"/>
  <c r="I129" i="136" s="1"/>
  <c r="O3164" i="246" s="1"/>
  <c r="G131" i="136"/>
  <c r="I131" i="136" s="1"/>
  <c r="O3166" i="246" s="1"/>
  <c r="G133" i="136"/>
  <c r="I133" i="136" s="1"/>
  <c r="O3168" i="246" s="1"/>
  <c r="G135" i="136"/>
  <c r="I135" i="136" s="1"/>
  <c r="O3170" i="246" s="1"/>
  <c r="G143" i="136"/>
  <c r="I143" i="136" s="1"/>
  <c r="G145" i="136"/>
  <c r="I145" i="136" s="1"/>
  <c r="O1398" i="246" s="1"/>
  <c r="R1398" i="246" s="1"/>
  <c r="G147" i="136"/>
  <c r="I147" i="136" s="1"/>
  <c r="O1400" i="246" s="1"/>
  <c r="R1400" i="246" s="1"/>
  <c r="G149" i="136"/>
  <c r="I149" i="136" s="1"/>
  <c r="O1402" i="246" s="1"/>
  <c r="R1402" i="246" s="1"/>
  <c r="G155" i="136"/>
  <c r="I155" i="136" s="1"/>
  <c r="G157" i="136"/>
  <c r="I157" i="136" s="1"/>
  <c r="G159" i="136"/>
  <c r="I159" i="136" s="1"/>
  <c r="G160" i="136"/>
  <c r="I160" i="136" s="1"/>
  <c r="G163" i="136"/>
  <c r="I163" i="136" s="1"/>
  <c r="G142" i="136"/>
  <c r="I142" i="136" s="1"/>
  <c r="G146" i="136"/>
  <c r="I146" i="136" s="1"/>
  <c r="O1399" i="246" s="1"/>
  <c r="R1399" i="246" s="1"/>
  <c r="G148" i="136"/>
  <c r="I148" i="136" s="1"/>
  <c r="O1401" i="246" s="1"/>
  <c r="R1401" i="246" s="1"/>
  <c r="G154" i="136"/>
  <c r="I154" i="136" s="1"/>
  <c r="G158" i="136"/>
  <c r="I158" i="136" s="1"/>
  <c r="G161" i="136"/>
  <c r="I161" i="136" s="1"/>
  <c r="G164" i="136"/>
  <c r="I164" i="136" s="1"/>
  <c r="G48" i="136"/>
  <c r="I48" i="136" s="1"/>
  <c r="O3096" i="246" s="1"/>
  <c r="G55" i="136"/>
  <c r="I55" i="136" s="1"/>
  <c r="G57" i="136"/>
  <c r="I57" i="136" s="1"/>
  <c r="G59" i="136"/>
  <c r="I59" i="136" s="1"/>
  <c r="G61" i="136"/>
  <c r="I61" i="136" s="1"/>
  <c r="G63" i="136"/>
  <c r="I63" i="136" s="1"/>
  <c r="O1273" i="246" s="1"/>
  <c r="R1273" i="246" s="1"/>
  <c r="G66" i="136"/>
  <c r="I66" i="136" s="1"/>
  <c r="G68" i="136"/>
  <c r="I68" i="136" s="1"/>
  <c r="G70" i="136"/>
  <c r="I70" i="136" s="1"/>
  <c r="G72" i="136"/>
  <c r="I72" i="136" s="1"/>
  <c r="O3108" i="246" s="1"/>
  <c r="G85" i="136"/>
  <c r="I85" i="136" s="1"/>
  <c r="G87" i="136"/>
  <c r="I87" i="136" s="1"/>
  <c r="O1344" i="246" s="1"/>
  <c r="R1344" i="246" s="1"/>
  <c r="G89" i="136"/>
  <c r="I89" i="136" s="1"/>
  <c r="O1346" i="246" s="1"/>
  <c r="R1346" i="246" s="1"/>
  <c r="G91" i="136"/>
  <c r="I91" i="136" s="1"/>
  <c r="G47" i="136"/>
  <c r="I47" i="136" s="1"/>
  <c r="O3095" i="246" s="1"/>
  <c r="G49" i="136"/>
  <c r="I49" i="136" s="1"/>
  <c r="O3097" i="246" s="1"/>
  <c r="G52" i="136"/>
  <c r="I52" i="136" s="1"/>
  <c r="G54" i="136"/>
  <c r="I54" i="136" s="1"/>
  <c r="G56" i="136"/>
  <c r="I56" i="136" s="1"/>
  <c r="G58" i="136"/>
  <c r="I58" i="136" s="1"/>
  <c r="G60" i="136"/>
  <c r="I60" i="136" s="1"/>
  <c r="G62" i="136"/>
  <c r="I62" i="136" s="1"/>
  <c r="O1272" i="246" s="1"/>
  <c r="R1272" i="246" s="1"/>
  <c r="G64" i="136"/>
  <c r="I64" i="136" s="1"/>
  <c r="O3103" i="246" s="1"/>
  <c r="G67" i="136"/>
  <c r="I67" i="136" s="1"/>
  <c r="G69" i="136"/>
  <c r="I69" i="136" s="1"/>
  <c r="O3106" i="246" s="1"/>
  <c r="G71" i="136"/>
  <c r="I71" i="136" s="1"/>
  <c r="O3107" i="246" s="1"/>
  <c r="G73" i="136"/>
  <c r="I73" i="136" s="1"/>
  <c r="O3109" i="246" s="1"/>
  <c r="G77" i="136"/>
  <c r="I77" i="136" s="1"/>
  <c r="O3113" i="246" s="1"/>
  <c r="G79" i="136"/>
  <c r="I79" i="136" s="1"/>
  <c r="O3115" i="246" s="1"/>
  <c r="G81" i="136"/>
  <c r="I81" i="136" s="1"/>
  <c r="O3117" i="246" s="1"/>
  <c r="G83" i="136"/>
  <c r="I83" i="136" s="1"/>
  <c r="G84" i="136"/>
  <c r="I84" i="136" s="1"/>
  <c r="O3190" i="246" s="1"/>
  <c r="G86" i="136"/>
  <c r="I86" i="136" s="1"/>
  <c r="G88" i="136"/>
  <c r="I88" i="136" s="1"/>
  <c r="O1345" i="246" s="1"/>
  <c r="R1345" i="246" s="1"/>
  <c r="G90" i="136"/>
  <c r="I90" i="136" s="1"/>
  <c r="G93" i="136"/>
  <c r="I93" i="136" s="1"/>
  <c r="G95" i="136"/>
  <c r="I95" i="136" s="1"/>
  <c r="O3185" i="246" s="1"/>
  <c r="G98" i="136"/>
  <c r="I98" i="136" s="1"/>
  <c r="G99" i="136"/>
  <c r="I99" i="136" s="1"/>
  <c r="G101" i="136"/>
  <c r="I101" i="136" s="1"/>
  <c r="G103" i="136"/>
  <c r="I103" i="136" s="1"/>
  <c r="O3145" i="246" s="1"/>
  <c r="G105" i="136"/>
  <c r="I105" i="136" s="1"/>
  <c r="O3147" i="246" s="1"/>
  <c r="G109" i="136"/>
  <c r="I109" i="136" s="1"/>
  <c r="G113" i="136"/>
  <c r="I113" i="136" s="1"/>
  <c r="G115" i="136"/>
  <c r="I115" i="136" s="1"/>
  <c r="G117" i="136"/>
  <c r="I117" i="136" s="1"/>
  <c r="G119" i="136"/>
  <c r="I119" i="136" s="1"/>
  <c r="O3154" i="246" s="1"/>
  <c r="G121" i="136"/>
  <c r="I121" i="136" s="1"/>
  <c r="O3156" i="246" s="1"/>
  <c r="G123" i="136"/>
  <c r="I123" i="136" s="1"/>
  <c r="G125" i="136"/>
  <c r="I125" i="136" s="1"/>
  <c r="O3161" i="246" s="1"/>
  <c r="G128" i="136"/>
  <c r="I128" i="136" s="1"/>
  <c r="O3163" i="246" s="1"/>
  <c r="G130" i="136"/>
  <c r="I130" i="136" s="1"/>
  <c r="G132" i="136"/>
  <c r="I132" i="136" s="1"/>
  <c r="O3167" i="246" s="1"/>
  <c r="G134" i="136"/>
  <c r="I134" i="136" s="1"/>
  <c r="O3169" i="246" s="1"/>
  <c r="G12" i="136"/>
  <c r="I12" i="136" s="1"/>
  <c r="G16" i="136"/>
  <c r="I16" i="136" s="1"/>
  <c r="G11" i="136"/>
  <c r="I11" i="136" s="1"/>
  <c r="G13" i="136"/>
  <c r="I13" i="136" s="1"/>
  <c r="G15" i="136"/>
  <c r="I15" i="136" s="1"/>
  <c r="G17" i="136"/>
  <c r="I17" i="136" s="1"/>
  <c r="O3062" i="246" s="1"/>
  <c r="G19" i="136"/>
  <c r="I19" i="136" s="1"/>
  <c r="O3064" i="246" s="1"/>
  <c r="G21" i="136"/>
  <c r="I21" i="136" s="1"/>
  <c r="O3066" i="246" s="1"/>
  <c r="G23" i="136"/>
  <c r="I23" i="136" s="1"/>
  <c r="G25" i="136"/>
  <c r="I25" i="136" s="1"/>
  <c r="G27" i="136"/>
  <c r="I27" i="136" s="1"/>
  <c r="G29" i="136"/>
  <c r="I29" i="136" s="1"/>
  <c r="G31" i="136"/>
  <c r="I31" i="136" s="1"/>
  <c r="G39" i="136"/>
  <c r="I39" i="136" s="1"/>
  <c r="G41" i="136"/>
  <c r="I41" i="136" s="1"/>
  <c r="O3092" i="246" s="1"/>
  <c r="G43" i="136"/>
  <c r="I43" i="136" s="1"/>
  <c r="G45" i="136"/>
  <c r="I45" i="136" s="1"/>
  <c r="G10" i="136"/>
  <c r="I10" i="136" s="1"/>
  <c r="G14" i="136"/>
  <c r="I14" i="136" s="1"/>
  <c r="G18" i="136"/>
  <c r="I18" i="136" s="1"/>
  <c r="O3063" i="246" s="1"/>
  <c r="G20" i="136"/>
  <c r="I20" i="136" s="1"/>
  <c r="O3065" i="246" s="1"/>
  <c r="G22" i="136"/>
  <c r="I22" i="136" s="1"/>
  <c r="O3067" i="246" s="1"/>
  <c r="G24" i="136"/>
  <c r="I24" i="136" s="1"/>
  <c r="G26" i="136"/>
  <c r="I26" i="136" s="1"/>
  <c r="G28" i="136"/>
  <c r="I28" i="136" s="1"/>
  <c r="G30" i="136"/>
  <c r="I30" i="136" s="1"/>
  <c r="G32" i="136"/>
  <c r="I32" i="136" s="1"/>
  <c r="G40" i="136"/>
  <c r="I40" i="136" s="1"/>
  <c r="O3091" i="246" s="1"/>
  <c r="G42" i="136"/>
  <c r="I42" i="136" s="1"/>
  <c r="O3093" i="246" s="1"/>
  <c r="G44" i="136"/>
  <c r="I44" i="136" s="1"/>
  <c r="G46" i="136"/>
  <c r="I46" i="136" s="1"/>
  <c r="F184" i="136"/>
  <c r="K404" i="136"/>
  <c r="K2" i="136" s="1"/>
  <c r="M3254" i="1" l="1"/>
  <c r="O3418" i="1"/>
  <c r="O3428" i="1"/>
  <c r="S3428" i="1" s="1"/>
  <c r="O3196" i="246"/>
  <c r="S3196" i="246" s="1"/>
  <c r="O3157" i="246"/>
  <c r="O3389" i="1"/>
  <c r="M3225" i="1"/>
  <c r="M3255" i="1"/>
  <c r="O3056" i="246"/>
  <c r="S3056" i="246" s="1"/>
  <c r="O3288" i="1"/>
  <c r="S3288" i="1" s="1"/>
  <c r="O3146" i="246"/>
  <c r="M3213" i="1"/>
  <c r="O3165" i="246"/>
  <c r="O1407" i="246"/>
  <c r="R1407" i="246" s="1"/>
  <c r="M3264" i="1"/>
  <c r="S3264" i="1" s="1"/>
  <c r="O3144" i="246"/>
  <c r="O3162" i="246"/>
  <c r="O3187" i="246"/>
  <c r="O1343" i="246"/>
  <c r="R1343" i="246" s="1"/>
  <c r="O3079" i="246"/>
  <c r="O1177" i="246"/>
  <c r="R1177" i="246" s="1"/>
  <c r="O1178" i="246"/>
  <c r="R1178" i="246" s="1"/>
  <c r="O3080" i="246"/>
  <c r="O1176" i="246"/>
  <c r="R1176" i="246" s="1"/>
  <c r="O3078" i="246"/>
  <c r="O3061" i="246"/>
  <c r="O3186" i="246"/>
  <c r="O3101" i="246"/>
  <c r="O3151" i="246"/>
  <c r="M3167" i="1"/>
  <c r="O3099" i="246"/>
  <c r="O3081" i="246"/>
  <c r="O1179" i="246"/>
  <c r="R1179" i="246" s="1"/>
  <c r="O3102" i="246"/>
  <c r="O1271" i="246"/>
  <c r="R1271" i="246" s="1"/>
  <c r="O1397" i="246"/>
  <c r="R1397" i="246" s="1"/>
  <c r="O3158" i="246"/>
  <c r="O3094" i="246"/>
  <c r="O3068" i="246"/>
  <c r="O3105" i="246"/>
  <c r="O3152" i="246"/>
  <c r="O3077" i="246"/>
  <c r="O1175" i="246"/>
  <c r="R1175" i="246" s="1"/>
  <c r="M3162" i="1"/>
  <c r="O3323" i="1"/>
  <c r="M3159" i="1"/>
  <c r="O3295" i="1"/>
  <c r="M3131" i="1"/>
  <c r="O3310" i="1"/>
  <c r="M3146" i="1"/>
  <c r="O3298" i="1"/>
  <c r="M3134" i="1"/>
  <c r="O3293" i="1"/>
  <c r="M3129" i="1"/>
  <c r="O3401" i="1"/>
  <c r="M3237" i="1"/>
  <c r="M3229" i="1"/>
  <c r="O3393" i="1"/>
  <c r="O3379" i="1"/>
  <c r="M3215" i="1"/>
  <c r="M3185" i="1"/>
  <c r="O3349" i="1"/>
  <c r="M3175" i="1"/>
  <c r="O3339" i="1"/>
  <c r="O3340" i="1"/>
  <c r="M3176" i="1"/>
  <c r="M3169" i="1"/>
  <c r="O3398" i="1"/>
  <c r="M3234" i="1"/>
  <c r="M3228" i="1"/>
  <c r="O3392" i="1"/>
  <c r="M3219" i="1"/>
  <c r="O3383" i="1"/>
  <c r="O3420" i="1"/>
  <c r="M3256" i="1"/>
  <c r="M3149" i="1"/>
  <c r="O3313" i="1"/>
  <c r="M3160" i="1"/>
  <c r="O3324" i="1"/>
  <c r="O3296" i="1"/>
  <c r="M3132" i="1"/>
  <c r="M3124" i="1"/>
  <c r="S3124" i="1" s="1"/>
  <c r="M3235" i="1"/>
  <c r="O3399" i="1"/>
  <c r="O3378" i="1"/>
  <c r="M3214" i="1"/>
  <c r="O3417" i="1"/>
  <c r="M3253" i="1"/>
  <c r="O3419" i="1"/>
  <c r="M3183" i="1"/>
  <c r="O3347" i="1"/>
  <c r="O3338" i="1"/>
  <c r="M3174" i="1"/>
  <c r="O3331" i="1"/>
  <c r="M3170" i="1"/>
  <c r="O3334" i="1"/>
  <c r="O3328" i="1"/>
  <c r="M3164" i="1"/>
  <c r="M3232" i="1"/>
  <c r="O3396" i="1"/>
  <c r="M3226" i="1"/>
  <c r="O3390" i="1"/>
  <c r="O3377" i="1"/>
  <c r="M3184" i="1"/>
  <c r="O3348" i="1"/>
  <c r="O3311" i="1"/>
  <c r="M3147" i="1"/>
  <c r="O3300" i="1"/>
  <c r="O3294" i="1"/>
  <c r="M3130" i="1"/>
  <c r="M3233" i="1"/>
  <c r="O3397" i="1"/>
  <c r="O3299" i="1"/>
  <c r="M3135" i="1"/>
  <c r="O3388" i="1"/>
  <c r="M3224" i="1"/>
  <c r="M3258" i="1"/>
  <c r="O3422" i="1"/>
  <c r="O3345" i="1"/>
  <c r="M3181" i="1"/>
  <c r="M3165" i="1"/>
  <c r="O3329" i="1"/>
  <c r="M3238" i="1"/>
  <c r="O3402" i="1"/>
  <c r="O3387" i="1"/>
  <c r="M3223" i="1"/>
  <c r="M3182" i="1"/>
  <c r="O3346" i="1"/>
  <c r="M3161" i="1"/>
  <c r="O3325" i="1"/>
  <c r="O3297" i="1"/>
  <c r="M3133" i="1"/>
  <c r="O3326" i="1"/>
  <c r="O3312" i="1"/>
  <c r="M3148" i="1"/>
  <c r="M3136" i="1"/>
  <c r="M3231" i="1"/>
  <c r="O3395" i="1"/>
  <c r="O3386" i="1"/>
  <c r="M3222" i="1"/>
  <c r="O3376" i="1"/>
  <c r="M3212" i="1"/>
  <c r="M3177" i="1"/>
  <c r="O3341" i="1"/>
  <c r="M3171" i="1"/>
  <c r="O3335" i="1"/>
  <c r="M3163" i="1"/>
  <c r="O3327" i="1"/>
  <c r="O3337" i="1"/>
  <c r="M3173" i="1"/>
  <c r="O3333" i="1"/>
  <c r="O3400" i="1"/>
  <c r="M3236" i="1"/>
  <c r="M3230" i="1"/>
  <c r="O3394" i="1"/>
  <c r="O3385" i="1"/>
  <c r="M3221" i="1"/>
  <c r="O3344" i="1"/>
  <c r="M3180" i="1"/>
  <c r="M3145" i="1"/>
  <c r="O3309" i="1"/>
  <c r="O3384" i="1"/>
  <c r="M3220" i="1"/>
  <c r="F129" i="231"/>
  <c r="M1384" i="1"/>
  <c r="R1384" i="1" s="1"/>
  <c r="M1311" i="1"/>
  <c r="R1311" i="1" s="1"/>
  <c r="M1312" i="1"/>
  <c r="R1312" i="1" s="1"/>
  <c r="M1437" i="1"/>
  <c r="R1437" i="1" s="1"/>
  <c r="M1383" i="1"/>
  <c r="R1383" i="1" s="1"/>
  <c r="M1446" i="1"/>
  <c r="R1446" i="1" s="1"/>
  <c r="M1438" i="1"/>
  <c r="R1438" i="1" s="1"/>
  <c r="M1439" i="1"/>
  <c r="R1439" i="1" s="1"/>
  <c r="M1385" i="1"/>
  <c r="R1385" i="1" s="1"/>
  <c r="M1440" i="1"/>
  <c r="R1440" i="1" s="1"/>
  <c r="M1441" i="1"/>
  <c r="R1441" i="1" s="1"/>
  <c r="M1310" i="1"/>
  <c r="R1310" i="1" s="1"/>
  <c r="M1436" i="1"/>
  <c r="R1436" i="1" s="1"/>
  <c r="M1216" i="1"/>
  <c r="M1217" i="1"/>
  <c r="M1215" i="1"/>
  <c r="M1214" i="1"/>
  <c r="M1382" i="1"/>
  <c r="R1382" i="1" s="1"/>
  <c r="M1213" i="1"/>
  <c r="R1213" i="1" s="1"/>
  <c r="I184" i="136"/>
  <c r="F404" i="136"/>
  <c r="M3126" i="1" l="1"/>
  <c r="S3126" i="1" s="1"/>
  <c r="O3182" i="246"/>
  <c r="S3182" i="246" s="1"/>
  <c r="M3142" i="1"/>
  <c r="S3142" i="1" s="1"/>
  <c r="O3414" i="1"/>
  <c r="S3414" i="1" s="1"/>
  <c r="M3250" i="1"/>
  <c r="S3250" i="1" s="1"/>
  <c r="O3074" i="246"/>
  <c r="S3074" i="246" s="1"/>
  <c r="O3088" i="246"/>
  <c r="S3088" i="246" s="1"/>
  <c r="O3141" i="246"/>
  <c r="S3141" i="246" s="1"/>
  <c r="O3058" i="246"/>
  <c r="S3058" i="246" s="1"/>
  <c r="M3209" i="1"/>
  <c r="S3209" i="1" s="1"/>
  <c r="M3156" i="1"/>
  <c r="S3156" i="1" s="1"/>
  <c r="O3373" i="1"/>
  <c r="S3373" i="1" s="1"/>
  <c r="O3290" i="1"/>
  <c r="S3290" i="1" s="1"/>
  <c r="O3306" i="1"/>
  <c r="S3306" i="1" s="1"/>
  <c r="O3320" i="1"/>
  <c r="S3320" i="1" s="1"/>
  <c r="R1214" i="1"/>
  <c r="R1217" i="1"/>
  <c r="R1215" i="1"/>
  <c r="R1216" i="1"/>
  <c r="G129" i="231"/>
  <c r="C1433" i="1"/>
  <c r="J79" i="26"/>
  <c r="J80" i="26"/>
  <c r="P152" i="5"/>
  <c r="J74" i="26"/>
  <c r="J71" i="26"/>
  <c r="J69" i="26"/>
  <c r="J148" i="5" s="1"/>
  <c r="L148" i="5" s="1"/>
  <c r="O1390" i="246" s="1"/>
  <c r="R1390" i="246" s="1"/>
  <c r="J73" i="26"/>
  <c r="J194" i="5" s="1"/>
  <c r="J70" i="26"/>
  <c r="J193" i="5" s="1"/>
  <c r="L16" i="89"/>
  <c r="J12" i="89"/>
  <c r="G6" i="124"/>
  <c r="J34" i="26"/>
  <c r="J239" i="5" s="1"/>
  <c r="L239" i="5" s="1"/>
  <c r="P19" i="89" s="1"/>
  <c r="P20" i="89" s="1"/>
  <c r="P353" i="5"/>
  <c r="J353" i="5" s="1"/>
  <c r="J39" i="26"/>
  <c r="K284" i="89"/>
  <c r="C1432" i="1"/>
  <c r="K283" i="89"/>
  <c r="K282" i="89"/>
  <c r="K281" i="89"/>
  <c r="P151" i="5"/>
  <c r="P216" i="5"/>
  <c r="J216" i="5" s="1"/>
  <c r="P215" i="5"/>
  <c r="J215" i="5" s="1"/>
  <c r="P214" i="5"/>
  <c r="J214" i="5" s="1"/>
  <c r="P213" i="5"/>
  <c r="J213" i="5" s="1"/>
  <c r="P212" i="5"/>
  <c r="J212" i="5" s="1"/>
  <c r="R19" i="80"/>
  <c r="R17" i="80"/>
  <c r="C20" i="80"/>
  <c r="C19" i="80"/>
  <c r="C18" i="80"/>
  <c r="C17" i="80"/>
  <c r="C16" i="80"/>
  <c r="P352" i="5"/>
  <c r="J352" i="5" s="1"/>
  <c r="P351" i="5"/>
  <c r="J351" i="5" s="1"/>
  <c r="B752" i="1"/>
  <c r="B763" i="1" s="1"/>
  <c r="B774" i="1" s="1"/>
  <c r="P175" i="5"/>
  <c r="P174" i="5"/>
  <c r="J174" i="5" s="1"/>
  <c r="L174" i="5" s="1"/>
  <c r="P173" i="5"/>
  <c r="J173" i="5" s="1"/>
  <c r="P172" i="5"/>
  <c r="J172" i="5" s="1"/>
  <c r="L172" i="5" s="1"/>
  <c r="E113" i="4"/>
  <c r="M740" i="1"/>
  <c r="D737" i="1"/>
  <c r="D734" i="1"/>
  <c r="R734" i="1" s="1"/>
  <c r="D733" i="1"/>
  <c r="D511" i="1"/>
  <c r="C455" i="1"/>
  <c r="D445" i="1"/>
  <c r="R445" i="1" s="1"/>
  <c r="D457" i="1"/>
  <c r="C2220" i="246"/>
  <c r="C2216" i="246"/>
  <c r="D448" i="1"/>
  <c r="D444" i="1"/>
  <c r="P82" i="5"/>
  <c r="J82" i="5" s="1"/>
  <c r="L82" i="5" s="1"/>
  <c r="P81" i="5"/>
  <c r="J81" i="5" s="1"/>
  <c r="L81" i="5" s="1"/>
  <c r="P80" i="5"/>
  <c r="J80" i="5" s="1"/>
  <c r="L80" i="5" s="1"/>
  <c r="P79" i="5"/>
  <c r="J79" i="5" s="1"/>
  <c r="L79" i="5" s="1"/>
  <c r="H42" i="4"/>
  <c r="H41" i="4"/>
  <c r="I41" i="4" s="1"/>
  <c r="P113" i="5"/>
  <c r="P114" i="5"/>
  <c r="J114" i="5" s="1"/>
  <c r="L114" i="5" s="1"/>
  <c r="E27" i="4"/>
  <c r="P367" i="5"/>
  <c r="J367" i="5" s="1"/>
  <c r="P170" i="5"/>
  <c r="J170" i="5" s="1"/>
  <c r="P171" i="5"/>
  <c r="J171" i="5" s="1"/>
  <c r="P61" i="5"/>
  <c r="J61" i="5" s="1"/>
  <c r="L61" i="5" s="1"/>
  <c r="P62" i="5"/>
  <c r="J62" i="5" s="1"/>
  <c r="P73" i="5"/>
  <c r="J73" i="5" s="1"/>
  <c r="P131" i="5"/>
  <c r="J131" i="5" s="1"/>
  <c r="K224" i="89"/>
  <c r="Z224" i="89" s="1"/>
  <c r="AB224" i="89" s="1"/>
  <c r="AC224" i="89" s="1"/>
  <c r="L14" i="89"/>
  <c r="L15" i="89"/>
  <c r="J61" i="26"/>
  <c r="P86" i="5"/>
  <c r="J86" i="5" s="1"/>
  <c r="L86" i="5" s="1"/>
  <c r="J65" i="26"/>
  <c r="J62" i="26"/>
  <c r="J45" i="26"/>
  <c r="J245" i="5" s="1"/>
  <c r="L245" i="5" s="1"/>
  <c r="J28" i="26"/>
  <c r="J108" i="5" s="1"/>
  <c r="L108" i="5" s="1"/>
  <c r="J38" i="26"/>
  <c r="J97" i="5" s="1"/>
  <c r="L97" i="5" s="1"/>
  <c r="J52" i="26"/>
  <c r="J26" i="26"/>
  <c r="J298" i="5" s="1"/>
  <c r="L298" i="5" s="1"/>
  <c r="J36" i="26"/>
  <c r="P18" i="5"/>
  <c r="J18" i="5" s="1"/>
  <c r="L18" i="5" s="1"/>
  <c r="J43" i="26"/>
  <c r="J44" i="26"/>
  <c r="J234" i="5" s="1"/>
  <c r="L234" i="5" s="1"/>
  <c r="J48" i="26"/>
  <c r="J49" i="26"/>
  <c r="J27" i="26"/>
  <c r="J40" i="26"/>
  <c r="J50" i="26"/>
  <c r="J66" i="26"/>
  <c r="N402" i="5"/>
  <c r="H43" i="4"/>
  <c r="P28" i="5"/>
  <c r="J28" i="5" s="1"/>
  <c r="L28" i="5" s="1"/>
  <c r="P29" i="5"/>
  <c r="J29" i="5" s="1"/>
  <c r="L29" i="5" s="1"/>
  <c r="P30" i="5"/>
  <c r="J30" i="5" s="1"/>
  <c r="L30" i="5" s="1"/>
  <c r="J32" i="26"/>
  <c r="P74" i="5"/>
  <c r="J74" i="5" s="1"/>
  <c r="L74" i="5" s="1"/>
  <c r="P75" i="5"/>
  <c r="J75" i="5" s="1"/>
  <c r="L75" i="5" s="1"/>
  <c r="P76" i="5"/>
  <c r="J76" i="5" s="1"/>
  <c r="L76" i="5" s="1"/>
  <c r="J29" i="26"/>
  <c r="J292" i="5" s="1"/>
  <c r="L292" i="5" s="1"/>
  <c r="J30" i="26"/>
  <c r="K274" i="89"/>
  <c r="K263" i="89"/>
  <c r="Z263" i="89" s="1"/>
  <c r="AB263" i="89" s="1"/>
  <c r="AC263" i="89" s="1"/>
  <c r="K262" i="89"/>
  <c r="Z262" i="89" s="1"/>
  <c r="AB262" i="89" s="1"/>
  <c r="AC262" i="89" s="1"/>
  <c r="K233" i="89"/>
  <c r="K199" i="89"/>
  <c r="K157" i="89"/>
  <c r="K156" i="89"/>
  <c r="K155" i="89"/>
  <c r="Z155" i="89" s="1"/>
  <c r="AB155" i="89" s="1"/>
  <c r="J51" i="26"/>
  <c r="J153" i="5" s="1"/>
  <c r="P314" i="5"/>
  <c r="J41" i="26"/>
  <c r="J243" i="5" s="1"/>
  <c r="L243" i="5" s="1"/>
  <c r="J63" i="26"/>
  <c r="J64" i="26"/>
  <c r="P219" i="5"/>
  <c r="J219" i="5" s="1"/>
  <c r="P218" i="5"/>
  <c r="J218" i="5" s="1"/>
  <c r="P217" i="5"/>
  <c r="J217" i="5" s="1"/>
  <c r="H45" i="4"/>
  <c r="O69" i="1"/>
  <c r="P77" i="5"/>
  <c r="J77" i="5" s="1"/>
  <c r="L77" i="5" s="1"/>
  <c r="P78" i="5"/>
  <c r="J78" i="5" s="1"/>
  <c r="L78" i="5" s="1"/>
  <c r="P87" i="5"/>
  <c r="P132" i="5"/>
  <c r="J132" i="5" s="1"/>
  <c r="L132" i="5" s="1"/>
  <c r="P133" i="5"/>
  <c r="J133" i="5" s="1"/>
  <c r="L133" i="5" s="1"/>
  <c r="P134" i="5"/>
  <c r="J134" i="5" s="1"/>
  <c r="L134" i="5" s="1"/>
  <c r="P368" i="5"/>
  <c r="J368" i="5" s="1"/>
  <c r="I192" i="89"/>
  <c r="I90" i="242" s="1"/>
  <c r="I14" i="89"/>
  <c r="I265" i="89"/>
  <c r="I370" i="89"/>
  <c r="I207" i="242" s="1"/>
  <c r="T16" i="89"/>
  <c r="K275" i="89"/>
  <c r="K276" i="89"/>
  <c r="K277" i="89"/>
  <c r="C2" i="89"/>
  <c r="D3" i="89"/>
  <c r="C12" i="89"/>
  <c r="C13" i="89"/>
  <c r="K158" i="89"/>
  <c r="K159" i="89"/>
  <c r="K160" i="89"/>
  <c r="K161" i="89"/>
  <c r="K162" i="89"/>
  <c r="K163" i="89"/>
  <c r="K164" i="89"/>
  <c r="K165" i="89"/>
  <c r="K166" i="89"/>
  <c r="K167" i="89"/>
  <c r="K168" i="89"/>
  <c r="K169" i="89"/>
  <c r="K170" i="89"/>
  <c r="K171" i="89"/>
  <c r="K172" i="89"/>
  <c r="K173" i="89"/>
  <c r="K190" i="89"/>
  <c r="C14" i="89"/>
  <c r="J14" i="89"/>
  <c r="K200" i="89"/>
  <c r="Z200" i="89" s="1"/>
  <c r="AB200" i="89" s="1"/>
  <c r="AC200" i="89" s="1"/>
  <c r="K201" i="89"/>
  <c r="Z201" i="89" s="1"/>
  <c r="AB201" i="89" s="1"/>
  <c r="AC201" i="89" s="1"/>
  <c r="S14" i="89"/>
  <c r="C15" i="89"/>
  <c r="J15" i="89"/>
  <c r="S15" i="89"/>
  <c r="T15" i="89"/>
  <c r="C16" i="89"/>
  <c r="P144" i="5"/>
  <c r="P186" i="5"/>
  <c r="J186" i="5" s="1"/>
  <c r="P187" i="5"/>
  <c r="P203" i="5"/>
  <c r="J240" i="4"/>
  <c r="J241" i="4"/>
  <c r="L482" i="26"/>
  <c r="M482" i="26"/>
  <c r="L481" i="26"/>
  <c r="M481" i="26"/>
  <c r="L480" i="26"/>
  <c r="M480" i="26"/>
  <c r="L479" i="26"/>
  <c r="M479" i="26"/>
  <c r="L478" i="26"/>
  <c r="M478" i="26"/>
  <c r="L477" i="26"/>
  <c r="M477" i="26"/>
  <c r="L476" i="26"/>
  <c r="M476" i="26"/>
  <c r="L475" i="26"/>
  <c r="M475" i="26"/>
  <c r="L474" i="26"/>
  <c r="M474" i="26"/>
  <c r="L473" i="26"/>
  <c r="M473" i="26"/>
  <c r="L472" i="26"/>
  <c r="M472" i="26"/>
  <c r="L471" i="26"/>
  <c r="M471" i="26"/>
  <c r="L470" i="26"/>
  <c r="M470" i="26"/>
  <c r="L469" i="26"/>
  <c r="M469" i="26"/>
  <c r="L468" i="26"/>
  <c r="M468" i="26"/>
  <c r="L467" i="26"/>
  <c r="M467" i="26"/>
  <c r="L466" i="26"/>
  <c r="M466" i="26"/>
  <c r="L465" i="26"/>
  <c r="M465" i="26"/>
  <c r="L464" i="26"/>
  <c r="M464" i="26"/>
  <c r="L463" i="26"/>
  <c r="M463" i="26"/>
  <c r="L462" i="26"/>
  <c r="M462" i="26"/>
  <c r="L461" i="26"/>
  <c r="M461" i="26"/>
  <c r="L460" i="26"/>
  <c r="M460" i="26"/>
  <c r="L459" i="26"/>
  <c r="M459" i="26"/>
  <c r="L458" i="26"/>
  <c r="M458" i="26"/>
  <c r="L457" i="26"/>
  <c r="M457" i="26"/>
  <c r="L456" i="26"/>
  <c r="M456" i="26"/>
  <c r="L455" i="26"/>
  <c r="M455" i="26"/>
  <c r="L454" i="26"/>
  <c r="M454" i="26"/>
  <c r="L453" i="26"/>
  <c r="M453" i="26"/>
  <c r="L452" i="26"/>
  <c r="M452" i="26"/>
  <c r="L451" i="26"/>
  <c r="M451" i="26"/>
  <c r="L450" i="26"/>
  <c r="M450" i="26"/>
  <c r="L449" i="26"/>
  <c r="M449" i="26"/>
  <c r="L448" i="26"/>
  <c r="M448" i="26"/>
  <c r="L447" i="26"/>
  <c r="M447" i="26"/>
  <c r="L446" i="26"/>
  <c r="M446" i="26"/>
  <c r="L445" i="26"/>
  <c r="M445" i="26"/>
  <c r="L444" i="26"/>
  <c r="M444" i="26"/>
  <c r="L443" i="26"/>
  <c r="M443" i="26"/>
  <c r="L442" i="26"/>
  <c r="M442" i="26"/>
  <c r="L441" i="26"/>
  <c r="M441" i="26"/>
  <c r="L440" i="26"/>
  <c r="M440" i="26"/>
  <c r="L439" i="26"/>
  <c r="M439" i="26"/>
  <c r="L438" i="26"/>
  <c r="M438" i="26"/>
  <c r="L437" i="26"/>
  <c r="M437" i="26"/>
  <c r="L436" i="26"/>
  <c r="M436" i="26"/>
  <c r="L435" i="26"/>
  <c r="M435" i="26"/>
  <c r="L434" i="26"/>
  <c r="M434" i="26"/>
  <c r="L433" i="26"/>
  <c r="M433" i="26"/>
  <c r="L432" i="26"/>
  <c r="M432" i="26"/>
  <c r="L431" i="26"/>
  <c r="M431" i="26"/>
  <c r="L430" i="26"/>
  <c r="M430" i="26"/>
  <c r="L429" i="26"/>
  <c r="M429" i="26"/>
  <c r="L428" i="26"/>
  <c r="M428" i="26"/>
  <c r="L427" i="26"/>
  <c r="M427" i="26"/>
  <c r="L426" i="26"/>
  <c r="M426" i="26"/>
  <c r="L425" i="26"/>
  <c r="M425" i="26"/>
  <c r="L424" i="26"/>
  <c r="M424" i="26"/>
  <c r="L423" i="26"/>
  <c r="M423" i="26"/>
  <c r="L422" i="26"/>
  <c r="M422" i="26"/>
  <c r="L421" i="26"/>
  <c r="M421" i="26"/>
  <c r="L420" i="26"/>
  <c r="M420" i="26"/>
  <c r="L419" i="26"/>
  <c r="M419" i="26"/>
  <c r="L418" i="26"/>
  <c r="M418" i="26"/>
  <c r="L417" i="26"/>
  <c r="M417" i="26"/>
  <c r="L416" i="26"/>
  <c r="M416" i="26"/>
  <c r="L415" i="26"/>
  <c r="M415" i="26"/>
  <c r="L414" i="26"/>
  <c r="M414" i="26"/>
  <c r="L413" i="26"/>
  <c r="M413" i="26"/>
  <c r="L412" i="26"/>
  <c r="M412" i="26"/>
  <c r="L411" i="26"/>
  <c r="M411" i="26"/>
  <c r="L410" i="26"/>
  <c r="M410" i="26"/>
  <c r="L409" i="26"/>
  <c r="M409" i="26"/>
  <c r="L408" i="26"/>
  <c r="M408" i="26"/>
  <c r="L407" i="26"/>
  <c r="M407" i="26"/>
  <c r="L406" i="26"/>
  <c r="M406" i="26"/>
  <c r="L405" i="26"/>
  <c r="M405" i="26"/>
  <c r="L404" i="26"/>
  <c r="M404" i="26"/>
  <c r="L403" i="26"/>
  <c r="M403" i="26"/>
  <c r="L402" i="26"/>
  <c r="M402" i="26"/>
  <c r="L401" i="26"/>
  <c r="M401" i="26"/>
  <c r="L400" i="26"/>
  <c r="M400" i="26"/>
  <c r="L399" i="26"/>
  <c r="M399" i="26"/>
  <c r="L398" i="26"/>
  <c r="M398" i="26"/>
  <c r="L397" i="26"/>
  <c r="M397" i="26"/>
  <c r="L396" i="26"/>
  <c r="M396" i="26"/>
  <c r="L395" i="26"/>
  <c r="M395" i="26"/>
  <c r="L394" i="26"/>
  <c r="M394" i="26"/>
  <c r="L393" i="26"/>
  <c r="M393" i="26"/>
  <c r="L392" i="26"/>
  <c r="M392" i="26"/>
  <c r="L391" i="26"/>
  <c r="M391" i="26"/>
  <c r="L390" i="26"/>
  <c r="M390" i="26"/>
  <c r="L389" i="26"/>
  <c r="M389" i="26"/>
  <c r="L388" i="26"/>
  <c r="M388" i="26"/>
  <c r="L387" i="26"/>
  <c r="M387" i="26"/>
  <c r="L386" i="26"/>
  <c r="M386" i="26"/>
  <c r="L385" i="26"/>
  <c r="M385" i="26"/>
  <c r="L384" i="26"/>
  <c r="M384" i="26"/>
  <c r="L383" i="26"/>
  <c r="M383" i="26"/>
  <c r="L382" i="26"/>
  <c r="M382" i="26"/>
  <c r="L381" i="26"/>
  <c r="M381" i="26"/>
  <c r="L380" i="26"/>
  <c r="M380" i="26"/>
  <c r="L379" i="26"/>
  <c r="M379" i="26"/>
  <c r="L378" i="26"/>
  <c r="M378" i="26"/>
  <c r="L377" i="26"/>
  <c r="M377" i="26"/>
  <c r="L376" i="26"/>
  <c r="M376" i="26"/>
  <c r="L375" i="26"/>
  <c r="M375" i="26"/>
  <c r="L374" i="26"/>
  <c r="M374" i="26"/>
  <c r="L373" i="26"/>
  <c r="M373" i="26"/>
  <c r="L372" i="26"/>
  <c r="M372" i="26"/>
  <c r="L371" i="26"/>
  <c r="M371" i="26"/>
  <c r="L370" i="26"/>
  <c r="M370" i="26"/>
  <c r="L369" i="26"/>
  <c r="M369" i="26"/>
  <c r="L368" i="26"/>
  <c r="M368" i="26"/>
  <c r="L367" i="26"/>
  <c r="M367" i="26"/>
  <c r="L366" i="26"/>
  <c r="M366" i="26"/>
  <c r="L365" i="26"/>
  <c r="M365" i="26"/>
  <c r="L364" i="26"/>
  <c r="M364" i="26"/>
  <c r="L363" i="26"/>
  <c r="M363" i="26"/>
  <c r="L362" i="26"/>
  <c r="M362" i="26"/>
  <c r="L361" i="26"/>
  <c r="M361" i="26"/>
  <c r="L360" i="26"/>
  <c r="M360" i="26"/>
  <c r="L359" i="26"/>
  <c r="M359" i="26"/>
  <c r="L358" i="26"/>
  <c r="M358" i="26"/>
  <c r="L357" i="26"/>
  <c r="M357" i="26"/>
  <c r="L356" i="26"/>
  <c r="M356" i="26"/>
  <c r="L355" i="26"/>
  <c r="M355" i="26"/>
  <c r="L354" i="26"/>
  <c r="M354" i="26"/>
  <c r="L353" i="26"/>
  <c r="M353" i="26"/>
  <c r="L352" i="26"/>
  <c r="M352" i="26"/>
  <c r="L351" i="26"/>
  <c r="M351" i="26"/>
  <c r="L350" i="26"/>
  <c r="M350" i="26"/>
  <c r="L349" i="26"/>
  <c r="M349" i="26"/>
  <c r="L348" i="26"/>
  <c r="M348" i="26"/>
  <c r="L347" i="26"/>
  <c r="M347" i="26"/>
  <c r="L346" i="26"/>
  <c r="M346" i="26"/>
  <c r="L345" i="26"/>
  <c r="M345" i="26"/>
  <c r="L344" i="26"/>
  <c r="M344" i="26"/>
  <c r="L343" i="26"/>
  <c r="M343" i="26"/>
  <c r="L342" i="26"/>
  <c r="M342" i="26"/>
  <c r="L341" i="26"/>
  <c r="M341" i="26"/>
  <c r="L340" i="26"/>
  <c r="M340" i="26"/>
  <c r="L339" i="26"/>
  <c r="M339" i="26"/>
  <c r="L338" i="26"/>
  <c r="M338" i="26"/>
  <c r="L337" i="26"/>
  <c r="M337" i="26"/>
  <c r="L336" i="26"/>
  <c r="M336" i="26"/>
  <c r="L335" i="26"/>
  <c r="M335" i="26"/>
  <c r="L334" i="26"/>
  <c r="M334" i="26"/>
  <c r="L333" i="26"/>
  <c r="M333" i="26"/>
  <c r="L332" i="26"/>
  <c r="M332" i="26"/>
  <c r="L331" i="26"/>
  <c r="M331" i="26"/>
  <c r="L330" i="26"/>
  <c r="M330" i="26"/>
  <c r="L329" i="26"/>
  <c r="M329" i="26"/>
  <c r="L328" i="26"/>
  <c r="M328" i="26"/>
  <c r="L327" i="26"/>
  <c r="M327" i="26"/>
  <c r="L326" i="26"/>
  <c r="M326" i="26"/>
  <c r="L325" i="26"/>
  <c r="M325" i="26"/>
  <c r="L324" i="26"/>
  <c r="M324" i="26"/>
  <c r="L323" i="26"/>
  <c r="M323" i="26"/>
  <c r="L322" i="26"/>
  <c r="M322" i="26"/>
  <c r="L321" i="26"/>
  <c r="M321" i="26"/>
  <c r="L320" i="26"/>
  <c r="M320" i="26"/>
  <c r="L319" i="26"/>
  <c r="M319" i="26"/>
  <c r="L318" i="26"/>
  <c r="M318" i="26"/>
  <c r="L317" i="26"/>
  <c r="M317" i="26"/>
  <c r="L316" i="26"/>
  <c r="M316" i="26"/>
  <c r="L315" i="26"/>
  <c r="M315" i="26"/>
  <c r="L314" i="26"/>
  <c r="M314" i="26"/>
  <c r="L313" i="26"/>
  <c r="M313" i="26"/>
  <c r="L312" i="26"/>
  <c r="M312" i="26"/>
  <c r="L311" i="26"/>
  <c r="M311" i="26"/>
  <c r="L310" i="26"/>
  <c r="M310" i="26"/>
  <c r="L309" i="26"/>
  <c r="M309" i="26"/>
  <c r="L308" i="26"/>
  <c r="M308" i="26"/>
  <c r="L307" i="26"/>
  <c r="M307" i="26"/>
  <c r="L306" i="26"/>
  <c r="M306" i="26"/>
  <c r="L305" i="26"/>
  <c r="M305" i="26"/>
  <c r="L304" i="26"/>
  <c r="M304" i="26"/>
  <c r="L303" i="26"/>
  <c r="M303" i="26"/>
  <c r="L302" i="26"/>
  <c r="M302" i="26"/>
  <c r="L301" i="26"/>
  <c r="M301" i="26"/>
  <c r="L300" i="26"/>
  <c r="M300" i="26"/>
  <c r="L299" i="26"/>
  <c r="M299" i="26"/>
  <c r="L298" i="26"/>
  <c r="M298" i="26"/>
  <c r="L297" i="26"/>
  <c r="M297" i="26"/>
  <c r="L296" i="26"/>
  <c r="M296" i="26"/>
  <c r="L295" i="26"/>
  <c r="M295" i="26"/>
  <c r="L294" i="26"/>
  <c r="M294" i="26"/>
  <c r="L293" i="26"/>
  <c r="M293" i="26"/>
  <c r="L292" i="26"/>
  <c r="M292" i="26"/>
  <c r="L291" i="26"/>
  <c r="M291" i="26"/>
  <c r="L290" i="26"/>
  <c r="M290" i="26"/>
  <c r="L289" i="26"/>
  <c r="M289" i="26"/>
  <c r="L288" i="26"/>
  <c r="M288" i="26"/>
  <c r="L287" i="26"/>
  <c r="M287" i="26"/>
  <c r="L286" i="26"/>
  <c r="M286" i="26"/>
  <c r="L285" i="26"/>
  <c r="M285" i="26"/>
  <c r="L284" i="26"/>
  <c r="M284" i="26"/>
  <c r="L283" i="26"/>
  <c r="M283" i="26"/>
  <c r="L282" i="26"/>
  <c r="M282" i="26"/>
  <c r="L281" i="26"/>
  <c r="M281" i="26"/>
  <c r="L280" i="26"/>
  <c r="M280" i="26"/>
  <c r="L279" i="26"/>
  <c r="M279" i="26"/>
  <c r="L278" i="26"/>
  <c r="M278" i="26"/>
  <c r="L277" i="26"/>
  <c r="M277" i="26"/>
  <c r="L276" i="26"/>
  <c r="M276" i="26"/>
  <c r="L275" i="26"/>
  <c r="M275" i="26"/>
  <c r="L274" i="26"/>
  <c r="M274" i="26"/>
  <c r="L273" i="26"/>
  <c r="M273" i="26"/>
  <c r="L272" i="26"/>
  <c r="M272" i="26"/>
  <c r="L271" i="26"/>
  <c r="M271" i="26"/>
  <c r="L270" i="26"/>
  <c r="M270" i="26"/>
  <c r="L269" i="26"/>
  <c r="M269" i="26"/>
  <c r="L268" i="26"/>
  <c r="M268" i="26"/>
  <c r="L267" i="26"/>
  <c r="M267" i="26"/>
  <c r="L266" i="26"/>
  <c r="M266" i="26"/>
  <c r="L265" i="26"/>
  <c r="M265" i="26"/>
  <c r="L264" i="26"/>
  <c r="M264" i="26"/>
  <c r="L263" i="26"/>
  <c r="M263" i="26"/>
  <c r="L262" i="26"/>
  <c r="M262" i="26"/>
  <c r="L261" i="26"/>
  <c r="M261" i="26"/>
  <c r="L260" i="26"/>
  <c r="M260" i="26"/>
  <c r="L259" i="26"/>
  <c r="M259" i="26"/>
  <c r="L258" i="26"/>
  <c r="M258" i="26"/>
  <c r="L257" i="26"/>
  <c r="M257" i="26"/>
  <c r="L256" i="26"/>
  <c r="M256" i="26"/>
  <c r="L255" i="26"/>
  <c r="M255" i="26"/>
  <c r="L254" i="26"/>
  <c r="M254" i="26"/>
  <c r="L253" i="26"/>
  <c r="M253" i="26"/>
  <c r="L252" i="26"/>
  <c r="M252" i="26"/>
  <c r="L251" i="26"/>
  <c r="M251" i="26"/>
  <c r="L250" i="26"/>
  <c r="M250" i="26"/>
  <c r="L249" i="26"/>
  <c r="M249" i="26"/>
  <c r="L248" i="26"/>
  <c r="M248" i="26"/>
  <c r="L247" i="26"/>
  <c r="M247" i="26"/>
  <c r="L246" i="26"/>
  <c r="M246" i="26"/>
  <c r="L245" i="26"/>
  <c r="M245" i="26"/>
  <c r="L244" i="26"/>
  <c r="M244" i="26"/>
  <c r="L243" i="26"/>
  <c r="M243" i="26"/>
  <c r="L242" i="26"/>
  <c r="M242" i="26"/>
  <c r="L241" i="26"/>
  <c r="M241" i="26"/>
  <c r="L240" i="26"/>
  <c r="M240" i="26"/>
  <c r="L239" i="26"/>
  <c r="M239" i="26"/>
  <c r="L238" i="26"/>
  <c r="M238" i="26"/>
  <c r="L237" i="26"/>
  <c r="M237" i="26"/>
  <c r="L236" i="26"/>
  <c r="M236" i="26"/>
  <c r="L235" i="26"/>
  <c r="M235" i="26"/>
  <c r="L234" i="26"/>
  <c r="M234" i="26"/>
  <c r="L233" i="26"/>
  <c r="M233" i="26"/>
  <c r="L232" i="26"/>
  <c r="M232" i="26"/>
  <c r="L231" i="26"/>
  <c r="M231" i="26"/>
  <c r="L230" i="26"/>
  <c r="M230" i="26"/>
  <c r="L229" i="26"/>
  <c r="M229" i="26"/>
  <c r="L228" i="26"/>
  <c r="M228" i="26"/>
  <c r="L227" i="26"/>
  <c r="M227" i="26"/>
  <c r="L226" i="26"/>
  <c r="M226" i="26"/>
  <c r="L225" i="26"/>
  <c r="M225" i="26"/>
  <c r="L224" i="26"/>
  <c r="M224" i="26"/>
  <c r="L223" i="26"/>
  <c r="M223" i="26"/>
  <c r="L222" i="26"/>
  <c r="M222" i="26"/>
  <c r="L221" i="26"/>
  <c r="M221" i="26"/>
  <c r="L220" i="26"/>
  <c r="M220" i="26"/>
  <c r="L219" i="26"/>
  <c r="M219" i="26"/>
  <c r="L218" i="26"/>
  <c r="M218" i="26"/>
  <c r="L217" i="26"/>
  <c r="M217" i="26"/>
  <c r="L216" i="26"/>
  <c r="M216" i="26"/>
  <c r="L215" i="26"/>
  <c r="M215" i="26"/>
  <c r="L214" i="26"/>
  <c r="M214" i="26"/>
  <c r="L213" i="26"/>
  <c r="M213" i="26"/>
  <c r="L212" i="26"/>
  <c r="M212" i="26"/>
  <c r="L211" i="26"/>
  <c r="M211" i="26"/>
  <c r="L210" i="26"/>
  <c r="M210" i="26"/>
  <c r="L209" i="26"/>
  <c r="M209" i="26"/>
  <c r="L208" i="26"/>
  <c r="M208" i="26"/>
  <c r="L207" i="26"/>
  <c r="M207" i="26"/>
  <c r="L206" i="26"/>
  <c r="M206" i="26"/>
  <c r="L205" i="26"/>
  <c r="M205" i="26"/>
  <c r="L204" i="26"/>
  <c r="M204" i="26"/>
  <c r="L203" i="26"/>
  <c r="M203" i="26"/>
  <c r="L202" i="26"/>
  <c r="M202" i="26"/>
  <c r="L201" i="26"/>
  <c r="M201" i="26"/>
  <c r="L200" i="26"/>
  <c r="M200" i="26"/>
  <c r="L199" i="26"/>
  <c r="M199" i="26"/>
  <c r="L198" i="26"/>
  <c r="M198" i="26"/>
  <c r="L197" i="26"/>
  <c r="M197" i="26"/>
  <c r="L196" i="26"/>
  <c r="M196" i="26"/>
  <c r="L195" i="26"/>
  <c r="M195" i="26"/>
  <c r="L194" i="26"/>
  <c r="M194" i="26"/>
  <c r="L193" i="26"/>
  <c r="M193" i="26"/>
  <c r="L192" i="26"/>
  <c r="M192" i="26"/>
  <c r="L191" i="26"/>
  <c r="M191" i="26"/>
  <c r="L190" i="26"/>
  <c r="M190" i="26"/>
  <c r="L189" i="26"/>
  <c r="M189" i="26"/>
  <c r="L188" i="26"/>
  <c r="M188" i="26"/>
  <c r="L187" i="26"/>
  <c r="M187" i="26"/>
  <c r="L186" i="26"/>
  <c r="M186" i="26"/>
  <c r="L185" i="26"/>
  <c r="M185" i="26"/>
  <c r="L184" i="26"/>
  <c r="M184" i="26"/>
  <c r="L183" i="26"/>
  <c r="M183" i="26"/>
  <c r="L182" i="26"/>
  <c r="M182" i="26"/>
  <c r="L181" i="26"/>
  <c r="M181" i="26"/>
  <c r="L180" i="26"/>
  <c r="M180" i="26"/>
  <c r="L179" i="26"/>
  <c r="M179" i="26"/>
  <c r="L178" i="26"/>
  <c r="M178" i="26"/>
  <c r="L177" i="26"/>
  <c r="M177" i="26"/>
  <c r="L176" i="26"/>
  <c r="M176" i="26"/>
  <c r="L175" i="26"/>
  <c r="M175" i="26"/>
  <c r="L174" i="26"/>
  <c r="M174" i="26"/>
  <c r="L173" i="26"/>
  <c r="M173" i="26"/>
  <c r="L172" i="26"/>
  <c r="M172" i="26"/>
  <c r="L171" i="26"/>
  <c r="M171" i="26"/>
  <c r="L170" i="26"/>
  <c r="M170" i="26"/>
  <c r="L169" i="26"/>
  <c r="M169" i="26"/>
  <c r="L168" i="26"/>
  <c r="M168" i="26"/>
  <c r="L167" i="26"/>
  <c r="M167" i="26"/>
  <c r="L166" i="26"/>
  <c r="M166" i="26"/>
  <c r="L165" i="26"/>
  <c r="M165" i="26"/>
  <c r="L164" i="26"/>
  <c r="M164" i="26"/>
  <c r="L163" i="26"/>
  <c r="M163" i="26"/>
  <c r="L162" i="26"/>
  <c r="M162" i="26"/>
  <c r="L161" i="26"/>
  <c r="M161" i="26"/>
  <c r="L160" i="26"/>
  <c r="M160" i="26"/>
  <c r="L159" i="26"/>
  <c r="M159" i="26"/>
  <c r="L158" i="26"/>
  <c r="M158" i="26"/>
  <c r="L157" i="26"/>
  <c r="M157" i="26"/>
  <c r="L156" i="26"/>
  <c r="M156" i="26"/>
  <c r="L155" i="26"/>
  <c r="M155" i="26"/>
  <c r="L154" i="26"/>
  <c r="M154" i="26"/>
  <c r="L153" i="26"/>
  <c r="M153" i="26"/>
  <c r="L152" i="26"/>
  <c r="M152" i="26"/>
  <c r="L151" i="26"/>
  <c r="M151" i="26"/>
  <c r="L150" i="26"/>
  <c r="M150" i="26"/>
  <c r="L149" i="26"/>
  <c r="M149" i="26"/>
  <c r="L148" i="26"/>
  <c r="M148" i="26"/>
  <c r="L147" i="26"/>
  <c r="M147" i="26"/>
  <c r="L146" i="26"/>
  <c r="M146" i="26"/>
  <c r="L145" i="26"/>
  <c r="M145" i="26"/>
  <c r="L144" i="26"/>
  <c r="M144" i="26"/>
  <c r="L143" i="26"/>
  <c r="M143" i="26"/>
  <c r="L142" i="26"/>
  <c r="M142" i="26"/>
  <c r="L141" i="26"/>
  <c r="M141" i="26"/>
  <c r="L140" i="26"/>
  <c r="M140" i="26"/>
  <c r="L139" i="26"/>
  <c r="M139" i="26"/>
  <c r="L138" i="26"/>
  <c r="M138" i="26"/>
  <c r="L137" i="26"/>
  <c r="M137" i="26"/>
  <c r="L136" i="26"/>
  <c r="M136" i="26"/>
  <c r="L135" i="26"/>
  <c r="M135" i="26"/>
  <c r="L134" i="26"/>
  <c r="M134" i="26"/>
  <c r="L133" i="26"/>
  <c r="M133" i="26"/>
  <c r="L132" i="26"/>
  <c r="M132" i="26"/>
  <c r="L131" i="26"/>
  <c r="M131" i="26"/>
  <c r="L130" i="26"/>
  <c r="M130" i="26"/>
  <c r="L129" i="26"/>
  <c r="M129" i="26"/>
  <c r="L128" i="26"/>
  <c r="M128" i="26"/>
  <c r="L127" i="26"/>
  <c r="M127" i="26"/>
  <c r="L126" i="26"/>
  <c r="M126" i="26"/>
  <c r="L125" i="26"/>
  <c r="M125" i="26"/>
  <c r="L124" i="26"/>
  <c r="M124" i="26"/>
  <c r="L123" i="26"/>
  <c r="M123" i="26"/>
  <c r="L122" i="26"/>
  <c r="M122" i="26"/>
  <c r="L121" i="26"/>
  <c r="M121" i="26"/>
  <c r="L120" i="26"/>
  <c r="M120" i="26"/>
  <c r="L119" i="26"/>
  <c r="M119" i="26"/>
  <c r="L118" i="26"/>
  <c r="M118" i="26"/>
  <c r="L117" i="26"/>
  <c r="M117" i="26"/>
  <c r="L116" i="26"/>
  <c r="M116" i="26"/>
  <c r="L115" i="26"/>
  <c r="M115" i="26"/>
  <c r="L114" i="26"/>
  <c r="M114" i="26"/>
  <c r="L113" i="26"/>
  <c r="M113" i="26"/>
  <c r="L112" i="26"/>
  <c r="M112" i="26"/>
  <c r="L111" i="26"/>
  <c r="M111" i="26"/>
  <c r="L110" i="26"/>
  <c r="M110" i="26"/>
  <c r="L109" i="26"/>
  <c r="M109" i="26"/>
  <c r="L108" i="26"/>
  <c r="M108" i="26"/>
  <c r="L107" i="26"/>
  <c r="M107" i="26"/>
  <c r="L106" i="26"/>
  <c r="M106" i="26"/>
  <c r="L105" i="26"/>
  <c r="M105" i="26"/>
  <c r="L104" i="26"/>
  <c r="M104" i="26"/>
  <c r="L103" i="26"/>
  <c r="M103" i="26"/>
  <c r="L102" i="26"/>
  <c r="M102" i="26"/>
  <c r="L101" i="26"/>
  <c r="M101" i="26"/>
  <c r="L100" i="26"/>
  <c r="M100" i="26"/>
  <c r="L99" i="26"/>
  <c r="M99" i="26"/>
  <c r="L98" i="26"/>
  <c r="M98" i="26"/>
  <c r="L97" i="26"/>
  <c r="M97" i="26"/>
  <c r="L96" i="26"/>
  <c r="M96" i="26"/>
  <c r="M95" i="26"/>
  <c r="L94" i="26"/>
  <c r="L93" i="26"/>
  <c r="M93" i="26"/>
  <c r="L92" i="26"/>
  <c r="K91" i="26"/>
  <c r="M90" i="26"/>
  <c r="K90" i="26"/>
  <c r="L89" i="26"/>
  <c r="K89" i="26"/>
  <c r="L88" i="26"/>
  <c r="K88" i="26"/>
  <c r="M87" i="26"/>
  <c r="K87" i="26"/>
  <c r="L86" i="26"/>
  <c r="K86" i="26"/>
  <c r="L85" i="26"/>
  <c r="K85" i="26"/>
  <c r="L84" i="26"/>
  <c r="K84" i="26"/>
  <c r="L83" i="26"/>
  <c r="K83" i="26"/>
  <c r="K82" i="26"/>
  <c r="K81" i="26"/>
  <c r="M80" i="26"/>
  <c r="K80" i="26"/>
  <c r="K79" i="26"/>
  <c r="K78" i="26"/>
  <c r="M77" i="26"/>
  <c r="K77" i="26"/>
  <c r="L76" i="26"/>
  <c r="K76" i="26"/>
  <c r="K75" i="26"/>
  <c r="L74" i="26"/>
  <c r="K74" i="26"/>
  <c r="K73" i="26"/>
  <c r="M72" i="26"/>
  <c r="K72" i="26"/>
  <c r="M71" i="26"/>
  <c r="K71" i="26"/>
  <c r="K70" i="26"/>
  <c r="K69" i="26"/>
  <c r="M68" i="26"/>
  <c r="K68" i="26"/>
  <c r="L67" i="26"/>
  <c r="K67" i="26"/>
  <c r="L66" i="26"/>
  <c r="K66" i="26"/>
  <c r="K65" i="26"/>
  <c r="L64" i="26"/>
  <c r="K64" i="26"/>
  <c r="K63" i="26"/>
  <c r="L62" i="26"/>
  <c r="K62" i="26"/>
  <c r="K61" i="26"/>
  <c r="L60" i="26"/>
  <c r="K60" i="26"/>
  <c r="K59" i="26"/>
  <c r="L58" i="26"/>
  <c r="K58" i="26"/>
  <c r="K57" i="26"/>
  <c r="K56" i="26"/>
  <c r="L55" i="26"/>
  <c r="K55" i="26"/>
  <c r="L54" i="26"/>
  <c r="K54" i="26"/>
  <c r="K53" i="26"/>
  <c r="K52" i="26"/>
  <c r="K51" i="26"/>
  <c r="K50" i="26"/>
  <c r="L49" i="26"/>
  <c r="K49" i="26"/>
  <c r="K48" i="26"/>
  <c r="L47" i="26"/>
  <c r="K47" i="26"/>
  <c r="K46" i="26"/>
  <c r="K45" i="26"/>
  <c r="L44" i="26"/>
  <c r="K44" i="26"/>
  <c r="K43" i="26"/>
  <c r="L42" i="26"/>
  <c r="K42" i="26"/>
  <c r="K41" i="26"/>
  <c r="K40" i="26"/>
  <c r="K39" i="26"/>
  <c r="K38" i="26"/>
  <c r="K37" i="26"/>
  <c r="K36" i="26"/>
  <c r="K35" i="26"/>
  <c r="K34" i="26"/>
  <c r="K33" i="26"/>
  <c r="K32" i="26"/>
  <c r="K31" i="26"/>
  <c r="K30" i="26"/>
  <c r="K29" i="26"/>
  <c r="K28" i="26"/>
  <c r="K27" i="26"/>
  <c r="K26" i="26"/>
  <c r="K25" i="26"/>
  <c r="K24" i="26"/>
  <c r="K23" i="26"/>
  <c r="P204" i="5"/>
  <c r="K22" i="26"/>
  <c r="K21" i="26"/>
  <c r="K20" i="26"/>
  <c r="K19" i="26"/>
  <c r="K18" i="26"/>
  <c r="K17" i="26"/>
  <c r="K16" i="26"/>
  <c r="K15" i="26"/>
  <c r="P115" i="5"/>
  <c r="J115" i="5" s="1"/>
  <c r="L115" i="5" s="1"/>
  <c r="P116" i="5"/>
  <c r="J116" i="5" s="1"/>
  <c r="L116" i="5" s="1"/>
  <c r="K482" i="26"/>
  <c r="K481" i="26"/>
  <c r="K480" i="26"/>
  <c r="K479" i="26"/>
  <c r="K478" i="26"/>
  <c r="K477" i="26"/>
  <c r="K476" i="26"/>
  <c r="K475" i="26"/>
  <c r="K474" i="26"/>
  <c r="K473" i="26"/>
  <c r="K472" i="26"/>
  <c r="K471" i="26"/>
  <c r="K470" i="26"/>
  <c r="K469" i="26"/>
  <c r="K468" i="26"/>
  <c r="K467" i="26"/>
  <c r="K466" i="26"/>
  <c r="K465" i="26"/>
  <c r="K464" i="26"/>
  <c r="K463" i="26"/>
  <c r="K462" i="26"/>
  <c r="K461" i="26"/>
  <c r="K460" i="26"/>
  <c r="K459" i="26"/>
  <c r="K458" i="26"/>
  <c r="K457" i="26"/>
  <c r="K456" i="26"/>
  <c r="K455" i="26"/>
  <c r="K454" i="26"/>
  <c r="K453" i="26"/>
  <c r="K452" i="26"/>
  <c r="K451" i="26"/>
  <c r="K450" i="26"/>
  <c r="K449" i="26"/>
  <c r="K448" i="26"/>
  <c r="K447" i="26"/>
  <c r="K446" i="26"/>
  <c r="K445" i="26"/>
  <c r="K444" i="26"/>
  <c r="K443" i="26"/>
  <c r="K442" i="26"/>
  <c r="K441" i="26"/>
  <c r="K440" i="26"/>
  <c r="K439" i="26"/>
  <c r="K438" i="26"/>
  <c r="K437" i="26"/>
  <c r="K436" i="26"/>
  <c r="K435" i="26"/>
  <c r="K434" i="26"/>
  <c r="K433" i="26"/>
  <c r="K432" i="26"/>
  <c r="K431" i="26"/>
  <c r="K430" i="26"/>
  <c r="K429" i="26"/>
  <c r="K428" i="26"/>
  <c r="K427" i="26"/>
  <c r="K426" i="26"/>
  <c r="K425" i="26"/>
  <c r="K424" i="26"/>
  <c r="K423" i="26"/>
  <c r="K422" i="26"/>
  <c r="K421" i="26"/>
  <c r="K420" i="26"/>
  <c r="K419" i="26"/>
  <c r="K418" i="26"/>
  <c r="K417" i="26"/>
  <c r="K416" i="26"/>
  <c r="K415" i="26"/>
  <c r="K414" i="26"/>
  <c r="K413" i="26"/>
  <c r="K412" i="26"/>
  <c r="K411" i="26"/>
  <c r="K410" i="26"/>
  <c r="K409" i="26"/>
  <c r="K408" i="26"/>
  <c r="K407" i="26"/>
  <c r="K406" i="26"/>
  <c r="K405" i="26"/>
  <c r="K404" i="26"/>
  <c r="K403" i="26"/>
  <c r="K402" i="26"/>
  <c r="K401" i="26"/>
  <c r="K400" i="26"/>
  <c r="K399" i="26"/>
  <c r="K398" i="26"/>
  <c r="K397" i="26"/>
  <c r="K396" i="26"/>
  <c r="K395" i="26"/>
  <c r="K394" i="26"/>
  <c r="K393" i="26"/>
  <c r="K392" i="26"/>
  <c r="K391" i="26"/>
  <c r="K390" i="26"/>
  <c r="K389" i="26"/>
  <c r="K388" i="26"/>
  <c r="K387" i="26"/>
  <c r="K386" i="26"/>
  <c r="K385" i="26"/>
  <c r="K384" i="26"/>
  <c r="K383" i="26"/>
  <c r="K382" i="26"/>
  <c r="K381" i="26"/>
  <c r="K380" i="26"/>
  <c r="K379" i="26"/>
  <c r="K378" i="26"/>
  <c r="K377" i="26"/>
  <c r="K376" i="26"/>
  <c r="K375" i="26"/>
  <c r="K374" i="26"/>
  <c r="K373" i="26"/>
  <c r="K372" i="26"/>
  <c r="K371" i="26"/>
  <c r="K370" i="26"/>
  <c r="K369" i="26"/>
  <c r="K368" i="26"/>
  <c r="K367" i="26"/>
  <c r="K366" i="26"/>
  <c r="K365" i="26"/>
  <c r="K364" i="26"/>
  <c r="K363" i="26"/>
  <c r="K362" i="26"/>
  <c r="K361" i="26"/>
  <c r="K360" i="26"/>
  <c r="K359" i="26"/>
  <c r="K358" i="26"/>
  <c r="K357" i="26"/>
  <c r="K356" i="26"/>
  <c r="K355" i="26"/>
  <c r="K354" i="26"/>
  <c r="K353" i="26"/>
  <c r="K352" i="26"/>
  <c r="K351" i="26"/>
  <c r="K350" i="26"/>
  <c r="K349" i="26"/>
  <c r="K348" i="26"/>
  <c r="K347" i="26"/>
  <c r="K346" i="26"/>
  <c r="K345" i="26"/>
  <c r="K344" i="26"/>
  <c r="K343" i="26"/>
  <c r="K342" i="26"/>
  <c r="K341" i="26"/>
  <c r="K340" i="26"/>
  <c r="K339" i="26"/>
  <c r="K338" i="26"/>
  <c r="K337" i="26"/>
  <c r="K336" i="26"/>
  <c r="K335" i="26"/>
  <c r="K334" i="26"/>
  <c r="K333" i="26"/>
  <c r="K332" i="26"/>
  <c r="K331" i="26"/>
  <c r="K330" i="26"/>
  <c r="K329" i="26"/>
  <c r="K328" i="26"/>
  <c r="K327" i="26"/>
  <c r="K326" i="26"/>
  <c r="K325" i="26"/>
  <c r="K324" i="26"/>
  <c r="K323" i="26"/>
  <c r="K322" i="26"/>
  <c r="K321" i="26"/>
  <c r="K320" i="26"/>
  <c r="K319" i="26"/>
  <c r="K318" i="26"/>
  <c r="K317" i="26"/>
  <c r="K316" i="26"/>
  <c r="K315" i="26"/>
  <c r="K314" i="26"/>
  <c r="K313" i="26"/>
  <c r="K312" i="26"/>
  <c r="K311" i="26"/>
  <c r="K310" i="26"/>
  <c r="K309" i="26"/>
  <c r="K308" i="26"/>
  <c r="K307" i="26"/>
  <c r="K306" i="26"/>
  <c r="K305" i="26"/>
  <c r="K304" i="26"/>
  <c r="K303" i="26"/>
  <c r="K302" i="26"/>
  <c r="K301" i="26"/>
  <c r="K300" i="26"/>
  <c r="K299" i="26"/>
  <c r="K298" i="26"/>
  <c r="K297" i="26"/>
  <c r="K296" i="26"/>
  <c r="K295" i="26"/>
  <c r="K294" i="26"/>
  <c r="K293" i="26"/>
  <c r="K292" i="26"/>
  <c r="K291" i="26"/>
  <c r="K290" i="26"/>
  <c r="K289" i="26"/>
  <c r="K288" i="26"/>
  <c r="K287" i="26"/>
  <c r="K286" i="26"/>
  <c r="K285" i="26"/>
  <c r="K284" i="26"/>
  <c r="K283" i="26"/>
  <c r="K282" i="26"/>
  <c r="K281" i="26"/>
  <c r="K280" i="26"/>
  <c r="K279" i="26"/>
  <c r="K278" i="26"/>
  <c r="K277" i="26"/>
  <c r="K276" i="26"/>
  <c r="K275" i="26"/>
  <c r="K274" i="26"/>
  <c r="K273" i="26"/>
  <c r="K272" i="26"/>
  <c r="K271" i="26"/>
  <c r="K270" i="26"/>
  <c r="K269" i="26"/>
  <c r="K268" i="26"/>
  <c r="K267" i="26"/>
  <c r="K266" i="26"/>
  <c r="K265" i="26"/>
  <c r="K264" i="26"/>
  <c r="K263" i="26"/>
  <c r="K262" i="26"/>
  <c r="K261" i="26"/>
  <c r="K260" i="26"/>
  <c r="K259" i="26"/>
  <c r="K258" i="26"/>
  <c r="K257" i="26"/>
  <c r="K256" i="26"/>
  <c r="K255" i="26"/>
  <c r="K254" i="26"/>
  <c r="K253" i="26"/>
  <c r="K252" i="26"/>
  <c r="K251" i="26"/>
  <c r="K250" i="26"/>
  <c r="K249" i="26"/>
  <c r="K248" i="26"/>
  <c r="K247" i="26"/>
  <c r="K246" i="26"/>
  <c r="K245" i="26"/>
  <c r="K244" i="26"/>
  <c r="K243" i="26"/>
  <c r="K242" i="26"/>
  <c r="K241" i="26"/>
  <c r="K240" i="26"/>
  <c r="K239" i="26"/>
  <c r="K238" i="26"/>
  <c r="K237" i="26"/>
  <c r="K236" i="26"/>
  <c r="K235" i="26"/>
  <c r="K234" i="26"/>
  <c r="K233" i="26"/>
  <c r="K232" i="26"/>
  <c r="K231" i="26"/>
  <c r="K230" i="26"/>
  <c r="K229" i="26"/>
  <c r="K228" i="26"/>
  <c r="K227" i="26"/>
  <c r="K226" i="26"/>
  <c r="K225" i="26"/>
  <c r="K224" i="26"/>
  <c r="K223" i="26"/>
  <c r="K222" i="26"/>
  <c r="K221" i="26"/>
  <c r="K220" i="26"/>
  <c r="K219" i="26"/>
  <c r="K218" i="26"/>
  <c r="K217" i="26"/>
  <c r="K216" i="26"/>
  <c r="K215" i="26"/>
  <c r="K214" i="26"/>
  <c r="K213" i="26"/>
  <c r="K212" i="26"/>
  <c r="K211" i="26"/>
  <c r="K210" i="26"/>
  <c r="K209" i="26"/>
  <c r="K208" i="26"/>
  <c r="K207" i="26"/>
  <c r="K206" i="26"/>
  <c r="K205" i="26"/>
  <c r="K204" i="26"/>
  <c r="K203" i="26"/>
  <c r="K202" i="26"/>
  <c r="K201" i="26"/>
  <c r="K200" i="26"/>
  <c r="K199" i="26"/>
  <c r="K198" i="26"/>
  <c r="K197" i="26"/>
  <c r="K196" i="26"/>
  <c r="K195" i="26"/>
  <c r="K194" i="26"/>
  <c r="K193" i="26"/>
  <c r="K192" i="26"/>
  <c r="K191" i="26"/>
  <c r="K190" i="26"/>
  <c r="K189" i="26"/>
  <c r="K188" i="26"/>
  <c r="K187" i="26"/>
  <c r="K186" i="26"/>
  <c r="K185" i="26"/>
  <c r="K184" i="26"/>
  <c r="K183" i="26"/>
  <c r="K182" i="26"/>
  <c r="K181" i="26"/>
  <c r="K180" i="26"/>
  <c r="K179" i="26"/>
  <c r="K178" i="26"/>
  <c r="K177" i="26"/>
  <c r="K176" i="26"/>
  <c r="K175" i="26"/>
  <c r="K174" i="26"/>
  <c r="K173" i="26"/>
  <c r="K172" i="26"/>
  <c r="K171" i="26"/>
  <c r="K170" i="26"/>
  <c r="K169" i="26"/>
  <c r="K168" i="26"/>
  <c r="K167" i="26"/>
  <c r="K166" i="26"/>
  <c r="K165" i="26"/>
  <c r="K164" i="26"/>
  <c r="K163" i="26"/>
  <c r="K162" i="26"/>
  <c r="K161" i="26"/>
  <c r="K160" i="26"/>
  <c r="K159" i="26"/>
  <c r="K158" i="26"/>
  <c r="K157" i="26"/>
  <c r="K156" i="26"/>
  <c r="K155" i="26"/>
  <c r="K154" i="26"/>
  <c r="K153" i="26"/>
  <c r="K152" i="26"/>
  <c r="K151" i="26"/>
  <c r="K150" i="26"/>
  <c r="K149" i="26"/>
  <c r="K148" i="26"/>
  <c r="K147" i="26"/>
  <c r="K146" i="26"/>
  <c r="K145" i="26"/>
  <c r="K144" i="26"/>
  <c r="K143" i="26"/>
  <c r="K142" i="26"/>
  <c r="K141" i="26"/>
  <c r="K140" i="26"/>
  <c r="K139" i="26"/>
  <c r="K138" i="26"/>
  <c r="K137" i="26"/>
  <c r="K136" i="26"/>
  <c r="K135" i="26"/>
  <c r="K134" i="26"/>
  <c r="K133" i="26"/>
  <c r="K132" i="26"/>
  <c r="K131" i="26"/>
  <c r="K130" i="26"/>
  <c r="K129" i="26"/>
  <c r="K128" i="26"/>
  <c r="K127" i="26"/>
  <c r="K126" i="26"/>
  <c r="K125" i="26"/>
  <c r="K124" i="26"/>
  <c r="K123" i="26"/>
  <c r="K122" i="26"/>
  <c r="K121" i="26"/>
  <c r="K120" i="26"/>
  <c r="K119" i="26"/>
  <c r="K118" i="26"/>
  <c r="K117" i="26"/>
  <c r="K116" i="26"/>
  <c r="K115" i="26"/>
  <c r="K114" i="26"/>
  <c r="K113" i="26"/>
  <c r="K112" i="26"/>
  <c r="K111" i="26"/>
  <c r="K110" i="26"/>
  <c r="K109" i="26"/>
  <c r="K108" i="26"/>
  <c r="K107" i="26"/>
  <c r="K106" i="26"/>
  <c r="K105" i="26"/>
  <c r="K104" i="26"/>
  <c r="K103" i="26"/>
  <c r="K102" i="26"/>
  <c r="K101" i="26"/>
  <c r="K100" i="26"/>
  <c r="K99" i="26"/>
  <c r="K98" i="26"/>
  <c r="K97" i="26"/>
  <c r="K96" i="26"/>
  <c r="K95" i="26"/>
  <c r="K94" i="26"/>
  <c r="K93" i="26"/>
  <c r="K92" i="26"/>
  <c r="P315" i="5"/>
  <c r="J315" i="5" s="1"/>
  <c r="P19" i="5"/>
  <c r="J19" i="5" s="1"/>
  <c r="L19" i="5" s="1"/>
  <c r="P145" i="5"/>
  <c r="P375" i="5"/>
  <c r="J375" i="5" s="1"/>
  <c r="P20" i="5"/>
  <c r="J20" i="5" s="1"/>
  <c r="L20" i="5" s="1"/>
  <c r="J75" i="26"/>
  <c r="P401" i="5"/>
  <c r="P400" i="5"/>
  <c r="J400" i="5" s="1"/>
  <c r="L400" i="5" s="1"/>
  <c r="P399" i="5"/>
  <c r="P398" i="5"/>
  <c r="J398" i="5" s="1"/>
  <c r="L398" i="5" s="1"/>
  <c r="P397" i="5"/>
  <c r="J397" i="5" s="1"/>
  <c r="P396" i="5"/>
  <c r="J396" i="5" s="1"/>
  <c r="P395" i="5"/>
  <c r="J395" i="5" s="1"/>
  <c r="P394" i="5"/>
  <c r="J394" i="5" s="1"/>
  <c r="P393" i="5"/>
  <c r="J393" i="5" s="1"/>
  <c r="P392" i="5"/>
  <c r="J392" i="5" s="1"/>
  <c r="P391" i="5"/>
  <c r="J391" i="5" s="1"/>
  <c r="P390" i="5"/>
  <c r="J390" i="5" s="1"/>
  <c r="P389" i="5"/>
  <c r="J389" i="5" s="1"/>
  <c r="L389" i="5" s="1"/>
  <c r="P388" i="5"/>
  <c r="J388" i="5" s="1"/>
  <c r="L388" i="5" s="1"/>
  <c r="P387" i="5"/>
  <c r="P386" i="5"/>
  <c r="J386" i="5" s="1"/>
  <c r="P385" i="5"/>
  <c r="J385" i="5" s="1"/>
  <c r="L385" i="5" s="1"/>
  <c r="P384" i="5"/>
  <c r="J384" i="5" s="1"/>
  <c r="P383" i="5"/>
  <c r="P382" i="5"/>
  <c r="J382" i="5" s="1"/>
  <c r="P381" i="5"/>
  <c r="J381" i="5" s="1"/>
  <c r="P380" i="5"/>
  <c r="J380" i="5" s="1"/>
  <c r="P379" i="5"/>
  <c r="J379" i="5" s="1"/>
  <c r="L379" i="5" s="1"/>
  <c r="P378" i="5"/>
  <c r="J378" i="5" s="1"/>
  <c r="P377" i="5"/>
  <c r="J377" i="5" s="1"/>
  <c r="P376" i="5"/>
  <c r="J376" i="5" s="1"/>
  <c r="P374" i="5"/>
  <c r="J374" i="5" s="1"/>
  <c r="L374" i="5" s="1"/>
  <c r="P373" i="5"/>
  <c r="J373" i="5" s="1"/>
  <c r="P372" i="5"/>
  <c r="J372" i="5" s="1"/>
  <c r="P371" i="5"/>
  <c r="J371" i="5" s="1"/>
  <c r="P370" i="5"/>
  <c r="J370" i="5" s="1"/>
  <c r="P369" i="5"/>
  <c r="J369" i="5" s="1"/>
  <c r="P366" i="5"/>
  <c r="J366" i="5" s="1"/>
  <c r="L366" i="5" s="1"/>
  <c r="P365" i="5"/>
  <c r="J365" i="5" s="1"/>
  <c r="P364" i="5"/>
  <c r="P363" i="5"/>
  <c r="J363" i="5" s="1"/>
  <c r="P362" i="5"/>
  <c r="J362" i="5" s="1"/>
  <c r="P360" i="5"/>
  <c r="P359" i="5"/>
  <c r="J359" i="5" s="1"/>
  <c r="L359" i="5" s="1"/>
  <c r="P358" i="5"/>
  <c r="P357" i="5"/>
  <c r="J357" i="5" s="1"/>
  <c r="P356" i="5"/>
  <c r="P355" i="5"/>
  <c r="P354" i="5"/>
  <c r="J354" i="5" s="1"/>
  <c r="L354" i="5" s="1"/>
  <c r="P350" i="5"/>
  <c r="J350" i="5" s="1"/>
  <c r="P349" i="5"/>
  <c r="P347" i="5"/>
  <c r="J347" i="5" s="1"/>
  <c r="P345" i="5"/>
  <c r="J345" i="5" s="1"/>
  <c r="P344" i="5"/>
  <c r="P342" i="5"/>
  <c r="J342" i="5" s="1"/>
  <c r="L342" i="5" s="1"/>
  <c r="P341" i="5"/>
  <c r="P334" i="5"/>
  <c r="J334" i="5" s="1"/>
  <c r="P332" i="5"/>
  <c r="P330" i="5"/>
  <c r="J330" i="5" s="1"/>
  <c r="P321" i="5"/>
  <c r="J321" i="5" s="1"/>
  <c r="P319" i="5"/>
  <c r="J319" i="5" s="1"/>
  <c r="L319" i="5" s="1"/>
  <c r="P318" i="5"/>
  <c r="J318" i="5" s="1"/>
  <c r="P317" i="5"/>
  <c r="J317" i="5" s="1"/>
  <c r="P316" i="5"/>
  <c r="J316" i="5" s="1"/>
  <c r="P313" i="5"/>
  <c r="J313" i="5" s="1"/>
  <c r="L313" i="5" s="1"/>
  <c r="P312" i="5"/>
  <c r="J312" i="5" s="1"/>
  <c r="P311" i="5"/>
  <c r="J311" i="5" s="1"/>
  <c r="P310" i="5"/>
  <c r="J310" i="5" s="1"/>
  <c r="P309" i="5"/>
  <c r="J309" i="5" s="1"/>
  <c r="P308" i="5"/>
  <c r="J308" i="5" s="1"/>
  <c r="P307" i="5"/>
  <c r="J307" i="5" s="1"/>
  <c r="L307" i="5" s="1"/>
  <c r="P302" i="5"/>
  <c r="J302" i="5" s="1"/>
  <c r="L302" i="5" s="1"/>
  <c r="P283" i="5"/>
  <c r="J283" i="5" s="1"/>
  <c r="L283" i="5" s="1"/>
  <c r="P282" i="5"/>
  <c r="J282" i="5" s="1"/>
  <c r="L282" i="5" s="1"/>
  <c r="P281" i="5"/>
  <c r="J281" i="5" s="1"/>
  <c r="P280" i="5"/>
  <c r="J280" i="5" s="1"/>
  <c r="P279" i="5"/>
  <c r="J279" i="5" s="1"/>
  <c r="L279" i="5" s="1"/>
  <c r="P278" i="5"/>
  <c r="J278" i="5" s="1"/>
  <c r="L278" i="5" s="1"/>
  <c r="P277" i="5"/>
  <c r="P276" i="5"/>
  <c r="J276" i="5" s="1"/>
  <c r="P275" i="5"/>
  <c r="J275" i="5" s="1"/>
  <c r="L275" i="5" s="1"/>
  <c r="J84" i="26"/>
  <c r="P274" i="5"/>
  <c r="J274" i="5" s="1"/>
  <c r="L274" i="5" s="1"/>
  <c r="P273" i="5"/>
  <c r="J273" i="5" s="1"/>
  <c r="J83" i="26"/>
  <c r="P272" i="5"/>
  <c r="J272" i="5" s="1"/>
  <c r="P271" i="5"/>
  <c r="J271" i="5" s="1"/>
  <c r="L271" i="5" s="1"/>
  <c r="P270" i="5"/>
  <c r="J270" i="5" s="1"/>
  <c r="L270" i="5" s="1"/>
  <c r="P269" i="5"/>
  <c r="J269" i="5" s="1"/>
  <c r="L269" i="5" s="1"/>
  <c r="F75" i="80" s="1"/>
  <c r="P268" i="5"/>
  <c r="J268" i="5" s="1"/>
  <c r="P267" i="5"/>
  <c r="J267" i="5" s="1"/>
  <c r="L267" i="5" s="1"/>
  <c r="P266" i="5"/>
  <c r="J266" i="5" s="1"/>
  <c r="L266" i="5" s="1"/>
  <c r="P265" i="5"/>
  <c r="J265" i="5" s="1"/>
  <c r="P264" i="5"/>
  <c r="J264" i="5" s="1"/>
  <c r="P263" i="5"/>
  <c r="J263" i="5" s="1"/>
  <c r="L263" i="5" s="1"/>
  <c r="P262" i="5"/>
  <c r="J262" i="5" s="1"/>
  <c r="L262" i="5" s="1"/>
  <c r="P261" i="5"/>
  <c r="J261" i="5" s="1"/>
  <c r="L261" i="5" s="1"/>
  <c r="P260" i="5"/>
  <c r="J260" i="5" s="1"/>
  <c r="P259" i="5"/>
  <c r="J259" i="5" s="1"/>
  <c r="L259" i="5" s="1"/>
  <c r="P258" i="5"/>
  <c r="J258" i="5" s="1"/>
  <c r="L258" i="5" s="1"/>
  <c r="P257" i="5"/>
  <c r="J257" i="5" s="1"/>
  <c r="P256" i="5"/>
  <c r="J256" i="5" s="1"/>
  <c r="P255" i="5"/>
  <c r="J255" i="5" s="1"/>
  <c r="L255" i="5" s="1"/>
  <c r="P254" i="5"/>
  <c r="J254" i="5" s="1"/>
  <c r="L254" i="5" s="1"/>
  <c r="P253" i="5"/>
  <c r="J253" i="5" s="1"/>
  <c r="L253" i="5" s="1"/>
  <c r="F73" i="80" s="1"/>
  <c r="P252" i="5"/>
  <c r="J252" i="5" s="1"/>
  <c r="P251" i="5"/>
  <c r="J251" i="5" s="1"/>
  <c r="L251" i="5" s="1"/>
  <c r="P238" i="5"/>
  <c r="J238" i="5" s="1"/>
  <c r="L238" i="5" s="1"/>
  <c r="O1596" i="246" s="1"/>
  <c r="P237" i="5"/>
  <c r="J237" i="5" s="1"/>
  <c r="P236" i="5"/>
  <c r="J236" i="5" s="1"/>
  <c r="P235" i="5"/>
  <c r="J235" i="5" s="1"/>
  <c r="L235" i="5" s="1"/>
  <c r="P232" i="5"/>
  <c r="P231" i="5"/>
  <c r="P230" i="5"/>
  <c r="J230" i="5" s="1"/>
  <c r="P229" i="5"/>
  <c r="J229" i="5" s="1"/>
  <c r="L229" i="5" s="1"/>
  <c r="P227" i="5"/>
  <c r="P226" i="5"/>
  <c r="P225" i="5"/>
  <c r="P221" i="5"/>
  <c r="J221" i="5" s="1"/>
  <c r="P220" i="5"/>
  <c r="J220" i="5" s="1"/>
  <c r="L220" i="5" s="1"/>
  <c r="P207" i="5"/>
  <c r="J207" i="5" s="1"/>
  <c r="P206" i="5"/>
  <c r="P205" i="5"/>
  <c r="P190" i="5"/>
  <c r="P189" i="5"/>
  <c r="J189" i="5" s="1"/>
  <c r="P188" i="5"/>
  <c r="P185" i="5"/>
  <c r="J185" i="5" s="1"/>
  <c r="L185" i="5" s="1"/>
  <c r="P184" i="5"/>
  <c r="J184" i="5" s="1"/>
  <c r="P183" i="5"/>
  <c r="P182" i="5"/>
  <c r="J182" i="5" s="1"/>
  <c r="L182" i="5" s="1"/>
  <c r="P181" i="5"/>
  <c r="J181" i="5" s="1"/>
  <c r="P180" i="5"/>
  <c r="J180" i="5" s="1"/>
  <c r="L180" i="5" s="1"/>
  <c r="P179" i="5"/>
  <c r="J179" i="5" s="1"/>
  <c r="L179" i="5" s="1"/>
  <c r="P178" i="5"/>
  <c r="J178" i="5" s="1"/>
  <c r="L178" i="5" s="1"/>
  <c r="P177" i="5"/>
  <c r="J177" i="5" s="1"/>
  <c r="P176" i="5"/>
  <c r="J176" i="5" s="1"/>
  <c r="L176" i="5" s="1"/>
  <c r="P169" i="5"/>
  <c r="M76" i="26" s="1"/>
  <c r="L168" i="5"/>
  <c r="L167" i="5"/>
  <c r="L166" i="5"/>
  <c r="P165" i="5"/>
  <c r="J165" i="5" s="1"/>
  <c r="L165" i="5" s="1"/>
  <c r="P164" i="5"/>
  <c r="J164" i="5" s="1"/>
  <c r="L164" i="5" s="1"/>
  <c r="P163" i="5"/>
  <c r="P161" i="5"/>
  <c r="P160" i="5"/>
  <c r="J160" i="5" s="1"/>
  <c r="L160" i="5" s="1"/>
  <c r="P159" i="5"/>
  <c r="J159" i="5" s="1"/>
  <c r="L159" i="5" s="1"/>
  <c r="P158" i="5"/>
  <c r="P157" i="5"/>
  <c r="J157" i="5" s="1"/>
  <c r="L157" i="5" s="1"/>
  <c r="P156" i="5"/>
  <c r="J156" i="5" s="1"/>
  <c r="P155" i="5"/>
  <c r="J155" i="5" s="1"/>
  <c r="L155" i="5" s="1"/>
  <c r="P154" i="5"/>
  <c r="J154" i="5" s="1"/>
  <c r="L154" i="5" s="1"/>
  <c r="P150" i="5"/>
  <c r="P146" i="5"/>
  <c r="P143" i="5"/>
  <c r="J143" i="5" s="1"/>
  <c r="L143" i="5" s="1"/>
  <c r="P142" i="5"/>
  <c r="J142" i="5" s="1"/>
  <c r="L142" i="5" s="1"/>
  <c r="P135" i="5"/>
  <c r="J135" i="5" s="1"/>
  <c r="L135" i="5" s="1"/>
  <c r="P130" i="5"/>
  <c r="J130" i="5" s="1"/>
  <c r="L130" i="5" s="1"/>
  <c r="P129" i="5"/>
  <c r="J129" i="5" s="1"/>
  <c r="P128" i="5"/>
  <c r="J128" i="5" s="1"/>
  <c r="P127" i="5"/>
  <c r="J127" i="5" s="1"/>
  <c r="L127" i="5" s="1"/>
  <c r="P126" i="5"/>
  <c r="J126" i="5" s="1"/>
  <c r="L126" i="5" s="1"/>
  <c r="P125" i="5"/>
  <c r="J125" i="5" s="1"/>
  <c r="L125" i="5" s="1"/>
  <c r="P124" i="5"/>
  <c r="J124" i="5" s="1"/>
  <c r="P123" i="5"/>
  <c r="J123" i="5" s="1"/>
  <c r="L123" i="5" s="1"/>
  <c r="P122" i="5"/>
  <c r="P121" i="5"/>
  <c r="J121" i="5" s="1"/>
  <c r="L121" i="5" s="1"/>
  <c r="P120" i="5"/>
  <c r="J120" i="5" s="1"/>
  <c r="L120" i="5" s="1"/>
  <c r="P119" i="5"/>
  <c r="J119" i="5" s="1"/>
  <c r="L119" i="5" s="1"/>
  <c r="P118" i="5"/>
  <c r="J118" i="5" s="1"/>
  <c r="L118" i="5" s="1"/>
  <c r="P117" i="5"/>
  <c r="J117" i="5" s="1"/>
  <c r="L117" i="5" s="1"/>
  <c r="P112" i="5"/>
  <c r="J112" i="5" s="1"/>
  <c r="L112" i="5" s="1"/>
  <c r="P111" i="5"/>
  <c r="J111" i="5" s="1"/>
  <c r="P110" i="5"/>
  <c r="J110" i="5" s="1"/>
  <c r="P109" i="5"/>
  <c r="J109" i="5" s="1"/>
  <c r="L109" i="5" s="1"/>
  <c r="P106" i="5"/>
  <c r="J106" i="5" s="1"/>
  <c r="P105" i="5"/>
  <c r="J105" i="5" s="1"/>
  <c r="P104" i="5"/>
  <c r="J104" i="5" s="1"/>
  <c r="L104" i="5" s="1"/>
  <c r="P103" i="5"/>
  <c r="P102" i="5"/>
  <c r="J102" i="5" s="1"/>
  <c r="L102" i="5" s="1"/>
  <c r="P101" i="5"/>
  <c r="J101" i="5" s="1"/>
  <c r="L101" i="5" s="1"/>
  <c r="P100" i="5"/>
  <c r="J100" i="5" s="1"/>
  <c r="L100" i="5" s="1"/>
  <c r="P99" i="5"/>
  <c r="J99" i="5" s="1"/>
  <c r="L99" i="5" s="1"/>
  <c r="P98" i="5"/>
  <c r="J98" i="5" s="1"/>
  <c r="L98" i="5" s="1"/>
  <c r="P96" i="5"/>
  <c r="J96" i="5" s="1"/>
  <c r="L96" i="5" s="1"/>
  <c r="P95" i="5"/>
  <c r="J95" i="5" s="1"/>
  <c r="L95" i="5" s="1"/>
  <c r="P94" i="5"/>
  <c r="P93" i="5"/>
  <c r="J93" i="5" s="1"/>
  <c r="L93" i="5" s="1"/>
  <c r="P91" i="5"/>
  <c r="J91" i="5" s="1"/>
  <c r="L91" i="5" s="1"/>
  <c r="P90" i="5"/>
  <c r="J90" i="5" s="1"/>
  <c r="L90" i="5" s="1"/>
  <c r="P89" i="5"/>
  <c r="J89" i="5" s="1"/>
  <c r="L89" i="5" s="1"/>
  <c r="P88" i="5"/>
  <c r="J88" i="5" s="1"/>
  <c r="L88" i="5" s="1"/>
  <c r="P85" i="5"/>
  <c r="J85" i="5" s="1"/>
  <c r="L85" i="5" s="1"/>
  <c r="P84" i="5"/>
  <c r="J84" i="5" s="1"/>
  <c r="L84" i="5" s="1"/>
  <c r="P83" i="5"/>
  <c r="J83" i="5" s="1"/>
  <c r="L83" i="5" s="1"/>
  <c r="P72" i="5"/>
  <c r="J72" i="5" s="1"/>
  <c r="L72" i="5" s="1"/>
  <c r="P71" i="5"/>
  <c r="J71" i="5" s="1"/>
  <c r="P70" i="5"/>
  <c r="J70" i="5" s="1"/>
  <c r="L70" i="5" s="1"/>
  <c r="P69" i="5"/>
  <c r="J69" i="5" s="1"/>
  <c r="L69" i="5" s="1"/>
  <c r="P68" i="5"/>
  <c r="J68" i="5" s="1"/>
  <c r="L68" i="5" s="1"/>
  <c r="P67" i="5"/>
  <c r="J67" i="5" s="1"/>
  <c r="L67" i="5" s="1"/>
  <c r="P66" i="5"/>
  <c r="J66" i="5" s="1"/>
  <c r="L66" i="5" s="1"/>
  <c r="P64" i="5"/>
  <c r="J64" i="5" s="1"/>
  <c r="P63" i="5"/>
  <c r="J63" i="5" s="1"/>
  <c r="L63" i="5" s="1"/>
  <c r="P60" i="5"/>
  <c r="J60" i="5" s="1"/>
  <c r="L60" i="5" s="1"/>
  <c r="P59" i="5"/>
  <c r="J59" i="5" s="1"/>
  <c r="L59" i="5" s="1"/>
  <c r="P58" i="5"/>
  <c r="J58" i="5" s="1"/>
  <c r="L58" i="5" s="1"/>
  <c r="P57" i="5"/>
  <c r="J57" i="5" s="1"/>
  <c r="L57" i="5" s="1"/>
  <c r="P56" i="5"/>
  <c r="J56" i="5" s="1"/>
  <c r="L56" i="5" s="1"/>
  <c r="P55" i="5"/>
  <c r="J55" i="5" s="1"/>
  <c r="L55" i="5" s="1"/>
  <c r="P54" i="5"/>
  <c r="J54" i="5" s="1"/>
  <c r="L54" i="5" s="1"/>
  <c r="P53" i="5"/>
  <c r="J53" i="5" s="1"/>
  <c r="L53" i="5" s="1"/>
  <c r="P52" i="5"/>
  <c r="J52" i="5" s="1"/>
  <c r="L52" i="5" s="1"/>
  <c r="P51" i="5"/>
  <c r="J51" i="5" s="1"/>
  <c r="L51" i="5" s="1"/>
  <c r="P50" i="5"/>
  <c r="J50" i="5" s="1"/>
  <c r="P49" i="5"/>
  <c r="P48" i="5"/>
  <c r="J48" i="5" s="1"/>
  <c r="P47" i="5"/>
  <c r="J47" i="5" s="1"/>
  <c r="L47" i="5" s="1"/>
  <c r="P46" i="5"/>
  <c r="J46" i="5" s="1"/>
  <c r="P45" i="5"/>
  <c r="J45" i="5" s="1"/>
  <c r="P44" i="5"/>
  <c r="J44" i="5" s="1"/>
  <c r="P43" i="5"/>
  <c r="J43" i="5" s="1"/>
  <c r="L43" i="5" s="1"/>
  <c r="P42" i="5"/>
  <c r="J42" i="5" s="1"/>
  <c r="L42" i="5" s="1"/>
  <c r="P41" i="5"/>
  <c r="J41" i="5" s="1"/>
  <c r="P40" i="5"/>
  <c r="J40" i="5" s="1"/>
  <c r="L40" i="5" s="1"/>
  <c r="O2784" i="246" s="1"/>
  <c r="R2784" i="246" s="1"/>
  <c r="P39" i="5"/>
  <c r="J39" i="5" s="1"/>
  <c r="L39" i="5" s="1"/>
  <c r="P32" i="5"/>
  <c r="J32" i="5" s="1"/>
  <c r="L32" i="5" s="1"/>
  <c r="P31" i="5"/>
  <c r="J31" i="5" s="1"/>
  <c r="L31" i="5" s="1"/>
  <c r="P27" i="5"/>
  <c r="J27" i="5" s="1"/>
  <c r="L27" i="5" s="1"/>
  <c r="P26" i="5"/>
  <c r="P25" i="5"/>
  <c r="J25" i="5" s="1"/>
  <c r="L25" i="5" s="1"/>
  <c r="P24" i="5"/>
  <c r="P23" i="5"/>
  <c r="P22" i="5"/>
  <c r="J22" i="5" s="1"/>
  <c r="L22" i="5" s="1"/>
  <c r="P21" i="5"/>
  <c r="J21" i="5" s="1"/>
  <c r="L21" i="5" s="1"/>
  <c r="P17" i="5"/>
  <c r="J17" i="5" s="1"/>
  <c r="P16" i="5"/>
  <c r="P15" i="5"/>
  <c r="P14" i="5"/>
  <c r="P13" i="5"/>
  <c r="P12" i="5"/>
  <c r="J12" i="5" s="1"/>
  <c r="L12" i="5" s="1"/>
  <c r="P11" i="5"/>
  <c r="P10" i="5"/>
  <c r="J10" i="5" s="1"/>
  <c r="L10" i="5" s="1"/>
  <c r="P5" i="5"/>
  <c r="L36" i="26" s="1"/>
  <c r="A16" i="1"/>
  <c r="D20" i="1"/>
  <c r="D56" i="1"/>
  <c r="D57" i="1"/>
  <c r="R57" i="1" s="1"/>
  <c r="D61" i="1"/>
  <c r="D199" i="1"/>
  <c r="M199" i="1"/>
  <c r="D104" i="1"/>
  <c r="D105" i="1"/>
  <c r="R105" i="1" s="1"/>
  <c r="R118" i="1"/>
  <c r="R121" i="1"/>
  <c r="R122" i="1"/>
  <c r="R123" i="1"/>
  <c r="R124" i="1"/>
  <c r="R128" i="1"/>
  <c r="R129" i="1"/>
  <c r="R138" i="1"/>
  <c r="R139" i="1"/>
  <c r="D659" i="1"/>
  <c r="D660" i="1"/>
  <c r="R660" i="1" s="1"/>
  <c r="M665" i="1"/>
  <c r="D602" i="1"/>
  <c r="D603" i="1"/>
  <c r="R603" i="1" s="1"/>
  <c r="D606" i="1"/>
  <c r="M609" i="1"/>
  <c r="D864" i="1"/>
  <c r="D865" i="1"/>
  <c r="R865" i="1" s="1"/>
  <c r="D868" i="1"/>
  <c r="D980" i="1"/>
  <c r="K980" i="1"/>
  <c r="D981" i="1"/>
  <c r="K981" i="1"/>
  <c r="K982" i="1"/>
  <c r="K983" i="1"/>
  <c r="C2044" i="1"/>
  <c r="C2045" i="1"/>
  <c r="C2046" i="1"/>
  <c r="C2047" i="1"/>
  <c r="C2048" i="1"/>
  <c r="C2076" i="1"/>
  <c r="C2077" i="1"/>
  <c r="C2078" i="1"/>
  <c r="C2079" i="1"/>
  <c r="C2080" i="1"/>
  <c r="D2097" i="1"/>
  <c r="D2098" i="1"/>
  <c r="D2101" i="1"/>
  <c r="M2104" i="1"/>
  <c r="C2111" i="1"/>
  <c r="D2182" i="1"/>
  <c r="D2183" i="1"/>
  <c r="D2186" i="1"/>
  <c r="M2189" i="1"/>
  <c r="C2208" i="1"/>
  <c r="R2208" i="1" s="1"/>
  <c r="D2354" i="1"/>
  <c r="D2355" i="1"/>
  <c r="D2358" i="1"/>
  <c r="M2361" i="1"/>
  <c r="D2394" i="1"/>
  <c r="D2395" i="1"/>
  <c r="D2398" i="1"/>
  <c r="M2401" i="1"/>
  <c r="C2405" i="1"/>
  <c r="D2551" i="1"/>
  <c r="D2552" i="1"/>
  <c r="D2555" i="1"/>
  <c r="M2558" i="1"/>
  <c r="C2562" i="1"/>
  <c r="C2563" i="1"/>
  <c r="C2564" i="1"/>
  <c r="C2565" i="1"/>
  <c r="C2589" i="1"/>
  <c r="C2590" i="1"/>
  <c r="C2591" i="1"/>
  <c r="C2614" i="1"/>
  <c r="C2615" i="1"/>
  <c r="C2616" i="1"/>
  <c r="C2617" i="1"/>
  <c r="C1207" i="1"/>
  <c r="C1208" i="1"/>
  <c r="C1209" i="1"/>
  <c r="C1210" i="1"/>
  <c r="C1211" i="1"/>
  <c r="C1279" i="1"/>
  <c r="C1280" i="1"/>
  <c r="C1281" i="1"/>
  <c r="C1282" i="1"/>
  <c r="C1283" i="1"/>
  <c r="C1307" i="1"/>
  <c r="C1308" i="1"/>
  <c r="C1309" i="1"/>
  <c r="D1378" i="1"/>
  <c r="D1379" i="1"/>
  <c r="D1380" i="1"/>
  <c r="D1381" i="1"/>
  <c r="D1414" i="1"/>
  <c r="D1415" i="1"/>
  <c r="D1418" i="1"/>
  <c r="M1421" i="1"/>
  <c r="C1425" i="1"/>
  <c r="C1426" i="1"/>
  <c r="C1427" i="1"/>
  <c r="C1431" i="1"/>
  <c r="C1435" i="1"/>
  <c r="D2805" i="1"/>
  <c r="D2809" i="1"/>
  <c r="D2893" i="1" s="1"/>
  <c r="M2812" i="1"/>
  <c r="D2823" i="1"/>
  <c r="D2824" i="1"/>
  <c r="D2825" i="1"/>
  <c r="D2826" i="1"/>
  <c r="D2827" i="1"/>
  <c r="D2837" i="1"/>
  <c r="D2838" i="1"/>
  <c r="D2839" i="1"/>
  <c r="D2840" i="1"/>
  <c r="D2841" i="1"/>
  <c r="D2869" i="1"/>
  <c r="M2896" i="1"/>
  <c r="D2927" i="1"/>
  <c r="D2928" i="1"/>
  <c r="D2929" i="1"/>
  <c r="D2930" i="1"/>
  <c r="D2931" i="1"/>
  <c r="D2973" i="1"/>
  <c r="D2974" i="1"/>
  <c r="R2974" i="1" s="1"/>
  <c r="D2977" i="1"/>
  <c r="D3047" i="1"/>
  <c r="D3048" i="1"/>
  <c r="C2" i="26"/>
  <c r="D4" i="26"/>
  <c r="J85" i="26"/>
  <c r="J86" i="26"/>
  <c r="J87" i="26"/>
  <c r="J88" i="26"/>
  <c r="J89" i="26"/>
  <c r="J92" i="26"/>
  <c r="J93" i="26"/>
  <c r="J94" i="26"/>
  <c r="J95" i="26"/>
  <c r="J96" i="26"/>
  <c r="J97" i="26"/>
  <c r="J98" i="26"/>
  <c r="J99" i="26"/>
  <c r="J100" i="26"/>
  <c r="J101" i="26"/>
  <c r="J102" i="26"/>
  <c r="J103" i="26"/>
  <c r="J104" i="26"/>
  <c r="J105" i="26"/>
  <c r="J106" i="26"/>
  <c r="J107" i="26"/>
  <c r="J108" i="26"/>
  <c r="J109" i="26"/>
  <c r="J110" i="26"/>
  <c r="J111" i="26"/>
  <c r="J112" i="26"/>
  <c r="J113" i="26"/>
  <c r="J114" i="26"/>
  <c r="J115" i="26"/>
  <c r="J116" i="26"/>
  <c r="J117" i="26"/>
  <c r="J118" i="26"/>
  <c r="J119" i="26"/>
  <c r="J120" i="26"/>
  <c r="J121" i="26"/>
  <c r="J122" i="26"/>
  <c r="J123" i="26"/>
  <c r="J124" i="26"/>
  <c r="J125" i="26"/>
  <c r="J126" i="26"/>
  <c r="J127" i="26"/>
  <c r="J128" i="26"/>
  <c r="J129" i="26"/>
  <c r="J130" i="26"/>
  <c r="J131" i="26"/>
  <c r="J132" i="26"/>
  <c r="J133" i="26"/>
  <c r="J134" i="26"/>
  <c r="J135" i="26"/>
  <c r="J136" i="26"/>
  <c r="J137" i="26"/>
  <c r="J138" i="26"/>
  <c r="J139" i="26"/>
  <c r="J140" i="26"/>
  <c r="J141" i="26"/>
  <c r="J142" i="26"/>
  <c r="J143" i="26"/>
  <c r="J144" i="26"/>
  <c r="J145" i="26"/>
  <c r="J146" i="26"/>
  <c r="J147" i="26"/>
  <c r="J148" i="26"/>
  <c r="J149" i="26"/>
  <c r="J150" i="26"/>
  <c r="J151" i="26"/>
  <c r="J152" i="26"/>
  <c r="J153" i="26"/>
  <c r="J154" i="26"/>
  <c r="J155" i="26"/>
  <c r="J156" i="26"/>
  <c r="J157" i="26"/>
  <c r="J158" i="26"/>
  <c r="J159" i="26"/>
  <c r="J160" i="26"/>
  <c r="J161" i="26"/>
  <c r="J162" i="26"/>
  <c r="J163" i="26"/>
  <c r="J164" i="26"/>
  <c r="J165" i="26"/>
  <c r="J166" i="26"/>
  <c r="J167" i="26"/>
  <c r="J168" i="26"/>
  <c r="J169" i="26"/>
  <c r="J170" i="26"/>
  <c r="J171" i="26"/>
  <c r="J172" i="26"/>
  <c r="J173" i="26"/>
  <c r="J174" i="26"/>
  <c r="J175" i="26"/>
  <c r="J176" i="26"/>
  <c r="J177" i="26"/>
  <c r="J178" i="26"/>
  <c r="J179" i="26"/>
  <c r="J180" i="26"/>
  <c r="J181" i="26"/>
  <c r="J182" i="26"/>
  <c r="J183" i="26"/>
  <c r="J184" i="26"/>
  <c r="J185" i="26"/>
  <c r="J186" i="26"/>
  <c r="J187" i="26"/>
  <c r="J188" i="26"/>
  <c r="J189" i="26"/>
  <c r="J190" i="26"/>
  <c r="J191" i="26"/>
  <c r="J192" i="26"/>
  <c r="J193" i="26"/>
  <c r="J194" i="26"/>
  <c r="J195" i="26"/>
  <c r="J196" i="26"/>
  <c r="J197" i="26"/>
  <c r="J198" i="26"/>
  <c r="J199" i="26"/>
  <c r="J200" i="26"/>
  <c r="J201" i="26"/>
  <c r="J202" i="26"/>
  <c r="J203" i="26"/>
  <c r="J204" i="26"/>
  <c r="J205" i="26"/>
  <c r="J206" i="26"/>
  <c r="J207" i="26"/>
  <c r="J208" i="26"/>
  <c r="J209" i="26"/>
  <c r="J210" i="26"/>
  <c r="J211" i="26"/>
  <c r="J212" i="26"/>
  <c r="J213" i="26"/>
  <c r="J214" i="26"/>
  <c r="J215" i="26"/>
  <c r="J216" i="26"/>
  <c r="J217" i="26"/>
  <c r="J218" i="26"/>
  <c r="J219" i="26"/>
  <c r="J220" i="26"/>
  <c r="J221" i="26"/>
  <c r="J222" i="26"/>
  <c r="J223" i="26"/>
  <c r="J224" i="26"/>
  <c r="J225" i="26"/>
  <c r="J226" i="26"/>
  <c r="J227" i="26"/>
  <c r="J228" i="26"/>
  <c r="J229" i="26"/>
  <c r="J230" i="26"/>
  <c r="J231" i="26"/>
  <c r="J232" i="26"/>
  <c r="J233" i="26"/>
  <c r="J234" i="26"/>
  <c r="J235" i="26"/>
  <c r="J236" i="26"/>
  <c r="J237" i="26"/>
  <c r="J238" i="26"/>
  <c r="J239" i="26"/>
  <c r="J240" i="26"/>
  <c r="J241" i="26"/>
  <c r="J242" i="26"/>
  <c r="J243" i="26"/>
  <c r="J244" i="26"/>
  <c r="J245" i="26"/>
  <c r="J246" i="26"/>
  <c r="J247" i="26"/>
  <c r="J248" i="26"/>
  <c r="J249" i="26"/>
  <c r="J250" i="26"/>
  <c r="J251" i="26"/>
  <c r="J252" i="26"/>
  <c r="J253" i="26"/>
  <c r="J254" i="26"/>
  <c r="J255" i="26"/>
  <c r="J256" i="26"/>
  <c r="J257" i="26"/>
  <c r="J258" i="26"/>
  <c r="J259" i="26"/>
  <c r="J260" i="26"/>
  <c r="J261" i="26"/>
  <c r="J262" i="26"/>
  <c r="J263" i="26"/>
  <c r="J264" i="26"/>
  <c r="J265" i="26"/>
  <c r="J266" i="26"/>
  <c r="J267" i="26"/>
  <c r="J268" i="26"/>
  <c r="J269" i="26"/>
  <c r="J270" i="26"/>
  <c r="J271" i="26"/>
  <c r="J272" i="26"/>
  <c r="J273" i="26"/>
  <c r="J274" i="26"/>
  <c r="J275" i="26"/>
  <c r="J276" i="26"/>
  <c r="J277" i="26"/>
  <c r="J278" i="26"/>
  <c r="J279" i="26"/>
  <c r="J280" i="26"/>
  <c r="J281" i="26"/>
  <c r="J282" i="26"/>
  <c r="J283" i="26"/>
  <c r="J284" i="26"/>
  <c r="J285" i="26"/>
  <c r="J286" i="26"/>
  <c r="J287" i="26"/>
  <c r="J288" i="26"/>
  <c r="J289" i="26"/>
  <c r="J290" i="26"/>
  <c r="J291" i="26"/>
  <c r="J292" i="26"/>
  <c r="J293" i="26"/>
  <c r="J294" i="26"/>
  <c r="J295" i="26"/>
  <c r="J296" i="26"/>
  <c r="J297" i="26"/>
  <c r="J298" i="26"/>
  <c r="J299" i="26"/>
  <c r="J300" i="26"/>
  <c r="J301" i="26"/>
  <c r="J302" i="26"/>
  <c r="J303" i="26"/>
  <c r="J304" i="26"/>
  <c r="J305" i="26"/>
  <c r="J306" i="26"/>
  <c r="J307" i="26"/>
  <c r="J308" i="26"/>
  <c r="J309" i="26"/>
  <c r="J310" i="26"/>
  <c r="J311" i="26"/>
  <c r="J312" i="26"/>
  <c r="J313" i="26"/>
  <c r="J314" i="26"/>
  <c r="J315" i="26"/>
  <c r="J316" i="26"/>
  <c r="J317" i="26"/>
  <c r="J318" i="26"/>
  <c r="J319" i="26"/>
  <c r="J320" i="26"/>
  <c r="J321" i="26"/>
  <c r="J322" i="26"/>
  <c r="J323" i="26"/>
  <c r="J324" i="26"/>
  <c r="J325" i="26"/>
  <c r="J326" i="26"/>
  <c r="J327" i="26"/>
  <c r="J328" i="26"/>
  <c r="J329" i="26"/>
  <c r="J330" i="26"/>
  <c r="J331" i="26"/>
  <c r="J332" i="26"/>
  <c r="J333" i="26"/>
  <c r="J334" i="26"/>
  <c r="J335" i="26"/>
  <c r="J336" i="26"/>
  <c r="J337" i="26"/>
  <c r="J338" i="26"/>
  <c r="J339" i="26"/>
  <c r="J340" i="26"/>
  <c r="J341" i="26"/>
  <c r="J342" i="26"/>
  <c r="J343" i="26"/>
  <c r="J344" i="26"/>
  <c r="J345" i="26"/>
  <c r="J346" i="26"/>
  <c r="J347" i="26"/>
  <c r="J348" i="26"/>
  <c r="J349" i="26"/>
  <c r="J350" i="26"/>
  <c r="J351" i="26"/>
  <c r="J352" i="26"/>
  <c r="J353" i="26"/>
  <c r="J354" i="26"/>
  <c r="J355" i="26"/>
  <c r="J356" i="26"/>
  <c r="J357" i="26"/>
  <c r="J358" i="26"/>
  <c r="J359" i="26"/>
  <c r="J360" i="26"/>
  <c r="J361" i="26"/>
  <c r="J362" i="26"/>
  <c r="J363" i="26"/>
  <c r="J364" i="26"/>
  <c r="J365" i="26"/>
  <c r="J366" i="26"/>
  <c r="J367" i="26"/>
  <c r="J368" i="26"/>
  <c r="J369" i="26"/>
  <c r="J370" i="26"/>
  <c r="J371" i="26"/>
  <c r="J372" i="26"/>
  <c r="J373" i="26"/>
  <c r="J374" i="26"/>
  <c r="J375" i="26"/>
  <c r="J376" i="26"/>
  <c r="J377" i="26"/>
  <c r="J378" i="26"/>
  <c r="J379" i="26"/>
  <c r="J380" i="26"/>
  <c r="J381" i="26"/>
  <c r="J382" i="26"/>
  <c r="J383" i="26"/>
  <c r="J384" i="26"/>
  <c r="J385" i="26"/>
  <c r="J386" i="26"/>
  <c r="J387" i="26"/>
  <c r="J388" i="26"/>
  <c r="J389" i="26"/>
  <c r="J390" i="26"/>
  <c r="J391" i="26"/>
  <c r="J392" i="26"/>
  <c r="J393" i="26"/>
  <c r="J394" i="26"/>
  <c r="J395" i="26"/>
  <c r="J396" i="26"/>
  <c r="J397" i="26"/>
  <c r="J398" i="26"/>
  <c r="J399" i="26"/>
  <c r="J400" i="26"/>
  <c r="J401" i="26"/>
  <c r="J402" i="26"/>
  <c r="J403" i="26"/>
  <c r="J404" i="26"/>
  <c r="J405" i="26"/>
  <c r="J406" i="26"/>
  <c r="J407" i="26"/>
  <c r="J408" i="26"/>
  <c r="J409" i="26"/>
  <c r="J410" i="26"/>
  <c r="J411" i="26"/>
  <c r="J412" i="26"/>
  <c r="J413" i="26"/>
  <c r="J414" i="26"/>
  <c r="J415" i="26"/>
  <c r="J416" i="26"/>
  <c r="J417" i="26"/>
  <c r="J418" i="26"/>
  <c r="J419" i="26"/>
  <c r="J420" i="26"/>
  <c r="J421" i="26"/>
  <c r="J422" i="26"/>
  <c r="J423" i="26"/>
  <c r="J424" i="26"/>
  <c r="J425" i="26"/>
  <c r="J426" i="26"/>
  <c r="J427" i="26"/>
  <c r="J428" i="26"/>
  <c r="J429" i="26"/>
  <c r="J430" i="26"/>
  <c r="J431" i="26"/>
  <c r="J432" i="26"/>
  <c r="J433" i="26"/>
  <c r="J434" i="26"/>
  <c r="J435" i="26"/>
  <c r="J436" i="26"/>
  <c r="J437" i="26"/>
  <c r="J438" i="26"/>
  <c r="J439" i="26"/>
  <c r="J440" i="26"/>
  <c r="J441" i="26"/>
  <c r="J442" i="26"/>
  <c r="J443" i="26"/>
  <c r="J444" i="26"/>
  <c r="J445" i="26"/>
  <c r="J446" i="26"/>
  <c r="J447" i="26"/>
  <c r="J448" i="26"/>
  <c r="J449" i="26"/>
  <c r="J450" i="26"/>
  <c r="J451" i="26"/>
  <c r="J452" i="26"/>
  <c r="J453" i="26"/>
  <c r="J454" i="26"/>
  <c r="J455" i="26"/>
  <c r="J456" i="26"/>
  <c r="J457" i="26"/>
  <c r="J458" i="26"/>
  <c r="J459" i="26"/>
  <c r="J460" i="26"/>
  <c r="J461" i="26"/>
  <c r="J462" i="26"/>
  <c r="J463" i="26"/>
  <c r="J464" i="26"/>
  <c r="J465" i="26"/>
  <c r="J466" i="26"/>
  <c r="J467" i="26"/>
  <c r="J468" i="26"/>
  <c r="J469" i="26"/>
  <c r="J470" i="26"/>
  <c r="J471" i="26"/>
  <c r="J472" i="26"/>
  <c r="J473" i="26"/>
  <c r="J474" i="26"/>
  <c r="J475" i="26"/>
  <c r="J476" i="26"/>
  <c r="J477" i="26"/>
  <c r="J478" i="26"/>
  <c r="J479" i="26"/>
  <c r="J480" i="26"/>
  <c r="J481" i="26"/>
  <c r="J482" i="26"/>
  <c r="H44" i="4"/>
  <c r="F228" i="4"/>
  <c r="G228" i="4"/>
  <c r="H228" i="4"/>
  <c r="I228" i="4"/>
  <c r="F229" i="4"/>
  <c r="G229" i="4"/>
  <c r="H229" i="4"/>
  <c r="I229" i="4"/>
  <c r="F230" i="4"/>
  <c r="G230" i="4"/>
  <c r="H230" i="4"/>
  <c r="I230" i="4"/>
  <c r="J233" i="4"/>
  <c r="J234" i="4"/>
  <c r="E237" i="4"/>
  <c r="F237" i="4"/>
  <c r="G237" i="4"/>
  <c r="H237" i="4"/>
  <c r="I237" i="4"/>
  <c r="G247" i="4"/>
  <c r="C309" i="4"/>
  <c r="C314" i="4"/>
  <c r="C319" i="4"/>
  <c r="C324" i="4"/>
  <c r="C329" i="4"/>
  <c r="M413" i="4"/>
  <c r="G491" i="4"/>
  <c r="L1" i="5"/>
  <c r="M69" i="26"/>
  <c r="J35" i="26"/>
  <c r="J33" i="5" s="1"/>
  <c r="L33" i="5" s="1"/>
  <c r="J37" i="26"/>
  <c r="J42" i="26"/>
  <c r="L27" i="26"/>
  <c r="L41" i="26"/>
  <c r="L45" i="26"/>
  <c r="M18" i="26"/>
  <c r="M35" i="26"/>
  <c r="J31" i="26"/>
  <c r="J244" i="5" s="1"/>
  <c r="L244" i="5" s="1"/>
  <c r="F124" i="80"/>
  <c r="J81" i="26"/>
  <c r="I12" i="89"/>
  <c r="L73" i="26"/>
  <c r="J82" i="26"/>
  <c r="J72" i="26"/>
  <c r="L81" i="26"/>
  <c r="M59" i="26"/>
  <c r="M36" i="26"/>
  <c r="M39" i="26"/>
  <c r="M83" i="26"/>
  <c r="M40" i="26"/>
  <c r="M94" i="26"/>
  <c r="M89" i="26"/>
  <c r="M86" i="26"/>
  <c r="M75" i="26"/>
  <c r="M66" i="26"/>
  <c r="M74" i="26"/>
  <c r="M92" i="26"/>
  <c r="L82" i="26"/>
  <c r="L91" i="26"/>
  <c r="L57" i="26"/>
  <c r="L52" i="26"/>
  <c r="L43" i="26"/>
  <c r="L95" i="26"/>
  <c r="L79" i="26"/>
  <c r="L77" i="26"/>
  <c r="L71" i="26"/>
  <c r="L78" i="26"/>
  <c r="L80" i="26"/>
  <c r="L70" i="26"/>
  <c r="O2478" i="1" l="1"/>
  <c r="O1275" i="1"/>
  <c r="O1485" i="1"/>
  <c r="O1224" i="246"/>
  <c r="R1224" i="246" s="1"/>
  <c r="R1225" i="246" s="1"/>
  <c r="M1263" i="1"/>
  <c r="R1263" i="1" s="1"/>
  <c r="R1264" i="1" s="1"/>
  <c r="M2911" i="1"/>
  <c r="R2911" i="1" s="1"/>
  <c r="O2843" i="246"/>
  <c r="R2843" i="246" s="1"/>
  <c r="M2963" i="1"/>
  <c r="R2963" i="1" s="1"/>
  <c r="O2895" i="246"/>
  <c r="M641" i="1"/>
  <c r="M1574" i="1" s="1"/>
  <c r="R1574" i="1" s="1"/>
  <c r="O641" i="246"/>
  <c r="M1489" i="1"/>
  <c r="R1489" i="1" s="1"/>
  <c r="O1450" i="246"/>
  <c r="O1662" i="1"/>
  <c r="O1872" i="1"/>
  <c r="G137" i="4"/>
  <c r="O1971" i="1"/>
  <c r="O2673" i="246"/>
  <c r="R2673" i="246" s="1"/>
  <c r="M2740" i="1"/>
  <c r="R2740" i="1" s="1"/>
  <c r="O2759" i="246"/>
  <c r="R2759" i="246" s="1"/>
  <c r="F90" i="80"/>
  <c r="O1342" i="246"/>
  <c r="R1342" i="246" s="1"/>
  <c r="O2849" i="246"/>
  <c r="R2849" i="246" s="1"/>
  <c r="O2860" i="246"/>
  <c r="R2860" i="246" s="1"/>
  <c r="O2805" i="246"/>
  <c r="R2805" i="246" s="1"/>
  <c r="O2809" i="246"/>
  <c r="R2809" i="246" s="1"/>
  <c r="O2760" i="246"/>
  <c r="R2760" i="246" s="1"/>
  <c r="O2788" i="246"/>
  <c r="R2788" i="246" s="1"/>
  <c r="M813" i="1"/>
  <c r="S813" i="1" s="1"/>
  <c r="M811" i="1"/>
  <c r="S811" i="1" s="1"/>
  <c r="M2988" i="1"/>
  <c r="D95" i="234" s="1"/>
  <c r="O2757" i="246"/>
  <c r="R2757" i="246" s="1"/>
  <c r="O2804" i="246"/>
  <c r="R2804" i="246" s="1"/>
  <c r="O2756" i="246"/>
  <c r="R2756" i="246" s="1"/>
  <c r="O2810" i="246"/>
  <c r="R2810" i="246" s="1"/>
  <c r="M2991" i="1"/>
  <c r="R2991" i="1" s="1"/>
  <c r="O2863" i="246"/>
  <c r="R2863" i="246" s="1"/>
  <c r="O2758" i="246"/>
  <c r="R2758" i="246" s="1"/>
  <c r="O2862" i="246"/>
  <c r="R2862" i="246" s="1"/>
  <c r="O2807" i="246"/>
  <c r="R2807" i="246" s="1"/>
  <c r="O2803" i="246"/>
  <c r="R2803" i="246" s="1"/>
  <c r="O2811" i="246"/>
  <c r="R2811" i="246" s="1"/>
  <c r="F87" i="80"/>
  <c r="F92" i="80"/>
  <c r="M812" i="1"/>
  <c r="S812" i="1" s="1"/>
  <c r="F101" i="80"/>
  <c r="O1270" i="246"/>
  <c r="R1270" i="246" s="1"/>
  <c r="F93" i="80"/>
  <c r="O2801" i="246"/>
  <c r="R2801" i="246" s="1"/>
  <c r="O1341" i="246"/>
  <c r="R1341" i="246" s="1"/>
  <c r="O1333" i="246"/>
  <c r="R1333" i="246" s="1"/>
  <c r="M2989" i="1"/>
  <c r="R2989" i="1" s="1"/>
  <c r="O2861" i="246"/>
  <c r="R2861" i="246" s="1"/>
  <c r="O2806" i="246"/>
  <c r="R2806" i="246" s="1"/>
  <c r="O2808" i="246"/>
  <c r="R2808" i="246" s="1"/>
  <c r="O2249" i="1"/>
  <c r="O2635" i="1"/>
  <c r="C1794" i="246"/>
  <c r="C1859" i="1"/>
  <c r="M2642" i="1"/>
  <c r="O2575" i="246"/>
  <c r="R2575" i="246" s="1"/>
  <c r="M2641" i="1"/>
  <c r="O2574" i="246"/>
  <c r="J224" i="5"/>
  <c r="L224" i="5" s="1"/>
  <c r="O2426" i="246" s="1"/>
  <c r="R1596" i="246"/>
  <c r="S1596" i="246"/>
  <c r="G385" i="4"/>
  <c r="O2689" i="1"/>
  <c r="I17" i="89"/>
  <c r="J17" i="89"/>
  <c r="G476" i="4"/>
  <c r="O2663" i="1"/>
  <c r="M50" i="26"/>
  <c r="M44" i="26"/>
  <c r="L56" i="26"/>
  <c r="L53" i="26"/>
  <c r="O1607" i="1"/>
  <c r="O1817" i="1"/>
  <c r="O1767" i="246"/>
  <c r="R1754" i="246"/>
  <c r="R1755" i="246" s="1"/>
  <c r="M1837" i="1"/>
  <c r="R1837" i="1" s="1"/>
  <c r="O1772" i="246"/>
  <c r="O1789" i="246"/>
  <c r="M1844" i="1"/>
  <c r="R1844" i="1" s="1"/>
  <c r="O1779" i="246"/>
  <c r="R1819" i="1"/>
  <c r="R1820" i="1" s="1"/>
  <c r="M1832" i="1"/>
  <c r="M1854" i="1"/>
  <c r="M1634" i="1"/>
  <c r="S1634" i="1" s="1"/>
  <c r="L51" i="26"/>
  <c r="M47" i="26"/>
  <c r="A47" i="26" s="1"/>
  <c r="O1581" i="246"/>
  <c r="M1627" i="1"/>
  <c r="S1627" i="1" s="1"/>
  <c r="O1589" i="246"/>
  <c r="M1619" i="1"/>
  <c r="J94" i="5"/>
  <c r="L94" i="5" s="1"/>
  <c r="M37" i="26"/>
  <c r="M32" i="26"/>
  <c r="L38" i="26"/>
  <c r="M3011" i="1"/>
  <c r="R3011" i="1" s="1"/>
  <c r="M2943" i="246"/>
  <c r="M2842" i="1"/>
  <c r="R2842" i="1" s="1"/>
  <c r="O2775" i="246"/>
  <c r="R2775" i="246" s="1"/>
  <c r="O618" i="246"/>
  <c r="M1212" i="1"/>
  <c r="R1212" i="1" s="1"/>
  <c r="O1174" i="246"/>
  <c r="R1174" i="246" s="1"/>
  <c r="M618" i="1"/>
  <c r="J200" i="5"/>
  <c r="J248" i="5"/>
  <c r="L248" i="5" s="1"/>
  <c r="O1882" i="246"/>
  <c r="R1882" i="246" s="1"/>
  <c r="M1947" i="1"/>
  <c r="R1947" i="1" s="1"/>
  <c r="M1956" i="1"/>
  <c r="O1891" i="246"/>
  <c r="O1919" i="246"/>
  <c r="M1984" i="1"/>
  <c r="M1993" i="1"/>
  <c r="S1993" i="1" s="1"/>
  <c r="M1988" i="1" s="1"/>
  <c r="O1928" i="246"/>
  <c r="S1928" i="246" s="1"/>
  <c r="O1923" i="246" s="1"/>
  <c r="M809" i="1"/>
  <c r="O796" i="1"/>
  <c r="O1203" i="1"/>
  <c r="O1248" i="1"/>
  <c r="O1396" i="246"/>
  <c r="R1396" i="246" s="1"/>
  <c r="E5" i="248"/>
  <c r="G40" i="248" s="1"/>
  <c r="O2015" i="1"/>
  <c r="O1175" i="1"/>
  <c r="O1146" i="246"/>
  <c r="R1146" i="246" s="1"/>
  <c r="M1184" i="1"/>
  <c r="M2865" i="1"/>
  <c r="J175" i="5"/>
  <c r="L175" i="5" s="1"/>
  <c r="M2307" i="1" s="1"/>
  <c r="J333" i="5"/>
  <c r="L333" i="5" s="1"/>
  <c r="G16" i="229" s="1"/>
  <c r="J349" i="5"/>
  <c r="O1242" i="246"/>
  <c r="R1242" i="246" s="1"/>
  <c r="O1243" i="246"/>
  <c r="R1243" i="246" s="1"/>
  <c r="O1244" i="246"/>
  <c r="R1244" i="246" s="1"/>
  <c r="O1930" i="1"/>
  <c r="O1569" i="1"/>
  <c r="H512" i="4"/>
  <c r="O1477" i="246"/>
  <c r="R1477" i="246" s="1"/>
  <c r="M1586" i="1"/>
  <c r="O1548" i="246"/>
  <c r="R1548" i="246" s="1"/>
  <c r="M1702" i="246"/>
  <c r="M1761" i="1"/>
  <c r="M1703" i="246"/>
  <c r="M1762" i="1"/>
  <c r="H1695" i="246"/>
  <c r="H1754" i="1"/>
  <c r="J1695" i="246"/>
  <c r="J1754" i="1"/>
  <c r="K1695" i="246"/>
  <c r="K1754" i="1"/>
  <c r="K1703" i="246"/>
  <c r="K1762" i="1"/>
  <c r="H1702" i="246"/>
  <c r="H1761" i="1"/>
  <c r="H1703" i="246"/>
  <c r="H1762" i="1"/>
  <c r="J1702" i="246"/>
  <c r="J1761" i="1"/>
  <c r="J1703" i="246"/>
  <c r="J1762" i="1"/>
  <c r="K1702" i="246"/>
  <c r="K1761" i="1"/>
  <c r="M3010" i="1"/>
  <c r="R3010" i="1" s="1"/>
  <c r="M2942" i="246"/>
  <c r="R2942" i="246" s="1"/>
  <c r="M2791" i="1"/>
  <c r="M2724" i="246"/>
  <c r="M3007" i="1"/>
  <c r="M2939" i="246"/>
  <c r="O2839" i="246"/>
  <c r="R2839" i="246" s="1"/>
  <c r="M2906" i="1"/>
  <c r="H91" i="234" s="1"/>
  <c r="M2994" i="1"/>
  <c r="R2994" i="1" s="1"/>
  <c r="M2926" i="246"/>
  <c r="R2926" i="246" s="1"/>
  <c r="O492" i="1"/>
  <c r="O493" i="246"/>
  <c r="M2341" i="1"/>
  <c r="O2274" i="246"/>
  <c r="R2274" i="246" s="1"/>
  <c r="O2266" i="246"/>
  <c r="R2266" i="246" s="1"/>
  <c r="M2333" i="1"/>
  <c r="M766" i="1"/>
  <c r="O768" i="246"/>
  <c r="R768" i="246" s="1"/>
  <c r="O2267" i="246"/>
  <c r="R2267" i="246" s="1"/>
  <c r="M2334" i="1"/>
  <c r="O2239" i="246"/>
  <c r="R2239" i="246" s="1"/>
  <c r="M2306" i="1"/>
  <c r="O757" i="246"/>
  <c r="M755" i="1"/>
  <c r="C464" i="1"/>
  <c r="C509" i="1" s="1"/>
  <c r="O811" i="246"/>
  <c r="R811" i="246" s="1"/>
  <c r="O780" i="246"/>
  <c r="R780" i="246" s="1"/>
  <c r="F89" i="80"/>
  <c r="O2794" i="246"/>
  <c r="R2794" i="246" s="1"/>
  <c r="F91" i="80"/>
  <c r="O2798" i="246"/>
  <c r="R2798" i="246" s="1"/>
  <c r="O815" i="246"/>
  <c r="O1361" i="246"/>
  <c r="R1361" i="246" s="1"/>
  <c r="O813" i="246"/>
  <c r="O1362" i="246"/>
  <c r="R1362" i="246" s="1"/>
  <c r="F100" i="80"/>
  <c r="O2855" i="246"/>
  <c r="R2855" i="246" s="1"/>
  <c r="O1170" i="246"/>
  <c r="R1170" i="246" s="1"/>
  <c r="O2771" i="246"/>
  <c r="R2771" i="246" s="1"/>
  <c r="R2938" i="246"/>
  <c r="O1331" i="246"/>
  <c r="O1363" i="246"/>
  <c r="R1363" i="246" s="1"/>
  <c r="O814" i="246"/>
  <c r="F96" i="80"/>
  <c r="O2847" i="246"/>
  <c r="R2847" i="246" s="1"/>
  <c r="F98" i="80"/>
  <c r="M2923" i="246"/>
  <c r="R2923" i="246" s="1"/>
  <c r="O1172" i="246"/>
  <c r="R1172" i="246" s="1"/>
  <c r="O2773" i="246"/>
  <c r="R2773" i="246" s="1"/>
  <c r="O1173" i="246"/>
  <c r="R1173" i="246" s="1"/>
  <c r="O2774" i="246"/>
  <c r="R2774" i="246" s="1"/>
  <c r="F85" i="80"/>
  <c r="O2786" i="246"/>
  <c r="R2786" i="246" s="1"/>
  <c r="O2799" i="246"/>
  <c r="R2799" i="246" s="1"/>
  <c r="O2837" i="246"/>
  <c r="R2837" i="246" s="1"/>
  <c r="M2905" i="1"/>
  <c r="F99" i="80"/>
  <c r="O2854" i="246"/>
  <c r="R2854" i="246" s="1"/>
  <c r="O1171" i="246"/>
  <c r="R1171" i="246" s="1"/>
  <c r="O2772" i="246"/>
  <c r="R2772" i="246" s="1"/>
  <c r="F95" i="80"/>
  <c r="M2920" i="246"/>
  <c r="R2920" i="246" s="1"/>
  <c r="O2846" i="246"/>
  <c r="R2846" i="246" s="1"/>
  <c r="O1339" i="246"/>
  <c r="F86" i="80"/>
  <c r="O2792" i="246"/>
  <c r="R2792" i="246" s="1"/>
  <c r="F103" i="80"/>
  <c r="O2858" i="246"/>
  <c r="R2858" i="246" s="1"/>
  <c r="O1268" i="246"/>
  <c r="F88" i="80"/>
  <c r="O2793" i="246"/>
  <c r="R2793" i="246" s="1"/>
  <c r="M2904" i="1"/>
  <c r="O2836" i="246"/>
  <c r="R2836" i="246" s="1"/>
  <c r="F97" i="80"/>
  <c r="O2848" i="246"/>
  <c r="R2848" i="246" s="1"/>
  <c r="M2921" i="246"/>
  <c r="R2921" i="246" s="1"/>
  <c r="I305" i="242"/>
  <c r="K207" i="242"/>
  <c r="K305" i="242" s="1"/>
  <c r="K14" i="242" s="1"/>
  <c r="U207" i="242"/>
  <c r="I15" i="89"/>
  <c r="I168" i="242"/>
  <c r="O1241" i="246"/>
  <c r="R1241" i="246" s="1"/>
  <c r="O2770" i="246"/>
  <c r="O1169" i="246"/>
  <c r="I127" i="242"/>
  <c r="K90" i="242"/>
  <c r="K127" i="242" s="1"/>
  <c r="U90" i="242"/>
  <c r="Z277" i="89"/>
  <c r="AB277" i="89" s="1"/>
  <c r="AC277" i="89" s="1"/>
  <c r="Z283" i="89"/>
  <c r="AB283" i="89" s="1"/>
  <c r="AC283" i="89" s="1"/>
  <c r="Z276" i="89"/>
  <c r="AB276" i="89" s="1"/>
  <c r="AC276" i="89" s="1"/>
  <c r="Z157" i="89"/>
  <c r="AB157" i="89" s="1"/>
  <c r="AC157" i="89" s="1"/>
  <c r="Z156" i="89"/>
  <c r="AB156" i="89" s="1"/>
  <c r="AC156" i="89" s="1"/>
  <c r="Z275" i="89"/>
  <c r="AB275" i="89" s="1"/>
  <c r="AC275" i="89" s="1"/>
  <c r="Z199" i="89"/>
  <c r="AB199" i="89" s="1"/>
  <c r="K226" i="89"/>
  <c r="Z274" i="89"/>
  <c r="AB274" i="89" s="1"/>
  <c r="AC274" i="89" s="1"/>
  <c r="K370" i="89"/>
  <c r="Z281" i="89"/>
  <c r="AB281" i="89" s="1"/>
  <c r="AC281" i="89" s="1"/>
  <c r="Z233" i="89"/>
  <c r="AB233" i="89" s="1"/>
  <c r="AB265" i="89" s="1"/>
  <c r="K265" i="89"/>
  <c r="Z282" i="89"/>
  <c r="AB282" i="89" s="1"/>
  <c r="AC282" i="89" s="1"/>
  <c r="Z284" i="89"/>
  <c r="AB284" i="89" s="1"/>
  <c r="AC284" i="89" s="1"/>
  <c r="Z172" i="89"/>
  <c r="AB172" i="89" s="1"/>
  <c r="AC172" i="89" s="1"/>
  <c r="Z164" i="89"/>
  <c r="AB164" i="89" s="1"/>
  <c r="AC164" i="89" s="1"/>
  <c r="Z160" i="89"/>
  <c r="AB160" i="89" s="1"/>
  <c r="AC160" i="89" s="1"/>
  <c r="Z171" i="89"/>
  <c r="AB171" i="89" s="1"/>
  <c r="AC171" i="89" s="1"/>
  <c r="Z167" i="89"/>
  <c r="AB167" i="89" s="1"/>
  <c r="AC167" i="89" s="1"/>
  <c r="Z163" i="89"/>
  <c r="AB163" i="89" s="1"/>
  <c r="AC163" i="89" s="1"/>
  <c r="Z159" i="89"/>
  <c r="AB159" i="89" s="1"/>
  <c r="AC159" i="89" s="1"/>
  <c r="Z173" i="89"/>
  <c r="AB173" i="89" s="1"/>
  <c r="AC173" i="89" s="1"/>
  <c r="Z169" i="89"/>
  <c r="AB169" i="89" s="1"/>
  <c r="AC169" i="89" s="1"/>
  <c r="Z165" i="89"/>
  <c r="AB165" i="89" s="1"/>
  <c r="AC165" i="89" s="1"/>
  <c r="Z161" i="89"/>
  <c r="AB161" i="89" s="1"/>
  <c r="AC161" i="89" s="1"/>
  <c r="Z168" i="89"/>
  <c r="AB168" i="89" s="1"/>
  <c r="AC168" i="89" s="1"/>
  <c r="Z190" i="89"/>
  <c r="AB190" i="89" s="1"/>
  <c r="AC190" i="89" s="1"/>
  <c r="Z170" i="89"/>
  <c r="AB170" i="89" s="1"/>
  <c r="AC170" i="89" s="1"/>
  <c r="Z166" i="89"/>
  <c r="AB166" i="89" s="1"/>
  <c r="AC166" i="89" s="1"/>
  <c r="Z162" i="89"/>
  <c r="AB162" i="89" s="1"/>
  <c r="AC162" i="89" s="1"/>
  <c r="Z158" i="89"/>
  <c r="AB158" i="89" s="1"/>
  <c r="AC158" i="89" s="1"/>
  <c r="K192" i="89"/>
  <c r="G19" i="240"/>
  <c r="H6" i="240"/>
  <c r="Q2" i="5"/>
  <c r="O3776" i="1"/>
  <c r="O3120" i="1"/>
  <c r="O3204" i="1"/>
  <c r="O3532" i="1"/>
  <c r="O3860" i="1"/>
  <c r="O3448" i="1"/>
  <c r="I42" i="4"/>
  <c r="M1281" i="1"/>
  <c r="M1280" i="1"/>
  <c r="M1283" i="1"/>
  <c r="M1282" i="1"/>
  <c r="L20" i="26"/>
  <c r="L22" i="26"/>
  <c r="J356" i="5"/>
  <c r="J355" i="5"/>
  <c r="J14" i="5"/>
  <c r="L14" i="5" s="1"/>
  <c r="J15" i="5"/>
  <c r="L15" i="5" s="1"/>
  <c r="L15" i="26"/>
  <c r="L24" i="26"/>
  <c r="L21" i="26"/>
  <c r="L29" i="26"/>
  <c r="L65" i="26"/>
  <c r="M2916" i="1"/>
  <c r="L17" i="26"/>
  <c r="L59" i="26"/>
  <c r="A59" i="26" s="1"/>
  <c r="L63" i="26"/>
  <c r="M78" i="26"/>
  <c r="A78" i="26" s="1"/>
  <c r="M84" i="26"/>
  <c r="A84" i="26" s="1"/>
  <c r="L31" i="26"/>
  <c r="M62" i="26"/>
  <c r="A62" i="26" s="1"/>
  <c r="L48" i="26"/>
  <c r="L75" i="26"/>
  <c r="A75" i="26" s="1"/>
  <c r="M91" i="26"/>
  <c r="A91" i="26" s="1"/>
  <c r="M85" i="26"/>
  <c r="A85" i="26" s="1"/>
  <c r="L69" i="26"/>
  <c r="A69" i="26" s="1"/>
  <c r="J188" i="5"/>
  <c r="M79" i="26"/>
  <c r="A79" i="26" s="1"/>
  <c r="M81" i="26"/>
  <c r="A81" i="26" s="1"/>
  <c r="L61" i="26"/>
  <c r="M82" i="26"/>
  <c r="A82" i="26" s="1"/>
  <c r="L87" i="26"/>
  <c r="A87" i="26" s="1"/>
  <c r="M88" i="26"/>
  <c r="A88" i="26" s="1"/>
  <c r="M53" i="26"/>
  <c r="L50" i="26"/>
  <c r="A50" i="26" s="1"/>
  <c r="M73" i="26"/>
  <c r="A73" i="26" s="1"/>
  <c r="L72" i="26"/>
  <c r="A72" i="26" s="1"/>
  <c r="L26" i="26"/>
  <c r="L33" i="26"/>
  <c r="M70" i="26"/>
  <c r="A70" i="26" s="1"/>
  <c r="L90" i="26"/>
  <c r="A90" i="26" s="1"/>
  <c r="H6" i="230"/>
  <c r="H6" i="229"/>
  <c r="J113" i="5"/>
  <c r="L113" i="5" s="1"/>
  <c r="J149" i="5"/>
  <c r="L149" i="5" s="1"/>
  <c r="O1391" i="246" s="1"/>
  <c r="R1391" i="246" s="1"/>
  <c r="M1429" i="1"/>
  <c r="R1429" i="1" s="1"/>
  <c r="J199" i="5"/>
  <c r="E130" i="231"/>
  <c r="M30" i="26"/>
  <c r="M22" i="26"/>
  <c r="M46" i="26"/>
  <c r="M56" i="26"/>
  <c r="J191" i="5"/>
  <c r="M1435" i="1"/>
  <c r="M1372" i="1"/>
  <c r="M25" i="26"/>
  <c r="M27" i="26"/>
  <c r="A27" i="26" s="1"/>
  <c r="J13" i="89"/>
  <c r="I13" i="89"/>
  <c r="J190" i="5"/>
  <c r="H6" i="206"/>
  <c r="S12" i="89"/>
  <c r="L19" i="26"/>
  <c r="M34" i="26"/>
  <c r="M28" i="26"/>
  <c r="J198" i="5"/>
  <c r="L198" i="5" s="1"/>
  <c r="M31" i="26"/>
  <c r="L23" i="26"/>
  <c r="J49" i="5"/>
  <c r="L49" i="5" s="1"/>
  <c r="J206" i="5"/>
  <c r="J152" i="5"/>
  <c r="L152" i="5" s="1"/>
  <c r="O1394" i="246" s="1"/>
  <c r="R1394" i="246" s="1"/>
  <c r="J122" i="5"/>
  <c r="L122" i="5" s="1"/>
  <c r="J183" i="5"/>
  <c r="L183" i="5" s="1"/>
  <c r="L18" i="26"/>
  <c r="A18" i="26" s="1"/>
  <c r="M15" i="26"/>
  <c r="C25" i="170"/>
  <c r="C32" i="170"/>
  <c r="C2283" i="1"/>
  <c r="M1370" i="1"/>
  <c r="T13" i="89"/>
  <c r="S13" i="89"/>
  <c r="L13" i="89"/>
  <c r="I16" i="89"/>
  <c r="J16" i="89"/>
  <c r="O2072" i="1"/>
  <c r="O2040" i="1"/>
  <c r="M19" i="80"/>
  <c r="M1402" i="1"/>
  <c r="M1400" i="1"/>
  <c r="M1401" i="1"/>
  <c r="D80" i="234" s="1"/>
  <c r="K1" i="192"/>
  <c r="K1" i="190"/>
  <c r="O1336" i="1"/>
  <c r="O1506" i="1"/>
  <c r="O2440" i="1"/>
  <c r="O2221" i="1"/>
  <c r="O2609" i="1"/>
  <c r="O1362" i="1"/>
  <c r="O1547" i="1"/>
  <c r="O2531" i="1"/>
  <c r="O2278" i="1"/>
  <c r="O1303" i="1"/>
  <c r="O2325" i="1"/>
  <c r="O2163" i="1"/>
  <c r="O2726" i="1"/>
  <c r="O2585" i="1"/>
  <c r="O2301" i="1"/>
  <c r="M1378" i="1"/>
  <c r="L128" i="5"/>
  <c r="L131" i="5"/>
  <c r="L171" i="5"/>
  <c r="M842" i="1" s="1"/>
  <c r="L17" i="5"/>
  <c r="L71" i="5"/>
  <c r="L391" i="5"/>
  <c r="L153" i="5"/>
  <c r="O1395" i="246" s="1"/>
  <c r="R1395" i="246" s="1"/>
  <c r="L64" i="5"/>
  <c r="L105" i="5"/>
  <c r="L124" i="5"/>
  <c r="L156" i="5"/>
  <c r="L106" i="5"/>
  <c r="L48" i="5"/>
  <c r="L390" i="5"/>
  <c r="L41" i="5"/>
  <c r="L129" i="5"/>
  <c r="L73" i="5"/>
  <c r="L50" i="5"/>
  <c r="L392" i="5"/>
  <c r="L62" i="5"/>
  <c r="H10" i="187"/>
  <c r="H52" i="187"/>
  <c r="H35" i="187"/>
  <c r="H83" i="187"/>
  <c r="H69" i="187"/>
  <c r="H10" i="178"/>
  <c r="H61" i="167"/>
  <c r="H44" i="167"/>
  <c r="H6" i="170"/>
  <c r="H6" i="168"/>
  <c r="H10" i="167"/>
  <c r="H28" i="178"/>
  <c r="H6" i="169"/>
  <c r="H81" i="167"/>
  <c r="H27" i="167"/>
  <c r="M16" i="80"/>
  <c r="R16" i="80"/>
  <c r="M18" i="80"/>
  <c r="R18" i="80"/>
  <c r="M20" i="80"/>
  <c r="F38" i="80" s="1"/>
  <c r="F57" i="80" s="1"/>
  <c r="R20" i="80"/>
  <c r="M15" i="80"/>
  <c r="R15" i="80"/>
  <c r="M41" i="26"/>
  <c r="A41" i="26" s="1"/>
  <c r="M45" i="26"/>
  <c r="A45" i="26" s="1"/>
  <c r="M42" i="26"/>
  <c r="A42" i="26" s="1"/>
  <c r="M48" i="26"/>
  <c r="L46" i="26"/>
  <c r="M49" i="26"/>
  <c r="A49" i="26" s="1"/>
  <c r="M65" i="26"/>
  <c r="L37" i="26"/>
  <c r="M54" i="26"/>
  <c r="A54" i="26" s="1"/>
  <c r="M60" i="26"/>
  <c r="A60" i="26" s="1"/>
  <c r="L39" i="26"/>
  <c r="A39" i="26" s="1"/>
  <c r="L68" i="26"/>
  <c r="A68" i="26" s="1"/>
  <c r="M57" i="26"/>
  <c r="A57" i="26" s="1"/>
  <c r="M61" i="26"/>
  <c r="M52" i="26"/>
  <c r="A52" i="26" s="1"/>
  <c r="M63" i="26"/>
  <c r="M51" i="26"/>
  <c r="M38" i="26"/>
  <c r="M58" i="26"/>
  <c r="A58" i="26" s="1"/>
  <c r="M55" i="26"/>
  <c r="A55" i="26" s="1"/>
  <c r="L35" i="26"/>
  <c r="A35" i="26" s="1"/>
  <c r="L40" i="26"/>
  <c r="A40" i="26" s="1"/>
  <c r="M43" i="26"/>
  <c r="A43" i="26" s="1"/>
  <c r="M64" i="26"/>
  <c r="A64" i="26" s="1"/>
  <c r="M67" i="26"/>
  <c r="A67" i="26" s="1"/>
  <c r="J383" i="5"/>
  <c r="J364" i="5"/>
  <c r="J11" i="5"/>
  <c r="L11" i="5" s="1"/>
  <c r="J210" i="5"/>
  <c r="J277" i="5"/>
  <c r="L277" i="5" s="1"/>
  <c r="F76" i="80" s="1"/>
  <c r="M29" i="26"/>
  <c r="M23" i="26"/>
  <c r="M26" i="26"/>
  <c r="M24" i="26"/>
  <c r="A16" i="149"/>
  <c r="A15" i="149"/>
  <c r="L25" i="26"/>
  <c r="L28" i="26"/>
  <c r="M33" i="26"/>
  <c r="L32" i="26"/>
  <c r="A32" i="26" s="1"/>
  <c r="L34" i="26"/>
  <c r="L30" i="26"/>
  <c r="A20" i="149"/>
  <c r="A19" i="149"/>
  <c r="A17" i="149"/>
  <c r="J23" i="80"/>
  <c r="U19" i="80"/>
  <c r="U18" i="80"/>
  <c r="J232" i="5"/>
  <c r="L232" i="5" s="1"/>
  <c r="O1595" i="246" s="1"/>
  <c r="M2874" i="1"/>
  <c r="M2878" i="1"/>
  <c r="M21" i="26"/>
  <c r="M20" i="26"/>
  <c r="L16" i="26"/>
  <c r="M17" i="26"/>
  <c r="M19" i="26"/>
  <c r="J360" i="5"/>
  <c r="AA14" i="89"/>
  <c r="U15" i="80"/>
  <c r="U17" i="80"/>
  <c r="K1" i="136"/>
  <c r="T14" i="89"/>
  <c r="AA15" i="89"/>
  <c r="K14" i="89"/>
  <c r="K15" i="89"/>
  <c r="M2931" i="1"/>
  <c r="M2851" i="1"/>
  <c r="M2868" i="1"/>
  <c r="H101" i="234" s="1"/>
  <c r="M2917" i="1"/>
  <c r="M2929" i="1"/>
  <c r="M2860" i="1"/>
  <c r="M2875" i="1"/>
  <c r="M2876" i="1"/>
  <c r="M2926" i="1"/>
  <c r="M2928" i="1"/>
  <c r="M2873" i="1"/>
  <c r="M2872" i="1"/>
  <c r="M2877" i="1"/>
  <c r="A473" i="26"/>
  <c r="A312" i="26"/>
  <c r="A322" i="26"/>
  <c r="A406" i="26"/>
  <c r="A450" i="26"/>
  <c r="A452" i="26"/>
  <c r="A454" i="26"/>
  <c r="A138" i="26"/>
  <c r="A172" i="26"/>
  <c r="A198" i="26"/>
  <c r="A270" i="26"/>
  <c r="A294" i="26"/>
  <c r="A324" i="26"/>
  <c r="A326" i="26"/>
  <c r="A330" i="26"/>
  <c r="A449" i="26"/>
  <c r="A121" i="26"/>
  <c r="A131" i="26"/>
  <c r="A213" i="26"/>
  <c r="A237" i="26"/>
  <c r="A283" i="26"/>
  <c r="A309" i="26"/>
  <c r="A317" i="26"/>
  <c r="A357" i="26"/>
  <c r="A363" i="26"/>
  <c r="A365" i="26"/>
  <c r="A369" i="26"/>
  <c r="A393" i="26"/>
  <c r="A439" i="26"/>
  <c r="A447" i="26"/>
  <c r="A463" i="26"/>
  <c r="A475" i="26"/>
  <c r="A477" i="26"/>
  <c r="A479" i="26"/>
  <c r="A367" i="26"/>
  <c r="A467" i="26"/>
  <c r="A225" i="26"/>
  <c r="A233" i="26"/>
  <c r="A371" i="26"/>
  <c r="A435" i="26"/>
  <c r="A443" i="26"/>
  <c r="A481" i="26"/>
  <c r="A71" i="26"/>
  <c r="A471" i="26"/>
  <c r="A136" i="26"/>
  <c r="A144" i="26"/>
  <c r="A170" i="26"/>
  <c r="A176" i="26"/>
  <c r="A178" i="26"/>
  <c r="A188" i="26"/>
  <c r="A190" i="26"/>
  <c r="A218" i="26"/>
  <c r="A226" i="26"/>
  <c r="A238" i="26"/>
  <c r="A246" i="26"/>
  <c r="A248" i="26"/>
  <c r="A252" i="26"/>
  <c r="A254" i="26"/>
  <c r="A256" i="26"/>
  <c r="A272" i="26"/>
  <c r="A318" i="26"/>
  <c r="A334" i="26"/>
  <c r="A244" i="26"/>
  <c r="A390" i="26"/>
  <c r="A382" i="26"/>
  <c r="A396" i="26"/>
  <c r="A101" i="26"/>
  <c r="A143" i="26"/>
  <c r="A159" i="26"/>
  <c r="A169" i="26"/>
  <c r="A181" i="26"/>
  <c r="A185" i="26"/>
  <c r="A195" i="26"/>
  <c r="A203" i="26"/>
  <c r="A207" i="26"/>
  <c r="A211" i="26"/>
  <c r="A215" i="26"/>
  <c r="A217" i="26"/>
  <c r="A221" i="26"/>
  <c r="A223" i="26"/>
  <c r="A227" i="26"/>
  <c r="A229" i="26"/>
  <c r="A231" i="26"/>
  <c r="A235" i="26"/>
  <c r="A80" i="26"/>
  <c r="A168" i="26"/>
  <c r="A250" i="26"/>
  <c r="A289" i="26"/>
  <c r="A320" i="26"/>
  <c r="A372" i="26"/>
  <c r="A166" i="26"/>
  <c r="A174" i="26"/>
  <c r="A196" i="26"/>
  <c r="A417" i="26"/>
  <c r="A374" i="26"/>
  <c r="A384" i="26"/>
  <c r="A398" i="26"/>
  <c r="A285" i="26"/>
  <c r="A291" i="26"/>
  <c r="A305" i="26"/>
  <c r="A313" i="26"/>
  <c r="A319" i="26"/>
  <c r="A329" i="26"/>
  <c r="A353" i="26"/>
  <c r="A355" i="26"/>
  <c r="A359" i="26"/>
  <c r="A422" i="26"/>
  <c r="A155" i="26"/>
  <c r="A315" i="26"/>
  <c r="A325" i="26"/>
  <c r="A98" i="26"/>
  <c r="A106" i="26"/>
  <c r="A110" i="26"/>
  <c r="A114" i="26"/>
  <c r="A118" i="26"/>
  <c r="A122" i="26"/>
  <c r="A126" i="26"/>
  <c r="A140" i="26"/>
  <c r="A154" i="26"/>
  <c r="A377" i="26"/>
  <c r="A385" i="26"/>
  <c r="A389" i="26"/>
  <c r="A391" i="26"/>
  <c r="A395" i="26"/>
  <c r="A397" i="26"/>
  <c r="A399" i="26"/>
  <c r="A403" i="26"/>
  <c r="A413" i="26"/>
  <c r="A415" i="26"/>
  <c r="A152" i="26"/>
  <c r="A205" i="26"/>
  <c r="A209" i="26"/>
  <c r="A378" i="26"/>
  <c r="A420" i="26"/>
  <c r="A432" i="26"/>
  <c r="A66" i="26"/>
  <c r="A117" i="26"/>
  <c r="A125" i="26"/>
  <c r="A147" i="26"/>
  <c r="A151" i="26"/>
  <c r="A274" i="26"/>
  <c r="A278" i="26"/>
  <c r="A282" i="26"/>
  <c r="A286" i="26"/>
  <c r="A290" i="26"/>
  <c r="A296" i="26"/>
  <c r="A298" i="26"/>
  <c r="A300" i="26"/>
  <c r="A302" i="26"/>
  <c r="A328" i="26"/>
  <c r="A346" i="26"/>
  <c r="A425" i="26"/>
  <c r="A441" i="26"/>
  <c r="A127" i="26"/>
  <c r="A161" i="26"/>
  <c r="A219" i="26"/>
  <c r="A241" i="26"/>
  <c r="A307" i="26"/>
  <c r="A335" i="26"/>
  <c r="A351" i="26"/>
  <c r="A361" i="26"/>
  <c r="A376" i="26"/>
  <c r="A380" i="26"/>
  <c r="A456" i="26"/>
  <c r="A263" i="26"/>
  <c r="A267" i="26"/>
  <c r="A331" i="26"/>
  <c r="A424" i="26"/>
  <c r="A428" i="26"/>
  <c r="A458" i="26"/>
  <c r="A466" i="26"/>
  <c r="A476" i="26"/>
  <c r="A419" i="26"/>
  <c r="A115" i="26"/>
  <c r="A119" i="26"/>
  <c r="A123" i="26"/>
  <c r="A149" i="26"/>
  <c r="A153" i="26"/>
  <c r="M17" i="80"/>
  <c r="AA13" i="89"/>
  <c r="M16" i="26"/>
  <c r="J169" i="5"/>
  <c r="L169" i="5" s="1"/>
  <c r="A464" i="26"/>
  <c r="A468" i="26"/>
  <c r="A163" i="26"/>
  <c r="A167" i="26"/>
  <c r="A220" i="26"/>
  <c r="A236" i="26"/>
  <c r="A239" i="26"/>
  <c r="A243" i="26"/>
  <c r="A247" i="26"/>
  <c r="A251" i="26"/>
  <c r="A400" i="26"/>
  <c r="A402" i="26"/>
  <c r="A404" i="26"/>
  <c r="A408" i="26"/>
  <c r="A414" i="26"/>
  <c r="A137" i="26"/>
  <c r="A164" i="26"/>
  <c r="A242" i="26"/>
  <c r="A445" i="26"/>
  <c r="A100" i="26"/>
  <c r="A104" i="26"/>
  <c r="A108" i="26"/>
  <c r="A112" i="26"/>
  <c r="A120" i="26"/>
  <c r="A124" i="26"/>
  <c r="A128" i="26"/>
  <c r="A130" i="26"/>
  <c r="A132" i="26"/>
  <c r="A134" i="26"/>
  <c r="A142" i="26"/>
  <c r="A148" i="26"/>
  <c r="A150" i="26"/>
  <c r="A156" i="26"/>
  <c r="A162" i="26"/>
  <c r="A180" i="26"/>
  <c r="A182" i="26"/>
  <c r="A192" i="26"/>
  <c r="A194" i="26"/>
  <c r="A200" i="26"/>
  <c r="A210" i="26"/>
  <c r="A222" i="26"/>
  <c r="A240" i="26"/>
  <c r="A245" i="26"/>
  <c r="A249" i="26"/>
  <c r="A261" i="26"/>
  <c r="A337" i="26"/>
  <c r="A339" i="26"/>
  <c r="A341" i="26"/>
  <c r="A343" i="26"/>
  <c r="A347" i="26"/>
  <c r="A426" i="26"/>
  <c r="A434" i="26"/>
  <c r="A448" i="26"/>
  <c r="A103" i="26"/>
  <c r="A107" i="26"/>
  <c r="A157" i="26"/>
  <c r="A193" i="26"/>
  <c r="A276" i="26"/>
  <c r="A280" i="26"/>
  <c r="A284" i="26"/>
  <c r="A288" i="26"/>
  <c r="A348" i="26"/>
  <c r="A368" i="26"/>
  <c r="A158" i="26"/>
  <c r="A160" i="26"/>
  <c r="A165" i="26"/>
  <c r="A171" i="26"/>
  <c r="A173" i="26"/>
  <c r="A175" i="26"/>
  <c r="A177" i="26"/>
  <c r="A179" i="26"/>
  <c r="A183" i="26"/>
  <c r="A187" i="26"/>
  <c r="A189" i="26"/>
  <c r="A191" i="26"/>
  <c r="A197" i="26"/>
  <c r="A199" i="26"/>
  <c r="A201" i="26"/>
  <c r="A262" i="26"/>
  <c r="A264" i="26"/>
  <c r="A266" i="26"/>
  <c r="A268" i="26"/>
  <c r="A304" i="26"/>
  <c r="A314" i="26"/>
  <c r="A316" i="26"/>
  <c r="A321" i="26"/>
  <c r="A323" i="26"/>
  <c r="A327" i="26"/>
  <c r="A333" i="26"/>
  <c r="A345" i="26"/>
  <c r="A388" i="26"/>
  <c r="A392" i="26"/>
  <c r="A394" i="26"/>
  <c r="A410" i="26"/>
  <c r="A418" i="26"/>
  <c r="A421" i="26"/>
  <c r="A423" i="26"/>
  <c r="A427" i="26"/>
  <c r="A429" i="26"/>
  <c r="A462" i="26"/>
  <c r="A474" i="26"/>
  <c r="A482" i="26"/>
  <c r="A253" i="26"/>
  <c r="A255" i="26"/>
  <c r="A257" i="26"/>
  <c r="A259" i="26"/>
  <c r="A265" i="26"/>
  <c r="A275" i="26"/>
  <c r="A277" i="26"/>
  <c r="A279" i="26"/>
  <c r="A281" i="26"/>
  <c r="A287" i="26"/>
  <c r="A293" i="26"/>
  <c r="A297" i="26"/>
  <c r="A299" i="26"/>
  <c r="A336" i="26"/>
  <c r="A338" i="26"/>
  <c r="A340" i="26"/>
  <c r="A358" i="26"/>
  <c r="A360" i="26"/>
  <c r="A362" i="26"/>
  <c r="A364" i="26"/>
  <c r="A366" i="26"/>
  <c r="A370" i="26"/>
  <c r="A373" i="26"/>
  <c r="A375" i="26"/>
  <c r="A379" i="26"/>
  <c r="A381" i="26"/>
  <c r="A383" i="26"/>
  <c r="A387" i="26"/>
  <c r="A430" i="26"/>
  <c r="A436" i="26"/>
  <c r="A442" i="26"/>
  <c r="A444" i="26"/>
  <c r="A446" i="26"/>
  <c r="A451" i="26"/>
  <c r="A453" i="26"/>
  <c r="A455" i="26"/>
  <c r="A457" i="26"/>
  <c r="A459" i="26"/>
  <c r="A461" i="26"/>
  <c r="A469" i="26"/>
  <c r="F421" i="4"/>
  <c r="F433" i="4"/>
  <c r="A206" i="26"/>
  <c r="A214" i="26"/>
  <c r="A224" i="26"/>
  <c r="A232" i="26"/>
  <c r="A273" i="26"/>
  <c r="A308" i="26"/>
  <c r="A354" i="26"/>
  <c r="A416" i="26"/>
  <c r="A480" i="26"/>
  <c r="A89" i="26"/>
  <c r="A116" i="26"/>
  <c r="A146" i="26"/>
  <c r="A184" i="26"/>
  <c r="A186" i="26"/>
  <c r="A258" i="26"/>
  <c r="A260" i="26"/>
  <c r="A292" i="26"/>
  <c r="A332" i="26"/>
  <c r="A386" i="26"/>
  <c r="A460" i="26"/>
  <c r="A105" i="26"/>
  <c r="A202" i="26"/>
  <c r="A204" i="26"/>
  <c r="A208" i="26"/>
  <c r="A212" i="26"/>
  <c r="A216" i="26"/>
  <c r="A228" i="26"/>
  <c r="A230" i="26"/>
  <c r="A234" i="26"/>
  <c r="A269" i="26"/>
  <c r="A271" i="26"/>
  <c r="A306" i="26"/>
  <c r="A310" i="26"/>
  <c r="A350" i="26"/>
  <c r="A352" i="26"/>
  <c r="A356" i="26"/>
  <c r="A412" i="26"/>
  <c r="A438" i="26"/>
  <c r="A440" i="26"/>
  <c r="A470" i="26"/>
  <c r="A472" i="26"/>
  <c r="A478" i="26"/>
  <c r="A99" i="26"/>
  <c r="A109" i="26"/>
  <c r="A111" i="26"/>
  <c r="A113" i="26"/>
  <c r="A129" i="26"/>
  <c r="A133" i="26"/>
  <c r="A135" i="26"/>
  <c r="A139" i="26"/>
  <c r="A141" i="26"/>
  <c r="A145" i="26"/>
  <c r="A295" i="26"/>
  <c r="A301" i="26"/>
  <c r="A303" i="26"/>
  <c r="A311" i="26"/>
  <c r="A342" i="26"/>
  <c r="A344" i="26"/>
  <c r="A349" i="26"/>
  <c r="A401" i="26"/>
  <c r="A405" i="26"/>
  <c r="A407" i="26"/>
  <c r="A409" i="26"/>
  <c r="A411" i="26"/>
  <c r="A431" i="26"/>
  <c r="A433" i="26"/>
  <c r="A437" i="26"/>
  <c r="A465" i="26"/>
  <c r="A92" i="26"/>
  <c r="A96" i="26"/>
  <c r="A44" i="26"/>
  <c r="A77" i="26"/>
  <c r="A83" i="26"/>
  <c r="A86" i="26"/>
  <c r="A94" i="26"/>
  <c r="A97" i="26"/>
  <c r="A95" i="26"/>
  <c r="A102" i="26"/>
  <c r="A36" i="26"/>
  <c r="A74" i="26"/>
  <c r="A76" i="26"/>
  <c r="H247" i="4"/>
  <c r="O2896" i="1"/>
  <c r="O1421" i="1"/>
  <c r="O2189" i="1"/>
  <c r="O2812" i="1"/>
  <c r="O2749" i="1"/>
  <c r="J230" i="4"/>
  <c r="J237" i="4"/>
  <c r="C2287" i="1"/>
  <c r="H6" i="124"/>
  <c r="O2401" i="1"/>
  <c r="O609" i="1"/>
  <c r="N1" i="5"/>
  <c r="O2558" i="1"/>
  <c r="F406" i="4"/>
  <c r="O2361" i="1"/>
  <c r="O2104" i="1"/>
  <c r="O740" i="1"/>
  <c r="F113" i="4"/>
  <c r="O665" i="1"/>
  <c r="O2750" i="1"/>
  <c r="M2826" i="1"/>
  <c r="M2922" i="1"/>
  <c r="M2825" i="1"/>
  <c r="M1380" i="1"/>
  <c r="M2853" i="1"/>
  <c r="M2855" i="1"/>
  <c r="U16" i="80"/>
  <c r="U20" i="80"/>
  <c r="M2823" i="1"/>
  <c r="M2915" i="1"/>
  <c r="M2824" i="1"/>
  <c r="A93" i="26"/>
  <c r="M2841" i="1"/>
  <c r="M1211" i="1"/>
  <c r="M2827" i="1"/>
  <c r="M1209" i="1"/>
  <c r="M2839" i="1"/>
  <c r="O2748" i="1"/>
  <c r="E230" i="4"/>
  <c r="O1220" i="246" l="1"/>
  <c r="R1220" i="246" s="1"/>
  <c r="R1221" i="246" s="1"/>
  <c r="M1259" i="1"/>
  <c r="R1259" i="1" s="1"/>
  <c r="R1260" i="1" s="1"/>
  <c r="O825" i="246"/>
  <c r="W825" i="246" s="1"/>
  <c r="D825" i="246" s="1"/>
  <c r="M823" i="1"/>
  <c r="O492" i="246"/>
  <c r="R492" i="246" s="1"/>
  <c r="O1536" i="246"/>
  <c r="R1536" i="246" s="1"/>
  <c r="R641" i="1"/>
  <c r="R638" i="1" s="1"/>
  <c r="O491" i="1"/>
  <c r="R491" i="1" s="1"/>
  <c r="S2963" i="1"/>
  <c r="S2895" i="246"/>
  <c r="R2895" i="246"/>
  <c r="R2959" i="1"/>
  <c r="R2961" i="1"/>
  <c r="R2960" i="1"/>
  <c r="R2962" i="1"/>
  <c r="S641" i="1"/>
  <c r="S641" i="246"/>
  <c r="R641" i="246"/>
  <c r="R637" i="1"/>
  <c r="M1492" i="1"/>
  <c r="V2963" i="1" s="1"/>
  <c r="R1450" i="246"/>
  <c r="O1453" i="246"/>
  <c r="O2632" i="246"/>
  <c r="M2699" i="1"/>
  <c r="A56" i="26"/>
  <c r="R811" i="1"/>
  <c r="R2988" i="1"/>
  <c r="O2785" i="246"/>
  <c r="R2785" i="246" s="1"/>
  <c r="O2791" i="246"/>
  <c r="R2791" i="246" s="1"/>
  <c r="R812" i="1"/>
  <c r="M2941" i="246"/>
  <c r="R2941" i="246" s="1"/>
  <c r="O2853" i="246"/>
  <c r="R2853" i="246" s="1"/>
  <c r="O2859" i="246"/>
  <c r="R2859" i="246" s="1"/>
  <c r="O2802" i="246"/>
  <c r="R2802" i="246" s="1"/>
  <c r="O2789" i="246"/>
  <c r="R2789" i="246" s="1"/>
  <c r="O2840" i="246"/>
  <c r="R2840" i="246" s="1"/>
  <c r="O2800" i="246"/>
  <c r="R2800" i="246" s="1"/>
  <c r="R813" i="1"/>
  <c r="O1269" i="246"/>
  <c r="R1269" i="246" s="1"/>
  <c r="O2857" i="246"/>
  <c r="R2857" i="246" s="1"/>
  <c r="O2841" i="246"/>
  <c r="R2841" i="246" s="1"/>
  <c r="O2796" i="246"/>
  <c r="R2796" i="246" s="1"/>
  <c r="O2851" i="246"/>
  <c r="R2851" i="246" s="1"/>
  <c r="M2645" i="1"/>
  <c r="O2578" i="246"/>
  <c r="R2578" i="246" s="1"/>
  <c r="R2574" i="246"/>
  <c r="U2574" i="246"/>
  <c r="O2576" i="246"/>
  <c r="R2576" i="246" s="1"/>
  <c r="M2643" i="1"/>
  <c r="O2577" i="246"/>
  <c r="R2577" i="246" s="1"/>
  <c r="M2644" i="1"/>
  <c r="M2964" i="246"/>
  <c r="M2965" i="246"/>
  <c r="M2966" i="246"/>
  <c r="R2966" i="246" s="1"/>
  <c r="R2426" i="246"/>
  <c r="S2426" i="246"/>
  <c r="G11" i="170"/>
  <c r="M2493" i="1"/>
  <c r="R1794" i="246"/>
  <c r="R1859" i="1"/>
  <c r="M843" i="1"/>
  <c r="O845" i="246"/>
  <c r="R845" i="246" s="1"/>
  <c r="R1627" i="1"/>
  <c r="R1795" i="246"/>
  <c r="R1796" i="246"/>
  <c r="R1595" i="246"/>
  <c r="S1595" i="246"/>
  <c r="O1592" i="246" s="1"/>
  <c r="R1592" i="246" s="1"/>
  <c r="R1848" i="1"/>
  <c r="R1860" i="1"/>
  <c r="R1861" i="1"/>
  <c r="A37" i="26"/>
  <c r="P16" i="242"/>
  <c r="S17" i="89"/>
  <c r="Q19" i="89"/>
  <c r="D837" i="246"/>
  <c r="A53" i="26"/>
  <c r="O2672" i="246"/>
  <c r="R2672" i="246" s="1"/>
  <c r="A38" i="26"/>
  <c r="M2992" i="1"/>
  <c r="D91" i="234" s="1"/>
  <c r="M3009" i="1"/>
  <c r="R3009" i="1" s="1"/>
  <c r="A51" i="26"/>
  <c r="O2852" i="246"/>
  <c r="R2852" i="246" s="1"/>
  <c r="S1837" i="1"/>
  <c r="M1834" i="1" s="1"/>
  <c r="R1834" i="1" s="1"/>
  <c r="R1835" i="1" s="1"/>
  <c r="O837" i="246"/>
  <c r="S837" i="246" s="1"/>
  <c r="M835" i="1"/>
  <c r="S1844" i="1"/>
  <c r="R1772" i="246"/>
  <c r="S1772" i="246"/>
  <c r="O1769" i="246" s="1"/>
  <c r="R1769" i="246" s="1"/>
  <c r="R1779" i="246"/>
  <c r="S1779" i="246"/>
  <c r="M1833" i="1"/>
  <c r="S1833" i="1" s="1"/>
  <c r="O1768" i="246"/>
  <c r="R1747" i="246"/>
  <c r="R1766" i="246"/>
  <c r="R1798" i="246"/>
  <c r="R1793" i="246"/>
  <c r="R1765" i="246"/>
  <c r="R1787" i="246"/>
  <c r="R1752" i="246"/>
  <c r="R1784" i="246"/>
  <c r="R1744" i="246"/>
  <c r="R1763" i="246"/>
  <c r="R1746" i="246"/>
  <c r="R1760" i="246"/>
  <c r="R1748" i="246"/>
  <c r="R1759" i="246"/>
  <c r="R1756" i="246"/>
  <c r="R1761" i="246"/>
  <c r="R1783" i="246"/>
  <c r="R1757" i="246"/>
  <c r="R1758" i="246"/>
  <c r="R1788" i="246"/>
  <c r="R1749" i="246"/>
  <c r="R1785" i="246"/>
  <c r="R1745" i="246"/>
  <c r="R1764" i="246"/>
  <c r="R1797" i="246"/>
  <c r="R1791" i="246"/>
  <c r="R1762" i="246"/>
  <c r="R1792" i="246"/>
  <c r="R1753" i="246"/>
  <c r="R1789" i="246"/>
  <c r="R1750" i="246"/>
  <c r="R1786" i="246"/>
  <c r="R1751" i="246"/>
  <c r="R1790" i="246"/>
  <c r="R1767" i="246"/>
  <c r="S1767" i="246"/>
  <c r="M2739" i="1"/>
  <c r="O1360" i="246"/>
  <c r="O1357" i="246" s="1"/>
  <c r="S1357" i="246" s="1"/>
  <c r="M2924" i="246"/>
  <c r="R2924" i="246" s="1"/>
  <c r="M1399" i="1"/>
  <c r="M1396" i="1" s="1"/>
  <c r="S1396" i="1" s="1"/>
  <c r="T19" i="89"/>
  <c r="M2920" i="1"/>
  <c r="R1814" i="1"/>
  <c r="R1824" i="1"/>
  <c r="R1821" i="1"/>
  <c r="R1811" i="1"/>
  <c r="R1849" i="1"/>
  <c r="R1829" i="1"/>
  <c r="R1816" i="1"/>
  <c r="R1857" i="1"/>
  <c r="R1817" i="1"/>
  <c r="R1810" i="1"/>
  <c r="R1854" i="1"/>
  <c r="R1852" i="1"/>
  <c r="R1851" i="1"/>
  <c r="R1809" i="1"/>
  <c r="R1828" i="1"/>
  <c r="R1863" i="1"/>
  <c r="R1825" i="1"/>
  <c r="R1858" i="1"/>
  <c r="R1822" i="1"/>
  <c r="R1855" i="1"/>
  <c r="R1823" i="1"/>
  <c r="R1856" i="1"/>
  <c r="R1826" i="1"/>
  <c r="R1827" i="1"/>
  <c r="R1862" i="1"/>
  <c r="R1818" i="1"/>
  <c r="R1853" i="1"/>
  <c r="R1815" i="1"/>
  <c r="R1850" i="1"/>
  <c r="R1812" i="1"/>
  <c r="R1830" i="1"/>
  <c r="R1813" i="1"/>
  <c r="R1831" i="1"/>
  <c r="R1832" i="1"/>
  <c r="S1832" i="1"/>
  <c r="R1589" i="246"/>
  <c r="S1589" i="246"/>
  <c r="M1633" i="1"/>
  <c r="S1633" i="1" s="1"/>
  <c r="M1630" i="1" s="1"/>
  <c r="R1581" i="246"/>
  <c r="S1581" i="246"/>
  <c r="R1619" i="1"/>
  <c r="S1619" i="1"/>
  <c r="R2943" i="246"/>
  <c r="O2767" i="246"/>
  <c r="O1195" i="246"/>
  <c r="R1195" i="246" s="1"/>
  <c r="R1168" i="246" s="1"/>
  <c r="S1891" i="246"/>
  <c r="R1891" i="246"/>
  <c r="R1956" i="1"/>
  <c r="S1956" i="1"/>
  <c r="R1908" i="246"/>
  <c r="R1909" i="246" s="1"/>
  <c r="U1923" i="246"/>
  <c r="R1973" i="1"/>
  <c r="R1974" i="1" s="1"/>
  <c r="V1988" i="1"/>
  <c r="S842" i="1"/>
  <c r="R842" i="1"/>
  <c r="S809" i="1"/>
  <c r="R809" i="1"/>
  <c r="S823" i="1"/>
  <c r="M1367" i="1"/>
  <c r="V809" i="1" s="1"/>
  <c r="O1147" i="246"/>
  <c r="R1147" i="246" s="1"/>
  <c r="M1185" i="1"/>
  <c r="I14" i="242"/>
  <c r="I306" i="242"/>
  <c r="R1787" i="1"/>
  <c r="R1788" i="1" s="1"/>
  <c r="R1729" i="246"/>
  <c r="O2240" i="246"/>
  <c r="R2240" i="246" s="1"/>
  <c r="O758" i="246"/>
  <c r="R758" i="246" s="1"/>
  <c r="M756" i="1"/>
  <c r="M2131" i="1"/>
  <c r="R2131" i="1" s="1"/>
  <c r="O2065" i="246"/>
  <c r="R2065" i="246" s="1"/>
  <c r="O2755" i="246"/>
  <c r="R2755" i="246" s="1"/>
  <c r="F1725" i="1"/>
  <c r="R2939" i="246"/>
  <c r="O1702" i="246"/>
  <c r="J1699" i="246"/>
  <c r="K1699" i="246"/>
  <c r="O1703" i="246"/>
  <c r="K1758" i="1"/>
  <c r="J1758" i="1"/>
  <c r="M1758" i="1"/>
  <c r="O1762" i="1"/>
  <c r="M1695" i="246"/>
  <c r="O1695" i="246" s="1"/>
  <c r="M1754" i="1"/>
  <c r="O1754" i="1" s="1"/>
  <c r="O1761" i="1"/>
  <c r="H1758" i="1"/>
  <c r="H1699" i="246"/>
  <c r="M1699" i="246"/>
  <c r="O2310" i="246"/>
  <c r="R2310" i="246" s="1"/>
  <c r="M2377" i="1"/>
  <c r="R2377" i="1" s="1"/>
  <c r="O2749" i="246"/>
  <c r="O2745" i="1"/>
  <c r="U2745" i="1" s="1"/>
  <c r="R3007" i="1"/>
  <c r="M2990" i="1"/>
  <c r="R2990" i="1" s="1"/>
  <c r="M2738" i="1"/>
  <c r="O2671" i="246"/>
  <c r="R2671" i="246" s="1"/>
  <c r="M2918" i="1"/>
  <c r="F94" i="80"/>
  <c r="M2342" i="1"/>
  <c r="O769" i="246"/>
  <c r="M767" i="1"/>
  <c r="O2275" i="246"/>
  <c r="R2275" i="246" s="1"/>
  <c r="R757" i="246"/>
  <c r="S811" i="246"/>
  <c r="O2795" i="246"/>
  <c r="R2795" i="246" s="1"/>
  <c r="F102" i="80"/>
  <c r="O2856" i="246"/>
  <c r="R2856" i="246" s="1"/>
  <c r="R815" i="246"/>
  <c r="S815" i="246"/>
  <c r="M2922" i="246"/>
  <c r="R2922" i="246" s="1"/>
  <c r="O2850" i="246"/>
  <c r="R2850" i="246" s="1"/>
  <c r="O747" i="246"/>
  <c r="O844" i="246"/>
  <c r="O2790" i="246"/>
  <c r="R2790" i="246" s="1"/>
  <c r="S825" i="246"/>
  <c r="S813" i="246"/>
  <c r="R813" i="246"/>
  <c r="R1268" i="246"/>
  <c r="R1339" i="246"/>
  <c r="S814" i="246"/>
  <c r="R814" i="246"/>
  <c r="R1331" i="246"/>
  <c r="O1328" i="246"/>
  <c r="U305" i="242"/>
  <c r="I200" i="242"/>
  <c r="I308" i="242" s="1"/>
  <c r="K168" i="242"/>
  <c r="K200" i="242" s="1"/>
  <c r="K13" i="242" s="1"/>
  <c r="U168" i="242"/>
  <c r="R618" i="246"/>
  <c r="S618" i="246"/>
  <c r="R2770" i="246"/>
  <c r="O2845" i="246"/>
  <c r="O1240" i="246"/>
  <c r="R1169" i="246"/>
  <c r="U127" i="242"/>
  <c r="K11" i="242"/>
  <c r="I128" i="242"/>
  <c r="I11" i="242"/>
  <c r="AB370" i="89"/>
  <c r="Z226" i="89"/>
  <c r="T134" i="242" s="1"/>
  <c r="Z265" i="89"/>
  <c r="AB226" i="89"/>
  <c r="AB14" i="89" s="1"/>
  <c r="Z370" i="89"/>
  <c r="T207" i="242" s="1"/>
  <c r="I374" i="89"/>
  <c r="K13" i="89"/>
  <c r="Z192" i="89"/>
  <c r="J374" i="89"/>
  <c r="I43" i="4"/>
  <c r="G33" i="240"/>
  <c r="A17" i="26"/>
  <c r="A15" i="26"/>
  <c r="M1279" i="1"/>
  <c r="A20" i="26"/>
  <c r="A33" i="26"/>
  <c r="A22" i="26"/>
  <c r="A24" i="26"/>
  <c r="A21" i="26"/>
  <c r="A29" i="26"/>
  <c r="A63" i="26"/>
  <c r="A31" i="26"/>
  <c r="A65" i="26"/>
  <c r="A26" i="26"/>
  <c r="A48" i="26"/>
  <c r="A61" i="26"/>
  <c r="M1430" i="1"/>
  <c r="R1430" i="1" s="1"/>
  <c r="F70" i="80"/>
  <c r="F130" i="231"/>
  <c r="A30" i="26"/>
  <c r="A46" i="26"/>
  <c r="E369" i="4"/>
  <c r="A28" i="26"/>
  <c r="G20" i="168"/>
  <c r="A34" i="26"/>
  <c r="A25" i="26"/>
  <c r="A19" i="26"/>
  <c r="A23" i="26"/>
  <c r="K12" i="89"/>
  <c r="K17" i="89" s="1"/>
  <c r="F25" i="170" s="1"/>
  <c r="T12" i="89"/>
  <c r="V16" i="80"/>
  <c r="V19" i="80"/>
  <c r="K16" i="89"/>
  <c r="V18" i="80"/>
  <c r="M745" i="1"/>
  <c r="R19" i="89"/>
  <c r="R20" i="89" s="1"/>
  <c r="M1433" i="1"/>
  <c r="M1434" i="1"/>
  <c r="M3032" i="1"/>
  <c r="M3033" i="1"/>
  <c r="M1308" i="1"/>
  <c r="M3034" i="1"/>
  <c r="R3034" i="1" s="1"/>
  <c r="M2867" i="1"/>
  <c r="M2822" i="1"/>
  <c r="R23" i="80"/>
  <c r="V20" i="80"/>
  <c r="M23" i="80"/>
  <c r="AC233" i="89"/>
  <c r="AC199" i="89"/>
  <c r="V15" i="80"/>
  <c r="U23" i="80"/>
  <c r="M2871" i="1"/>
  <c r="M2870" i="1"/>
  <c r="A16" i="26"/>
  <c r="V17" i="80"/>
  <c r="M1210" i="1"/>
  <c r="AC155" i="89"/>
  <c r="M2859" i="1"/>
  <c r="M1381" i="1"/>
  <c r="M2840" i="1"/>
  <c r="M2913" i="1"/>
  <c r="M1309" i="1"/>
  <c r="M2914" i="1"/>
  <c r="M2930" i="1"/>
  <c r="M778" i="1"/>
  <c r="M2923" i="1"/>
  <c r="M2866" i="1"/>
  <c r="M1516" i="1"/>
  <c r="V2641" i="1" s="1"/>
  <c r="M2856" i="1"/>
  <c r="H96" i="234" s="1"/>
  <c r="M2908" i="1"/>
  <c r="M2857" i="1"/>
  <c r="M2861" i="1"/>
  <c r="M1307" i="1"/>
  <c r="M2869" i="1"/>
  <c r="AC370" i="89"/>
  <c r="M2919" i="1"/>
  <c r="M2909" i="1"/>
  <c r="M2927" i="1"/>
  <c r="M2816" i="1"/>
  <c r="S2816" i="1" s="1"/>
  <c r="M2862" i="1"/>
  <c r="M2921" i="1"/>
  <c r="M2852" i="1"/>
  <c r="M2863" i="1"/>
  <c r="M2924" i="1"/>
  <c r="M2858" i="1"/>
  <c r="M2925" i="1"/>
  <c r="Y823" i="1" l="1"/>
  <c r="Z823" i="1"/>
  <c r="R640" i="1"/>
  <c r="R639" i="1"/>
  <c r="R2891" i="246"/>
  <c r="R2892" i="246"/>
  <c r="R2893" i="246"/>
  <c r="R2894" i="246"/>
  <c r="R1453" i="246"/>
  <c r="R1458" i="246" s="1"/>
  <c r="U2895" i="246"/>
  <c r="R637" i="246"/>
  <c r="R638" i="246"/>
  <c r="R640" i="246"/>
  <c r="R639" i="246"/>
  <c r="U641" i="246"/>
  <c r="R1492" i="1"/>
  <c r="R1483" i="1" s="1"/>
  <c r="V641" i="1"/>
  <c r="R1723" i="246"/>
  <c r="R1730" i="246"/>
  <c r="R2631" i="246"/>
  <c r="R2632" i="246"/>
  <c r="R2614" i="246"/>
  <c r="R2625" i="246" s="1"/>
  <c r="O1282" i="246"/>
  <c r="O2962" i="246"/>
  <c r="S2962" i="246" s="1"/>
  <c r="R2493" i="1"/>
  <c r="S2493" i="1"/>
  <c r="R2992" i="1"/>
  <c r="R1593" i="246"/>
  <c r="R1597" i="246"/>
  <c r="R1594" i="246"/>
  <c r="R1598" i="246"/>
  <c r="T374" i="89"/>
  <c r="T17" i="89"/>
  <c r="S835" i="1"/>
  <c r="S19" i="89"/>
  <c r="S20" i="89" s="1"/>
  <c r="R1839" i="1"/>
  <c r="R1840" i="1"/>
  <c r="R1836" i="1"/>
  <c r="H67" i="234"/>
  <c r="K308" i="242"/>
  <c r="R1833" i="1"/>
  <c r="R1357" i="246"/>
  <c r="R1364" i="246" s="1"/>
  <c r="R1768" i="246"/>
  <c r="S1768" i="246"/>
  <c r="R1775" i="246"/>
  <c r="R1771" i="246"/>
  <c r="R1770" i="246"/>
  <c r="R1774" i="246"/>
  <c r="R1360" i="246"/>
  <c r="R835" i="1"/>
  <c r="R1997" i="1"/>
  <c r="R1981" i="1"/>
  <c r="R1976" i="1"/>
  <c r="R1991" i="1"/>
  <c r="R1990" i="1"/>
  <c r="R1993" i="1"/>
  <c r="R1979" i="1"/>
  <c r="R1978" i="1"/>
  <c r="R1977" i="1"/>
  <c r="R1986" i="1"/>
  <c r="R1992" i="1"/>
  <c r="R1988" i="1"/>
  <c r="R1984" i="1"/>
  <c r="R1987" i="1"/>
  <c r="R1975" i="1"/>
  <c r="R1989" i="1"/>
  <c r="R1996" i="1"/>
  <c r="R1982" i="1"/>
  <c r="R1995" i="1"/>
  <c r="R1910" i="246"/>
  <c r="R1914" i="246"/>
  <c r="R1926" i="246"/>
  <c r="R1921" i="246"/>
  <c r="R1931" i="246"/>
  <c r="R1924" i="246"/>
  <c r="R1913" i="246"/>
  <c r="R1917" i="246"/>
  <c r="R1919" i="246"/>
  <c r="R1916" i="246"/>
  <c r="R1911" i="246"/>
  <c r="R1922" i="246"/>
  <c r="R1912" i="246"/>
  <c r="R1928" i="246"/>
  <c r="R1923" i="246"/>
  <c r="R1927" i="246"/>
  <c r="R1930" i="246"/>
  <c r="R1925" i="246"/>
  <c r="R1932" i="246"/>
  <c r="S843" i="1"/>
  <c r="Y843" i="1"/>
  <c r="Z843" i="1"/>
  <c r="R843" i="1"/>
  <c r="R1158" i="246"/>
  <c r="R1165" i="246"/>
  <c r="R1161" i="246"/>
  <c r="R1201" i="246"/>
  <c r="R1157" i="246"/>
  <c r="R1164" i="246"/>
  <c r="R1160" i="246"/>
  <c r="R1200" i="246"/>
  <c r="R1159" i="246"/>
  <c r="R1163" i="246"/>
  <c r="R1199" i="246"/>
  <c r="R1166" i="246"/>
  <c r="R1162" i="246"/>
  <c r="R1743" i="246"/>
  <c r="R1728" i="246"/>
  <c r="R1724" i="246"/>
  <c r="R1742" i="246"/>
  <c r="R1727" i="246"/>
  <c r="R1741" i="246"/>
  <c r="R1726" i="246"/>
  <c r="R1722" i="246"/>
  <c r="R1740" i="246"/>
  <c r="R1725" i="246"/>
  <c r="R1721" i="246"/>
  <c r="W845" i="246"/>
  <c r="D845" i="246" s="1"/>
  <c r="U14" i="242"/>
  <c r="U306" i="242"/>
  <c r="R1735" i="246"/>
  <c r="R1734" i="246"/>
  <c r="R1733" i="246"/>
  <c r="R1736" i="246"/>
  <c r="R1732" i="246"/>
  <c r="R1731" i="246"/>
  <c r="R1738" i="246"/>
  <c r="R1737" i="246"/>
  <c r="R1739" i="246"/>
  <c r="R1808" i="1"/>
  <c r="R1801" i="1"/>
  <c r="R1781" i="1"/>
  <c r="R1802" i="1"/>
  <c r="R1786" i="1"/>
  <c r="R1793" i="1"/>
  <c r="R1797" i="1"/>
  <c r="R1785" i="1"/>
  <c r="R1796" i="1"/>
  <c r="R1807" i="1"/>
  <c r="R1800" i="1"/>
  <c r="R1783" i="1"/>
  <c r="R1779" i="1"/>
  <c r="R1794" i="1"/>
  <c r="R1804" i="1"/>
  <c r="R1795" i="1"/>
  <c r="R1792" i="1"/>
  <c r="R1780" i="1"/>
  <c r="R1805" i="1"/>
  <c r="R1791" i="1"/>
  <c r="R1782" i="1"/>
  <c r="R1798" i="1"/>
  <c r="R1784" i="1"/>
  <c r="R1806" i="1"/>
  <c r="R1790" i="1"/>
  <c r="R1803" i="1"/>
  <c r="R1799" i="1"/>
  <c r="R1789" i="1"/>
  <c r="S845" i="246"/>
  <c r="H99" i="234"/>
  <c r="D99" i="234"/>
  <c r="O1699" i="246"/>
  <c r="O1758" i="1"/>
  <c r="K15" i="242"/>
  <c r="G25" i="170" s="1"/>
  <c r="H25" i="170" s="1"/>
  <c r="R837" i="246"/>
  <c r="R769" i="246"/>
  <c r="R844" i="246"/>
  <c r="S844" i="246"/>
  <c r="R1328" i="246"/>
  <c r="S1328" i="246"/>
  <c r="U811" i="246"/>
  <c r="R2749" i="246"/>
  <c r="S2749" i="246"/>
  <c r="T305" i="242"/>
  <c r="T14" i="242" s="1"/>
  <c r="V207" i="242"/>
  <c r="Z15" i="89"/>
  <c r="I110" i="5" s="1"/>
  <c r="L110" i="5" s="1"/>
  <c r="T168" i="242"/>
  <c r="U200" i="242"/>
  <c r="U308" i="242" s="1"/>
  <c r="I13" i="242"/>
  <c r="I15" i="242" s="1"/>
  <c r="I16" i="242" s="1"/>
  <c r="I201" i="242"/>
  <c r="Z14" i="89"/>
  <c r="I265" i="5" s="1"/>
  <c r="L265" i="5" s="1"/>
  <c r="T161" i="242"/>
  <c r="T12" i="242" s="1"/>
  <c r="V134" i="242"/>
  <c r="I44" i="4"/>
  <c r="U618" i="246"/>
  <c r="R1240" i="246"/>
  <c r="O1247" i="246"/>
  <c r="U1247" i="246" s="1"/>
  <c r="R2845" i="246"/>
  <c r="R1193" i="246"/>
  <c r="R1198" i="246"/>
  <c r="R1196" i="246"/>
  <c r="R1194" i="246"/>
  <c r="R1167" i="246"/>
  <c r="R1197" i="246"/>
  <c r="S2767" i="246"/>
  <c r="R2767" i="246"/>
  <c r="R619" i="246"/>
  <c r="T90" i="242"/>
  <c r="U11" i="242"/>
  <c r="U128" i="242"/>
  <c r="AC265" i="89"/>
  <c r="AC15" i="89" s="1"/>
  <c r="AC226" i="89"/>
  <c r="AC14" i="89" s="1"/>
  <c r="AC192" i="89"/>
  <c r="Z13" i="89"/>
  <c r="I257" i="5" s="1"/>
  <c r="L257" i="5" s="1"/>
  <c r="AB192" i="89"/>
  <c r="K374" i="89"/>
  <c r="T20" i="89"/>
  <c r="G130" i="231"/>
  <c r="O3030" i="1"/>
  <c r="S3030" i="1" s="1"/>
  <c r="J145" i="5"/>
  <c r="L145" i="5" s="1"/>
  <c r="O1387" i="246" s="1"/>
  <c r="R1387" i="246" s="1"/>
  <c r="S1367" i="1"/>
  <c r="J67" i="26"/>
  <c r="AB15" i="89"/>
  <c r="V23" i="80"/>
  <c r="J33" i="26"/>
  <c r="AA16" i="89"/>
  <c r="S16" i="89"/>
  <c r="M1286" i="1"/>
  <c r="V1286" i="1" s="1"/>
  <c r="M1207" i="1"/>
  <c r="H74" i="234" s="1"/>
  <c r="M1321" i="1"/>
  <c r="V1321" i="1" s="1"/>
  <c r="U1282" i="246" l="1"/>
  <c r="R1282" i="246"/>
  <c r="D823" i="1"/>
  <c r="R1455" i="246"/>
  <c r="R1439" i="246"/>
  <c r="R1438" i="246"/>
  <c r="R1456" i="246"/>
  <c r="R1440" i="246"/>
  <c r="R1449" i="246"/>
  <c r="R1442" i="246"/>
  <c r="R1454" i="246"/>
  <c r="R1443" i="246"/>
  <c r="R1452" i="246"/>
  <c r="R1448" i="246"/>
  <c r="R1446" i="246"/>
  <c r="R1444" i="246"/>
  <c r="R1445" i="246"/>
  <c r="R1457" i="246"/>
  <c r="R1451" i="246"/>
  <c r="R1441" i="246"/>
  <c r="R1447" i="246"/>
  <c r="R1488" i="1"/>
  <c r="R1497" i="1"/>
  <c r="R1487" i="1"/>
  <c r="R1478" i="1"/>
  <c r="R1490" i="1"/>
  <c r="R1479" i="1"/>
  <c r="R1481" i="1"/>
  <c r="R1477" i="1"/>
  <c r="R1482" i="1"/>
  <c r="R1485" i="1"/>
  <c r="R1495" i="1"/>
  <c r="R1491" i="1"/>
  <c r="R1496" i="1"/>
  <c r="R1480" i="1"/>
  <c r="R1494" i="1"/>
  <c r="R1484" i="1"/>
  <c r="R1493" i="1"/>
  <c r="R1486" i="1"/>
  <c r="R2650" i="246"/>
  <c r="R2616" i="246"/>
  <c r="R2619" i="246"/>
  <c r="R2623" i="246"/>
  <c r="R2621" i="246"/>
  <c r="R2635" i="246"/>
  <c r="R2620" i="246"/>
  <c r="R2624" i="246"/>
  <c r="R2617" i="246"/>
  <c r="R2649" i="246"/>
  <c r="R2648" i="246"/>
  <c r="R2618" i="246"/>
  <c r="R2615" i="246"/>
  <c r="R2622" i="246"/>
  <c r="R2647" i="246"/>
  <c r="R2634" i="246"/>
  <c r="R2633" i="246"/>
  <c r="D193" i="246"/>
  <c r="R1358" i="246"/>
  <c r="R1359" i="246"/>
  <c r="D843" i="1"/>
  <c r="S374" i="89"/>
  <c r="I309" i="242"/>
  <c r="J1706" i="246"/>
  <c r="J1765" i="1"/>
  <c r="H1706" i="246"/>
  <c r="H1765" i="1"/>
  <c r="I273" i="5"/>
  <c r="L273" i="5" s="1"/>
  <c r="K309" i="242"/>
  <c r="I46" i="5"/>
  <c r="L46" i="5" s="1"/>
  <c r="M1343" i="1"/>
  <c r="O1304" i="246"/>
  <c r="R1304" i="246" s="1"/>
  <c r="R1262" i="246"/>
  <c r="R1284" i="246"/>
  <c r="R1266" i="246"/>
  <c r="R1258" i="246"/>
  <c r="R1288" i="246"/>
  <c r="R1287" i="246"/>
  <c r="R1257" i="246"/>
  <c r="R1263" i="246"/>
  <c r="R1283" i="246"/>
  <c r="R1260" i="246"/>
  <c r="R1264" i="246"/>
  <c r="R1261" i="246"/>
  <c r="R1285" i="246"/>
  <c r="R1286" i="246"/>
  <c r="R1256" i="246"/>
  <c r="R1265" i="246"/>
  <c r="R1281" i="246"/>
  <c r="R1280" i="246"/>
  <c r="I45" i="4"/>
  <c r="D451" i="246" s="1"/>
  <c r="R1247" i="246"/>
  <c r="R1246" i="246" s="1"/>
  <c r="R2750" i="246"/>
  <c r="R1335" i="246"/>
  <c r="R1329" i="246"/>
  <c r="R1330" i="246"/>
  <c r="R1334" i="246"/>
  <c r="V305" i="242"/>
  <c r="V14" i="242" s="1"/>
  <c r="W207" i="242"/>
  <c r="W305" i="242" s="1"/>
  <c r="W14" i="242" s="1"/>
  <c r="T200" i="242"/>
  <c r="T13" i="242" s="1"/>
  <c r="V168" i="242"/>
  <c r="U13" i="242"/>
  <c r="U15" i="242" s="1"/>
  <c r="U201" i="242"/>
  <c r="V161" i="242"/>
  <c r="V12" i="242" s="1"/>
  <c r="W134" i="242"/>
  <c r="W161" i="242" s="1"/>
  <c r="W12" i="242" s="1"/>
  <c r="R2779" i="246"/>
  <c r="R2769" i="246"/>
  <c r="R2768" i="246"/>
  <c r="R2776" i="246"/>
  <c r="V90" i="242"/>
  <c r="T127" i="242"/>
  <c r="I45" i="5"/>
  <c r="L45" i="5" s="1"/>
  <c r="AB13" i="89"/>
  <c r="AC13" i="89"/>
  <c r="E131" i="231"/>
  <c r="J344" i="5"/>
  <c r="J399" i="5"/>
  <c r="M1426" i="1"/>
  <c r="L12" i="89"/>
  <c r="AA12" i="89"/>
  <c r="J205" i="5"/>
  <c r="J401" i="5"/>
  <c r="L401" i="5" s="1"/>
  <c r="J68" i="26"/>
  <c r="J87" i="5" s="1"/>
  <c r="L87" i="5" s="1"/>
  <c r="M1208" i="1"/>
  <c r="D84" i="234" s="1"/>
  <c r="M2838" i="1"/>
  <c r="Z3058" i="1"/>
  <c r="Y3058" i="1"/>
  <c r="R1259" i="246" l="1"/>
  <c r="R1267" i="246"/>
  <c r="O2875" i="246"/>
  <c r="M2943" i="1"/>
  <c r="O628" i="246"/>
  <c r="M628" i="1"/>
  <c r="D452" i="246"/>
  <c r="D501" i="246"/>
  <c r="D470" i="1"/>
  <c r="D500" i="1"/>
  <c r="D452" i="1"/>
  <c r="D470" i="246"/>
  <c r="D451" i="1"/>
  <c r="D165" i="246"/>
  <c r="D358" i="1"/>
  <c r="D164" i="246"/>
  <c r="D182" i="246"/>
  <c r="D183" i="1"/>
  <c r="D165" i="1"/>
  <c r="D358" i="246"/>
  <c r="D183" i="246"/>
  <c r="D182" i="1"/>
  <c r="D164" i="1"/>
  <c r="C1277" i="1"/>
  <c r="D175" i="246"/>
  <c r="D173" i="246"/>
  <c r="D173" i="1"/>
  <c r="D162" i="1"/>
  <c r="D75" i="1"/>
  <c r="D75" i="246"/>
  <c r="D162" i="246"/>
  <c r="D71" i="246"/>
  <c r="D71" i="1"/>
  <c r="D528" i="246"/>
  <c r="D526" i="1"/>
  <c r="C1238" i="246"/>
  <c r="D175" i="1"/>
  <c r="M1342" i="1"/>
  <c r="L16" i="242"/>
  <c r="L17" i="89"/>
  <c r="U16" i="242"/>
  <c r="AA17" i="89"/>
  <c r="AA374" i="89" s="1"/>
  <c r="AD12" i="89"/>
  <c r="I25" i="170"/>
  <c r="M810" i="1"/>
  <c r="S810" i="1" s="1"/>
  <c r="M1233" i="1"/>
  <c r="V618" i="1" s="1"/>
  <c r="L374" i="89"/>
  <c r="U309" i="242"/>
  <c r="K1706" i="246"/>
  <c r="K1765" i="1"/>
  <c r="O1303" i="246"/>
  <c r="R1303" i="246" s="1"/>
  <c r="C2024" i="246"/>
  <c r="D528" i="1"/>
  <c r="D159" i="1"/>
  <c r="D3876" i="1"/>
  <c r="C2089" i="1"/>
  <c r="M1341" i="1"/>
  <c r="O1302" i="246"/>
  <c r="R1302" i="246" s="1"/>
  <c r="D3712" i="1"/>
  <c r="D4040" i="1"/>
  <c r="D159" i="246"/>
  <c r="D530" i="246"/>
  <c r="D3220" i="1"/>
  <c r="D3152" i="246"/>
  <c r="D3548" i="1"/>
  <c r="D3384" i="1"/>
  <c r="D3480" i="246"/>
  <c r="D3316" i="246"/>
  <c r="D3065" i="1"/>
  <c r="D120" i="1"/>
  <c r="D120" i="246"/>
  <c r="D2913" i="1"/>
  <c r="D447" i="1"/>
  <c r="D447" i="246"/>
  <c r="D2845" i="246"/>
  <c r="R1250" i="246"/>
  <c r="R1245" i="246"/>
  <c r="R1248" i="246"/>
  <c r="R1249" i="246" s="1"/>
  <c r="O1340" i="246"/>
  <c r="O812" i="246"/>
  <c r="V200" i="242"/>
  <c r="V13" i="242" s="1"/>
  <c r="W168" i="242"/>
  <c r="W200" i="242" s="1"/>
  <c r="W13" i="242" s="1"/>
  <c r="R2780" i="246"/>
  <c r="R2777" i="246"/>
  <c r="T11" i="242"/>
  <c r="G503" i="4" s="1"/>
  <c r="T308" i="242"/>
  <c r="V127" i="242"/>
  <c r="W90" i="242"/>
  <c r="W127" i="242" s="1"/>
  <c r="F131" i="231"/>
  <c r="Z12" i="89"/>
  <c r="AB12" i="89"/>
  <c r="AB17" i="89" s="1"/>
  <c r="M1379" i="1"/>
  <c r="M1375" i="1" s="1"/>
  <c r="S618" i="1"/>
  <c r="R3109" i="1"/>
  <c r="D572" i="246" l="1"/>
  <c r="D588" i="246"/>
  <c r="D570" i="1"/>
  <c r="D587" i="1"/>
  <c r="D507" i="246"/>
  <c r="D555" i="246"/>
  <c r="D505" i="1"/>
  <c r="D553" i="1"/>
  <c r="Z17" i="89"/>
  <c r="AE12" i="89"/>
  <c r="J60" i="26"/>
  <c r="J36" i="170"/>
  <c r="M806" i="1"/>
  <c r="R806" i="1" s="1"/>
  <c r="R815" i="1" s="1"/>
  <c r="R816" i="1" s="1"/>
  <c r="R817" i="1" s="1"/>
  <c r="R810" i="1"/>
  <c r="D76" i="234"/>
  <c r="H77" i="234" s="1"/>
  <c r="V810" i="1"/>
  <c r="M3004" i="1"/>
  <c r="O3003" i="1" s="1"/>
  <c r="M2936" i="246"/>
  <c r="O2935" i="246" s="1"/>
  <c r="S812" i="246"/>
  <c r="R812" i="246"/>
  <c r="O808" i="246"/>
  <c r="R808" i="246" s="1"/>
  <c r="R628" i="246"/>
  <c r="S628" i="246"/>
  <c r="R1340" i="246"/>
  <c r="O1336" i="246"/>
  <c r="T15" i="242"/>
  <c r="T309" i="242" s="1"/>
  <c r="R2778" i="246"/>
  <c r="W11" i="242"/>
  <c r="W15" i="242" s="1"/>
  <c r="W308" i="242"/>
  <c r="V11" i="242"/>
  <c r="V15" i="242" s="1"/>
  <c r="V308" i="242"/>
  <c r="R2937" i="246"/>
  <c r="G131" i="231"/>
  <c r="I44" i="5"/>
  <c r="L44" i="5" s="1"/>
  <c r="I237" i="5"/>
  <c r="L237" i="5" s="1"/>
  <c r="O1599" i="246" s="1"/>
  <c r="S1599" i="246" s="1"/>
  <c r="R3048" i="1"/>
  <c r="AC12" i="89"/>
  <c r="AC17" i="89" s="1"/>
  <c r="F27" i="170" s="1"/>
  <c r="R3106" i="1"/>
  <c r="R3101" i="1"/>
  <c r="R3097" i="1"/>
  <c r="R3093" i="1"/>
  <c r="R3089" i="1"/>
  <c r="R3085" i="1"/>
  <c r="R3081" i="1"/>
  <c r="R3077" i="1"/>
  <c r="R3073" i="1"/>
  <c r="R3068" i="1"/>
  <c r="R3063" i="1"/>
  <c r="R3059" i="1"/>
  <c r="R3055" i="1"/>
  <c r="R3051" i="1"/>
  <c r="R3047" i="1"/>
  <c r="R3105" i="1"/>
  <c r="R3100" i="1"/>
  <c r="R3096" i="1"/>
  <c r="R3092" i="1"/>
  <c r="R3088" i="1"/>
  <c r="R3084" i="1"/>
  <c r="R3080" i="1"/>
  <c r="R3076" i="1"/>
  <c r="R3071" i="1"/>
  <c r="R3067" i="1"/>
  <c r="R3062" i="1"/>
  <c r="R3058" i="1"/>
  <c r="R3054" i="1"/>
  <c r="R3050" i="1"/>
  <c r="R3046" i="1"/>
  <c r="R91" i="1" s="1"/>
  <c r="R3108" i="1"/>
  <c r="R3103" i="1"/>
  <c r="R3099" i="1"/>
  <c r="R3095" i="1"/>
  <c r="R3091" i="1"/>
  <c r="R3087" i="1"/>
  <c r="R3083" i="1"/>
  <c r="R3079" i="1"/>
  <c r="R3075" i="1"/>
  <c r="R3070" i="1"/>
  <c r="R3066" i="1"/>
  <c r="R3061" i="1"/>
  <c r="R3057" i="1"/>
  <c r="R3053" i="1"/>
  <c r="R3049" i="1"/>
  <c r="R3107" i="1"/>
  <c r="R3102" i="1"/>
  <c r="R3098" i="1"/>
  <c r="R3094" i="1"/>
  <c r="R3090" i="1"/>
  <c r="R3086" i="1"/>
  <c r="R3082" i="1"/>
  <c r="R3078" i="1"/>
  <c r="R3074" i="1"/>
  <c r="R3069" i="1"/>
  <c r="R3064" i="1"/>
  <c r="R3060" i="1"/>
  <c r="R3056" i="1"/>
  <c r="R3052" i="1"/>
  <c r="S628" i="1"/>
  <c r="J59" i="26" l="1"/>
  <c r="F24" i="26"/>
  <c r="AF12" i="89"/>
  <c r="M1637" i="1"/>
  <c r="S1637" i="1" s="1"/>
  <c r="R807" i="1"/>
  <c r="R808" i="1" s="1"/>
  <c r="R814" i="1"/>
  <c r="S2935" i="246"/>
  <c r="R3004" i="1"/>
  <c r="O1301" i="246"/>
  <c r="M1340" i="1"/>
  <c r="R817" i="246"/>
  <c r="R809" i="246"/>
  <c r="R816" i="246"/>
  <c r="R629" i="246"/>
  <c r="R2875" i="246"/>
  <c r="R2876" i="246" s="1"/>
  <c r="S2875" i="246"/>
  <c r="R1336" i="246"/>
  <c r="S1336" i="246"/>
  <c r="O1367" i="246" s="1"/>
  <c r="U812" i="246"/>
  <c r="O2787" i="246"/>
  <c r="O620" i="246"/>
  <c r="W309" i="242"/>
  <c r="G27" i="170"/>
  <c r="V309" i="242"/>
  <c r="E132" i="231"/>
  <c r="F132" i="231" s="1"/>
  <c r="G132" i="231" s="1"/>
  <c r="M2854" i="1"/>
  <c r="M2848" i="1" s="1"/>
  <c r="S1375" i="1"/>
  <c r="M1406" i="1" s="1"/>
  <c r="S2943" i="1"/>
  <c r="S3003" i="1" l="1"/>
  <c r="R3003" i="1"/>
  <c r="V628" i="1"/>
  <c r="R810" i="246"/>
  <c r="R1367" i="246"/>
  <c r="R1327" i="246" s="1"/>
  <c r="U628" i="246"/>
  <c r="R1356" i="246"/>
  <c r="R1338" i="246"/>
  <c r="R1355" i="246"/>
  <c r="R1337" i="246"/>
  <c r="R818" i="246"/>
  <c r="R620" i="246"/>
  <c r="S620" i="246"/>
  <c r="R2787" i="246"/>
  <c r="O2781" i="246"/>
  <c r="R1301" i="246"/>
  <c r="E133" i="231"/>
  <c r="F133" i="231" s="1"/>
  <c r="G133" i="231" s="1"/>
  <c r="S2848" i="1"/>
  <c r="R1325" i="246" l="1"/>
  <c r="R1326" i="246" s="1"/>
  <c r="R1369" i="246"/>
  <c r="R1324" i="246"/>
  <c r="R1371" i="246"/>
  <c r="R1318" i="246"/>
  <c r="R1319" i="246"/>
  <c r="R1320" i="246"/>
  <c r="R1372" i="246"/>
  <c r="R1322" i="246"/>
  <c r="R1321" i="246"/>
  <c r="R1365" i="246"/>
  <c r="R1317" i="246"/>
  <c r="R1370" i="246"/>
  <c r="R1373" i="246"/>
  <c r="R1366" i="246"/>
  <c r="R1316" i="246"/>
  <c r="R1315" i="246"/>
  <c r="R1368" i="246"/>
  <c r="R1323" i="246"/>
  <c r="R819" i="246"/>
  <c r="R621" i="246"/>
  <c r="R2781" i="246"/>
  <c r="S2781" i="246"/>
  <c r="E134" i="231"/>
  <c r="F134" i="231" s="1"/>
  <c r="G134" i="231" s="1"/>
  <c r="R2812" i="246" l="1"/>
  <c r="R2782" i="246"/>
  <c r="E135" i="231"/>
  <c r="F135" i="231" s="1"/>
  <c r="G135" i="231" s="1"/>
  <c r="R2783" i="246" l="1"/>
  <c r="E136" i="231"/>
  <c r="F136" i="231" s="1"/>
  <c r="G136" i="231" s="1"/>
  <c r="E137" i="231" l="1"/>
  <c r="F137" i="231" s="1"/>
  <c r="G137" i="231" s="1"/>
  <c r="E138" i="231" l="1"/>
  <c r="F138" i="231" s="1"/>
  <c r="G138" i="231" s="1"/>
  <c r="E139" i="231" l="1"/>
  <c r="F139" i="231" s="1"/>
  <c r="G139" i="231" s="1"/>
  <c r="E140" i="231" l="1"/>
  <c r="F140" i="231" s="1"/>
  <c r="G140" i="231" s="1"/>
  <c r="E141" i="231" l="1"/>
  <c r="F141" i="231" s="1"/>
  <c r="G141" i="231" s="1"/>
  <c r="E142" i="231" l="1"/>
  <c r="F142" i="231" s="1"/>
  <c r="G142" i="231" s="1"/>
  <c r="E143" i="231" l="1"/>
  <c r="F143" i="231" s="1"/>
  <c r="G143" i="231" s="1"/>
  <c r="E144" i="231" l="1"/>
  <c r="F144" i="231" s="1"/>
  <c r="G144" i="231" s="1"/>
  <c r="E145" i="231" l="1"/>
  <c r="F145" i="231" s="1"/>
  <c r="G145" i="231" s="1"/>
  <c r="E146" i="231" l="1"/>
  <c r="F146" i="231" s="1"/>
  <c r="G146" i="231" s="1"/>
  <c r="E147" i="231" l="1"/>
  <c r="F147" i="231" s="1"/>
  <c r="G147" i="231" s="1"/>
  <c r="E148" i="231" l="1"/>
  <c r="F148" i="231" s="1"/>
  <c r="G148" i="231" s="1"/>
  <c r="E149" i="231" l="1"/>
  <c r="F149" i="231" s="1"/>
  <c r="G149" i="231" s="1"/>
  <c r="E150" i="231" l="1"/>
  <c r="F150" i="231" s="1"/>
  <c r="G150" i="231" s="1"/>
  <c r="E151" i="231" l="1"/>
  <c r="F151" i="231" s="1"/>
  <c r="G151" i="231" s="1"/>
  <c r="Z16" i="89"/>
  <c r="Z374" i="89" s="1"/>
  <c r="E152" i="231" l="1"/>
  <c r="F152" i="231" s="1"/>
  <c r="G152" i="231" s="1"/>
  <c r="I281" i="5"/>
  <c r="L281" i="5" s="1"/>
  <c r="I111" i="5"/>
  <c r="L111" i="5" s="1"/>
  <c r="AC16" i="89"/>
  <c r="AB16" i="89"/>
  <c r="AB374" i="89" s="1"/>
  <c r="O2670" i="246" l="1"/>
  <c r="M2737" i="1"/>
  <c r="Z19" i="89"/>
  <c r="F84" i="80"/>
  <c r="M1706" i="246"/>
  <c r="O1706" i="246" s="1"/>
  <c r="M1765" i="1"/>
  <c r="O1305" i="246"/>
  <c r="R1305" i="246" s="1"/>
  <c r="M1344" i="1"/>
  <c r="M1347" i="1" s="1"/>
  <c r="D93" i="234" s="1"/>
  <c r="O2844" i="246"/>
  <c r="AC374" i="89"/>
  <c r="H27" i="170"/>
  <c r="R2936" i="246"/>
  <c r="E153" i="231"/>
  <c r="F153" i="231" s="1"/>
  <c r="G153" i="231" s="1"/>
  <c r="M2912" i="1"/>
  <c r="I27" i="170" l="1"/>
  <c r="K27" i="170" s="1"/>
  <c r="O1765" i="1"/>
  <c r="J17" i="26"/>
  <c r="R2670" i="246"/>
  <c r="V1347" i="1"/>
  <c r="M2987" i="1"/>
  <c r="R2844" i="246"/>
  <c r="O1308" i="246"/>
  <c r="R2935" i="246"/>
  <c r="E154" i="231"/>
  <c r="F154" i="231" s="1"/>
  <c r="G154" i="231" s="1"/>
  <c r="Z20" i="89"/>
  <c r="J54" i="26" l="1"/>
  <c r="I19" i="26"/>
  <c r="J16" i="5"/>
  <c r="R2987" i="1"/>
  <c r="R1308" i="246"/>
  <c r="M2919" i="246"/>
  <c r="U1308" i="246"/>
  <c r="E155" i="231"/>
  <c r="F155" i="231" s="1"/>
  <c r="G155" i="231" s="1"/>
  <c r="R1299" i="246" l="1"/>
  <c r="R1300" i="246"/>
  <c r="R1294" i="246"/>
  <c r="R1291" i="246"/>
  <c r="R1290" i="246"/>
  <c r="R1298" i="246"/>
  <c r="R1314" i="246"/>
  <c r="R1289" i="246"/>
  <c r="R1310" i="246"/>
  <c r="R1312" i="246"/>
  <c r="R1292" i="246"/>
  <c r="R1295" i="246"/>
  <c r="R1306" i="246"/>
  <c r="R1311" i="246"/>
  <c r="R1309" i="246"/>
  <c r="R1296" i="246"/>
  <c r="R1307" i="246"/>
  <c r="R1313" i="246"/>
  <c r="R1293" i="246"/>
  <c r="R1297" i="246"/>
  <c r="R2919" i="246"/>
  <c r="E156" i="231"/>
  <c r="F156" i="231" s="1"/>
  <c r="G156" i="231" s="1"/>
  <c r="E157" i="231" l="1"/>
  <c r="F157" i="231" s="1"/>
  <c r="G157" i="231" s="1"/>
  <c r="J78" i="26"/>
  <c r="G484" i="26"/>
  <c r="E158" i="231" l="1"/>
  <c r="F158" i="231" s="1"/>
  <c r="G158" i="231" s="1"/>
  <c r="H484" i="26"/>
  <c r="C514" i="1" l="1"/>
  <c r="E159" i="231"/>
  <c r="F159" i="231" s="1"/>
  <c r="G159" i="231" s="1"/>
  <c r="C521" i="1" l="1"/>
  <c r="E160" i="231"/>
  <c r="F160" i="231" s="1"/>
  <c r="G160" i="231" s="1"/>
  <c r="C526" i="1" l="1"/>
  <c r="E161" i="231"/>
  <c r="F161" i="231" s="1"/>
  <c r="G161" i="231" s="1"/>
  <c r="C539" i="1" l="1"/>
  <c r="C557" i="1" s="1"/>
  <c r="C574" i="1" s="1"/>
  <c r="C591" i="1" s="1"/>
  <c r="E162" i="231"/>
  <c r="F162" i="231" s="1"/>
  <c r="G162" i="231" s="1"/>
  <c r="F417" i="4"/>
  <c r="O802" i="1" s="1"/>
  <c r="U802" i="1" s="1"/>
  <c r="F459" i="4"/>
  <c r="O844" i="1" s="1"/>
  <c r="F449" i="4"/>
  <c r="O834" i="1" s="1"/>
  <c r="F460" i="4"/>
  <c r="O845" i="1" s="1"/>
  <c r="F416" i="4"/>
  <c r="O801" i="1" s="1"/>
  <c r="F461" i="4"/>
  <c r="O846" i="1" s="1"/>
  <c r="U846" i="1" l="1"/>
  <c r="U844" i="1"/>
  <c r="O839" i="1"/>
  <c r="O805" i="1"/>
  <c r="U801" i="1"/>
  <c r="U845" i="1"/>
  <c r="U834" i="1"/>
  <c r="O828" i="1" s="1"/>
  <c r="F443" i="4"/>
  <c r="E163" i="231"/>
  <c r="F163" i="231" s="1"/>
  <c r="G163" i="231" s="1"/>
  <c r="F420" i="4"/>
  <c r="F432" i="4" s="1"/>
  <c r="F413" i="4" s="1"/>
  <c r="F454" i="4"/>
  <c r="O851" i="1" l="1"/>
  <c r="O798" i="1"/>
  <c r="O817" i="1"/>
  <c r="E164" i="231"/>
  <c r="F164" i="231" s="1"/>
  <c r="G164" i="231" s="1"/>
  <c r="F466" i="4"/>
  <c r="F473" i="4" s="1"/>
  <c r="O858" i="1" l="1"/>
  <c r="E165" i="231"/>
  <c r="F165" i="231" s="1"/>
  <c r="G165" i="231" s="1"/>
  <c r="E166" i="231" l="1"/>
  <c r="F166" i="231" s="1"/>
  <c r="G166" i="231" s="1"/>
  <c r="E167" i="231" l="1"/>
  <c r="F167" i="231" s="1"/>
  <c r="G167" i="231" s="1"/>
  <c r="M2837" i="1"/>
  <c r="M2834" i="1" s="1"/>
  <c r="J28" i="149"/>
  <c r="I166" i="136" s="1"/>
  <c r="F484" i="149"/>
  <c r="F486" i="149" s="1"/>
  <c r="F9" i="149" s="1"/>
  <c r="E168" i="231" l="1"/>
  <c r="F168" i="231" s="1"/>
  <c r="G168" i="231" s="1"/>
  <c r="I167" i="136"/>
  <c r="S2834" i="1"/>
  <c r="I168" i="136"/>
  <c r="G5" i="136"/>
  <c r="I5" i="136" s="1"/>
  <c r="M3122" i="1" s="1"/>
  <c r="F8" i="149"/>
  <c r="D8" i="149" s="1"/>
  <c r="O3054" i="246" l="1"/>
  <c r="S3054" i="246" s="1"/>
  <c r="S3122" i="1"/>
  <c r="O3286" i="1"/>
  <c r="S3286" i="1" s="1"/>
  <c r="E169" i="231"/>
  <c r="F169" i="231" s="1"/>
  <c r="G169" i="231" s="1"/>
  <c r="G404" i="136"/>
  <c r="G2" i="136" s="1"/>
  <c r="O3194" i="246" l="1"/>
  <c r="O3199" i="246"/>
  <c r="D3199" i="246" s="1"/>
  <c r="O3431" i="1"/>
  <c r="D3431" i="1" s="1"/>
  <c r="O3426" i="1"/>
  <c r="M3267" i="1"/>
  <c r="M3262" i="1"/>
  <c r="O3180" i="246"/>
  <c r="D3180" i="246" s="1"/>
  <c r="O3138" i="246"/>
  <c r="D3138" i="246" s="1"/>
  <c r="O3122" i="246"/>
  <c r="D3122" i="246" s="1"/>
  <c r="O3086" i="246"/>
  <c r="O3072" i="246"/>
  <c r="D3072" i="246" s="1"/>
  <c r="O3304" i="1"/>
  <c r="D3304" i="1" s="1"/>
  <c r="O3354" i="1"/>
  <c r="D3354" i="1" s="1"/>
  <c r="O3412" i="1"/>
  <c r="D3412" i="1" s="1"/>
  <c r="O3370" i="1"/>
  <c r="D3370" i="1" s="1"/>
  <c r="O3318" i="1"/>
  <c r="M3190" i="1"/>
  <c r="M3206" i="1"/>
  <c r="Z3206" i="1" s="1"/>
  <c r="M3248" i="1"/>
  <c r="M3154" i="1"/>
  <c r="R3110" i="1"/>
  <c r="M3140" i="1"/>
  <c r="E170" i="231"/>
  <c r="F170" i="231" s="1"/>
  <c r="G170" i="231" s="1"/>
  <c r="R3172" i="1" l="1"/>
  <c r="R3218" i="1"/>
  <c r="R3126" i="1"/>
  <c r="R3262" i="1"/>
  <c r="R3150" i="1"/>
  <c r="R3244" i="1"/>
  <c r="R3274" i="1"/>
  <c r="R3382" i="1" s="1"/>
  <c r="R3042" i="246"/>
  <c r="Y3190" i="1"/>
  <c r="Z3190" i="1"/>
  <c r="Y3267" i="1"/>
  <c r="Z3267" i="1"/>
  <c r="Y3248" i="1"/>
  <c r="Z3248" i="1"/>
  <c r="U3138" i="246"/>
  <c r="Y3140" i="1"/>
  <c r="Z3140" i="1"/>
  <c r="R3213" i="1"/>
  <c r="V3370" i="1"/>
  <c r="Y3206" i="1"/>
  <c r="D3206" i="1" s="1"/>
  <c r="V3206" i="1"/>
  <c r="E171" i="231"/>
  <c r="F171" i="231" s="1"/>
  <c r="G171" i="231" s="1"/>
  <c r="R3104" i="246" l="1"/>
  <c r="R3150" i="246"/>
  <c r="R3336" i="1"/>
  <c r="R3194" i="246"/>
  <c r="R3426" i="1"/>
  <c r="R3260" i="1"/>
  <c r="R3261" i="1"/>
  <c r="D3140" i="1"/>
  <c r="D3248" i="1"/>
  <c r="D3190" i="1"/>
  <c r="D3267" i="1"/>
  <c r="R3176" i="246"/>
  <c r="R3082" i="246"/>
  <c r="R3408" i="1"/>
  <c r="R3314" i="1"/>
  <c r="R3172" i="246"/>
  <c r="R3124" i="246"/>
  <c r="R3125" i="246"/>
  <c r="R3164" i="1"/>
  <c r="R3193" i="1"/>
  <c r="R3357" i="1"/>
  <c r="R3356" i="1"/>
  <c r="R3180" i="246"/>
  <c r="R3067" i="246"/>
  <c r="R3154" i="246"/>
  <c r="R3178" i="246"/>
  <c r="R3165" i="246"/>
  <c r="R3047" i="246"/>
  <c r="R3140" i="246"/>
  <c r="R3199" i="246"/>
  <c r="R3093" i="246"/>
  <c r="R3088" i="246"/>
  <c r="R3119" i="246" s="1"/>
  <c r="R3157" i="246"/>
  <c r="R3050" i="246"/>
  <c r="R3106" i="246"/>
  <c r="R3155" i="246"/>
  <c r="R3046" i="246"/>
  <c r="R3102" i="246"/>
  <c r="R3138" i="246"/>
  <c r="R3079" i="246"/>
  <c r="R3095" i="246"/>
  <c r="R3092" i="246"/>
  <c r="R3187" i="246"/>
  <c r="R3051" i="246"/>
  <c r="R3175" i="246"/>
  <c r="R3123" i="246"/>
  <c r="R3167" i="246"/>
  <c r="R3053" i="246"/>
  <c r="R3179" i="246"/>
  <c r="R3146" i="246"/>
  <c r="R3121" i="246"/>
  <c r="R3141" i="246"/>
  <c r="R3142" i="246" s="1"/>
  <c r="R3143" i="246" s="1"/>
  <c r="R3049" i="246"/>
  <c r="R3127" i="246"/>
  <c r="R3151" i="246"/>
  <c r="R3096" i="246"/>
  <c r="R3128" i="246"/>
  <c r="R3044" i="246"/>
  <c r="R3133" i="246"/>
  <c r="R3091" i="246"/>
  <c r="R3058" i="246"/>
  <c r="R3069" i="246" s="1"/>
  <c r="R3052" i="246"/>
  <c r="R3065" i="246"/>
  <c r="R3098" i="246"/>
  <c r="R3203" i="246"/>
  <c r="R3115" i="246"/>
  <c r="R3182" i="246"/>
  <c r="R3183" i="246" s="1"/>
  <c r="R3184" i="246" s="1"/>
  <c r="R3118" i="246"/>
  <c r="R3161" i="246"/>
  <c r="R3099" i="246"/>
  <c r="R3162" i="246"/>
  <c r="R3112" i="246"/>
  <c r="R3068" i="246"/>
  <c r="R3149" i="246"/>
  <c r="R3120" i="246"/>
  <c r="R3064" i="246"/>
  <c r="R3077" i="246"/>
  <c r="R3048" i="246"/>
  <c r="R3185" i="246"/>
  <c r="R3107" i="246"/>
  <c r="R3081" i="246"/>
  <c r="R3158" i="246"/>
  <c r="R3153" i="246"/>
  <c r="R3148" i="246"/>
  <c r="R3129" i="246"/>
  <c r="R3094" i="246"/>
  <c r="R3111" i="246"/>
  <c r="R3054" i="246"/>
  <c r="R3055" i="246" s="1"/>
  <c r="R3156" i="246"/>
  <c r="R3160" i="246"/>
  <c r="R3145" i="246"/>
  <c r="R3200" i="246"/>
  <c r="R3063" i="246"/>
  <c r="R3062" i="246"/>
  <c r="R3074" i="246"/>
  <c r="R3083" i="246" s="1"/>
  <c r="R3084" i="246" s="1"/>
  <c r="R3085" i="246" s="1"/>
  <c r="R3152" i="246"/>
  <c r="R3113" i="246"/>
  <c r="R3043" i="246"/>
  <c r="R3201" i="246"/>
  <c r="R3056" i="246"/>
  <c r="R3057" i="246" s="1"/>
  <c r="R3171" i="246"/>
  <c r="R3130" i="246"/>
  <c r="R3109" i="246"/>
  <c r="R3105" i="246"/>
  <c r="R3103" i="246"/>
  <c r="R3139" i="246"/>
  <c r="R3116" i="246"/>
  <c r="R3188" i="246"/>
  <c r="R3097" i="246"/>
  <c r="R3117" i="246"/>
  <c r="R3114" i="246"/>
  <c r="R3144" i="246"/>
  <c r="R3134" i="246"/>
  <c r="R3190" i="246"/>
  <c r="R3205" i="246"/>
  <c r="R3045" i="246"/>
  <c r="R3202" i="246"/>
  <c r="R3204" i="246"/>
  <c r="R3164" i="246"/>
  <c r="R3061" i="246"/>
  <c r="R3100" i="246"/>
  <c r="R3170" i="246"/>
  <c r="R3181" i="246"/>
  <c r="R3126" i="246"/>
  <c r="R3189" i="246"/>
  <c r="R3137" i="246"/>
  <c r="R3110" i="246"/>
  <c r="R3101" i="246"/>
  <c r="R3197" i="246"/>
  <c r="R3147" i="246"/>
  <c r="R3078" i="246"/>
  <c r="R3131" i="246"/>
  <c r="R3169" i="246"/>
  <c r="R3198" i="246"/>
  <c r="R3173" i="246"/>
  <c r="R3174" i="246"/>
  <c r="R3135" i="246"/>
  <c r="R3166" i="246"/>
  <c r="R3132" i="246"/>
  <c r="R3108" i="246"/>
  <c r="R3196" i="246"/>
  <c r="R3159" i="246"/>
  <c r="R3136" i="246"/>
  <c r="R3066" i="246"/>
  <c r="R3168" i="246"/>
  <c r="R3122" i="246"/>
  <c r="R3163" i="246"/>
  <c r="R3186" i="246"/>
  <c r="R3080" i="246"/>
  <c r="R3290" i="1"/>
  <c r="R3422" i="1"/>
  <c r="R3325" i="1"/>
  <c r="R3420" i="1"/>
  <c r="R3332" i="1"/>
  <c r="R3404" i="1"/>
  <c r="R3395" i="1"/>
  <c r="R3293" i="1"/>
  <c r="R3296" i="1"/>
  <c r="R3389" i="1"/>
  <c r="R3348" i="1"/>
  <c r="R3400" i="1"/>
  <c r="R3349" i="1"/>
  <c r="R3342" i="1"/>
  <c r="R3338" i="1"/>
  <c r="R3350" i="1"/>
  <c r="R3387" i="1"/>
  <c r="R3398" i="1"/>
  <c r="R3388" i="1"/>
  <c r="R3390" i="1"/>
  <c r="R3312" i="1"/>
  <c r="R3380" i="1"/>
  <c r="R3370" i="1"/>
  <c r="R3361" i="1"/>
  <c r="R3354" i="1"/>
  <c r="R3368" i="1"/>
  <c r="R3352" i="1"/>
  <c r="R3355" i="1"/>
  <c r="R3437" i="1"/>
  <c r="R3311" i="1"/>
  <c r="R3401" i="1"/>
  <c r="R3295" i="1"/>
  <c r="R3326" i="1"/>
  <c r="R3347" i="1"/>
  <c r="R3392" i="1"/>
  <c r="R3345" i="1"/>
  <c r="R3378" i="1"/>
  <c r="R3294" i="1"/>
  <c r="R3343" i="1"/>
  <c r="R3379" i="1"/>
  <c r="R3280" i="1"/>
  <c r="R3433" i="1"/>
  <c r="R3365" i="1"/>
  <c r="R3371" i="1"/>
  <c r="R3431" i="1"/>
  <c r="R3363" i="1"/>
  <c r="R3327" i="1"/>
  <c r="R3397" i="1"/>
  <c r="R3414" i="1"/>
  <c r="R3297" i="1"/>
  <c r="R3383" i="1"/>
  <c r="R3406" i="1"/>
  <c r="R3407" i="1"/>
  <c r="R3331" i="1"/>
  <c r="R3288" i="1"/>
  <c r="R3289" i="1" s="1"/>
  <c r="R3285" i="1"/>
  <c r="R3275" i="1"/>
  <c r="R3282" i="1"/>
  <c r="R3276" i="1"/>
  <c r="R3362" i="1"/>
  <c r="R3372" i="1"/>
  <c r="R3432" i="1"/>
  <c r="R3367" i="1"/>
  <c r="R3300" i="1"/>
  <c r="R3323" i="1"/>
  <c r="R3339" i="1"/>
  <c r="R3309" i="1"/>
  <c r="R3394" i="1"/>
  <c r="R3340" i="1"/>
  <c r="R3299" i="1"/>
  <c r="R3419" i="1"/>
  <c r="R3386" i="1"/>
  <c r="R3381" i="1"/>
  <c r="R3393" i="1"/>
  <c r="R3298" i="1"/>
  <c r="R3334" i="1"/>
  <c r="R3330" i="1"/>
  <c r="R3384" i="1"/>
  <c r="R3320" i="1"/>
  <c r="R3373" i="1"/>
  <c r="R3376" i="1"/>
  <c r="R3341" i="1"/>
  <c r="R3417" i="1"/>
  <c r="R3306" i="1"/>
  <c r="R3278" i="1"/>
  <c r="R3358" i="1"/>
  <c r="R3279" i="1"/>
  <c r="R3366" i="1"/>
  <c r="R3412" i="1"/>
  <c r="R3283" i="1"/>
  <c r="R3281" i="1"/>
  <c r="R3434" i="1"/>
  <c r="R3429" i="1"/>
  <c r="R3435" i="1"/>
  <c r="R3359" i="1"/>
  <c r="R3413" i="1"/>
  <c r="R3410" i="1"/>
  <c r="R3329" i="1"/>
  <c r="R3421" i="1"/>
  <c r="R3310" i="1"/>
  <c r="R3391" i="1"/>
  <c r="R3399" i="1"/>
  <c r="R3396" i="1"/>
  <c r="R3324" i="1"/>
  <c r="R3402" i="1"/>
  <c r="R3418" i="1"/>
  <c r="R3344" i="1"/>
  <c r="R3411" i="1"/>
  <c r="R3430" i="1"/>
  <c r="R3284" i="1"/>
  <c r="R3277" i="1"/>
  <c r="R3369" i="1"/>
  <c r="R3353" i="1"/>
  <c r="R3403" i="1"/>
  <c r="R3333" i="1"/>
  <c r="R3428" i="1"/>
  <c r="R3337" i="1"/>
  <c r="R3377" i="1"/>
  <c r="R3405" i="1"/>
  <c r="R3335" i="1"/>
  <c r="R3385" i="1"/>
  <c r="R3328" i="1"/>
  <c r="R3313" i="1"/>
  <c r="R3346" i="1"/>
  <c r="R3436" i="1"/>
  <c r="R3286" i="1"/>
  <c r="R3287" i="1" s="1"/>
  <c r="R3360" i="1"/>
  <c r="R3364" i="1"/>
  <c r="R3190" i="1"/>
  <c r="R3113" i="1"/>
  <c r="R3268" i="1"/>
  <c r="R3270" i="1"/>
  <c r="R3227" i="1"/>
  <c r="R3131" i="1"/>
  <c r="R3142" i="1"/>
  <c r="R3144" i="1" s="1"/>
  <c r="R3243" i="1"/>
  <c r="R3206" i="1"/>
  <c r="R3112" i="1"/>
  <c r="R3255" i="1"/>
  <c r="R3214" i="1"/>
  <c r="R3232" i="1"/>
  <c r="R3265" i="1"/>
  <c r="R3229" i="1"/>
  <c r="R3240" i="1"/>
  <c r="R3205" i="1"/>
  <c r="R3188" i="1"/>
  <c r="R3267" i="1"/>
  <c r="R3208" i="1"/>
  <c r="R3264" i="1"/>
  <c r="R3250" i="1"/>
  <c r="R3251" i="1" s="1"/>
  <c r="R3252" i="1" s="1"/>
  <c r="R3183" i="1"/>
  <c r="R3196" i="1"/>
  <c r="R3231" i="1"/>
  <c r="R3201" i="1"/>
  <c r="R3160" i="1"/>
  <c r="R3226" i="1"/>
  <c r="R3146" i="1"/>
  <c r="R3185" i="1"/>
  <c r="R3230" i="1"/>
  <c r="R3129" i="1"/>
  <c r="R3253" i="1"/>
  <c r="R3272" i="1"/>
  <c r="R3147" i="1"/>
  <c r="R3224" i="1"/>
  <c r="R3114" i="1"/>
  <c r="R3174" i="1"/>
  <c r="R3220" i="1"/>
  <c r="R3124" i="1"/>
  <c r="R3125" i="1" s="1"/>
  <c r="R3132" i="1"/>
  <c r="R3237" i="1"/>
  <c r="R3189" i="1"/>
  <c r="R3197" i="1"/>
  <c r="R3217" i="1"/>
  <c r="R3167" i="1"/>
  <c r="R3241" i="1"/>
  <c r="R3118" i="1"/>
  <c r="R3122" i="1"/>
  <c r="R3123" i="1" s="1"/>
  <c r="R3121" i="1"/>
  <c r="R3221" i="1"/>
  <c r="R3191" i="1"/>
  <c r="R3195" i="1"/>
  <c r="R3111" i="1"/>
  <c r="R3225" i="1"/>
  <c r="R3156" i="1"/>
  <c r="R3157" i="1" s="1"/>
  <c r="R3158" i="1" s="1"/>
  <c r="R3269" i="1"/>
  <c r="R3271" i="1"/>
  <c r="R3238" i="1"/>
  <c r="R3234" i="1"/>
  <c r="R3202" i="1"/>
  <c r="R3223" i="1"/>
  <c r="R3203" i="1"/>
  <c r="R3179" i="1"/>
  <c r="R3192" i="1"/>
  <c r="R3212" i="1"/>
  <c r="R3228" i="1"/>
  <c r="R3134" i="1"/>
  <c r="R3248" i="1"/>
  <c r="R3198" i="1"/>
  <c r="R3119" i="1"/>
  <c r="R3173" i="1"/>
  <c r="R3181" i="1"/>
  <c r="R3222" i="1"/>
  <c r="R3246" i="1"/>
  <c r="R3236" i="1"/>
  <c r="R3235" i="1"/>
  <c r="R3242" i="1"/>
  <c r="R3161" i="1"/>
  <c r="R3163" i="1"/>
  <c r="R3148" i="1"/>
  <c r="R3194" i="1"/>
  <c r="R3207" i="1"/>
  <c r="R3171" i="1"/>
  <c r="R3180" i="1"/>
  <c r="R3200" i="1"/>
  <c r="R3233" i="1"/>
  <c r="R3137" i="1"/>
  <c r="R3177" i="1"/>
  <c r="R3159" i="1"/>
  <c r="R3216" i="1"/>
  <c r="R3130" i="1"/>
  <c r="R3184" i="1"/>
  <c r="R3165" i="1"/>
  <c r="R3145" i="1"/>
  <c r="R3120" i="1"/>
  <c r="R3162" i="1"/>
  <c r="R3247" i="1"/>
  <c r="R3215" i="1"/>
  <c r="R3209" i="1"/>
  <c r="R3210" i="1" s="1"/>
  <c r="R3211" i="1" s="1"/>
  <c r="R3170" i="1"/>
  <c r="R3239" i="1"/>
  <c r="R3166" i="1"/>
  <c r="R3219" i="1"/>
  <c r="R3258" i="1"/>
  <c r="R3117" i="1"/>
  <c r="R3136" i="1"/>
  <c r="R3199" i="1"/>
  <c r="R3178" i="1"/>
  <c r="R3169" i="1"/>
  <c r="R3149" i="1"/>
  <c r="R3204" i="1"/>
  <c r="R3186" i="1"/>
  <c r="R3182" i="1"/>
  <c r="R3273" i="1"/>
  <c r="R3257" i="1"/>
  <c r="R3116" i="1"/>
  <c r="R3254" i="1"/>
  <c r="R3256" i="1"/>
  <c r="R3175" i="1"/>
  <c r="R3266" i="1"/>
  <c r="R3115" i="1"/>
  <c r="R3135" i="1"/>
  <c r="R3176" i="1"/>
  <c r="R3249" i="1"/>
  <c r="R3133" i="1"/>
  <c r="R3168" i="1"/>
  <c r="E172" i="231"/>
  <c r="F172" i="231" s="1"/>
  <c r="G172" i="231" s="1"/>
  <c r="R3192" i="246" l="1"/>
  <c r="R3195" i="246"/>
  <c r="R3193" i="246"/>
  <c r="R3424" i="1"/>
  <c r="R3425" i="1"/>
  <c r="R3187" i="1"/>
  <c r="R3259" i="1"/>
  <c r="R3263" i="1" s="1"/>
  <c r="R3089" i="246"/>
  <c r="R3090" i="246" s="1"/>
  <c r="R3177" i="246"/>
  <c r="R3059" i="246"/>
  <c r="R3060" i="246" s="1"/>
  <c r="R3070" i="246"/>
  <c r="R3071" i="246" s="1"/>
  <c r="R3072" i="246" s="1"/>
  <c r="R3073" i="246" s="1"/>
  <c r="R3191" i="246"/>
  <c r="R3076" i="246"/>
  <c r="R3075" i="246"/>
  <c r="R3086" i="246"/>
  <c r="R3087" i="246" s="1"/>
  <c r="R3307" i="1"/>
  <c r="R3318" i="1"/>
  <c r="R3319" i="1" s="1"/>
  <c r="R3308" i="1"/>
  <c r="R3315" i="1"/>
  <c r="R3316" i="1" s="1"/>
  <c r="R3317" i="1" s="1"/>
  <c r="R3374" i="1"/>
  <c r="R3375" i="1" s="1"/>
  <c r="R3409" i="1"/>
  <c r="R3415" i="1"/>
  <c r="R3416" i="1" s="1"/>
  <c r="R3423" i="1"/>
  <c r="R3427" i="1" s="1"/>
  <c r="R3351" i="1"/>
  <c r="R3321" i="1"/>
  <c r="R3322" i="1" s="1"/>
  <c r="R3291" i="1"/>
  <c r="R3292" i="1" s="1"/>
  <c r="R3301" i="1"/>
  <c r="R3302" i="1"/>
  <c r="R3303" i="1" s="1"/>
  <c r="R3304" i="1" s="1"/>
  <c r="R3305" i="1" s="1"/>
  <c r="R3154" i="1"/>
  <c r="R3155" i="1" s="1"/>
  <c r="R3143" i="1"/>
  <c r="R3127" i="1"/>
  <c r="R3128" i="1" s="1"/>
  <c r="R3151" i="1" s="1"/>
  <c r="R3152" i="1" s="1"/>
  <c r="R3153" i="1" s="1"/>
  <c r="R3245" i="1"/>
  <c r="R3138" i="1"/>
  <c r="R3139" i="1" s="1"/>
  <c r="R3140" i="1" s="1"/>
  <c r="R3141" i="1" s="1"/>
  <c r="E173" i="231"/>
  <c r="F173" i="231" s="1"/>
  <c r="G173" i="231" s="1"/>
  <c r="E174" i="231" l="1"/>
  <c r="F174" i="231" s="1"/>
  <c r="G174" i="231" s="1"/>
  <c r="E175" i="231" l="1"/>
  <c r="F175" i="231" s="1"/>
  <c r="G175" i="231" s="1"/>
  <c r="N361" i="5"/>
  <c r="H24" i="187" l="1"/>
  <c r="H26" i="187" s="1"/>
  <c r="O2194" i="1"/>
  <c r="U2194" i="1" s="1"/>
  <c r="E176" i="231"/>
  <c r="F176" i="231" s="1"/>
  <c r="G176" i="231" s="1"/>
  <c r="I361" i="5"/>
  <c r="L361" i="5" s="1"/>
  <c r="M2194" i="1" l="1"/>
  <c r="S2194" i="1" s="1"/>
  <c r="O2127" i="246"/>
  <c r="R2127" i="246" s="1"/>
  <c r="G24" i="187"/>
  <c r="G26" i="187" s="1"/>
  <c r="E177" i="231"/>
  <c r="F177" i="231" s="1"/>
  <c r="G177" i="231" s="1"/>
  <c r="N34" i="5"/>
  <c r="S2127" i="246" l="1"/>
  <c r="E178" i="231"/>
  <c r="F178" i="231" s="1"/>
  <c r="G178" i="231" s="1"/>
  <c r="R2194" i="1"/>
  <c r="N38" i="5"/>
  <c r="E179" i="231" l="1"/>
  <c r="F179" i="231" s="1"/>
  <c r="G179" i="231" s="1"/>
  <c r="N37" i="5"/>
  <c r="N36" i="5"/>
  <c r="O2952" i="1" l="1"/>
  <c r="R2952" i="1" s="1"/>
  <c r="O2953" i="1"/>
  <c r="R2953" i="1" s="1"/>
  <c r="E180" i="231"/>
  <c r="F180" i="231" s="1"/>
  <c r="G180" i="231" s="1"/>
  <c r="Y2953" i="1" l="1"/>
  <c r="U2953" i="1"/>
  <c r="Z2953" i="1"/>
  <c r="X3923" i="1"/>
  <c r="X3595" i="1"/>
  <c r="E181" i="231"/>
  <c r="F181" i="231" s="1"/>
  <c r="G181" i="231" s="1"/>
  <c r="Y2952" i="1"/>
  <c r="Z2952" i="1"/>
  <c r="U2952" i="1"/>
  <c r="D2952" i="1" l="1"/>
  <c r="D2953" i="1"/>
  <c r="E182" i="231"/>
  <c r="F182" i="231" s="1"/>
  <c r="G182" i="231" s="1"/>
  <c r="N228" i="5"/>
  <c r="H15" i="170" l="1"/>
  <c r="O2507" i="1"/>
  <c r="U2507" i="1" s="1"/>
  <c r="E183" i="231"/>
  <c r="F183" i="231" s="1"/>
  <c r="G183" i="231" s="1"/>
  <c r="N140" i="5"/>
  <c r="O2736" i="1" s="1"/>
  <c r="N139" i="5"/>
  <c r="N138" i="5"/>
  <c r="N137" i="5"/>
  <c r="N136" i="5"/>
  <c r="O2933" i="1" l="1"/>
  <c r="R2933" i="1" s="1"/>
  <c r="H121" i="248"/>
  <c r="O2934" i="1"/>
  <c r="R2934" i="1" s="1"/>
  <c r="H122" i="248"/>
  <c r="O2932" i="1"/>
  <c r="R2932" i="1" s="1"/>
  <c r="H120" i="248"/>
  <c r="O2935" i="1"/>
  <c r="R2935" i="1" s="1"/>
  <c r="H123" i="248"/>
  <c r="E184" i="231"/>
  <c r="F184" i="231" s="1"/>
  <c r="G184" i="231" s="1"/>
  <c r="O2936" i="1"/>
  <c r="N191" i="5"/>
  <c r="O2370" i="1" s="1"/>
  <c r="N199" i="5"/>
  <c r="O2378" i="1" s="1"/>
  <c r="N192" i="5"/>
  <c r="O2371" i="1" s="1"/>
  <c r="N196" i="5"/>
  <c r="O2375" i="1" s="1"/>
  <c r="C123" i="248" l="1"/>
  <c r="E123" i="248"/>
  <c r="C120" i="248"/>
  <c r="E120" i="248"/>
  <c r="C121" i="248"/>
  <c r="E121" i="248"/>
  <c r="C122" i="248"/>
  <c r="E122" i="248"/>
  <c r="E185" i="231"/>
  <c r="F185" i="231" s="1"/>
  <c r="G185" i="231" s="1"/>
  <c r="H14" i="168"/>
  <c r="H21" i="168"/>
  <c r="H13" i="168"/>
  <c r="H18" i="168"/>
  <c r="I196" i="5"/>
  <c r="N202" i="5"/>
  <c r="N193" i="5"/>
  <c r="O2372" i="1" s="1"/>
  <c r="I192" i="5"/>
  <c r="I199" i="5"/>
  <c r="I191" i="5"/>
  <c r="L191" i="5" s="1"/>
  <c r="O2303" i="246" s="1"/>
  <c r="R2303" i="246" s="1"/>
  <c r="N201" i="5"/>
  <c r="H26" i="168" s="1"/>
  <c r="N211" i="5"/>
  <c r="N209" i="5"/>
  <c r="N208" i="5"/>
  <c r="O2383" i="1" l="1"/>
  <c r="U2383" i="1" s="1"/>
  <c r="I201" i="5"/>
  <c r="L201" i="5" s="1"/>
  <c r="M2370" i="1"/>
  <c r="R2370" i="1" s="1"/>
  <c r="E186" i="231"/>
  <c r="F186" i="231" s="1"/>
  <c r="G186" i="231" s="1"/>
  <c r="H15" i="168"/>
  <c r="G13" i="168"/>
  <c r="O2413" i="1"/>
  <c r="H16" i="169"/>
  <c r="O2410" i="1"/>
  <c r="H13" i="169"/>
  <c r="O2411" i="1"/>
  <c r="H14" i="169"/>
  <c r="I211" i="5"/>
  <c r="L211" i="5" s="1"/>
  <c r="O2346" i="246" s="1"/>
  <c r="R2346" i="246" s="1"/>
  <c r="N194" i="5"/>
  <c r="O2373" i="1" s="1"/>
  <c r="I209" i="5"/>
  <c r="L209" i="5" s="1"/>
  <c r="O2344" i="246" s="1"/>
  <c r="R2344" i="246" s="1"/>
  <c r="I202" i="5"/>
  <c r="L202" i="5" s="1"/>
  <c r="N200" i="5"/>
  <c r="O2379" i="1" s="1"/>
  <c r="E334" i="4"/>
  <c r="I193" i="5"/>
  <c r="L193" i="5" s="1"/>
  <c r="O2305" i="246" s="1"/>
  <c r="R2305" i="246" s="1"/>
  <c r="I208" i="5"/>
  <c r="L208" i="5" s="1"/>
  <c r="O2343" i="246" s="1"/>
  <c r="R2343" i="246" s="1"/>
  <c r="N195" i="5"/>
  <c r="O2374" i="1" s="1"/>
  <c r="O2316" i="246" l="1"/>
  <c r="S2316" i="246" s="1"/>
  <c r="G26" i="168"/>
  <c r="M2372" i="1"/>
  <c r="R2372" i="1" s="1"/>
  <c r="M2383" i="1"/>
  <c r="R2383" i="1" s="1"/>
  <c r="H22" i="168"/>
  <c r="E187" i="231"/>
  <c r="F187" i="231" s="1"/>
  <c r="G187" i="231" s="1"/>
  <c r="H17" i="168"/>
  <c r="G15" i="168"/>
  <c r="H16" i="168"/>
  <c r="M2410" i="1"/>
  <c r="R2410" i="1" s="1"/>
  <c r="G13" i="169"/>
  <c r="M2411" i="1"/>
  <c r="R2411" i="1" s="1"/>
  <c r="G14" i="169"/>
  <c r="M2413" i="1"/>
  <c r="R2413" i="1" s="1"/>
  <c r="G16" i="169"/>
  <c r="I200" i="5"/>
  <c r="L200" i="5" s="1"/>
  <c r="I195" i="5"/>
  <c r="I194" i="5"/>
  <c r="E344" i="4"/>
  <c r="R2316" i="246" l="1"/>
  <c r="R2313" i="246" s="1"/>
  <c r="M2379" i="1"/>
  <c r="R2379" i="1" s="1"/>
  <c r="O2312" i="246"/>
  <c r="R2312" i="246" s="1"/>
  <c r="R2380" i="1"/>
  <c r="R2381" i="1"/>
  <c r="R2382" i="1"/>
  <c r="E188" i="231"/>
  <c r="F188" i="231" s="1"/>
  <c r="G188" i="231" s="1"/>
  <c r="G22" i="168"/>
  <c r="S2383" i="1"/>
  <c r="E379" i="4"/>
  <c r="N175" i="5"/>
  <c r="N174" i="5"/>
  <c r="N172" i="5"/>
  <c r="N82" i="5"/>
  <c r="H87" i="248" s="1"/>
  <c r="N81" i="5"/>
  <c r="H86" i="248" s="1"/>
  <c r="N80" i="5"/>
  <c r="H85" i="248" s="1"/>
  <c r="N79" i="5"/>
  <c r="H84" i="248" s="1"/>
  <c r="N113" i="5"/>
  <c r="H97" i="248" s="1"/>
  <c r="N114" i="5"/>
  <c r="H98" i="248" s="1"/>
  <c r="N18" i="5"/>
  <c r="H45" i="248" s="1"/>
  <c r="N29" i="5"/>
  <c r="N30" i="5"/>
  <c r="N76" i="5"/>
  <c r="H81" i="248" s="1"/>
  <c r="N77" i="5"/>
  <c r="H82" i="248" s="1"/>
  <c r="N78" i="5"/>
  <c r="H83" i="248" s="1"/>
  <c r="N132" i="5"/>
  <c r="H116" i="248" s="1"/>
  <c r="N133" i="5"/>
  <c r="N134" i="5"/>
  <c r="N115" i="5"/>
  <c r="H99" i="248" s="1"/>
  <c r="N116" i="5"/>
  <c r="H100" i="248" s="1"/>
  <c r="N19" i="5"/>
  <c r="H46" i="248" s="1"/>
  <c r="N20" i="5"/>
  <c r="H47" i="248" s="1"/>
  <c r="N400" i="5"/>
  <c r="N398" i="5"/>
  <c r="N393" i="5"/>
  <c r="N389" i="5"/>
  <c r="O2642" i="1" s="1"/>
  <c r="R2642" i="1" s="1"/>
  <c r="N388" i="5"/>
  <c r="O2641" i="1" s="1"/>
  <c r="N385" i="5"/>
  <c r="N378" i="5"/>
  <c r="N366" i="5"/>
  <c r="N313" i="5"/>
  <c r="N307" i="5"/>
  <c r="N302" i="5"/>
  <c r="N283" i="5"/>
  <c r="N279" i="5"/>
  <c r="N275" i="5"/>
  <c r="N271" i="5"/>
  <c r="N267" i="5"/>
  <c r="N263" i="5"/>
  <c r="N259" i="5"/>
  <c r="N255" i="5"/>
  <c r="N238" i="5"/>
  <c r="O1634" i="1" s="1"/>
  <c r="N235" i="5"/>
  <c r="N220" i="5"/>
  <c r="N183" i="5"/>
  <c r="N182" i="5"/>
  <c r="N180" i="5"/>
  <c r="N179" i="5"/>
  <c r="O2334" i="1" s="1"/>
  <c r="R2334" i="1" s="1"/>
  <c r="N178" i="5"/>
  <c r="O2333" i="1" s="1"/>
  <c r="R2333" i="1" s="1"/>
  <c r="N176" i="5"/>
  <c r="N168" i="5"/>
  <c r="N167" i="5"/>
  <c r="N166" i="5"/>
  <c r="N165" i="5"/>
  <c r="N164" i="5"/>
  <c r="N160" i="5"/>
  <c r="N159" i="5"/>
  <c r="N155" i="5"/>
  <c r="N135" i="5"/>
  <c r="N130" i="5"/>
  <c r="N127" i="5"/>
  <c r="H111" i="248" s="1"/>
  <c r="N126" i="5"/>
  <c r="H110" i="248" s="1"/>
  <c r="N125" i="5"/>
  <c r="N123" i="5"/>
  <c r="H107" i="248" s="1"/>
  <c r="N121" i="5"/>
  <c r="N120" i="5"/>
  <c r="N119" i="5"/>
  <c r="H103" i="248" s="1"/>
  <c r="N118" i="5"/>
  <c r="N117" i="5"/>
  <c r="H101" i="248" s="1"/>
  <c r="N109" i="5"/>
  <c r="N104" i="5"/>
  <c r="N102" i="5"/>
  <c r="H90" i="248" s="1"/>
  <c r="N101" i="5"/>
  <c r="N100" i="5"/>
  <c r="N96" i="5"/>
  <c r="N95" i="5"/>
  <c r="N90" i="5"/>
  <c r="N89" i="5"/>
  <c r="O1381" i="1" s="1"/>
  <c r="R1381" i="1" s="1"/>
  <c r="N88" i="5"/>
  <c r="O1380" i="1" s="1"/>
  <c r="R1380" i="1" s="1"/>
  <c r="N84" i="5"/>
  <c r="N72" i="5"/>
  <c r="H77" i="248" s="1"/>
  <c r="N70" i="5"/>
  <c r="H75" i="248" s="1"/>
  <c r="N68" i="5"/>
  <c r="H73" i="248" s="1"/>
  <c r="N67" i="5"/>
  <c r="H72" i="248" s="1"/>
  <c r="N63" i="5"/>
  <c r="N60" i="5"/>
  <c r="N59" i="5"/>
  <c r="H65" i="248" s="1"/>
  <c r="N58" i="5"/>
  <c r="H64" i="248" s="1"/>
  <c r="N57" i="5"/>
  <c r="H63" i="248" s="1"/>
  <c r="N56" i="5"/>
  <c r="H62" i="248" s="1"/>
  <c r="N54" i="5"/>
  <c r="N53" i="5"/>
  <c r="N52" i="5"/>
  <c r="H59" i="248" s="1"/>
  <c r="N51" i="5"/>
  <c r="H58" i="248" s="1"/>
  <c r="N47" i="5"/>
  <c r="N42" i="5"/>
  <c r="N40" i="5"/>
  <c r="H51" i="248" s="1"/>
  <c r="N32" i="5"/>
  <c r="N31" i="5"/>
  <c r="N25" i="5"/>
  <c r="N24" i="5"/>
  <c r="N23" i="5"/>
  <c r="N22" i="5"/>
  <c r="H49" i="248" s="1"/>
  <c r="N21" i="5"/>
  <c r="H48" i="248" s="1"/>
  <c r="N15" i="5"/>
  <c r="N14" i="5"/>
  <c r="N13" i="5"/>
  <c r="N10" i="5"/>
  <c r="O1184" i="1" s="1"/>
  <c r="R1184" i="1" s="1"/>
  <c r="C58" i="248" l="1"/>
  <c r="E58" i="248"/>
  <c r="E110" i="248"/>
  <c r="C110" i="248"/>
  <c r="C82" i="248"/>
  <c r="E82" i="248"/>
  <c r="C59" i="248"/>
  <c r="E59" i="248"/>
  <c r="E63" i="248"/>
  <c r="C63" i="248"/>
  <c r="O1309" i="1"/>
  <c r="R1309" i="1" s="1"/>
  <c r="H69" i="248"/>
  <c r="C77" i="248"/>
  <c r="E77" i="248"/>
  <c r="C101" i="248"/>
  <c r="E101" i="248"/>
  <c r="O2917" i="1"/>
  <c r="R2917" i="1" s="1"/>
  <c r="H105" i="248"/>
  <c r="E111" i="248"/>
  <c r="C111" i="248"/>
  <c r="O2929" i="1"/>
  <c r="R2929" i="1" s="1"/>
  <c r="H117" i="248"/>
  <c r="C81" i="248"/>
  <c r="E81" i="248"/>
  <c r="E98" i="248"/>
  <c r="C98" i="248"/>
  <c r="C86" i="248"/>
  <c r="E86" i="248"/>
  <c r="O2916" i="1"/>
  <c r="R2916" i="1" s="1"/>
  <c r="H104" i="248"/>
  <c r="O2853" i="1"/>
  <c r="R2853" i="1" s="1"/>
  <c r="H53" i="248"/>
  <c r="O2860" i="1"/>
  <c r="R2860" i="1" s="1"/>
  <c r="H60" i="248"/>
  <c r="E64" i="248"/>
  <c r="C64" i="248"/>
  <c r="E72" i="248"/>
  <c r="C72" i="248"/>
  <c r="C90" i="248"/>
  <c r="E90" i="248"/>
  <c r="O2914" i="1"/>
  <c r="R2914" i="1" s="1"/>
  <c r="H102" i="248"/>
  <c r="E107" i="248"/>
  <c r="C107" i="248"/>
  <c r="O2926" i="1"/>
  <c r="R2926" i="1" s="1"/>
  <c r="H114" i="248"/>
  <c r="E100" i="248"/>
  <c r="C100" i="248"/>
  <c r="C116" i="248"/>
  <c r="E116" i="248"/>
  <c r="E97" i="248"/>
  <c r="C97" i="248"/>
  <c r="E87" i="248"/>
  <c r="C87" i="248"/>
  <c r="E62" i="248"/>
  <c r="C62" i="248"/>
  <c r="E75" i="248"/>
  <c r="C75" i="248"/>
  <c r="O2930" i="1"/>
  <c r="R2930" i="1" s="1"/>
  <c r="H118" i="248"/>
  <c r="C85" i="248"/>
  <c r="E85" i="248"/>
  <c r="O2855" i="1"/>
  <c r="R2855" i="1" s="1"/>
  <c r="H54" i="248"/>
  <c r="E65" i="248"/>
  <c r="C65" i="248"/>
  <c r="C73" i="248"/>
  <c r="E73" i="248"/>
  <c r="O2906" i="1"/>
  <c r="R2906" i="1" s="1"/>
  <c r="H92" i="248"/>
  <c r="C103" i="248"/>
  <c r="E103" i="248"/>
  <c r="O2922" i="1"/>
  <c r="R2922" i="1" s="1"/>
  <c r="H109" i="248"/>
  <c r="O2931" i="1"/>
  <c r="R2931" i="1" s="1"/>
  <c r="H119" i="248"/>
  <c r="C99" i="248"/>
  <c r="E99" i="248"/>
  <c r="E83" i="248"/>
  <c r="C83" i="248"/>
  <c r="E84" i="248"/>
  <c r="C84" i="248"/>
  <c r="E47" i="248"/>
  <c r="C47" i="248"/>
  <c r="C45" i="248"/>
  <c r="E45" i="248"/>
  <c r="E46" i="248"/>
  <c r="C46" i="248"/>
  <c r="C48" i="248"/>
  <c r="E48" i="248"/>
  <c r="C49" i="248"/>
  <c r="E49" i="248"/>
  <c r="E51" i="248"/>
  <c r="C51" i="248" s="1"/>
  <c r="R2641" i="1"/>
  <c r="U1634" i="1"/>
  <c r="R1634" i="1"/>
  <c r="O2904" i="1"/>
  <c r="H19" i="240"/>
  <c r="O1516" i="1"/>
  <c r="R1516" i="1" s="1"/>
  <c r="O1586" i="1"/>
  <c r="R1586" i="1" s="1"/>
  <c r="O2825" i="1"/>
  <c r="R2825" i="1" s="1"/>
  <c r="O2823" i="1"/>
  <c r="R2823" i="1" s="1"/>
  <c r="O2876" i="1"/>
  <c r="R2876" i="1" s="1"/>
  <c r="O2826" i="1"/>
  <c r="R2826" i="1" s="1"/>
  <c r="O2824" i="1"/>
  <c r="R2824" i="1" s="1"/>
  <c r="O2877" i="1"/>
  <c r="R2877" i="1" s="1"/>
  <c r="O2827" i="1"/>
  <c r="R2827" i="1" s="1"/>
  <c r="O2878" i="1"/>
  <c r="R2878" i="1" s="1"/>
  <c r="O2874" i="1"/>
  <c r="R2874" i="1" s="1"/>
  <c r="O2875" i="1"/>
  <c r="R2875" i="1" s="1"/>
  <c r="C1251" i="246"/>
  <c r="O1279" i="1"/>
  <c r="C1290" i="1"/>
  <c r="O766" i="1"/>
  <c r="R766" i="1" s="1"/>
  <c r="O2341" i="1"/>
  <c r="R2341" i="1" s="1"/>
  <c r="O2342" i="1"/>
  <c r="R2342" i="1" s="1"/>
  <c r="O767" i="1"/>
  <c r="R767" i="1" s="1"/>
  <c r="O2307" i="1"/>
  <c r="R2307" i="1" s="1"/>
  <c r="O756" i="1"/>
  <c r="R756" i="1" s="1"/>
  <c r="O2306" i="1"/>
  <c r="R2306" i="1" s="1"/>
  <c r="O755" i="1"/>
  <c r="R755" i="1" s="1"/>
  <c r="R2315" i="246"/>
  <c r="R2314" i="246"/>
  <c r="O1280" i="1"/>
  <c r="R1280" i="1" s="1"/>
  <c r="O1282" i="1"/>
  <c r="R1282" i="1" s="1"/>
  <c r="O1283" i="1"/>
  <c r="R1283" i="1" s="1"/>
  <c r="O1281" i="1"/>
  <c r="R1281" i="1" s="1"/>
  <c r="O720" i="1"/>
  <c r="X720" i="1" s="1"/>
  <c r="I378" i="5"/>
  <c r="L378" i="5" s="1"/>
  <c r="O722" i="246" s="1"/>
  <c r="I393" i="5"/>
  <c r="L393" i="5" s="1"/>
  <c r="O2613" i="1"/>
  <c r="E189" i="231"/>
  <c r="F189" i="231" s="1"/>
  <c r="G189" i="231" s="1"/>
  <c r="O2915" i="1"/>
  <c r="R2915" i="1" s="1"/>
  <c r="O2868" i="1"/>
  <c r="R2868" i="1" s="1"/>
  <c r="O2928" i="1"/>
  <c r="R2928" i="1" s="1"/>
  <c r="O2851" i="1"/>
  <c r="R2851" i="1" s="1"/>
  <c r="O2873" i="1"/>
  <c r="R2873" i="1" s="1"/>
  <c r="O2872" i="1"/>
  <c r="R2872" i="1" s="1"/>
  <c r="O778" i="1"/>
  <c r="R778" i="1" s="1"/>
  <c r="N12" i="5"/>
  <c r="N27" i="5"/>
  <c r="N253" i="5"/>
  <c r="H1732" i="1" s="1"/>
  <c r="N261" i="5"/>
  <c r="J1732" i="1" s="1"/>
  <c r="N269" i="5"/>
  <c r="K1732" i="1" s="1"/>
  <c r="N61" i="5"/>
  <c r="H67" i="248" s="1"/>
  <c r="O1210" i="1"/>
  <c r="R1210" i="1" s="1"/>
  <c r="O2840" i="1"/>
  <c r="R2840" i="1" s="1"/>
  <c r="N99" i="5"/>
  <c r="H89" i="248" s="1"/>
  <c r="N157" i="5"/>
  <c r="N254" i="5"/>
  <c r="H1739" i="1" s="1"/>
  <c r="N262" i="5"/>
  <c r="J1739" i="1" s="1"/>
  <c r="N270" i="5"/>
  <c r="K1739" i="1" s="1"/>
  <c r="N354" i="5"/>
  <c r="O1209" i="1"/>
  <c r="R1209" i="1" s="1"/>
  <c r="O2839" i="1"/>
  <c r="R2839" i="1" s="1"/>
  <c r="O2913" i="1"/>
  <c r="R2913" i="1" s="1"/>
  <c r="O1211" i="1"/>
  <c r="R1211" i="1" s="1"/>
  <c r="O2841" i="1"/>
  <c r="R2841" i="1" s="1"/>
  <c r="N85" i="5"/>
  <c r="N91" i="5"/>
  <c r="O1402" i="1"/>
  <c r="R1402" i="1" s="1"/>
  <c r="N122" i="5"/>
  <c r="H106" i="248" s="1"/>
  <c r="O2923" i="1"/>
  <c r="R2923" i="1" s="1"/>
  <c r="N142" i="5"/>
  <c r="N154" i="5"/>
  <c r="O1435" i="1" s="1"/>
  <c r="R1435" i="1" s="1"/>
  <c r="N229" i="5"/>
  <c r="N251" i="5"/>
  <c r="N274" i="5"/>
  <c r="K1740" i="1" s="1"/>
  <c r="N342" i="5"/>
  <c r="N359" i="5"/>
  <c r="N374" i="5"/>
  <c r="N379" i="5"/>
  <c r="N75" i="5"/>
  <c r="H80" i="248" s="1"/>
  <c r="O2838" i="1"/>
  <c r="R2838" i="1" s="1"/>
  <c r="O1208" i="1"/>
  <c r="R1208" i="1" s="1"/>
  <c r="N86" i="5"/>
  <c r="N55" i="5"/>
  <c r="H61" i="248" s="1"/>
  <c r="N66" i="5"/>
  <c r="H71" i="248" s="1"/>
  <c r="N94" i="5"/>
  <c r="N112" i="5"/>
  <c r="N185" i="5"/>
  <c r="N319" i="5"/>
  <c r="O1400" i="1"/>
  <c r="R1400" i="1" s="1"/>
  <c r="O1401" i="1"/>
  <c r="R1401" i="1" s="1"/>
  <c r="N258" i="5"/>
  <c r="H1740" i="1" s="1"/>
  <c r="N266" i="5"/>
  <c r="J1740" i="1" s="1"/>
  <c r="N39" i="5"/>
  <c r="N43" i="5"/>
  <c r="N69" i="5"/>
  <c r="H74" i="248" s="1"/>
  <c r="N83" i="5"/>
  <c r="N93" i="5"/>
  <c r="O1372" i="1" s="1"/>
  <c r="R1372" i="1" s="1"/>
  <c r="N98" i="5"/>
  <c r="N143" i="5"/>
  <c r="N278" i="5"/>
  <c r="M1739" i="1" s="1"/>
  <c r="N282" i="5"/>
  <c r="M1740" i="1" s="1"/>
  <c r="N74" i="5"/>
  <c r="H79" i="248" s="1"/>
  <c r="N28" i="5"/>
  <c r="N372" i="5"/>
  <c r="O2259" i="1" s="1"/>
  <c r="N395" i="5"/>
  <c r="N391" i="5"/>
  <c r="O2644" i="1" s="1"/>
  <c r="R2644" i="1" s="1"/>
  <c r="N153" i="5"/>
  <c r="O1434" i="1" s="1"/>
  <c r="R1434" i="1" s="1"/>
  <c r="N390" i="5"/>
  <c r="O2643" i="1" s="1"/>
  <c r="R2643" i="1" s="1"/>
  <c r="N163" i="5"/>
  <c r="O1524" i="1" s="1"/>
  <c r="N371" i="5"/>
  <c r="O2258" i="1" s="1"/>
  <c r="N392" i="5"/>
  <c r="O2645" i="1" s="1"/>
  <c r="R2645" i="1" s="1"/>
  <c r="N365" i="5"/>
  <c r="N376" i="5"/>
  <c r="N384" i="5"/>
  <c r="N401" i="5"/>
  <c r="N207" i="5"/>
  <c r="N353" i="5"/>
  <c r="H30" i="229" s="1"/>
  <c r="N330" i="5"/>
  <c r="N332" i="5"/>
  <c r="H15" i="229" s="1"/>
  <c r="N206" i="5"/>
  <c r="N349" i="5"/>
  <c r="H26" i="229" s="1"/>
  <c r="N213" i="5"/>
  <c r="N169" i="5"/>
  <c r="N215" i="5"/>
  <c r="N205" i="5"/>
  <c r="N357" i="5"/>
  <c r="N341" i="5"/>
  <c r="N356" i="5"/>
  <c r="N312" i="5"/>
  <c r="N352" i="5"/>
  <c r="H29" i="229" s="1"/>
  <c r="N381" i="5"/>
  <c r="N280" i="5"/>
  <c r="M1729" i="1" s="1"/>
  <c r="N219" i="5"/>
  <c r="N370" i="5"/>
  <c r="O2257" i="1" s="1"/>
  <c r="N218" i="5"/>
  <c r="N214" i="5"/>
  <c r="N252" i="5"/>
  <c r="H1728" i="1" s="1"/>
  <c r="N260" i="5"/>
  <c r="J1728" i="1" s="1"/>
  <c r="N310" i="5"/>
  <c r="N350" i="5"/>
  <c r="H27" i="229" s="1"/>
  <c r="N377" i="5"/>
  <c r="N216" i="5"/>
  <c r="N181" i="5"/>
  <c r="O2340" i="1" s="1"/>
  <c r="N217" i="5"/>
  <c r="N315" i="5"/>
  <c r="N308" i="5"/>
  <c r="N316" i="5"/>
  <c r="N317" i="5"/>
  <c r="N264" i="5"/>
  <c r="J1729" i="1" s="1"/>
  <c r="N256" i="5"/>
  <c r="H1729" i="1" s="1"/>
  <c r="N173" i="5"/>
  <c r="O754" i="1" s="1"/>
  <c r="N272" i="5"/>
  <c r="K1729" i="1" s="1"/>
  <c r="N311" i="5"/>
  <c r="N177" i="5"/>
  <c r="N268" i="5"/>
  <c r="K1728" i="1" s="1"/>
  <c r="N321" i="5"/>
  <c r="H10" i="229" s="1"/>
  <c r="N334" i="5"/>
  <c r="N189" i="5"/>
  <c r="N394" i="5"/>
  <c r="N309" i="5"/>
  <c r="N276" i="5"/>
  <c r="M1728" i="1" s="1"/>
  <c r="N369" i="5"/>
  <c r="O2256" i="1" s="1"/>
  <c r="N380" i="5"/>
  <c r="N396" i="5"/>
  <c r="C119" i="248" l="1"/>
  <c r="E119" i="248"/>
  <c r="C118" i="248"/>
  <c r="E118" i="248"/>
  <c r="C79" i="248"/>
  <c r="E79" i="248"/>
  <c r="C89" i="248"/>
  <c r="E89" i="248"/>
  <c r="C54" i="248"/>
  <c r="E54" i="248"/>
  <c r="C53" i="248"/>
  <c r="E53" i="248"/>
  <c r="C69" i="248"/>
  <c r="E69" i="248"/>
  <c r="C71" i="248"/>
  <c r="E71" i="248"/>
  <c r="C106" i="248"/>
  <c r="E106" i="248"/>
  <c r="C109" i="248"/>
  <c r="E109" i="248"/>
  <c r="E92" i="248"/>
  <c r="C92" i="248"/>
  <c r="C114" i="248"/>
  <c r="E114" i="248"/>
  <c r="C102" i="248"/>
  <c r="E102" i="248"/>
  <c r="C60" i="248"/>
  <c r="E60" i="248"/>
  <c r="C104" i="248"/>
  <c r="E104" i="248"/>
  <c r="C117" i="248"/>
  <c r="E117" i="248"/>
  <c r="C105" i="248"/>
  <c r="E105" i="248"/>
  <c r="C74" i="248"/>
  <c r="E74" i="248"/>
  <c r="E61" i="248"/>
  <c r="C61" i="248"/>
  <c r="E80" i="248"/>
  <c r="C80" i="248"/>
  <c r="C67" i="248"/>
  <c r="E67" i="248"/>
  <c r="J1725" i="1"/>
  <c r="H1725" i="1"/>
  <c r="K1725" i="1"/>
  <c r="X2641" i="1"/>
  <c r="O618" i="1"/>
  <c r="U618" i="1" s="1"/>
  <c r="O2905" i="1"/>
  <c r="R2905" i="1" s="1"/>
  <c r="K1750" i="1"/>
  <c r="K1772" i="1" s="1"/>
  <c r="O1739" i="1"/>
  <c r="H1736" i="1"/>
  <c r="O1729" i="1"/>
  <c r="J1750" i="1"/>
  <c r="J1772" i="1" s="1"/>
  <c r="O2139" i="1"/>
  <c r="H18" i="229"/>
  <c r="M1736" i="1"/>
  <c r="M1725" i="1"/>
  <c r="O2132" i="1"/>
  <c r="H17" i="229"/>
  <c r="H1750" i="1"/>
  <c r="H1772" i="1" s="1"/>
  <c r="O1728" i="1"/>
  <c r="O2120" i="1"/>
  <c r="H13" i="229"/>
  <c r="O1740" i="1"/>
  <c r="K1736" i="1"/>
  <c r="J1736" i="1"/>
  <c r="R1251" i="246"/>
  <c r="O2143" i="1"/>
  <c r="O2920" i="1"/>
  <c r="R2920" i="1" s="1"/>
  <c r="O2739" i="1"/>
  <c r="R2739" i="1" s="1"/>
  <c r="H17" i="178"/>
  <c r="O2230" i="1"/>
  <c r="O2141" i="1"/>
  <c r="O2140" i="1"/>
  <c r="O2144" i="1"/>
  <c r="H16" i="178"/>
  <c r="O2229" i="1"/>
  <c r="H15" i="178"/>
  <c r="O2228" i="1"/>
  <c r="O2337" i="1"/>
  <c r="U2337" i="1" s="1"/>
  <c r="O2332" i="1"/>
  <c r="O2329" i="1" s="1"/>
  <c r="O765" i="1"/>
  <c r="O770" i="1" s="1"/>
  <c r="H14" i="178"/>
  <c r="O2227" i="1"/>
  <c r="O2546" i="246"/>
  <c r="R722" i="246"/>
  <c r="U722" i="246"/>
  <c r="O2111" i="1"/>
  <c r="O2368" i="1"/>
  <c r="M720" i="1"/>
  <c r="O2130" i="1"/>
  <c r="M2613" i="1"/>
  <c r="R2613" i="1" s="1"/>
  <c r="E190" i="231"/>
  <c r="F190" i="231" s="1"/>
  <c r="G190" i="231" s="1"/>
  <c r="H11" i="168"/>
  <c r="O2418" i="1"/>
  <c r="H21" i="169"/>
  <c r="O2415" i="1"/>
  <c r="H18" i="169"/>
  <c r="O2416" i="1"/>
  <c r="H19" i="169"/>
  <c r="O2421" i="1"/>
  <c r="H24" i="169"/>
  <c r="O2419" i="1"/>
  <c r="H22" i="169"/>
  <c r="O2407" i="1"/>
  <c r="H10" i="169"/>
  <c r="O2420" i="1"/>
  <c r="H23" i="169"/>
  <c r="O2417" i="1"/>
  <c r="H20" i="169"/>
  <c r="O2408" i="1"/>
  <c r="H11" i="169"/>
  <c r="O2409" i="1"/>
  <c r="H12" i="169"/>
  <c r="O2859" i="1"/>
  <c r="R2859" i="1" s="1"/>
  <c r="I372" i="5"/>
  <c r="L372" i="5" s="1"/>
  <c r="O2567" i="1"/>
  <c r="I371" i="5"/>
  <c r="L371" i="5" s="1"/>
  <c r="O2566" i="1"/>
  <c r="O2865" i="1"/>
  <c r="R2865" i="1" s="1"/>
  <c r="O2871" i="1"/>
  <c r="R2871" i="1" s="1"/>
  <c r="O2919" i="1"/>
  <c r="R2919" i="1" s="1"/>
  <c r="O2861" i="1"/>
  <c r="R2861" i="1" s="1"/>
  <c r="R2904" i="1"/>
  <c r="O2870" i="1"/>
  <c r="R2870" i="1" s="1"/>
  <c r="O2866" i="1"/>
  <c r="R2866" i="1" s="1"/>
  <c r="R1290" i="1"/>
  <c r="I394" i="5"/>
  <c r="L394" i="5" s="1"/>
  <c r="M821" i="1" s="1"/>
  <c r="O2614" i="1"/>
  <c r="O2078" i="1"/>
  <c r="I316" i="5"/>
  <c r="L316" i="5" s="1"/>
  <c r="O2013" i="246" s="1"/>
  <c r="R2013" i="246" s="1"/>
  <c r="I312" i="5"/>
  <c r="L312" i="5" s="1"/>
  <c r="O1983" i="246" s="1"/>
  <c r="R1983" i="246" s="1"/>
  <c r="O2048" i="1"/>
  <c r="I215" i="5"/>
  <c r="L215" i="5" s="1"/>
  <c r="O2350" i="246" s="1"/>
  <c r="R2350" i="246" s="1"/>
  <c r="I213" i="5"/>
  <c r="L213" i="5" s="1"/>
  <c r="O2348" i="246" s="1"/>
  <c r="R2348" i="246" s="1"/>
  <c r="N222" i="5"/>
  <c r="N277" i="5"/>
  <c r="M1732" i="1" s="1"/>
  <c r="O1732" i="1" s="1"/>
  <c r="N231" i="5"/>
  <c r="O1618" i="1" s="1"/>
  <c r="U1618" i="1" s="1"/>
  <c r="N50" i="5"/>
  <c r="H57" i="248" s="1"/>
  <c r="N129" i="5"/>
  <c r="H113" i="248" s="1"/>
  <c r="N227" i="5"/>
  <c r="O2506" i="1" s="1"/>
  <c r="U2506" i="1" s="1"/>
  <c r="O2503" i="1" s="1"/>
  <c r="N156" i="5"/>
  <c r="N128" i="5"/>
  <c r="H112" i="248" s="1"/>
  <c r="N318" i="5"/>
  <c r="O2079" i="1"/>
  <c r="I317" i="5"/>
  <c r="L317" i="5" s="1"/>
  <c r="N170" i="5"/>
  <c r="I310" i="5"/>
  <c r="L310" i="5" s="1"/>
  <c r="O1981" i="246" s="1"/>
  <c r="R1981" i="246" s="1"/>
  <c r="O2046" i="1"/>
  <c r="O2565" i="1"/>
  <c r="I370" i="5"/>
  <c r="L370" i="5" s="1"/>
  <c r="I341" i="5"/>
  <c r="I349" i="5"/>
  <c r="L349" i="5" s="1"/>
  <c r="I206" i="5"/>
  <c r="L206" i="5" s="1"/>
  <c r="O2341" i="246" s="1"/>
  <c r="R2341" i="246" s="1"/>
  <c r="N232" i="5"/>
  <c r="N41" i="5"/>
  <c r="H52" i="248" s="1"/>
  <c r="N124" i="5"/>
  <c r="H108" i="248" s="1"/>
  <c r="I395" i="5"/>
  <c r="L395" i="5" s="1"/>
  <c r="O2615" i="1"/>
  <c r="H20" i="167"/>
  <c r="I380" i="5"/>
  <c r="L380" i="5" s="1"/>
  <c r="O2535" i="1"/>
  <c r="I189" i="5"/>
  <c r="L189" i="5" s="1"/>
  <c r="O2301" i="246" s="1"/>
  <c r="R2301" i="246" s="1"/>
  <c r="I268" i="5"/>
  <c r="L268" i="5" s="1"/>
  <c r="K1691" i="246" s="1"/>
  <c r="I173" i="5"/>
  <c r="L173" i="5" s="1"/>
  <c r="O756" i="246" s="1"/>
  <c r="O759" i="1"/>
  <c r="O701" i="1"/>
  <c r="O2305" i="1"/>
  <c r="I216" i="5"/>
  <c r="L216" i="5" s="1"/>
  <c r="O2351" i="246" s="1"/>
  <c r="R2351" i="246" s="1"/>
  <c r="I214" i="5"/>
  <c r="L214" i="5" s="1"/>
  <c r="O2349" i="246" s="1"/>
  <c r="R2349" i="246" s="1"/>
  <c r="I353" i="5"/>
  <c r="L353" i="5" s="1"/>
  <c r="I207" i="5"/>
  <c r="L207" i="5" s="1"/>
  <c r="O2342" i="246" s="1"/>
  <c r="R2342" i="246" s="1"/>
  <c r="N375" i="5"/>
  <c r="O2045" i="1"/>
  <c r="I309" i="5"/>
  <c r="L309" i="5" s="1"/>
  <c r="O1980" i="246" s="1"/>
  <c r="R1980" i="246" s="1"/>
  <c r="I315" i="5"/>
  <c r="L315" i="5" s="1"/>
  <c r="O2012" i="246" s="1"/>
  <c r="R2012" i="246" s="1"/>
  <c r="O2077" i="1"/>
  <c r="I217" i="5"/>
  <c r="L217" i="5" s="1"/>
  <c r="O2352" i="246" s="1"/>
  <c r="R2352" i="246" s="1"/>
  <c r="I181" i="5"/>
  <c r="L181" i="5" s="1"/>
  <c r="I350" i="5"/>
  <c r="L350" i="5" s="1"/>
  <c r="I352" i="5"/>
  <c r="L352" i="5" s="1"/>
  <c r="N367" i="5"/>
  <c r="I205" i="5"/>
  <c r="L205" i="5" s="1"/>
  <c r="O2340" i="246" s="1"/>
  <c r="R2340" i="246" s="1"/>
  <c r="I332" i="5"/>
  <c r="I330" i="5"/>
  <c r="N146" i="5"/>
  <c r="N62" i="5"/>
  <c r="H68" i="248" s="1"/>
  <c r="N145" i="5"/>
  <c r="N48" i="5"/>
  <c r="H55" i="248" s="1"/>
  <c r="N151" i="5"/>
  <c r="N64" i="5"/>
  <c r="H70" i="248" s="1"/>
  <c r="N71" i="5"/>
  <c r="N131" i="5"/>
  <c r="H115" i="248" s="1"/>
  <c r="O2837" i="1"/>
  <c r="O2834" i="1" s="1"/>
  <c r="O1207" i="1"/>
  <c r="O1233" i="1" s="1"/>
  <c r="I369" i="5"/>
  <c r="L369" i="5" s="1"/>
  <c r="O2564" i="1"/>
  <c r="I218" i="5"/>
  <c r="L218" i="5" s="1"/>
  <c r="O2353" i="246" s="1"/>
  <c r="R2353" i="246" s="1"/>
  <c r="N49" i="5"/>
  <c r="I321" i="5"/>
  <c r="L321" i="5" s="1"/>
  <c r="I311" i="5"/>
  <c r="L311" i="5" s="1"/>
  <c r="O1982" i="246" s="1"/>
  <c r="R1982" i="246" s="1"/>
  <c r="O2047" i="1"/>
  <c r="O675" i="1"/>
  <c r="O2044" i="1"/>
  <c r="I308" i="5"/>
  <c r="L308" i="5" s="1"/>
  <c r="N355" i="5"/>
  <c r="I252" i="5"/>
  <c r="L252" i="5" s="1"/>
  <c r="H1691" i="246" s="1"/>
  <c r="N373" i="5"/>
  <c r="O2260" i="1" s="1"/>
  <c r="O2536" i="1"/>
  <c r="I381" i="5"/>
  <c r="L381" i="5" s="1"/>
  <c r="O2469" i="246" s="1"/>
  <c r="R2469" i="246" s="1"/>
  <c r="H37" i="167"/>
  <c r="N221" i="5"/>
  <c r="H91" i="167"/>
  <c r="O2539" i="1"/>
  <c r="I384" i="5"/>
  <c r="L384" i="5" s="1"/>
  <c r="O2472" i="246" s="1"/>
  <c r="R2472" i="246" s="1"/>
  <c r="H93" i="187"/>
  <c r="I365" i="5"/>
  <c r="L365" i="5" s="1"/>
  <c r="O2134" i="246" s="1"/>
  <c r="O2201" i="1"/>
  <c r="U2201" i="1" s="1"/>
  <c r="N152" i="5"/>
  <c r="N150" i="5"/>
  <c r="N397" i="5"/>
  <c r="N17" i="5"/>
  <c r="R1279" i="1"/>
  <c r="O1286" i="1"/>
  <c r="X1286" i="1" s="1"/>
  <c r="O2616" i="1"/>
  <c r="I396" i="5"/>
  <c r="L396" i="5" s="1"/>
  <c r="O2549" i="246" s="1"/>
  <c r="R2549" i="246" s="1"/>
  <c r="I334" i="5"/>
  <c r="L334" i="5" s="1"/>
  <c r="O702" i="1"/>
  <c r="I177" i="5"/>
  <c r="L177" i="5" s="1"/>
  <c r="I377" i="5"/>
  <c r="L377" i="5" s="1"/>
  <c r="O2524" i="246" s="1"/>
  <c r="R2524" i="246" s="1"/>
  <c r="O2591" i="1"/>
  <c r="I260" i="5"/>
  <c r="L260" i="5" s="1"/>
  <c r="J1691" i="246" s="1"/>
  <c r="I219" i="5"/>
  <c r="L219" i="5" s="1"/>
  <c r="O2354" i="246" s="1"/>
  <c r="R2354" i="246" s="1"/>
  <c r="O2169" i="1"/>
  <c r="I356" i="5"/>
  <c r="L356" i="5" s="1"/>
  <c r="O2103" i="246" s="1"/>
  <c r="R2103" i="246" s="1"/>
  <c r="O2170" i="1"/>
  <c r="I357" i="5"/>
  <c r="L357" i="5" s="1"/>
  <c r="O2104" i="246" s="1"/>
  <c r="R2104" i="246" s="1"/>
  <c r="N11" i="5"/>
  <c r="O1185" i="1" s="1"/>
  <c r="R1185" i="1" s="1"/>
  <c r="I376" i="5"/>
  <c r="L376" i="5" s="1"/>
  <c r="O2523" i="246" s="1"/>
  <c r="R2523" i="246" s="1"/>
  <c r="O2590" i="1"/>
  <c r="N225" i="5"/>
  <c r="O2499" i="1" s="1"/>
  <c r="U2499" i="1" s="1"/>
  <c r="N73" i="5"/>
  <c r="H78" i="248" s="1"/>
  <c r="N106" i="5"/>
  <c r="H94" i="248" s="1"/>
  <c r="N105" i="5"/>
  <c r="H93" i="248" s="1"/>
  <c r="N171" i="5"/>
  <c r="O1399" i="1"/>
  <c r="O1378" i="1"/>
  <c r="O1370" i="1"/>
  <c r="O1367" i="1" s="1"/>
  <c r="X809" i="1" s="1"/>
  <c r="O1307" i="1"/>
  <c r="E55" i="248" l="1"/>
  <c r="C55" i="248"/>
  <c r="AB846" i="1"/>
  <c r="Y848" i="246"/>
  <c r="O2867" i="1"/>
  <c r="R2867" i="1" s="1"/>
  <c r="H76" i="248"/>
  <c r="C52" i="248"/>
  <c r="E52" i="248"/>
  <c r="E93" i="248"/>
  <c r="C93" i="248"/>
  <c r="C94" i="248"/>
  <c r="E94" i="248"/>
  <c r="O2699" i="1"/>
  <c r="H56" i="248"/>
  <c r="C70" i="248"/>
  <c r="E70" i="248"/>
  <c r="E68" i="248"/>
  <c r="C68" i="248"/>
  <c r="C112" i="248"/>
  <c r="E112" i="248"/>
  <c r="C57" i="248"/>
  <c r="E57" i="248"/>
  <c r="C115" i="248"/>
  <c r="E115" i="248"/>
  <c r="C108" i="248"/>
  <c r="E108" i="248"/>
  <c r="E78" i="248"/>
  <c r="C78" i="248"/>
  <c r="O2447" i="1"/>
  <c r="O2459" i="1"/>
  <c r="O2254" i="1"/>
  <c r="C1977" i="246"/>
  <c r="C2042" i="1"/>
  <c r="E113" i="248"/>
  <c r="C113" i="248" s="1"/>
  <c r="O2486" i="1"/>
  <c r="U2486" i="1" s="1"/>
  <c r="O2515" i="1"/>
  <c r="U2515" i="1" s="1"/>
  <c r="O2485" i="1"/>
  <c r="U2485" i="1" s="1"/>
  <c r="M2256" i="1"/>
  <c r="R2256" i="1" s="1"/>
  <c r="O2189" i="246"/>
  <c r="R2189" i="246" s="1"/>
  <c r="M2259" i="1"/>
  <c r="R2259" i="1" s="1"/>
  <c r="O2192" i="246"/>
  <c r="R2192" i="246" s="1"/>
  <c r="M2257" i="1"/>
  <c r="R2257" i="1" s="1"/>
  <c r="O2190" i="246"/>
  <c r="R2190" i="246" s="1"/>
  <c r="M2258" i="1"/>
  <c r="R2258" i="1" s="1"/>
  <c r="O2191" i="246"/>
  <c r="R2191" i="246" s="1"/>
  <c r="O1633" i="1"/>
  <c r="R1633" i="1" s="1"/>
  <c r="D835" i="1"/>
  <c r="I221" i="5"/>
  <c r="L221" i="5" s="1"/>
  <c r="O1396" i="1"/>
  <c r="U1396" i="1" s="1"/>
  <c r="R1396" i="1"/>
  <c r="O823" i="246"/>
  <c r="S823" i="246" s="1"/>
  <c r="S821" i="1"/>
  <c r="R821" i="1"/>
  <c r="S832" i="1"/>
  <c r="Y832" i="1"/>
  <c r="R832" i="1"/>
  <c r="Z832" i="1"/>
  <c r="G10" i="229"/>
  <c r="M1750" i="1"/>
  <c r="M1772" i="1" s="1"/>
  <c r="G39" i="234"/>
  <c r="H39" i="234"/>
  <c r="M2141" i="1"/>
  <c r="R2141" i="1" s="1"/>
  <c r="G27" i="229"/>
  <c r="H44" i="248"/>
  <c r="M2144" i="1"/>
  <c r="R2144" i="1" s="1"/>
  <c r="G30" i="229"/>
  <c r="H33" i="240"/>
  <c r="M1735" i="1"/>
  <c r="O1725" i="1"/>
  <c r="O1750" i="1"/>
  <c r="J1735" i="1"/>
  <c r="M2132" i="1"/>
  <c r="R2132" i="1" s="1"/>
  <c r="G17" i="229"/>
  <c r="H8" i="170"/>
  <c r="M2143" i="1"/>
  <c r="R2143" i="1" s="1"/>
  <c r="G29" i="229"/>
  <c r="M2140" i="1"/>
  <c r="R2140" i="1" s="1"/>
  <c r="G26" i="229"/>
  <c r="H1735" i="1"/>
  <c r="O1736" i="1"/>
  <c r="K1735" i="1"/>
  <c r="O2822" i="1"/>
  <c r="R2822" i="1" s="1"/>
  <c r="Z2447" i="1"/>
  <c r="E258" i="4"/>
  <c r="H1713" i="246"/>
  <c r="K1713" i="246"/>
  <c r="J1713" i="246"/>
  <c r="H14" i="170"/>
  <c r="O1587" i="1"/>
  <c r="O767" i="246"/>
  <c r="R772" i="246" s="1"/>
  <c r="F250" i="4"/>
  <c r="O761" i="246"/>
  <c r="R761" i="246"/>
  <c r="H12" i="170"/>
  <c r="O2918" i="1"/>
  <c r="R2918" i="1" s="1"/>
  <c r="O2738" i="1"/>
  <c r="R2738" i="1" s="1"/>
  <c r="L330" i="5"/>
  <c r="G13" i="229" s="1"/>
  <c r="O2816" i="1"/>
  <c r="H9" i="170"/>
  <c r="M2229" i="1"/>
  <c r="R2229" i="1" s="1"/>
  <c r="O2162" i="246"/>
  <c r="R2162" i="246" s="1"/>
  <c r="O2163" i="246"/>
  <c r="R2163" i="246" s="1"/>
  <c r="M2230" i="1"/>
  <c r="R2230" i="1" s="1"/>
  <c r="O2547" i="246"/>
  <c r="R2547" i="246" s="1"/>
  <c r="O2161" i="246"/>
  <c r="R2161" i="246" s="1"/>
  <c r="M2228" i="1"/>
  <c r="R2228" i="1" s="1"/>
  <c r="M2340" i="1"/>
  <c r="R2337" i="1" s="1"/>
  <c r="R2338" i="1" s="1"/>
  <c r="O2273" i="246"/>
  <c r="O2270" i="246" s="1"/>
  <c r="O2265" i="246"/>
  <c r="O2262" i="246" s="1"/>
  <c r="M2332" i="1"/>
  <c r="U2329" i="1"/>
  <c r="O2310" i="1"/>
  <c r="X759" i="1" s="1"/>
  <c r="O2014" i="246"/>
  <c r="R2014" i="246" s="1"/>
  <c r="M2227" i="1"/>
  <c r="R2227" i="1" s="1"/>
  <c r="O2160" i="246"/>
  <c r="R2160" i="246" s="1"/>
  <c r="H12" i="178"/>
  <c r="O2225" i="1"/>
  <c r="D675" i="1"/>
  <c r="O2066" i="246"/>
  <c r="R2066" i="246" s="1"/>
  <c r="O2498" i="246"/>
  <c r="R2498" i="246" s="1"/>
  <c r="G15" i="178"/>
  <c r="O2500" i="246"/>
  <c r="R2500" i="246" s="1"/>
  <c r="G17" i="178"/>
  <c r="O2077" i="246"/>
  <c r="R2077" i="246" s="1"/>
  <c r="O2078" i="246"/>
  <c r="R2078" i="246" s="1"/>
  <c r="O2074" i="246"/>
  <c r="R2074" i="246" s="1"/>
  <c r="O2499" i="246"/>
  <c r="R2499" i="246" s="1"/>
  <c r="G16" i="178"/>
  <c r="O2497" i="246"/>
  <c r="R2497" i="246" s="1"/>
  <c r="G14" i="178"/>
  <c r="O2075" i="246"/>
  <c r="R2075" i="246" s="1"/>
  <c r="O704" i="246"/>
  <c r="R704" i="246" s="1"/>
  <c r="O2548" i="246"/>
  <c r="R2548" i="246" s="1"/>
  <c r="R2546" i="246"/>
  <c r="R2134" i="246"/>
  <c r="S2134" i="246"/>
  <c r="O2045" i="246"/>
  <c r="O2468" i="246"/>
  <c r="O677" i="246"/>
  <c r="O1979" i="246"/>
  <c r="D677" i="246"/>
  <c r="O703" i="246"/>
  <c r="O2238" i="246"/>
  <c r="R2243" i="246" s="1"/>
  <c r="O721" i="1"/>
  <c r="V720" i="1"/>
  <c r="R720" i="1"/>
  <c r="M2368" i="1"/>
  <c r="R2368" i="1" s="1"/>
  <c r="M2111" i="1"/>
  <c r="E191" i="231"/>
  <c r="F191" i="231" s="1"/>
  <c r="G191" i="231" s="1"/>
  <c r="M2046" i="1"/>
  <c r="R2046" i="1" s="1"/>
  <c r="M2170" i="1"/>
  <c r="R2170" i="1" s="1"/>
  <c r="M2591" i="1"/>
  <c r="R2591" i="1" s="1"/>
  <c r="M2047" i="1"/>
  <c r="R2047" i="1" s="1"/>
  <c r="M2565" i="1"/>
  <c r="R2565" i="1" s="1"/>
  <c r="M2567" i="1"/>
  <c r="R2567" i="1" s="1"/>
  <c r="M2616" i="1"/>
  <c r="R2616" i="1" s="1"/>
  <c r="M2564" i="1"/>
  <c r="R2564" i="1" s="1"/>
  <c r="M2045" i="1"/>
  <c r="R2045" i="1" s="1"/>
  <c r="M2079" i="1"/>
  <c r="R2079" i="1" s="1"/>
  <c r="M2048" i="1"/>
  <c r="R2048" i="1" s="1"/>
  <c r="M2169" i="1"/>
  <c r="R2169" i="1" s="1"/>
  <c r="M2077" i="1"/>
  <c r="R2077" i="1" s="1"/>
  <c r="M2078" i="1"/>
  <c r="R2078" i="1" s="1"/>
  <c r="M2566" i="1"/>
  <c r="R2566" i="1" s="1"/>
  <c r="M2590" i="1"/>
  <c r="R2590" i="1" s="1"/>
  <c r="O1433" i="1"/>
  <c r="R1433" i="1" s="1"/>
  <c r="G11" i="168"/>
  <c r="O1432" i="1"/>
  <c r="O2051" i="1"/>
  <c r="X675" i="1" s="1"/>
  <c r="M2415" i="1"/>
  <c r="R2415" i="1" s="1"/>
  <c r="G18" i="169"/>
  <c r="M2407" i="1"/>
  <c r="R2407" i="1" s="1"/>
  <c r="G10" i="169"/>
  <c r="M2418" i="1"/>
  <c r="R2418" i="1" s="1"/>
  <c r="G21" i="169"/>
  <c r="M2417" i="1"/>
  <c r="R2417" i="1" s="1"/>
  <c r="G20" i="169"/>
  <c r="M2420" i="1"/>
  <c r="R2420" i="1" s="1"/>
  <c r="G23" i="169"/>
  <c r="M2416" i="1"/>
  <c r="R2416" i="1" s="1"/>
  <c r="G19" i="169"/>
  <c r="M2421" i="1"/>
  <c r="R2421" i="1" s="1"/>
  <c r="G24" i="169"/>
  <c r="M2419" i="1"/>
  <c r="R2419" i="1" s="1"/>
  <c r="G22" i="169"/>
  <c r="M2409" i="1"/>
  <c r="R2409" i="1" s="1"/>
  <c r="G12" i="169"/>
  <c r="M2408" i="1"/>
  <c r="R2408" i="1" s="1"/>
  <c r="G11" i="169"/>
  <c r="R618" i="1"/>
  <c r="O2869" i="1"/>
  <c r="R2869" i="1" s="1"/>
  <c r="O1308" i="1"/>
  <c r="R1308" i="1" s="1"/>
  <c r="O1427" i="1"/>
  <c r="O2852" i="1"/>
  <c r="R2852" i="1" s="1"/>
  <c r="O2863" i="1"/>
  <c r="R2863" i="1" s="1"/>
  <c r="O2921" i="1"/>
  <c r="R2921" i="1" s="1"/>
  <c r="O2858" i="1"/>
  <c r="R2858" i="1" s="1"/>
  <c r="O2857" i="1"/>
  <c r="R2857" i="1" s="1"/>
  <c r="O2927" i="1"/>
  <c r="R2927" i="1" s="1"/>
  <c r="O2856" i="1"/>
  <c r="R2856" i="1" s="1"/>
  <c r="O2924" i="1"/>
  <c r="R2924" i="1" s="1"/>
  <c r="O745" i="1"/>
  <c r="O1431" i="1"/>
  <c r="O2908" i="1"/>
  <c r="R2908" i="1" s="1"/>
  <c r="O2909" i="1"/>
  <c r="R2909" i="1" s="1"/>
  <c r="O1426" i="1"/>
  <c r="R1426" i="1" s="1"/>
  <c r="O2925" i="1"/>
  <c r="R2925" i="1" s="1"/>
  <c r="N265" i="5"/>
  <c r="J1743" i="1" s="1"/>
  <c r="J1751" i="1" s="1"/>
  <c r="J1773" i="1" s="1"/>
  <c r="N382" i="5"/>
  <c r="I318" i="5"/>
  <c r="L318" i="5" s="1"/>
  <c r="O2015" i="246" s="1"/>
  <c r="R2015" i="246" s="1"/>
  <c r="O2080" i="1"/>
  <c r="N383" i="5"/>
  <c r="N314" i="5"/>
  <c r="R1370" i="1"/>
  <c r="R1378" i="1"/>
  <c r="M702" i="1"/>
  <c r="R1286" i="1"/>
  <c r="M2201" i="1"/>
  <c r="G93" i="187"/>
  <c r="G37" i="167"/>
  <c r="M2536" i="1"/>
  <c r="R2536" i="1" s="1"/>
  <c r="H39" i="178"/>
  <c r="O2231" i="1"/>
  <c r="I373" i="5"/>
  <c r="L373" i="5" s="1"/>
  <c r="I355" i="5"/>
  <c r="L355" i="5" s="1"/>
  <c r="O2168" i="1"/>
  <c r="R1207" i="1"/>
  <c r="T212" i="5"/>
  <c r="I367" i="5"/>
  <c r="L367" i="5" s="1"/>
  <c r="O2562" i="1"/>
  <c r="M2614" i="1"/>
  <c r="N188" i="5"/>
  <c r="N363" i="5"/>
  <c r="N364" i="5"/>
  <c r="O2200" i="1" s="1"/>
  <c r="R1307" i="1"/>
  <c r="M765" i="1"/>
  <c r="I397" i="5"/>
  <c r="L397" i="5" s="1"/>
  <c r="O2550" i="246" s="1"/>
  <c r="R2550" i="246" s="1"/>
  <c r="O2617" i="1"/>
  <c r="O2620" i="1" s="1"/>
  <c r="M675" i="1"/>
  <c r="M2044" i="1"/>
  <c r="R2837" i="1"/>
  <c r="N5" i="5"/>
  <c r="E35" i="248" s="1"/>
  <c r="M754" i="1"/>
  <c r="R759" i="1" s="1"/>
  <c r="R754" i="1" s="1"/>
  <c r="M2535" i="1"/>
  <c r="R2535" i="1" s="1"/>
  <c r="G20" i="167"/>
  <c r="O700" i="1"/>
  <c r="I170" i="5"/>
  <c r="O2287" i="1"/>
  <c r="O744" i="1"/>
  <c r="N103" i="5"/>
  <c r="N210" i="5"/>
  <c r="N190" i="5"/>
  <c r="N110" i="5"/>
  <c r="O1343" i="1" s="1"/>
  <c r="N351" i="5"/>
  <c r="H28" i="229" s="1"/>
  <c r="N16" i="5"/>
  <c r="N347" i="5"/>
  <c r="H24" i="229" s="1"/>
  <c r="N362" i="5"/>
  <c r="N144" i="5"/>
  <c r="O2862" i="1"/>
  <c r="R1399" i="1"/>
  <c r="I276" i="5"/>
  <c r="L276" i="5" s="1"/>
  <c r="M1691" i="246" s="1"/>
  <c r="M2539" i="1"/>
  <c r="R2539" i="1" s="1"/>
  <c r="G91" i="167"/>
  <c r="O719" i="1"/>
  <c r="I375" i="5"/>
  <c r="L375" i="5" s="1"/>
  <c r="O2589" i="1"/>
  <c r="O2594" i="1" s="1"/>
  <c r="M701" i="1"/>
  <c r="M2305" i="1"/>
  <c r="R2310" i="1" s="1"/>
  <c r="E324" i="4"/>
  <c r="M2615" i="1"/>
  <c r="R2615" i="1" s="1"/>
  <c r="N45" i="5"/>
  <c r="H91" i="248" l="1"/>
  <c r="C56" i="248"/>
  <c r="E56" i="248"/>
  <c r="E76" i="248"/>
  <c r="C76" i="248"/>
  <c r="O2945" i="1"/>
  <c r="U2945" i="1" s="1"/>
  <c r="O630" i="1"/>
  <c r="U630" i="1" s="1"/>
  <c r="R2699" i="1"/>
  <c r="R2681" i="1"/>
  <c r="R2698" i="1"/>
  <c r="R2238" i="246"/>
  <c r="R2237" i="246"/>
  <c r="R2305" i="1"/>
  <c r="R2304" i="1"/>
  <c r="O2418" i="246"/>
  <c r="S2418" i="246" s="1"/>
  <c r="U1633" i="1"/>
  <c r="O1630" i="1" s="1"/>
  <c r="R1630" i="1" s="1"/>
  <c r="R1635" i="1" s="1"/>
  <c r="C2544" i="246"/>
  <c r="C2520" i="246"/>
  <c r="C2587" i="1"/>
  <c r="C2611" i="1"/>
  <c r="E44" i="248"/>
  <c r="C44" i="248" s="1"/>
  <c r="M2485" i="1"/>
  <c r="S2485" i="1" s="1"/>
  <c r="O2482" i="1"/>
  <c r="AA846" i="1"/>
  <c r="X848" i="246"/>
  <c r="O848" i="246"/>
  <c r="M846" i="1"/>
  <c r="M2260" i="1"/>
  <c r="R2260" i="1" s="1"/>
  <c r="O2193" i="246"/>
  <c r="R2193" i="246" s="1"/>
  <c r="O2187" i="246"/>
  <c r="M2254" i="1"/>
  <c r="R2254" i="1" s="1"/>
  <c r="D832" i="1"/>
  <c r="AB833" i="1"/>
  <c r="O1179" i="1"/>
  <c r="O1188" i="1" s="1"/>
  <c r="O611" i="1"/>
  <c r="E23" i="248"/>
  <c r="X1725" i="1"/>
  <c r="O1735" i="1"/>
  <c r="J1746" i="1"/>
  <c r="X1750" i="1"/>
  <c r="O1772" i="1"/>
  <c r="M1713" i="246"/>
  <c r="O1691" i="246"/>
  <c r="O2791" i="1"/>
  <c r="R2791" i="1" s="1"/>
  <c r="O2724" i="246"/>
  <c r="R2724" i="246" s="1"/>
  <c r="O772" i="246"/>
  <c r="G8" i="170"/>
  <c r="L25" i="170" s="1"/>
  <c r="I22" i="26" s="1"/>
  <c r="M2120" i="1"/>
  <c r="R2120" i="1" s="1"/>
  <c r="E285" i="4"/>
  <c r="O2054" i="246"/>
  <c r="R2054" i="246" s="1"/>
  <c r="R771" i="246"/>
  <c r="R766" i="246"/>
  <c r="R767" i="246"/>
  <c r="R770" i="246"/>
  <c r="R773" i="246"/>
  <c r="R765" i="246"/>
  <c r="R774" i="246"/>
  <c r="R756" i="246"/>
  <c r="R754" i="246"/>
  <c r="R753" i="246" s="1"/>
  <c r="R755" i="246"/>
  <c r="R762" i="246"/>
  <c r="R760" i="246"/>
  <c r="R759" i="246"/>
  <c r="O2124" i="1"/>
  <c r="O1341" i="1"/>
  <c r="R1341" i="1" s="1"/>
  <c r="O2142" i="1"/>
  <c r="R2329" i="1"/>
  <c r="R2332" i="1" s="1"/>
  <c r="M2329" i="1"/>
  <c r="S2329" i="1" s="1"/>
  <c r="D721" i="1"/>
  <c r="X701" i="1"/>
  <c r="R2339" i="1"/>
  <c r="D719" i="1"/>
  <c r="R2343" i="1"/>
  <c r="R2340" i="1"/>
  <c r="R2270" i="246"/>
  <c r="S2270" i="246"/>
  <c r="V2340" i="1"/>
  <c r="M2337" i="1"/>
  <c r="S2337" i="1" s="1"/>
  <c r="V2332" i="1"/>
  <c r="S2262" i="246"/>
  <c r="R2262" i="246"/>
  <c r="Y835" i="246"/>
  <c r="O2158" i="246"/>
  <c r="M2225" i="1"/>
  <c r="R2225" i="1" s="1"/>
  <c r="R770" i="1"/>
  <c r="M770" i="1"/>
  <c r="M759" i="1"/>
  <c r="D721" i="246"/>
  <c r="G12" i="178"/>
  <c r="R823" i="246"/>
  <c r="O2102" i="246"/>
  <c r="R1979" i="246"/>
  <c r="O1986" i="246"/>
  <c r="R1986" i="246" s="1"/>
  <c r="R2468" i="246"/>
  <c r="O2164" i="246"/>
  <c r="R2164" i="246" s="1"/>
  <c r="D723" i="246"/>
  <c r="O2553" i="246"/>
  <c r="R2553" i="246" s="1"/>
  <c r="R2545" i="246" s="1"/>
  <c r="W834" i="246"/>
  <c r="D834" i="246" s="1"/>
  <c r="R834" i="246"/>
  <c r="S834" i="246"/>
  <c r="O2243" i="246"/>
  <c r="U703" i="246" s="1"/>
  <c r="R677" i="246"/>
  <c r="R2045" i="246"/>
  <c r="O2522" i="246"/>
  <c r="O721" i="246"/>
  <c r="O2495" i="246"/>
  <c r="O723" i="246"/>
  <c r="R703" i="246"/>
  <c r="O2369" i="1"/>
  <c r="O2367" i="1"/>
  <c r="D48" i="234"/>
  <c r="C48" i="234"/>
  <c r="M721" i="1"/>
  <c r="E192" i="231"/>
  <c r="F192" i="231" s="1"/>
  <c r="G192" i="231" s="1"/>
  <c r="M2617" i="1"/>
  <c r="M2080" i="1"/>
  <c r="R2080" i="1" s="1"/>
  <c r="R619" i="1"/>
  <c r="O2346" i="1"/>
  <c r="X702" i="1" s="1"/>
  <c r="H12" i="168"/>
  <c r="H10" i="168"/>
  <c r="O2412" i="1"/>
  <c r="H15" i="169"/>
  <c r="R2201" i="1"/>
  <c r="S2201" i="1"/>
  <c r="O1321" i="1"/>
  <c r="O748" i="1"/>
  <c r="M744" i="1" s="1"/>
  <c r="M748" i="1" s="1"/>
  <c r="X719" i="1"/>
  <c r="X721" i="1"/>
  <c r="I190" i="5"/>
  <c r="L190" i="5" s="1"/>
  <c r="O2302" i="246" s="1"/>
  <c r="R2302" i="246" s="1"/>
  <c r="R2044" i="1"/>
  <c r="M2051" i="1"/>
  <c r="R2051" i="1" s="1"/>
  <c r="I188" i="5"/>
  <c r="L188" i="5" s="1"/>
  <c r="O2300" i="246" s="1"/>
  <c r="R2300" i="246" s="1"/>
  <c r="R702" i="1"/>
  <c r="M2589" i="1"/>
  <c r="M719" i="1"/>
  <c r="O2814" i="1"/>
  <c r="R675" i="1"/>
  <c r="H62" i="187"/>
  <c r="I363" i="5"/>
  <c r="L363" i="5" s="1"/>
  <c r="O2132" i="246" s="1"/>
  <c r="O2199" i="1"/>
  <c r="U2199" i="1" s="1"/>
  <c r="R2614" i="1"/>
  <c r="M2562" i="1"/>
  <c r="R2562" i="1" s="1"/>
  <c r="X618" i="1"/>
  <c r="R1233" i="1"/>
  <c r="R1206" i="1" s="1"/>
  <c r="G39" i="178"/>
  <c r="M2231" i="1"/>
  <c r="R2231" i="1" s="1"/>
  <c r="R1367" i="1"/>
  <c r="U1367" i="1"/>
  <c r="I383" i="5"/>
  <c r="L383" i="5" s="1"/>
  <c r="O2471" i="246" s="1"/>
  <c r="R2471" i="246" s="1"/>
  <c r="H74" i="167"/>
  <c r="O2538" i="1"/>
  <c r="I264" i="5"/>
  <c r="L264" i="5" s="1"/>
  <c r="J1692" i="246" s="1"/>
  <c r="N273" i="5"/>
  <c r="K1743" i="1" s="1"/>
  <c r="N257" i="5"/>
  <c r="H1743" i="1" s="1"/>
  <c r="M2310" i="1"/>
  <c r="I210" i="5"/>
  <c r="L210" i="5" s="1"/>
  <c r="O2345" i="246" s="1"/>
  <c r="R2345" i="246" s="1"/>
  <c r="O2907" i="1"/>
  <c r="R1284" i="1"/>
  <c r="R1289" i="1"/>
  <c r="R1287" i="1"/>
  <c r="R1288" i="1" s="1"/>
  <c r="R1285" i="1"/>
  <c r="O676" i="1"/>
  <c r="O2076" i="1"/>
  <c r="O2083" i="1" s="1"/>
  <c r="I314" i="5"/>
  <c r="H54" i="167"/>
  <c r="O2537" i="1"/>
  <c r="I382" i="5"/>
  <c r="L382" i="5" s="1"/>
  <c r="N46" i="5"/>
  <c r="R2862" i="1"/>
  <c r="I347" i="5"/>
  <c r="L347" i="5" s="1"/>
  <c r="G24" i="229" s="1"/>
  <c r="I351" i="5"/>
  <c r="L351" i="5" s="1"/>
  <c r="L170" i="5"/>
  <c r="O746" i="246" s="1"/>
  <c r="O750" i="246" s="1"/>
  <c r="U2816" i="1"/>
  <c r="R2816" i="1"/>
  <c r="H76" i="187"/>
  <c r="U2200" i="1"/>
  <c r="I364" i="5"/>
  <c r="L364" i="5" s="1"/>
  <c r="R1397" i="1"/>
  <c r="R1403" i="1"/>
  <c r="R1398" i="1"/>
  <c r="O1425" i="1"/>
  <c r="N344" i="5"/>
  <c r="R701" i="1"/>
  <c r="R2111" i="1"/>
  <c r="O2198" i="1"/>
  <c r="U2198" i="1" s="1"/>
  <c r="I362" i="5"/>
  <c r="L362" i="5" s="1"/>
  <c r="O2821" i="1"/>
  <c r="R1343" i="1"/>
  <c r="X700" i="1"/>
  <c r="U2834" i="1"/>
  <c r="R2834" i="1"/>
  <c r="M2168" i="1"/>
  <c r="O2131" i="246" l="1"/>
  <c r="G45" i="187"/>
  <c r="R2700" i="1"/>
  <c r="R2701" i="1"/>
  <c r="R2692" i="1"/>
  <c r="R2685" i="1"/>
  <c r="R2714" i="1"/>
  <c r="R2702" i="1"/>
  <c r="R2689" i="1"/>
  <c r="R2691" i="1"/>
  <c r="R2683" i="1"/>
  <c r="R2688" i="1"/>
  <c r="R2684" i="1"/>
  <c r="R2716" i="1"/>
  <c r="R2717" i="1"/>
  <c r="R2682" i="1"/>
  <c r="R2687" i="1"/>
  <c r="R2715" i="1"/>
  <c r="R2690" i="1"/>
  <c r="R2686" i="1"/>
  <c r="R1995" i="246"/>
  <c r="R1978" i="246"/>
  <c r="R1632" i="1"/>
  <c r="R2061" i="1"/>
  <c r="R2043" i="1"/>
  <c r="R1636" i="1"/>
  <c r="R1631" i="1"/>
  <c r="M2200" i="1"/>
  <c r="O2133" i="246"/>
  <c r="S2133" i="246" s="1"/>
  <c r="N26" i="5"/>
  <c r="R2187" i="246"/>
  <c r="R1238" i="1"/>
  <c r="R1237" i="1"/>
  <c r="R1239" i="1"/>
  <c r="R1196" i="1"/>
  <c r="R1203" i="1"/>
  <c r="R1199" i="1"/>
  <c r="R1201" i="1"/>
  <c r="R1195" i="1"/>
  <c r="R1202" i="1"/>
  <c r="R1198" i="1"/>
  <c r="R1197" i="1"/>
  <c r="R1204" i="1"/>
  <c r="R1200" i="1"/>
  <c r="X611" i="1"/>
  <c r="U611" i="1"/>
  <c r="H40" i="234"/>
  <c r="G40" i="234"/>
  <c r="J1757" i="1"/>
  <c r="J1768" i="1"/>
  <c r="M2142" i="1"/>
  <c r="G28" i="229"/>
  <c r="O2121" i="1"/>
  <c r="H21" i="229"/>
  <c r="H1751" i="1"/>
  <c r="H1773" i="1" s="1"/>
  <c r="H1746" i="1"/>
  <c r="H38" i="234"/>
  <c r="G38" i="234"/>
  <c r="R1720" i="1"/>
  <c r="R1721" i="1" s="1"/>
  <c r="V1772" i="1"/>
  <c r="K1751" i="1"/>
  <c r="K1773" i="1" s="1"/>
  <c r="K1746" i="1"/>
  <c r="R764" i="246"/>
  <c r="R763" i="246"/>
  <c r="O1713" i="246"/>
  <c r="U1713" i="246" s="1"/>
  <c r="J1714" i="246"/>
  <c r="J1687" i="246"/>
  <c r="J57" i="26"/>
  <c r="M2124" i="1"/>
  <c r="R2124" i="1" s="1"/>
  <c r="E297" i="4"/>
  <c r="R2336" i="1"/>
  <c r="O2127" i="1"/>
  <c r="U2127" i="1" s="1"/>
  <c r="O1342" i="1"/>
  <c r="R1342" i="1" s="1"/>
  <c r="R2330" i="1"/>
  <c r="R2331" i="1"/>
  <c r="R2335" i="1"/>
  <c r="R1321" i="1"/>
  <c r="X1321" i="1"/>
  <c r="R2273" i="246"/>
  <c r="R2271" i="246"/>
  <c r="R2272" i="246"/>
  <c r="R2276" i="246"/>
  <c r="R2265" i="246"/>
  <c r="R2268" i="246"/>
  <c r="R2263" i="246"/>
  <c r="R2269" i="246"/>
  <c r="R2264" i="246"/>
  <c r="U677" i="246"/>
  <c r="O2058" i="246"/>
  <c r="R2058" i="246" s="1"/>
  <c r="O2076" i="246"/>
  <c r="O2470" i="246"/>
  <c r="R2539" i="246"/>
  <c r="R2538" i="246"/>
  <c r="R2535" i="246"/>
  <c r="R2552" i="246"/>
  <c r="R2542" i="246"/>
  <c r="R2540" i="246"/>
  <c r="R2555" i="246"/>
  <c r="R2541" i="246"/>
  <c r="R2554" i="246"/>
  <c r="R2551" i="246"/>
  <c r="R2557" i="246"/>
  <c r="R2536" i="246"/>
  <c r="R2556" i="246"/>
  <c r="R2534" i="246"/>
  <c r="R2543" i="246"/>
  <c r="R2559" i="246"/>
  <c r="R2558" i="246"/>
  <c r="R2544" i="246"/>
  <c r="R2537" i="246"/>
  <c r="S2132" i="246"/>
  <c r="R2132" i="246"/>
  <c r="R2495" i="246"/>
  <c r="R2522" i="246"/>
  <c r="O2527" i="246"/>
  <c r="R2527" i="246" s="1"/>
  <c r="R2521" i="246" s="1"/>
  <c r="S2131" i="246"/>
  <c r="R2131" i="246"/>
  <c r="R723" i="246"/>
  <c r="U723" i="246"/>
  <c r="U761" i="246"/>
  <c r="R721" i="246"/>
  <c r="O702" i="246"/>
  <c r="O2220" i="246"/>
  <c r="R1976" i="246"/>
  <c r="R1989" i="246"/>
  <c r="R1975" i="246"/>
  <c r="R1967" i="246"/>
  <c r="R1997" i="246"/>
  <c r="R1974" i="246"/>
  <c r="R1977" i="246"/>
  <c r="R1996" i="246"/>
  <c r="R1984" i="246"/>
  <c r="R1987" i="246"/>
  <c r="R1988" i="246" s="1"/>
  <c r="R1971" i="246"/>
  <c r="R1972" i="246"/>
  <c r="R1973" i="246"/>
  <c r="R1998" i="246"/>
  <c r="R1985" i="246"/>
  <c r="R1968" i="246"/>
  <c r="R1969" i="246"/>
  <c r="R1970" i="246"/>
  <c r="O2279" i="246"/>
  <c r="R2102" i="246"/>
  <c r="M2369" i="1"/>
  <c r="R2369" i="1" s="1"/>
  <c r="M2367" i="1"/>
  <c r="R2367" i="1" s="1"/>
  <c r="M2620" i="1"/>
  <c r="R2620" i="1" s="1"/>
  <c r="R2612" i="1" s="1"/>
  <c r="R1235" i="1"/>
  <c r="R2295" i="1"/>
  <c r="R2312" i="1"/>
  <c r="E193" i="231"/>
  <c r="F193" i="231" s="1"/>
  <c r="G193" i="231" s="1"/>
  <c r="R2034" i="1"/>
  <c r="R2060" i="1"/>
  <c r="R2054" i="1"/>
  <c r="R2617" i="1"/>
  <c r="R2817" i="1"/>
  <c r="X770" i="1"/>
  <c r="G10" i="168"/>
  <c r="G12" i="168"/>
  <c r="M2412" i="1"/>
  <c r="R2412" i="1" s="1"/>
  <c r="G15" i="169"/>
  <c r="R769" i="1"/>
  <c r="R764" i="1"/>
  <c r="R768" i="1"/>
  <c r="R763" i="1"/>
  <c r="R772" i="1"/>
  <c r="R771" i="1"/>
  <c r="R765" i="1"/>
  <c r="L195" i="5"/>
  <c r="O2307" i="246" s="1"/>
  <c r="R2307" i="246" s="1"/>
  <c r="G404" i="5"/>
  <c r="G2" i="5" s="1"/>
  <c r="L194" i="5"/>
  <c r="O2306" i="246" s="1"/>
  <c r="R2306" i="246" s="1"/>
  <c r="X748" i="1"/>
  <c r="V701" i="1"/>
  <c r="V675" i="1"/>
  <c r="X676" i="1"/>
  <c r="V759" i="1"/>
  <c r="R721" i="1"/>
  <c r="R2835" i="1"/>
  <c r="R2836" i="1"/>
  <c r="R2846" i="1"/>
  <c r="R2843" i="1"/>
  <c r="G76" i="187"/>
  <c r="I272" i="5"/>
  <c r="L272" i="5" s="1"/>
  <c r="K1692" i="246" s="1"/>
  <c r="R719" i="1"/>
  <c r="E319" i="4"/>
  <c r="E329" i="4"/>
  <c r="R758" i="1"/>
  <c r="R760" i="1"/>
  <c r="R761" i="1" s="1"/>
  <c r="R752" i="1"/>
  <c r="R751" i="1" s="1"/>
  <c r="R753" i="1"/>
  <c r="R757" i="1"/>
  <c r="M700" i="1"/>
  <c r="M2287" i="1"/>
  <c r="V748" i="1" s="1"/>
  <c r="M2538" i="1"/>
  <c r="R2538" i="1" s="1"/>
  <c r="G74" i="167"/>
  <c r="U2814" i="1"/>
  <c r="R2589" i="1"/>
  <c r="M2594" i="1"/>
  <c r="R2594" i="1" s="1"/>
  <c r="R2588" i="1" s="1"/>
  <c r="N87" i="5"/>
  <c r="R2168" i="1"/>
  <c r="I344" i="5"/>
  <c r="L344" i="5" s="1"/>
  <c r="R1369" i="1"/>
  <c r="R1368" i="1"/>
  <c r="R1373" i="1"/>
  <c r="R1374" i="1"/>
  <c r="R1231" i="1"/>
  <c r="R1205" i="1"/>
  <c r="R1234" i="1"/>
  <c r="R1236" i="1"/>
  <c r="R1232" i="1"/>
  <c r="M2198" i="1"/>
  <c r="G54" i="167"/>
  <c r="M2537" i="1"/>
  <c r="R2537" i="1" s="1"/>
  <c r="N186" i="5"/>
  <c r="O1471" i="1"/>
  <c r="X822" i="1" s="1"/>
  <c r="R2298" i="1"/>
  <c r="R2314" i="1"/>
  <c r="R2315" i="1"/>
  <c r="R2316" i="1"/>
  <c r="R2294" i="1"/>
  <c r="R2308" i="1"/>
  <c r="R2301" i="1"/>
  <c r="R2311" i="1"/>
  <c r="R2309" i="1"/>
  <c r="R2293" i="1"/>
  <c r="R2313" i="1"/>
  <c r="R2303" i="1"/>
  <c r="R2300" i="1"/>
  <c r="R2299" i="1"/>
  <c r="R2302" i="1"/>
  <c r="R2297" i="1"/>
  <c r="R2296" i="1"/>
  <c r="I256" i="5"/>
  <c r="L256" i="5" s="1"/>
  <c r="H1692" i="246" s="1"/>
  <c r="H1687" i="246" s="1"/>
  <c r="G62" i="187"/>
  <c r="M2199" i="1"/>
  <c r="R2041" i="1"/>
  <c r="R2040" i="1"/>
  <c r="R2039" i="1"/>
  <c r="R2038" i="1"/>
  <c r="R2042" i="1"/>
  <c r="R2050" i="1"/>
  <c r="R2037" i="1"/>
  <c r="R2036" i="1"/>
  <c r="R2035" i="1"/>
  <c r="R2049" i="1"/>
  <c r="R2033" i="1"/>
  <c r="R2032" i="1"/>
  <c r="R2063" i="1"/>
  <c r="R2052" i="1"/>
  <c r="R2053" i="1" s="1"/>
  <c r="R2062" i="1"/>
  <c r="O2943" i="1" l="1"/>
  <c r="O628" i="1"/>
  <c r="R1323" i="1"/>
  <c r="R1306" i="1"/>
  <c r="R2133" i="246"/>
  <c r="O2828" i="1"/>
  <c r="O2818" i="1" s="1"/>
  <c r="U2818" i="1" s="1"/>
  <c r="O613" i="1"/>
  <c r="X1255" i="1" s="1"/>
  <c r="D404" i="5"/>
  <c r="L16" i="5"/>
  <c r="R1722" i="1"/>
  <c r="R1714" i="1"/>
  <c r="R1716" i="1"/>
  <c r="R1778" i="1"/>
  <c r="R1723" i="1"/>
  <c r="R1719" i="1"/>
  <c r="R1715" i="1"/>
  <c r="R1777" i="1"/>
  <c r="R1718" i="1"/>
  <c r="R1713" i="1"/>
  <c r="R1776" i="1"/>
  <c r="R1717" i="1"/>
  <c r="R1712" i="1"/>
  <c r="R1775" i="1"/>
  <c r="R2142" i="1"/>
  <c r="R1774" i="1"/>
  <c r="R1758" i="1"/>
  <c r="R1771" i="1"/>
  <c r="R1761" i="1"/>
  <c r="R1730" i="1"/>
  <c r="R1768" i="1"/>
  <c r="R1747" i="1"/>
  <c r="R1733" i="1"/>
  <c r="R1748" i="1"/>
  <c r="R1740" i="1"/>
  <c r="R1757" i="1"/>
  <c r="R1764" i="1"/>
  <c r="R1755" i="1"/>
  <c r="R1734" i="1"/>
  <c r="R1773" i="1"/>
  <c r="R1752" i="1"/>
  <c r="R1754" i="1"/>
  <c r="R1751" i="1"/>
  <c r="R1736" i="1"/>
  <c r="R1769" i="1"/>
  <c r="R1765" i="1"/>
  <c r="R1750" i="1"/>
  <c r="R1725" i="1"/>
  <c r="R1746" i="1"/>
  <c r="R1759" i="1"/>
  <c r="R1741" i="1"/>
  <c r="R1724" i="1"/>
  <c r="R1772" i="1"/>
  <c r="R1728" i="1"/>
  <c r="R1727" i="1"/>
  <c r="R1737" i="1"/>
  <c r="R1756" i="1"/>
  <c r="R1735" i="1"/>
  <c r="R1729" i="1"/>
  <c r="R1738" i="1"/>
  <c r="R1726" i="1"/>
  <c r="R1762" i="1"/>
  <c r="R1749" i="1"/>
  <c r="R1745" i="1"/>
  <c r="R1739" i="1"/>
  <c r="R1763" i="1"/>
  <c r="R1742" i="1"/>
  <c r="R1770" i="1"/>
  <c r="R1732" i="1"/>
  <c r="R1767" i="1"/>
  <c r="R1753" i="1"/>
  <c r="R1766" i="1"/>
  <c r="R1744" i="1"/>
  <c r="R1743" i="1"/>
  <c r="R1731" i="1"/>
  <c r="R1760" i="1"/>
  <c r="K1757" i="1"/>
  <c r="K1768" i="1"/>
  <c r="E288" i="4"/>
  <c r="G21" i="229"/>
  <c r="H1757" i="1"/>
  <c r="H1768" i="1"/>
  <c r="R1682" i="246"/>
  <c r="R1683" i="246" s="1"/>
  <c r="K1714" i="246"/>
  <c r="K1687" i="246"/>
  <c r="H1714" i="246"/>
  <c r="J1709" i="246"/>
  <c r="J1698" i="246"/>
  <c r="D25" i="234"/>
  <c r="R1298" i="1"/>
  <c r="R1303" i="1"/>
  <c r="R1327" i="1"/>
  <c r="R1301" i="1"/>
  <c r="R1326" i="1"/>
  <c r="R1302" i="1"/>
  <c r="R1320" i="1"/>
  <c r="R1305" i="1"/>
  <c r="R1304" i="1"/>
  <c r="R1319" i="1"/>
  <c r="R1300" i="1"/>
  <c r="R1296" i="1"/>
  <c r="R1297" i="1"/>
  <c r="R1299" i="1"/>
  <c r="R1325" i="1"/>
  <c r="R1322" i="1"/>
  <c r="R1295" i="1"/>
  <c r="R1324" i="1"/>
  <c r="M2121" i="1"/>
  <c r="R2076" i="246"/>
  <c r="U721" i="246"/>
  <c r="R2279" i="246"/>
  <c r="R2261" i="246" s="1"/>
  <c r="O2055" i="246"/>
  <c r="U704" i="246"/>
  <c r="U772" i="246"/>
  <c r="R2525" i="246"/>
  <c r="R2512" i="246"/>
  <c r="R2531" i="246"/>
  <c r="R2517" i="246"/>
  <c r="R2528" i="246"/>
  <c r="R2515" i="246"/>
  <c r="R2513" i="246"/>
  <c r="R2520" i="246"/>
  <c r="R2518" i="246"/>
  <c r="R2511" i="246"/>
  <c r="R2516" i="246"/>
  <c r="R2510" i="246"/>
  <c r="R2526" i="246"/>
  <c r="R2514" i="246"/>
  <c r="R2533" i="246"/>
  <c r="R2519" i="246"/>
  <c r="R2530" i="246"/>
  <c r="R2532" i="246"/>
  <c r="R2529" i="246"/>
  <c r="U702" i="246"/>
  <c r="U750" i="246"/>
  <c r="R2241" i="246"/>
  <c r="R2227" i="246"/>
  <c r="R2228" i="246"/>
  <c r="R2242" i="246"/>
  <c r="R2230" i="246"/>
  <c r="R2249" i="246"/>
  <c r="R2248" i="246"/>
  <c r="R2229" i="246"/>
  <c r="R2244" i="246"/>
  <c r="R2232" i="246"/>
  <c r="R2234" i="246"/>
  <c r="R2246" i="246"/>
  <c r="R2245" i="246"/>
  <c r="R2231" i="246"/>
  <c r="R2226" i="246"/>
  <c r="R2235" i="246"/>
  <c r="R2247" i="246"/>
  <c r="R2233" i="246"/>
  <c r="R2236" i="246"/>
  <c r="R2470" i="246"/>
  <c r="O2365" i="1"/>
  <c r="M2374" i="1"/>
  <c r="R2374" i="1" s="1"/>
  <c r="M2373" i="1"/>
  <c r="R2373" i="1" s="1"/>
  <c r="R2603" i="1"/>
  <c r="R2622" i="1"/>
  <c r="R2579" i="1"/>
  <c r="R2596" i="1"/>
  <c r="E194" i="231"/>
  <c r="F194" i="231" s="1"/>
  <c r="G194" i="231" s="1"/>
  <c r="R2605" i="1"/>
  <c r="R2621" i="1"/>
  <c r="R2625" i="1"/>
  <c r="R2607" i="1"/>
  <c r="R2618" i="1"/>
  <c r="R2611" i="1"/>
  <c r="V721" i="1"/>
  <c r="R2609" i="1"/>
  <c r="R2624" i="1"/>
  <c r="R2604" i="1"/>
  <c r="R2623" i="1"/>
  <c r="R2602" i="1"/>
  <c r="R2626" i="1"/>
  <c r="R2606" i="1"/>
  <c r="R2610" i="1"/>
  <c r="R2619" i="1"/>
  <c r="R2601" i="1"/>
  <c r="R2608" i="1"/>
  <c r="R2847" i="1"/>
  <c r="R2844" i="1"/>
  <c r="R762" i="1"/>
  <c r="M2346" i="1"/>
  <c r="V702" i="1" s="1"/>
  <c r="G16" i="168"/>
  <c r="G17" i="168"/>
  <c r="H8" i="168"/>
  <c r="R2199" i="1"/>
  <c r="S2199" i="1"/>
  <c r="R2198" i="1"/>
  <c r="S2198" i="1"/>
  <c r="R2200" i="1"/>
  <c r="S2200" i="1"/>
  <c r="E354" i="4"/>
  <c r="E349" i="4"/>
  <c r="V719" i="1"/>
  <c r="O1379" i="1"/>
  <c r="V700" i="1"/>
  <c r="X630" i="1"/>
  <c r="I186" i="5"/>
  <c r="R2592" i="1"/>
  <c r="R2581" i="1"/>
  <c r="R2580" i="1"/>
  <c r="R2582" i="1"/>
  <c r="R2599" i="1"/>
  <c r="R2577" i="1"/>
  <c r="R2597" i="1"/>
  <c r="R2600" i="1"/>
  <c r="R2578" i="1"/>
  <c r="R2593" i="1"/>
  <c r="R2598" i="1"/>
  <c r="R2587" i="1"/>
  <c r="R2595" i="1"/>
  <c r="R2585" i="1"/>
  <c r="R2584" i="1"/>
  <c r="R2583" i="1"/>
  <c r="R2586" i="1"/>
  <c r="N187" i="5"/>
  <c r="Y846" i="246" s="1"/>
  <c r="U613" i="1" l="1"/>
  <c r="AB844" i="1"/>
  <c r="R1680" i="246"/>
  <c r="R1675" i="246"/>
  <c r="R1718" i="246"/>
  <c r="R1679" i="246"/>
  <c r="R1674" i="246"/>
  <c r="R1685" i="246"/>
  <c r="R1676" i="246"/>
  <c r="R1678" i="246"/>
  <c r="R1720" i="246"/>
  <c r="R1681" i="246"/>
  <c r="R1677" i="246"/>
  <c r="R1719" i="246"/>
  <c r="R1704" i="246"/>
  <c r="R1684" i="246"/>
  <c r="R1690" i="246"/>
  <c r="R1695" i="246"/>
  <c r="R1712" i="246"/>
  <c r="R1709" i="246"/>
  <c r="R1713" i="246"/>
  <c r="R1696" i="246"/>
  <c r="R1693" i="246"/>
  <c r="R1689" i="246"/>
  <c r="R1717" i="246"/>
  <c r="R1707" i="246"/>
  <c r="R1686" i="246"/>
  <c r="R1710" i="246"/>
  <c r="R1705" i="246"/>
  <c r="R1698" i="246"/>
  <c r="R1702" i="246"/>
  <c r="R1715" i="246"/>
  <c r="R1714" i="246"/>
  <c r="R1711" i="246"/>
  <c r="R1706" i="246"/>
  <c r="R1694" i="246"/>
  <c r="R1692" i="246"/>
  <c r="R1691" i="246"/>
  <c r="R1703" i="246"/>
  <c r="R1699" i="246"/>
  <c r="R1687" i="246"/>
  <c r="R1700" i="246"/>
  <c r="R1708" i="246"/>
  <c r="R1688" i="246"/>
  <c r="R1701" i="246"/>
  <c r="R1697" i="246"/>
  <c r="R1716" i="246"/>
  <c r="K1709" i="246"/>
  <c r="K1698" i="246"/>
  <c r="H1698" i="246"/>
  <c r="H1709" i="246"/>
  <c r="R2121" i="1"/>
  <c r="R2055" i="246"/>
  <c r="R2277" i="246"/>
  <c r="R2251" i="246"/>
  <c r="R2250" i="246"/>
  <c r="R2283" i="246"/>
  <c r="R2285" i="246"/>
  <c r="R2258" i="246"/>
  <c r="R2255" i="246"/>
  <c r="R2260" i="246"/>
  <c r="R2253" i="246"/>
  <c r="R2256" i="246"/>
  <c r="R2284" i="246"/>
  <c r="R2259" i="246"/>
  <c r="R2257" i="246"/>
  <c r="R2280" i="246"/>
  <c r="R2281" i="246"/>
  <c r="R2278" i="246"/>
  <c r="R2282" i="246"/>
  <c r="R2252" i="246"/>
  <c r="R2254" i="246"/>
  <c r="O2366" i="1"/>
  <c r="O2382" i="1" s="1"/>
  <c r="E195" i="231"/>
  <c r="F195" i="231" s="1"/>
  <c r="G195" i="231" s="1"/>
  <c r="R2845" i="1"/>
  <c r="V770" i="1"/>
  <c r="H9" i="168"/>
  <c r="H24" i="168" s="1"/>
  <c r="H28" i="168" s="1"/>
  <c r="H30" i="168" s="1"/>
  <c r="R2346" i="1"/>
  <c r="R2328" i="1" s="1"/>
  <c r="U628" i="1"/>
  <c r="R628" i="1"/>
  <c r="O709" i="1"/>
  <c r="O2846" i="1"/>
  <c r="R1379" i="1"/>
  <c r="O1375" i="1"/>
  <c r="X810" i="1" s="1"/>
  <c r="I187" i="5"/>
  <c r="O2832" i="1"/>
  <c r="O616" i="1" l="1"/>
  <c r="J233" i="5"/>
  <c r="L233" i="5" s="1"/>
  <c r="J13" i="5"/>
  <c r="L13" i="5" s="1"/>
  <c r="J5" i="5"/>
  <c r="L5" i="5" s="1"/>
  <c r="U2363" i="1"/>
  <c r="O2386" i="1" s="1"/>
  <c r="X709" i="1" s="1"/>
  <c r="E196" i="231"/>
  <c r="F196" i="231" s="1"/>
  <c r="G196" i="231" s="1"/>
  <c r="R629" i="1"/>
  <c r="R2327" i="1"/>
  <c r="R2319" i="1"/>
  <c r="R2325" i="1"/>
  <c r="R2345" i="1"/>
  <c r="R2321" i="1"/>
  <c r="R2351" i="1"/>
  <c r="R2350" i="1"/>
  <c r="R2318" i="1"/>
  <c r="R2323" i="1"/>
  <c r="R2324" i="1"/>
  <c r="R2348" i="1"/>
  <c r="R2349" i="1"/>
  <c r="R2352" i="1"/>
  <c r="R2320" i="1"/>
  <c r="R2347" i="1"/>
  <c r="R2322" i="1"/>
  <c r="R2317" i="1"/>
  <c r="R2344" i="1"/>
  <c r="R2326" i="1"/>
  <c r="U1375" i="1"/>
  <c r="O1406" i="1" s="1"/>
  <c r="R1375" i="1"/>
  <c r="U2943" i="1"/>
  <c r="R2943" i="1"/>
  <c r="R2944" i="1" s="1"/>
  <c r="E26" i="248" l="1"/>
  <c r="E21" i="248"/>
  <c r="F27" i="80"/>
  <c r="F33" i="80" s="1"/>
  <c r="C35" i="248"/>
  <c r="M1626" i="1"/>
  <c r="S1626" i="1" s="1"/>
  <c r="M1623" i="1" s="1"/>
  <c r="R1623" i="1" s="1"/>
  <c r="O1588" i="246"/>
  <c r="O2754" i="246"/>
  <c r="R2754" i="246" s="1"/>
  <c r="O1141" i="246"/>
  <c r="M1179" i="1"/>
  <c r="O611" i="246"/>
  <c r="M611" i="1"/>
  <c r="C8" i="234" s="1"/>
  <c r="C23" i="248"/>
  <c r="E404" i="5" s="1"/>
  <c r="D2" i="5" s="1"/>
  <c r="M2821" i="1"/>
  <c r="M2814" i="1"/>
  <c r="O2747" i="246"/>
  <c r="E197" i="231"/>
  <c r="F197" i="231" s="1"/>
  <c r="G197" i="231" s="1"/>
  <c r="X628" i="1"/>
  <c r="R1406" i="1"/>
  <c r="R1366" i="1" s="1"/>
  <c r="R1395" i="1"/>
  <c r="R1394" i="1"/>
  <c r="R1377" i="1"/>
  <c r="R1376" i="1"/>
  <c r="C9" i="248" l="1"/>
  <c r="C10" i="248" s="1"/>
  <c r="R2821" i="1"/>
  <c r="R1626" i="1"/>
  <c r="R1588" i="246"/>
  <c r="S1588" i="246"/>
  <c r="O1585" i="246" s="1"/>
  <c r="R1585" i="246" s="1"/>
  <c r="R1625" i="1"/>
  <c r="R1629" i="1"/>
  <c r="R1624" i="1"/>
  <c r="R1628" i="1"/>
  <c r="O1150" i="246"/>
  <c r="U611" i="246" s="1"/>
  <c r="R1141" i="246"/>
  <c r="M1188" i="1"/>
  <c r="V611" i="1" s="1"/>
  <c r="R1179" i="1"/>
  <c r="S2747" i="246"/>
  <c r="R2747" i="246"/>
  <c r="R2748" i="246" s="1"/>
  <c r="S611" i="1"/>
  <c r="O483" i="1"/>
  <c r="M483" i="1" s="1"/>
  <c r="D64" i="234"/>
  <c r="O483" i="246"/>
  <c r="S611" i="246"/>
  <c r="S2814" i="1"/>
  <c r="R2814" i="1"/>
  <c r="R2815" i="1" s="1"/>
  <c r="R1356" i="1"/>
  <c r="R1408" i="1"/>
  <c r="E198" i="231"/>
  <c r="F198" i="231" s="1"/>
  <c r="G198" i="231" s="1"/>
  <c r="R1407" i="1"/>
  <c r="R1361" i="1"/>
  <c r="R1363" i="1"/>
  <c r="R1357" i="1"/>
  <c r="R1404" i="1"/>
  <c r="R1358" i="1"/>
  <c r="R1355" i="1"/>
  <c r="R1412" i="1"/>
  <c r="R1409" i="1"/>
  <c r="R1411" i="1"/>
  <c r="R1362" i="1"/>
  <c r="R1410" i="1"/>
  <c r="R1359" i="1"/>
  <c r="R1364" i="1"/>
  <c r="R1365" i="1" s="1"/>
  <c r="R1360" i="1"/>
  <c r="R1354" i="1"/>
  <c r="R1405" i="1"/>
  <c r="R1586" i="246" l="1"/>
  <c r="R1590" i="246"/>
  <c r="R1587" i="246"/>
  <c r="R1591" i="246"/>
  <c r="H78" i="234"/>
  <c r="E199" i="231"/>
  <c r="F199" i="231" s="1"/>
  <c r="G199" i="231" s="1"/>
  <c r="E200" i="231" l="1"/>
  <c r="F200" i="231" s="1"/>
  <c r="G200" i="231" s="1"/>
  <c r="E201" i="231" l="1"/>
  <c r="F201" i="231" s="1"/>
  <c r="G201" i="231" s="1"/>
  <c r="E202" i="231" l="1"/>
  <c r="F202" i="231" s="1"/>
  <c r="G202" i="231" s="1"/>
  <c r="E203" i="231" l="1"/>
  <c r="F203" i="231" s="1"/>
  <c r="G203" i="231" s="1"/>
  <c r="E204" i="231" l="1"/>
  <c r="F204" i="231" s="1"/>
  <c r="G204" i="231" s="1"/>
  <c r="E205" i="231" l="1"/>
  <c r="F205" i="231" s="1"/>
  <c r="G205" i="231" s="1"/>
  <c r="E206" i="231" l="1"/>
  <c r="F206" i="231" s="1"/>
  <c r="G206" i="231" s="1"/>
  <c r="J151" i="5"/>
  <c r="L151" i="5" s="1"/>
  <c r="O1393" i="246" s="1"/>
  <c r="R1393" i="246" s="1"/>
  <c r="J144" i="5"/>
  <c r="L144" i="5" s="1"/>
  <c r="L186" i="5"/>
  <c r="J150" i="5"/>
  <c r="L150" i="5" s="1"/>
  <c r="O1392" i="246" s="1"/>
  <c r="R1392" i="246" s="1"/>
  <c r="J146" i="5"/>
  <c r="L146" i="5" s="1"/>
  <c r="O1388" i="246" s="1"/>
  <c r="R1388" i="246" s="1"/>
  <c r="M2945" i="1" l="1"/>
  <c r="O2877" i="246"/>
  <c r="M822" i="1"/>
  <c r="R822" i="1" s="1"/>
  <c r="M630" i="1"/>
  <c r="O2723" i="246"/>
  <c r="G528" i="4"/>
  <c r="O2790" i="1"/>
  <c r="M2723" i="246"/>
  <c r="H528" i="4"/>
  <c r="M2790" i="1"/>
  <c r="O1386" i="246"/>
  <c r="O824" i="246"/>
  <c r="O630" i="246"/>
  <c r="O2298" i="246"/>
  <c r="M2365" i="1"/>
  <c r="R2365" i="1" s="1"/>
  <c r="J187" i="5"/>
  <c r="L187" i="5" s="1"/>
  <c r="O2299" i="246" s="1"/>
  <c r="R2299" i="246" s="1"/>
  <c r="J24" i="5"/>
  <c r="L24" i="5" s="1"/>
  <c r="E207" i="231"/>
  <c r="F207" i="231" s="1"/>
  <c r="G207" i="231" s="1"/>
  <c r="M1432" i="1"/>
  <c r="R1432" i="1" s="1"/>
  <c r="M1425" i="1"/>
  <c r="R1425" i="1" s="1"/>
  <c r="J197" i="5"/>
  <c r="L197" i="5" s="1"/>
  <c r="O2309" i="246" s="1"/>
  <c r="R2309" i="246" s="1"/>
  <c r="M1431" i="1"/>
  <c r="R1431" i="1" s="1"/>
  <c r="G8" i="168"/>
  <c r="J103" i="5"/>
  <c r="L103" i="5" s="1"/>
  <c r="L199" i="5"/>
  <c r="O2311" i="246" s="1"/>
  <c r="R2311" i="246" s="1"/>
  <c r="E309" i="4"/>
  <c r="J204" i="5"/>
  <c r="M1427" i="1"/>
  <c r="C2718" i="246" l="1"/>
  <c r="C2719" i="246"/>
  <c r="C2785" i="1"/>
  <c r="C2786" i="1"/>
  <c r="E91" i="248"/>
  <c r="C91" i="248"/>
  <c r="M818" i="1"/>
  <c r="S822" i="1"/>
  <c r="R2723" i="246"/>
  <c r="R2790" i="1"/>
  <c r="R2720" i="246"/>
  <c r="R2721" i="246" s="1"/>
  <c r="R2787" i="1"/>
  <c r="R2788" i="1" s="1"/>
  <c r="O2838" i="246"/>
  <c r="S824" i="246"/>
  <c r="R824" i="246"/>
  <c r="O820" i="246"/>
  <c r="R1386" i="246"/>
  <c r="O1432" i="246"/>
  <c r="R1432" i="246" s="1"/>
  <c r="R1385" i="246" s="1"/>
  <c r="R630" i="246"/>
  <c r="S630" i="246"/>
  <c r="S2877" i="246"/>
  <c r="R2877" i="246"/>
  <c r="R2298" i="246"/>
  <c r="M2376" i="1"/>
  <c r="R2376" i="1" s="1"/>
  <c r="M2378" i="1"/>
  <c r="R2378" i="1" s="1"/>
  <c r="M2366" i="1"/>
  <c r="R2366" i="1" s="1"/>
  <c r="E208" i="231"/>
  <c r="F208" i="231" s="1"/>
  <c r="G208" i="231" s="1"/>
  <c r="G19" i="168"/>
  <c r="E364" i="4"/>
  <c r="G9" i="168"/>
  <c r="M2907" i="1"/>
  <c r="G21" i="168"/>
  <c r="E374" i="4"/>
  <c r="E314" i="4"/>
  <c r="S2945" i="1"/>
  <c r="R2945" i="1"/>
  <c r="R1427" i="1"/>
  <c r="M1471" i="1"/>
  <c r="V822" i="1" s="1"/>
  <c r="S630" i="1"/>
  <c r="R630" i="1"/>
  <c r="R1436" i="246" l="1"/>
  <c r="R1381" i="246"/>
  <c r="R1433" i="246"/>
  <c r="R1382" i="246"/>
  <c r="R1380" i="246"/>
  <c r="R1375" i="246"/>
  <c r="R1377" i="246"/>
  <c r="R1434" i="246"/>
  <c r="R1430" i="246"/>
  <c r="R1376" i="246"/>
  <c r="R1374" i="246"/>
  <c r="R1384" i="246"/>
  <c r="R1383" i="246"/>
  <c r="R1437" i="246"/>
  <c r="R1379" i="246"/>
  <c r="R1431" i="246"/>
  <c r="R1378" i="246"/>
  <c r="R1435" i="246"/>
  <c r="R631" i="246"/>
  <c r="U630" i="246"/>
  <c r="U824" i="246"/>
  <c r="R2838" i="246"/>
  <c r="R1471" i="1"/>
  <c r="E209" i="231"/>
  <c r="F209" i="231" s="1"/>
  <c r="G209" i="231" s="1"/>
  <c r="R631" i="1"/>
  <c r="R2907" i="1"/>
  <c r="V630" i="1"/>
  <c r="R1415" i="1" l="1"/>
  <c r="R1424" i="1"/>
  <c r="R1417" i="1"/>
  <c r="R1476" i="1"/>
  <c r="R1472" i="1"/>
  <c r="R1473" i="1"/>
  <c r="R1413" i="1"/>
  <c r="R1470" i="1"/>
  <c r="R1414" i="1"/>
  <c r="R1419" i="1"/>
  <c r="R1416" i="1"/>
  <c r="R1421" i="1"/>
  <c r="R1423" i="1"/>
  <c r="R1474" i="1"/>
  <c r="R1418" i="1"/>
  <c r="R1469" i="1"/>
  <c r="R1422" i="1"/>
  <c r="R1420" i="1"/>
  <c r="R1475" i="1"/>
  <c r="E210" i="231"/>
  <c r="F210" i="231" s="1"/>
  <c r="G210" i="231" s="1"/>
  <c r="E211" i="231" l="1"/>
  <c r="F211" i="231" s="1"/>
  <c r="G211" i="231" s="1"/>
  <c r="E212" i="231" l="1"/>
  <c r="F212" i="231" s="1"/>
  <c r="G212" i="231" s="1"/>
  <c r="E213" i="231" l="1"/>
  <c r="F213" i="231" s="1"/>
  <c r="G213" i="231" s="1"/>
  <c r="J76" i="26"/>
  <c r="J196" i="5" s="1"/>
  <c r="L196" i="5" s="1"/>
  <c r="O2308" i="246" s="1"/>
  <c r="R2308" i="246" s="1"/>
  <c r="J77" i="26"/>
  <c r="M2375" i="1" l="1"/>
  <c r="R2375" i="1" s="1"/>
  <c r="E359" i="4"/>
  <c r="G18" i="168"/>
  <c r="E214" i="231"/>
  <c r="F214" i="231" s="1"/>
  <c r="G214" i="231" s="1"/>
  <c r="J47" i="26"/>
  <c r="J250" i="5" s="1"/>
  <c r="L250" i="5" s="1"/>
  <c r="U19" i="89" s="1"/>
  <c r="U20" i="89" s="1"/>
  <c r="J46" i="26"/>
  <c r="N111" i="5"/>
  <c r="O622" i="1" s="1"/>
  <c r="N281" i="5"/>
  <c r="M1743" i="1" s="1"/>
  <c r="M1845" i="1" l="1"/>
  <c r="R1845" i="1" s="1"/>
  <c r="O1780" i="246"/>
  <c r="O1790" i="246"/>
  <c r="M1855" i="1"/>
  <c r="M672" i="1"/>
  <c r="O674" i="246"/>
  <c r="Q20" i="89"/>
  <c r="M1751" i="1"/>
  <c r="M1773" i="1" s="1"/>
  <c r="M1746" i="1"/>
  <c r="O1743" i="1"/>
  <c r="O1344" i="1"/>
  <c r="E215" i="231"/>
  <c r="F215" i="231" s="1"/>
  <c r="G215" i="231" s="1"/>
  <c r="J231" i="5"/>
  <c r="L231" i="5" s="1"/>
  <c r="J192" i="5"/>
  <c r="L192" i="5" s="1"/>
  <c r="I280" i="5"/>
  <c r="L280" i="5" s="1"/>
  <c r="M1692" i="246" s="1"/>
  <c r="O671" i="1"/>
  <c r="O2912" i="1"/>
  <c r="D720" i="1" l="1"/>
  <c r="D722" i="246"/>
  <c r="C2363" i="1"/>
  <c r="C2296" i="246"/>
  <c r="L19" i="89"/>
  <c r="L20" i="89" s="1"/>
  <c r="D833" i="246"/>
  <c r="D831" i="1"/>
  <c r="S1845" i="1"/>
  <c r="M1841" i="1" s="1"/>
  <c r="R1841" i="1" s="1"/>
  <c r="R1843" i="1" s="1"/>
  <c r="R674" i="246"/>
  <c r="R672" i="1"/>
  <c r="R1780" i="246"/>
  <c r="S1780" i="246"/>
  <c r="O833" i="246"/>
  <c r="M831" i="1"/>
  <c r="M1618" i="1"/>
  <c r="S1618" i="1" s="1"/>
  <c r="O1580" i="246"/>
  <c r="S1580" i="246" s="1"/>
  <c r="M844" i="1"/>
  <c r="AA844" i="1"/>
  <c r="AC844" i="1" s="1"/>
  <c r="O1751" i="1"/>
  <c r="O1746" i="1"/>
  <c r="M1757" i="1"/>
  <c r="M1768" i="1"/>
  <c r="M1714" i="246"/>
  <c r="M1687" i="246"/>
  <c r="O1692" i="246"/>
  <c r="D709" i="1"/>
  <c r="D711" i="246"/>
  <c r="O2304" i="246"/>
  <c r="X846" i="246"/>
  <c r="Z846" i="246" s="1"/>
  <c r="O711" i="246"/>
  <c r="O846" i="246"/>
  <c r="O673" i="246"/>
  <c r="R673" i="246" s="1"/>
  <c r="M2371" i="1"/>
  <c r="E216" i="231"/>
  <c r="F216" i="231" s="1"/>
  <c r="G216" i="231" s="1"/>
  <c r="E339" i="4"/>
  <c r="G14" i="168"/>
  <c r="G24" i="168" s="1"/>
  <c r="G28" i="168" s="1"/>
  <c r="G30" i="168" s="1"/>
  <c r="M709" i="1"/>
  <c r="U622" i="1"/>
  <c r="R2912" i="1"/>
  <c r="O2901" i="1"/>
  <c r="M671" i="1"/>
  <c r="R671" i="1" s="1"/>
  <c r="R1344" i="1"/>
  <c r="R1842" i="1" l="1"/>
  <c r="R1847" i="1"/>
  <c r="R1846" i="1"/>
  <c r="M1850" i="1"/>
  <c r="O1785" i="246"/>
  <c r="U1851" i="246" s="1"/>
  <c r="O1776" i="246"/>
  <c r="R1776" i="246" s="1"/>
  <c r="S831" i="1"/>
  <c r="R831" i="1"/>
  <c r="S844" i="1"/>
  <c r="Z844" i="1"/>
  <c r="R844" i="1"/>
  <c r="Y844" i="1"/>
  <c r="X1746" i="1"/>
  <c r="X1754" i="1"/>
  <c r="O1757" i="1"/>
  <c r="O1768" i="1"/>
  <c r="V1768" i="1" s="1"/>
  <c r="X1751" i="1"/>
  <c r="O1773" i="1"/>
  <c r="V1773" i="1" s="1"/>
  <c r="M1698" i="246"/>
  <c r="M1709" i="246"/>
  <c r="O1714" i="246"/>
  <c r="U1714" i="246" s="1"/>
  <c r="O1687" i="246"/>
  <c r="X671" i="1"/>
  <c r="S833" i="246"/>
  <c r="R833" i="246"/>
  <c r="R711" i="246"/>
  <c r="S846" i="246"/>
  <c r="W846" i="246"/>
  <c r="D846" i="246" s="1"/>
  <c r="R846" i="246"/>
  <c r="R2304" i="246"/>
  <c r="O2315" i="246"/>
  <c r="R2319" i="246"/>
  <c r="R2297" i="246" s="1"/>
  <c r="S2296" i="246"/>
  <c r="O2319" i="246" s="1"/>
  <c r="U711" i="246" s="1"/>
  <c r="R2386" i="1"/>
  <c r="R2364" i="1" s="1"/>
  <c r="M2382" i="1"/>
  <c r="R2371" i="1"/>
  <c r="R709" i="1"/>
  <c r="E217" i="231"/>
  <c r="F217" i="231" s="1"/>
  <c r="G217" i="231" s="1"/>
  <c r="S2363" i="1"/>
  <c r="M2386" i="1" s="1"/>
  <c r="U2901" i="1"/>
  <c r="V1850" i="1" l="1"/>
  <c r="V1916" i="1"/>
  <c r="V672" i="1"/>
  <c r="R1782" i="246"/>
  <c r="R1781" i="246"/>
  <c r="R1778" i="246"/>
  <c r="R1777" i="246"/>
  <c r="U1785" i="246"/>
  <c r="U674" i="246"/>
  <c r="D844" i="1"/>
  <c r="O1709" i="246"/>
  <c r="U1717" i="246" s="1"/>
  <c r="U1687" i="246"/>
  <c r="O1698" i="246"/>
  <c r="R2322" i="246"/>
  <c r="R2323" i="246"/>
  <c r="R2287" i="246"/>
  <c r="R2292" i="246"/>
  <c r="R2294" i="246"/>
  <c r="R2290" i="246"/>
  <c r="R2324" i="246"/>
  <c r="R2325" i="246"/>
  <c r="R2295" i="246"/>
  <c r="R2293" i="246"/>
  <c r="R2320" i="246"/>
  <c r="R2318" i="246"/>
  <c r="R2291" i="246"/>
  <c r="R2288" i="246"/>
  <c r="R2289" i="246"/>
  <c r="R2321" i="246"/>
  <c r="R2286" i="246"/>
  <c r="R2296" i="246"/>
  <c r="R2317" i="246"/>
  <c r="R2384" i="1"/>
  <c r="R2362" i="1"/>
  <c r="R2356" i="1"/>
  <c r="R2354" i="1"/>
  <c r="R2363" i="1"/>
  <c r="R2392" i="1"/>
  <c r="R2387" i="1"/>
  <c r="R2355" i="1"/>
  <c r="R2389" i="1"/>
  <c r="R2360" i="1"/>
  <c r="R2358" i="1"/>
  <c r="R2357" i="1"/>
  <c r="R2391" i="1"/>
  <c r="R2388" i="1"/>
  <c r="R2353" i="1"/>
  <c r="R2385" i="1"/>
  <c r="R2390" i="1"/>
  <c r="R2361" i="1"/>
  <c r="R2359" i="1"/>
  <c r="E218" i="231"/>
  <c r="F218" i="231" s="1"/>
  <c r="G218" i="231" s="1"/>
  <c r="V709" i="1"/>
  <c r="U1709" i="246" l="1"/>
  <c r="V671" i="1"/>
  <c r="U673" i="246"/>
  <c r="E219" i="231"/>
  <c r="F219" i="231" s="1"/>
  <c r="G219" i="231" s="1"/>
  <c r="E220" i="231" l="1"/>
  <c r="F220" i="231" s="1"/>
  <c r="G220" i="231" s="1"/>
  <c r="N212" i="5"/>
  <c r="E221" i="231" l="1"/>
  <c r="F221" i="231" s="1"/>
  <c r="G221" i="231" s="1"/>
  <c r="O2414" i="1"/>
  <c r="H17" i="169"/>
  <c r="I212" i="5"/>
  <c r="L212" i="5" s="1"/>
  <c r="O2347" i="246" l="1"/>
  <c r="R2347" i="246" s="1"/>
  <c r="E222" i="231"/>
  <c r="F222" i="231" s="1"/>
  <c r="G222" i="231" s="1"/>
  <c r="M2414" i="1"/>
  <c r="R2414" i="1" s="1"/>
  <c r="G17" i="169"/>
  <c r="N368" i="5"/>
  <c r="N358" i="5"/>
  <c r="N184" i="5"/>
  <c r="O2255" i="1" l="1"/>
  <c r="O2263" i="1" s="1"/>
  <c r="X2263" i="1" s="1"/>
  <c r="M854" i="1"/>
  <c r="V853" i="1" s="1"/>
  <c r="X858" i="1"/>
  <c r="O856" i="246"/>
  <c r="H13" i="178"/>
  <c r="H19" i="178" s="1"/>
  <c r="H21" i="178" s="1"/>
  <c r="O2226" i="1"/>
  <c r="O2234" i="1" s="1"/>
  <c r="E223" i="231"/>
  <c r="F223" i="231" s="1"/>
  <c r="G223" i="231" s="1"/>
  <c r="H19" i="206"/>
  <c r="N345" i="5"/>
  <c r="N360" i="5"/>
  <c r="O2193" i="1" s="1"/>
  <c r="N399" i="5"/>
  <c r="O776" i="1"/>
  <c r="I358" i="5"/>
  <c r="O2171" i="1"/>
  <c r="O2174" i="1" s="1"/>
  <c r="O684" i="1"/>
  <c r="O2563" i="1"/>
  <c r="O2570" i="1" s="1"/>
  <c r="I368" i="5"/>
  <c r="L368" i="5" s="1"/>
  <c r="O686" i="1"/>
  <c r="O718" i="1"/>
  <c r="C2184" i="246" l="1"/>
  <c r="C2185" i="246"/>
  <c r="R2185" i="246" s="1"/>
  <c r="C2251" i="1"/>
  <c r="C2252" i="1"/>
  <c r="R2252" i="1" s="1"/>
  <c r="C2493" i="246"/>
  <c r="C2560" i="1"/>
  <c r="O2188" i="246"/>
  <c r="M2255" i="1"/>
  <c r="R848" i="246"/>
  <c r="AC846" i="1"/>
  <c r="H22" i="229"/>
  <c r="H32" i="229" s="1"/>
  <c r="H34" i="229" s="1"/>
  <c r="AB834" i="1"/>
  <c r="O2122" i="1"/>
  <c r="O2108" i="1" s="1"/>
  <c r="U2108" i="1" s="1"/>
  <c r="O2148" i="1" s="1"/>
  <c r="Y836" i="246"/>
  <c r="Z848" i="246"/>
  <c r="D720" i="246"/>
  <c r="O2159" i="246"/>
  <c r="R2159" i="246" s="1"/>
  <c r="M2226" i="1"/>
  <c r="R2226" i="1" s="1"/>
  <c r="D718" i="1"/>
  <c r="M686" i="1"/>
  <c r="D39" i="234" s="1"/>
  <c r="O688" i="246"/>
  <c r="G13" i="178"/>
  <c r="G19" i="178" s="1"/>
  <c r="G21" i="178" s="1"/>
  <c r="O2496" i="246"/>
  <c r="O720" i="246"/>
  <c r="E224" i="231"/>
  <c r="F224" i="231" s="1"/>
  <c r="G224" i="231" s="1"/>
  <c r="X718" i="1"/>
  <c r="H28" i="187"/>
  <c r="O685" i="1"/>
  <c r="I360" i="5"/>
  <c r="L360" i="5" s="1"/>
  <c r="X684" i="1"/>
  <c r="M2563" i="1"/>
  <c r="M718" i="1"/>
  <c r="X686" i="1"/>
  <c r="O2202" i="1"/>
  <c r="U2202" i="1" s="1"/>
  <c r="I399" i="5"/>
  <c r="L399" i="5" s="1"/>
  <c r="O804" i="246" s="1"/>
  <c r="O2540" i="1"/>
  <c r="O2543" i="1" s="1"/>
  <c r="O717" i="1"/>
  <c r="I345" i="5"/>
  <c r="L345" i="5" s="1"/>
  <c r="O677" i="1"/>
  <c r="S804" i="246" l="1"/>
  <c r="M802" i="1"/>
  <c r="S802" i="1" s="1"/>
  <c r="O2126" i="246"/>
  <c r="M2193" i="1"/>
  <c r="R2188" i="246"/>
  <c r="O2196" i="246"/>
  <c r="M2263" i="1"/>
  <c r="R2263" i="1" s="1"/>
  <c r="R2250" i="1" s="1"/>
  <c r="R2255" i="1"/>
  <c r="M801" i="1"/>
  <c r="S801" i="1" s="1"/>
  <c r="O803" i="246"/>
  <c r="O2683" i="246"/>
  <c r="W2683" i="246" s="1"/>
  <c r="C2683" i="246" s="1"/>
  <c r="S846" i="1"/>
  <c r="Y846" i="1"/>
  <c r="Z846" i="1"/>
  <c r="R846" i="1"/>
  <c r="E291" i="4"/>
  <c r="G22" i="229"/>
  <c r="H37" i="234"/>
  <c r="G37" i="234"/>
  <c r="M2122" i="1"/>
  <c r="W848" i="246"/>
  <c r="D848" i="246" s="1"/>
  <c r="S848" i="246"/>
  <c r="O2473" i="246"/>
  <c r="O2135" i="246"/>
  <c r="O719" i="246"/>
  <c r="O687" i="246"/>
  <c r="O2056" i="246"/>
  <c r="C2042" i="246" s="1"/>
  <c r="R688" i="246"/>
  <c r="R2496" i="246"/>
  <c r="O2503" i="246"/>
  <c r="R2503" i="246" s="1"/>
  <c r="R2494" i="246" s="1"/>
  <c r="R2158" i="246"/>
  <c r="O2167" i="246"/>
  <c r="R2167" i="246" s="1"/>
  <c r="R720" i="246"/>
  <c r="O2682" i="246"/>
  <c r="W2682" i="246" s="1"/>
  <c r="C2682" i="246" s="1"/>
  <c r="M2750" i="1"/>
  <c r="E225" i="231"/>
  <c r="F225" i="231" s="1"/>
  <c r="G225" i="231" s="1"/>
  <c r="O2197" i="1"/>
  <c r="U2193" i="1"/>
  <c r="O2205" i="1" s="1"/>
  <c r="X685" i="1" s="1"/>
  <c r="X717" i="1"/>
  <c r="G28" i="187"/>
  <c r="M685" i="1"/>
  <c r="D36" i="234" s="1"/>
  <c r="X677" i="1"/>
  <c r="M2540" i="1"/>
  <c r="M2202" i="1"/>
  <c r="G38" i="80"/>
  <c r="G57" i="80" s="1"/>
  <c r="H57" i="80" s="1"/>
  <c r="M717" i="1"/>
  <c r="H29" i="234" s="1"/>
  <c r="R686" i="1"/>
  <c r="M2234" i="1"/>
  <c r="R2234" i="1" s="1"/>
  <c r="M2749" i="1"/>
  <c r="R718" i="1"/>
  <c r="M2570" i="1"/>
  <c r="R2570" i="1" s="1"/>
  <c r="R2563" i="1"/>
  <c r="R2572" i="1" l="1"/>
  <c r="R2561" i="1"/>
  <c r="M2108" i="1"/>
  <c r="R2108" i="1" s="1"/>
  <c r="C2108" i="1"/>
  <c r="R2176" i="246"/>
  <c r="R2179" i="246"/>
  <c r="R2174" i="246"/>
  <c r="R2181" i="246"/>
  <c r="R2180" i="246"/>
  <c r="R2182" i="246"/>
  <c r="R2178" i="246"/>
  <c r="R2177" i="246"/>
  <c r="R2175" i="246"/>
  <c r="R2196" i="246"/>
  <c r="R2183" i="246" s="1"/>
  <c r="R2249" i="1"/>
  <c r="R2245" i="1"/>
  <c r="R2241" i="1"/>
  <c r="R2248" i="1"/>
  <c r="R2244" i="1"/>
  <c r="R2242" i="1"/>
  <c r="R2247" i="1"/>
  <c r="R2243" i="1"/>
  <c r="R2246" i="1"/>
  <c r="R2265" i="1"/>
  <c r="R2264" i="1"/>
  <c r="R2262" i="1"/>
  <c r="R2261" i="1"/>
  <c r="D846" i="1"/>
  <c r="M805" i="1"/>
  <c r="M817" i="1"/>
  <c r="M798" i="1"/>
  <c r="R2122" i="1"/>
  <c r="U688" i="246"/>
  <c r="R719" i="246"/>
  <c r="R687" i="246"/>
  <c r="U720" i="246"/>
  <c r="R2172" i="246"/>
  <c r="R2165" i="246"/>
  <c r="R2169" i="246"/>
  <c r="R2168" i="246"/>
  <c r="R2166" i="246"/>
  <c r="R2170" i="246"/>
  <c r="R2173" i="246"/>
  <c r="R2171" i="246"/>
  <c r="R2056" i="246"/>
  <c r="O2042" i="246"/>
  <c r="S2126" i="246"/>
  <c r="R2126" i="246"/>
  <c r="O2130" i="246"/>
  <c r="R2506" i="246"/>
  <c r="R2505" i="246"/>
  <c r="R2486" i="246"/>
  <c r="R2483" i="246"/>
  <c r="R2504" i="246"/>
  <c r="R2487" i="246"/>
  <c r="R2501" i="246"/>
  <c r="R2491" i="246"/>
  <c r="R2492" i="246"/>
  <c r="R2484" i="246"/>
  <c r="R2508" i="246"/>
  <c r="R2490" i="246"/>
  <c r="R2502" i="246"/>
  <c r="R2488" i="246"/>
  <c r="R2509" i="246"/>
  <c r="R2489" i="246"/>
  <c r="R2485" i="246"/>
  <c r="R2493" i="246"/>
  <c r="R2507" i="246"/>
  <c r="R2135" i="246"/>
  <c r="S2135" i="246"/>
  <c r="S803" i="246"/>
  <c r="O807" i="246"/>
  <c r="R2473" i="246"/>
  <c r="O2476" i="246"/>
  <c r="R2476" i="246" s="1"/>
  <c r="R2467" i="246" s="1"/>
  <c r="S2108" i="1"/>
  <c r="R2236" i="1"/>
  <c r="E226" i="231"/>
  <c r="F226" i="231" s="1"/>
  <c r="G226" i="231" s="1"/>
  <c r="R2552" i="1"/>
  <c r="R2574" i="1"/>
  <c r="S2193" i="1"/>
  <c r="M2197" i="1"/>
  <c r="R2202" i="1"/>
  <c r="S2202" i="1"/>
  <c r="Y2749" i="1"/>
  <c r="Z2749" i="1"/>
  <c r="Y2750" i="1"/>
  <c r="Z2750" i="1"/>
  <c r="V686" i="1"/>
  <c r="R2569" i="1"/>
  <c r="R2556" i="1"/>
  <c r="R2559" i="1"/>
  <c r="R2553" i="1"/>
  <c r="R2557" i="1"/>
  <c r="R2554" i="1"/>
  <c r="R2576" i="1"/>
  <c r="R2575" i="1"/>
  <c r="R2550" i="1"/>
  <c r="R2560" i="1"/>
  <c r="R2571" i="1"/>
  <c r="R2568" i="1"/>
  <c r="R2558" i="1"/>
  <c r="R2555" i="1"/>
  <c r="R2573" i="1"/>
  <c r="R2551" i="1"/>
  <c r="V718" i="1"/>
  <c r="M2543" i="1"/>
  <c r="R2543" i="1" s="1"/>
  <c r="R2534" i="1" s="1"/>
  <c r="R2540" i="1"/>
  <c r="R2193" i="1"/>
  <c r="R2233" i="1"/>
  <c r="R2237" i="1"/>
  <c r="R2235" i="1"/>
  <c r="R2239" i="1"/>
  <c r="R2238" i="1"/>
  <c r="R2240" i="1"/>
  <c r="R2232" i="1"/>
  <c r="R717" i="1"/>
  <c r="R685" i="1"/>
  <c r="R2198" i="246" l="1"/>
  <c r="R2195" i="246"/>
  <c r="R2194" i="246"/>
  <c r="R2197" i="246"/>
  <c r="O819" i="246"/>
  <c r="O2138" i="246"/>
  <c r="R2138" i="246" s="1"/>
  <c r="U719" i="246"/>
  <c r="R2477" i="246"/>
  <c r="R2458" i="246"/>
  <c r="R2460" i="246"/>
  <c r="R2462" i="246"/>
  <c r="R2459" i="246"/>
  <c r="R2475" i="246"/>
  <c r="R2479" i="246"/>
  <c r="R2457" i="246"/>
  <c r="R2478" i="246"/>
  <c r="R2456" i="246"/>
  <c r="R2466" i="246"/>
  <c r="R2465" i="246"/>
  <c r="R2480" i="246"/>
  <c r="R2464" i="246"/>
  <c r="R2481" i="246"/>
  <c r="R2461" i="246"/>
  <c r="R2463" i="246"/>
  <c r="R2474" i="246"/>
  <c r="R2482" i="246"/>
  <c r="O800" i="246"/>
  <c r="S2042" i="246"/>
  <c r="R2042" i="246"/>
  <c r="R2109" i="1"/>
  <c r="R2110" i="1" s="1"/>
  <c r="R2125" i="1"/>
  <c r="R2126" i="1" s="1"/>
  <c r="R2525" i="1"/>
  <c r="R2545" i="1"/>
  <c r="E227" i="231"/>
  <c r="F227" i="231" s="1"/>
  <c r="G227" i="231" s="1"/>
  <c r="M2205" i="1"/>
  <c r="R2205" i="1" s="1"/>
  <c r="C2750" i="1"/>
  <c r="C2749" i="1"/>
  <c r="V717" i="1"/>
  <c r="R2542" i="1"/>
  <c r="R2541" i="1"/>
  <c r="R2524" i="1"/>
  <c r="R2546" i="1"/>
  <c r="R2531" i="1"/>
  <c r="R2548" i="1"/>
  <c r="R2533" i="1"/>
  <c r="R2527" i="1"/>
  <c r="R2523" i="1"/>
  <c r="R2529" i="1"/>
  <c r="R2528" i="1"/>
  <c r="R2547" i="1"/>
  <c r="R2532" i="1"/>
  <c r="R2549" i="1"/>
  <c r="R2530" i="1"/>
  <c r="R2544" i="1"/>
  <c r="R2526" i="1"/>
  <c r="R2130" i="246" l="1"/>
  <c r="R2125" i="246"/>
  <c r="R2197" i="1"/>
  <c r="R2192" i="1"/>
  <c r="R2140" i="246"/>
  <c r="R2207" i="1"/>
  <c r="R2117" i="246"/>
  <c r="R2118" i="246"/>
  <c r="R2137" i="246"/>
  <c r="R2116" i="246"/>
  <c r="R2120" i="246"/>
  <c r="R2119" i="246"/>
  <c r="R2123" i="246"/>
  <c r="R2145" i="246"/>
  <c r="U687" i="246"/>
  <c r="R2143" i="246"/>
  <c r="R2139" i="246"/>
  <c r="R2124" i="246"/>
  <c r="R2115" i="246"/>
  <c r="R2121" i="246"/>
  <c r="R2144" i="246"/>
  <c r="R2122" i="246"/>
  <c r="R2136" i="246"/>
  <c r="R2114" i="246"/>
  <c r="R2043" i="246"/>
  <c r="R2044" i="246" s="1"/>
  <c r="R2059" i="246"/>
  <c r="R2060" i="246" s="1"/>
  <c r="E228" i="231"/>
  <c r="F228" i="231" s="1"/>
  <c r="G228" i="231" s="1"/>
  <c r="R2212" i="1"/>
  <c r="R2183" i="1"/>
  <c r="R2189" i="1"/>
  <c r="R2190" i="1"/>
  <c r="R2185" i="1"/>
  <c r="R2187" i="1"/>
  <c r="R2182" i="1"/>
  <c r="R2206" i="1"/>
  <c r="R2211" i="1"/>
  <c r="R2186" i="1"/>
  <c r="R2191" i="1"/>
  <c r="R2184" i="1"/>
  <c r="R2203" i="1"/>
  <c r="R2210" i="1"/>
  <c r="V685" i="1"/>
  <c r="R2188" i="1"/>
  <c r="R2204" i="1"/>
  <c r="R2181" i="1"/>
  <c r="R2128" i="246" l="1"/>
  <c r="R2129" i="246"/>
  <c r="R2195" i="1"/>
  <c r="R2196" i="1"/>
  <c r="E229" i="231"/>
  <c r="F229" i="231" s="1"/>
  <c r="G229" i="231" s="1"/>
  <c r="E230" i="231" l="1"/>
  <c r="F230" i="231" s="1"/>
  <c r="G230" i="231" s="1"/>
  <c r="N35" i="5"/>
  <c r="O2951" i="1" l="1"/>
  <c r="E231" i="231"/>
  <c r="F231" i="231" s="1"/>
  <c r="G231" i="231" s="1"/>
  <c r="X3267" i="1" l="1"/>
  <c r="E232" i="231"/>
  <c r="F232" i="231" s="1"/>
  <c r="G232" i="231" s="1"/>
  <c r="U2951" i="1"/>
  <c r="E233" i="231" l="1"/>
  <c r="F233" i="231" s="1"/>
  <c r="G233" i="231" s="1"/>
  <c r="E234" i="231" l="1"/>
  <c r="F234" i="231" s="1"/>
  <c r="G234" i="231" s="1"/>
  <c r="N226" i="5"/>
  <c r="O2500" i="1" l="1"/>
  <c r="U2500" i="1" s="1"/>
  <c r="O2448" i="1"/>
  <c r="O2451" i="1" s="1"/>
  <c r="O2460" i="1"/>
  <c r="O2463" i="1" s="1"/>
  <c r="O2516" i="1"/>
  <c r="U2516" i="1" s="1"/>
  <c r="I222" i="5"/>
  <c r="L222" i="5" s="1"/>
  <c r="Z2448" i="1"/>
  <c r="H13" i="170"/>
  <c r="H17" i="170" s="1"/>
  <c r="H19" i="170" s="1"/>
  <c r="E235" i="231"/>
  <c r="F235" i="231" s="1"/>
  <c r="G235" i="231" s="1"/>
  <c r="O678" i="1"/>
  <c r="O711" i="1"/>
  <c r="O2496" i="1" l="1"/>
  <c r="O2511" i="1"/>
  <c r="X2511" i="1" s="1"/>
  <c r="X2463" i="1"/>
  <c r="O2419" i="246"/>
  <c r="S2419" i="246" s="1"/>
  <c r="O2415" i="246" s="1"/>
  <c r="M2486" i="1"/>
  <c r="S2486" i="1" s="1"/>
  <c r="G9" i="170"/>
  <c r="E236" i="231"/>
  <c r="F236" i="231" s="1"/>
  <c r="G236" i="231" s="1"/>
  <c r="M2482" i="1" l="1"/>
  <c r="V2482" i="1" s="1"/>
  <c r="L32" i="170"/>
  <c r="I23" i="26" s="1"/>
  <c r="W2415" i="246"/>
  <c r="C2415" i="246" s="1"/>
  <c r="E237" i="231"/>
  <c r="F237" i="231" s="1"/>
  <c r="G237" i="231" s="1"/>
  <c r="X711" i="1"/>
  <c r="X678" i="1"/>
  <c r="N161" i="5"/>
  <c r="O1522" i="1" s="1"/>
  <c r="X2451" i="1"/>
  <c r="L36" i="170" l="1"/>
  <c r="J58" i="26"/>
  <c r="Z2482" i="1"/>
  <c r="Y2482" i="1"/>
  <c r="E238" i="231"/>
  <c r="F238" i="231" s="1"/>
  <c r="G238" i="231" s="1"/>
  <c r="J56" i="26" l="1"/>
  <c r="F21" i="26"/>
  <c r="J21" i="26" s="1"/>
  <c r="J332" i="5"/>
  <c r="L332" i="5" s="1"/>
  <c r="C2482" i="1"/>
  <c r="E239" i="231"/>
  <c r="F239" i="231" s="1"/>
  <c r="G239" i="231" s="1"/>
  <c r="O1519" i="1"/>
  <c r="G15" i="229" l="1"/>
  <c r="O2064" i="246"/>
  <c r="M2130" i="1"/>
  <c r="E240" i="231"/>
  <c r="F240" i="231" s="1"/>
  <c r="G240" i="231" s="1"/>
  <c r="U1519" i="1"/>
  <c r="R2064" i="246" l="1"/>
  <c r="R2130" i="1"/>
  <c r="E241" i="231"/>
  <c r="F241" i="231" s="1"/>
  <c r="G241" i="231" s="1"/>
  <c r="E242" i="231" l="1"/>
  <c r="F242" i="231" s="1"/>
  <c r="G242" i="231" s="1"/>
  <c r="E243" i="231" l="1"/>
  <c r="F243" i="231" s="1"/>
  <c r="G243" i="231" s="1"/>
  <c r="E244" i="231" l="1"/>
  <c r="F244" i="231" s="1"/>
  <c r="G244" i="231" s="1"/>
  <c r="E245" i="231" l="1"/>
  <c r="F245" i="231" s="1"/>
  <c r="G245" i="231" s="1"/>
  <c r="E246" i="231" l="1"/>
  <c r="F246" i="231" s="1"/>
  <c r="G246" i="231" s="1"/>
  <c r="E247" i="231" l="1"/>
  <c r="F247" i="231" s="1"/>
  <c r="G247" i="231" s="1"/>
  <c r="E248" i="231" l="1"/>
  <c r="F248" i="231" s="1"/>
  <c r="G248" i="231" s="1"/>
  <c r="E249" i="231" l="1"/>
  <c r="F249" i="231" s="1"/>
  <c r="G249" i="231" s="1"/>
  <c r="E250" i="231" l="1"/>
  <c r="F250" i="231" s="1"/>
  <c r="G250" i="231" s="1"/>
  <c r="E251" i="231" l="1"/>
  <c r="F251" i="231" s="1"/>
  <c r="G251" i="231" s="1"/>
  <c r="E252" i="231" l="1"/>
  <c r="F252" i="231" s="1"/>
  <c r="G252" i="231" s="1"/>
  <c r="E253" i="231" l="1"/>
  <c r="F253" i="231" s="1"/>
  <c r="G253" i="231" s="1"/>
  <c r="E254" i="231" l="1"/>
  <c r="F254" i="231" s="1"/>
  <c r="G254" i="231" s="1"/>
  <c r="E255" i="231" l="1"/>
  <c r="F255" i="231" s="1"/>
  <c r="G255" i="231" s="1"/>
  <c r="E256" i="231" l="1"/>
  <c r="F256" i="231" l="1"/>
  <c r="E258" i="231"/>
  <c r="F258" i="231" l="1"/>
  <c r="G256" i="231"/>
  <c r="E404" i="136"/>
  <c r="D2" i="136" l="1"/>
  <c r="H2" i="136" s="1"/>
  <c r="I404" i="136"/>
  <c r="I2" i="136" s="1"/>
  <c r="M620" i="1"/>
  <c r="N2" i="136"/>
  <c r="F35" i="5" s="1"/>
  <c r="F71" i="80"/>
  <c r="S620" i="1" l="1"/>
  <c r="F404" i="5"/>
  <c r="F2" i="5" s="1"/>
  <c r="K2" i="5" s="1"/>
  <c r="L35" i="5"/>
  <c r="O2883" i="246" l="1"/>
  <c r="R2882" i="246" s="1"/>
  <c r="M2951" i="1"/>
  <c r="U3199" i="246" l="1"/>
  <c r="R2883" i="246"/>
  <c r="W2883" i="246"/>
  <c r="D2883" i="246" s="1"/>
  <c r="S2883" i="246"/>
  <c r="R2951" i="1"/>
  <c r="R2950" i="1"/>
  <c r="V3431" i="1"/>
  <c r="Z2951" i="1"/>
  <c r="R2888" i="246"/>
  <c r="V3267" i="1"/>
  <c r="S2951" i="1"/>
  <c r="Y2951" i="1"/>
  <c r="D2951" i="1" l="1"/>
  <c r="R2886" i="246"/>
  <c r="R2889" i="246"/>
  <c r="R2887" i="246"/>
  <c r="R2956" i="1"/>
  <c r="R2955" i="1" l="1"/>
  <c r="R2957" i="1"/>
  <c r="R2954" i="1"/>
  <c r="J90" i="26" l="1"/>
  <c r="J91" i="26" l="1"/>
  <c r="N237" i="5" l="1"/>
  <c r="O1637" i="1" s="1"/>
  <c r="U1637" i="1" s="1"/>
  <c r="N44" i="5" l="1"/>
  <c r="O2737" i="1" s="1"/>
  <c r="O1340" i="1" l="1"/>
  <c r="O1347" i="1" s="1"/>
  <c r="X1347" i="1" s="1"/>
  <c r="O2732" i="1"/>
  <c r="O2854" i="1"/>
  <c r="O620" i="1"/>
  <c r="R2737" i="1" l="1"/>
  <c r="U620" i="1"/>
  <c r="R620" i="1"/>
  <c r="O2848" i="1"/>
  <c r="R2854" i="1"/>
  <c r="R1340" i="1"/>
  <c r="R1347" i="1"/>
  <c r="R1339" i="1" s="1"/>
  <c r="O634" i="1" l="1"/>
  <c r="R1349" i="1"/>
  <c r="R1328" i="1"/>
  <c r="O626" i="1"/>
  <c r="O2731" i="1"/>
  <c r="U2731" i="1" s="1"/>
  <c r="R621" i="1"/>
  <c r="R1330" i="1"/>
  <c r="R1351" i="1"/>
  <c r="R1331" i="1"/>
  <c r="R1336" i="1"/>
  <c r="R1332" i="1"/>
  <c r="R1338" i="1"/>
  <c r="R1352" i="1"/>
  <c r="R1345" i="1"/>
  <c r="R1333" i="1"/>
  <c r="R1348" i="1"/>
  <c r="R1350" i="1"/>
  <c r="R1334" i="1"/>
  <c r="R1346" i="1"/>
  <c r="R1335" i="1"/>
  <c r="R1329" i="1"/>
  <c r="R1337" i="1"/>
  <c r="R1353" i="1"/>
  <c r="R2848" i="1"/>
  <c r="U2848" i="1"/>
  <c r="U2732" i="1"/>
  <c r="O2948" i="1" l="1"/>
  <c r="O2941" i="1"/>
  <c r="O2956" i="1"/>
  <c r="O1573" i="1"/>
  <c r="O1577" i="1" s="1"/>
  <c r="O1582" i="1" s="1"/>
  <c r="O2744" i="1"/>
  <c r="O2882" i="1"/>
  <c r="O2898" i="1"/>
  <c r="R2879" i="1"/>
  <c r="R2849" i="1"/>
  <c r="O2755" i="1"/>
  <c r="O1591" i="1" l="1"/>
  <c r="X806" i="1"/>
  <c r="X805" i="1"/>
  <c r="X2898" i="1"/>
  <c r="R2850" i="1"/>
  <c r="N230" i="5" l="1"/>
  <c r="I230" i="5" l="1"/>
  <c r="L230" i="5" s="1"/>
  <c r="O1644" i="1"/>
  <c r="X1706" i="1" s="1"/>
  <c r="O1614" i="1"/>
  <c r="U1614" i="1" s="1"/>
  <c r="C1649" i="1" l="1"/>
  <c r="C1611" i="246"/>
  <c r="O476" i="246"/>
  <c r="O477" i="1"/>
  <c r="M477" i="1" s="1"/>
  <c r="AA19" i="89"/>
  <c r="I19" i="89"/>
  <c r="O1606" i="246"/>
  <c r="U1668" i="246" s="1"/>
  <c r="R1571" i="246"/>
  <c r="R1572" i="246" s="1"/>
  <c r="R1609" i="1"/>
  <c r="R1610" i="1" s="1"/>
  <c r="M1644" i="1"/>
  <c r="V1706" i="1" s="1"/>
  <c r="M1614" i="1"/>
  <c r="S1614" i="1" s="1"/>
  <c r="O1576" i="246"/>
  <c r="S1576" i="246" s="1"/>
  <c r="R1649" i="1" l="1"/>
  <c r="R1611" i="246"/>
  <c r="V1614" i="1"/>
  <c r="R1650" i="1"/>
  <c r="R1646" i="1"/>
  <c r="R1642" i="1"/>
  <c r="R1638" i="1"/>
  <c r="R1622" i="1"/>
  <c r="R1617" i="1"/>
  <c r="R1613" i="1"/>
  <c r="R1607" i="1"/>
  <c r="R1653" i="1"/>
  <c r="R1645" i="1"/>
  <c r="R1641" i="1"/>
  <c r="R1637" i="1"/>
  <c r="R1621" i="1"/>
  <c r="R1616" i="1"/>
  <c r="R1612" i="1"/>
  <c r="R1652" i="1"/>
  <c r="R1648" i="1"/>
  <c r="R1644" i="1"/>
  <c r="R1640" i="1"/>
  <c r="R1620" i="1"/>
  <c r="R1615" i="1"/>
  <c r="R1611" i="1"/>
  <c r="R1651" i="1"/>
  <c r="R1647" i="1"/>
  <c r="R1643" i="1"/>
  <c r="R1639" i="1"/>
  <c r="R1618" i="1"/>
  <c r="R1614" i="1"/>
  <c r="R1608" i="1"/>
  <c r="R1612" i="246"/>
  <c r="R1608" i="246"/>
  <c r="R1604" i="246"/>
  <c r="R1600" i="246"/>
  <c r="R1584" i="246"/>
  <c r="R1579" i="246"/>
  <c r="R1575" i="246"/>
  <c r="R1569" i="246"/>
  <c r="R1615" i="246"/>
  <c r="R1607" i="246"/>
  <c r="R1603" i="246"/>
  <c r="R1599" i="246"/>
  <c r="R1583" i="246"/>
  <c r="R1578" i="246"/>
  <c r="R1574" i="246"/>
  <c r="R1614" i="246"/>
  <c r="R1610" i="246"/>
  <c r="R1606" i="246"/>
  <c r="R1602" i="246"/>
  <c r="R1582" i="246"/>
  <c r="R1577" i="246"/>
  <c r="R1573" i="246"/>
  <c r="R1613" i="246"/>
  <c r="R1609" i="246"/>
  <c r="R1605" i="246"/>
  <c r="R1601" i="246"/>
  <c r="R1580" i="246"/>
  <c r="R1576" i="246"/>
  <c r="R1570" i="246"/>
  <c r="R1568" i="246"/>
  <c r="R1564" i="246"/>
  <c r="R1567" i="246"/>
  <c r="R1562" i="246"/>
  <c r="R1566" i="246"/>
  <c r="R1561" i="246"/>
  <c r="R1563" i="246"/>
  <c r="R1565" i="246"/>
  <c r="AA20" i="89"/>
  <c r="I20" i="89"/>
  <c r="N236" i="5"/>
  <c r="O1645" i="1" s="1"/>
  <c r="I236" i="5" l="1"/>
  <c r="O1615" i="1"/>
  <c r="U1615" i="1" s="1"/>
  <c r="O1640" i="1" s="1"/>
  <c r="O670" i="1"/>
  <c r="O667" i="1" s="1"/>
  <c r="R1603" i="1"/>
  <c r="R1606" i="1"/>
  <c r="R1602" i="1"/>
  <c r="R1599" i="1"/>
  <c r="R1605" i="1"/>
  <c r="R1600" i="1"/>
  <c r="R1601" i="1"/>
  <c r="R1604" i="1"/>
  <c r="L236" i="5"/>
  <c r="AB19" i="89" l="1"/>
  <c r="AC19" i="89" s="1"/>
  <c r="M1645" i="1"/>
  <c r="O1607" i="246"/>
  <c r="X670" i="1"/>
  <c r="M1615" i="1"/>
  <c r="O1577" i="246"/>
  <c r="S1577" i="246" s="1"/>
  <c r="O1602" i="246" s="1"/>
  <c r="O1611" i="1"/>
  <c r="O1622" i="1" s="1"/>
  <c r="O672" i="246"/>
  <c r="M670" i="1"/>
  <c r="U667" i="1"/>
  <c r="O473" i="246"/>
  <c r="O474" i="1"/>
  <c r="M474" i="1" s="1"/>
  <c r="J19" i="89"/>
  <c r="K19" i="89" s="1"/>
  <c r="D22" i="234" l="1"/>
  <c r="M1611" i="1"/>
  <c r="S1615" i="1"/>
  <c r="M1640" i="1" s="1"/>
  <c r="V670" i="1" s="1"/>
  <c r="V1615" i="1"/>
  <c r="O1573" i="246"/>
  <c r="O1584" i="246" s="1"/>
  <c r="R672" i="246"/>
  <c r="R670" i="1"/>
  <c r="AB20" i="89"/>
  <c r="AC20" i="89"/>
  <c r="J20" i="89"/>
  <c r="K20" i="89"/>
  <c r="V1611" i="1" l="1"/>
  <c r="M1622" i="1"/>
  <c r="V1640" i="1"/>
  <c r="X1640" i="1"/>
  <c r="N204" i="5"/>
  <c r="U1602" i="246" l="1"/>
  <c r="U672" i="246"/>
  <c r="H9" i="169"/>
  <c r="O2406" i="1"/>
  <c r="I204" i="5"/>
  <c r="L204" i="5" s="1"/>
  <c r="O2339" i="246" l="1"/>
  <c r="R2339" i="246" s="1"/>
  <c r="M2406" i="1"/>
  <c r="R2406" i="1" s="1"/>
  <c r="G9" i="169"/>
  <c r="N387" i="5" l="1"/>
  <c r="O2640" i="1" s="1"/>
  <c r="O2648" i="1" l="1"/>
  <c r="O687" i="1"/>
  <c r="I386" i="5"/>
  <c r="L386" i="5" s="1"/>
  <c r="O1552" i="1"/>
  <c r="O722" i="1"/>
  <c r="O681" i="1" l="1"/>
  <c r="U681" i="1" s="1"/>
  <c r="O692" i="1" s="1"/>
  <c r="X687" i="1"/>
  <c r="O714" i="1"/>
  <c r="U714" i="1" s="1"/>
  <c r="X722" i="1"/>
  <c r="M2639" i="1"/>
  <c r="O2572" i="246"/>
  <c r="N158" i="5"/>
  <c r="R2572" i="246" l="1"/>
  <c r="W2572" i="246"/>
  <c r="C2572" i="246" s="1"/>
  <c r="Y2639" i="1"/>
  <c r="R2639" i="1"/>
  <c r="V2639" i="1"/>
  <c r="Z2639" i="1"/>
  <c r="O1515" i="1"/>
  <c r="O1551" i="1"/>
  <c r="O1555" i="1" s="1"/>
  <c r="X823" i="1" s="1"/>
  <c r="O2958" i="1"/>
  <c r="U2958" i="1" s="1"/>
  <c r="O636" i="1"/>
  <c r="U636" i="1" s="1"/>
  <c r="O639" i="1" s="1"/>
  <c r="O703" i="1"/>
  <c r="I184" i="5"/>
  <c r="Q3" i="5"/>
  <c r="O2966" i="1" l="1"/>
  <c r="O2961" i="1"/>
  <c r="O644" i="1"/>
  <c r="X644" i="1" s="1"/>
  <c r="O1512" i="1"/>
  <c r="U1512" i="1" s="1"/>
  <c r="O1529" i="1" s="1"/>
  <c r="X1594" i="1" s="1"/>
  <c r="X2640" i="1"/>
  <c r="C2639" i="1"/>
  <c r="L184" i="5"/>
  <c r="O697" i="1"/>
  <c r="U697" i="1" s="1"/>
  <c r="X1555" i="1"/>
  <c r="X2966" i="1" l="1"/>
  <c r="X1591" i="1"/>
  <c r="X636" i="1"/>
  <c r="X2958" i="1"/>
  <c r="O778" i="246"/>
  <c r="O777" i="1"/>
  <c r="X647" i="1" l="1"/>
  <c r="O781" i="1"/>
  <c r="M776" i="1" l="1"/>
  <c r="X703" i="1"/>
  <c r="N203" i="5" l="1"/>
  <c r="A404" i="5"/>
  <c r="AB845" i="1" l="1"/>
  <c r="Y847" i="246"/>
  <c r="I203" i="5"/>
  <c r="O2405" i="1"/>
  <c r="O2424" i="1" s="1"/>
  <c r="H8" i="169"/>
  <c r="H26" i="169" s="1"/>
  <c r="H28" i="169" s="1"/>
  <c r="O710" i="1"/>
  <c r="O706" i="1" s="1"/>
  <c r="U706" i="1" s="1"/>
  <c r="O727" i="1" s="1"/>
  <c r="N404" i="5"/>
  <c r="N2" i="5" s="1"/>
  <c r="X692" i="1" l="1"/>
  <c r="I404" i="5"/>
  <c r="X710" i="1"/>
  <c r="X2" i="1" l="1"/>
  <c r="J23" i="5" l="1"/>
  <c r="L23" i="5" l="1"/>
  <c r="J24" i="26" l="1"/>
  <c r="J162" i="5" s="1"/>
  <c r="L162" i="5" s="1"/>
  <c r="J25" i="26"/>
  <c r="J140" i="5" l="1"/>
  <c r="L140" i="5" s="1"/>
  <c r="J223" i="5"/>
  <c r="L223" i="5" s="1"/>
  <c r="M1523" i="1"/>
  <c r="R1523" i="1" s="1"/>
  <c r="O1484" i="246"/>
  <c r="R1484" i="246" s="1"/>
  <c r="J314" i="5"/>
  <c r="L314" i="5" s="1"/>
  <c r="J203" i="5"/>
  <c r="L203" i="5" s="1"/>
  <c r="O2425" i="246" l="1"/>
  <c r="R2425" i="246" s="1"/>
  <c r="C2427" i="1"/>
  <c r="C2360" i="246"/>
  <c r="C2009" i="246"/>
  <c r="C2074" i="1"/>
  <c r="C2336" i="246"/>
  <c r="C2403" i="1"/>
  <c r="M2492" i="1"/>
  <c r="M2985" i="1"/>
  <c r="R2985" i="1" s="1"/>
  <c r="O2868" i="246"/>
  <c r="R2868" i="246" s="1"/>
  <c r="M2936" i="1"/>
  <c r="R2936" i="1" s="1"/>
  <c r="F104" i="80"/>
  <c r="M2736" i="1"/>
  <c r="R2736" i="1" s="1"/>
  <c r="M2917" i="246"/>
  <c r="R2917" i="246" s="1"/>
  <c r="O2669" i="246"/>
  <c r="R2669" i="246" s="1"/>
  <c r="M1585" i="1"/>
  <c r="R1585" i="1" s="1"/>
  <c r="O1547" i="246"/>
  <c r="R1547" i="246" s="1"/>
  <c r="G10" i="170"/>
  <c r="M833" i="1"/>
  <c r="O835" i="246"/>
  <c r="J358" i="5"/>
  <c r="L358" i="5" s="1"/>
  <c r="AA845" i="1"/>
  <c r="AC845" i="1" s="1"/>
  <c r="M845" i="1"/>
  <c r="AA833" i="1"/>
  <c r="AC833" i="1" s="1"/>
  <c r="M676" i="1"/>
  <c r="F253" i="4"/>
  <c r="D676" i="1"/>
  <c r="M2076" i="1"/>
  <c r="D678" i="246"/>
  <c r="O2011" i="246"/>
  <c r="X835" i="246"/>
  <c r="Z835" i="246" s="1"/>
  <c r="O678" i="246"/>
  <c r="M2405" i="1"/>
  <c r="O847" i="246"/>
  <c r="D712" i="246"/>
  <c r="D710" i="1"/>
  <c r="O712" i="246"/>
  <c r="X847" i="246"/>
  <c r="Z847" i="246" s="1"/>
  <c r="M710" i="1"/>
  <c r="O2338" i="246"/>
  <c r="G8" i="169"/>
  <c r="G26" i="169" s="1"/>
  <c r="G28" i="169" s="1"/>
  <c r="J19" i="26"/>
  <c r="S2425" i="246" l="1"/>
  <c r="O2422" i="246" s="1"/>
  <c r="R2422" i="246" s="1"/>
  <c r="R2427" i="246" s="1"/>
  <c r="R2492" i="1"/>
  <c r="S2492" i="1"/>
  <c r="J26" i="5"/>
  <c r="L26" i="5" s="1"/>
  <c r="J225" i="5"/>
  <c r="L225" i="5" s="1"/>
  <c r="O2105" i="246"/>
  <c r="O2681" i="246"/>
  <c r="M2171" i="1"/>
  <c r="M2748" i="1"/>
  <c r="O686" i="246"/>
  <c r="M684" i="1"/>
  <c r="G19" i="206"/>
  <c r="S845" i="1"/>
  <c r="Y845" i="1"/>
  <c r="R845" i="1"/>
  <c r="Z845" i="1"/>
  <c r="M839" i="1"/>
  <c r="R839" i="1" s="1"/>
  <c r="Y833" i="1"/>
  <c r="Z833" i="1"/>
  <c r="R833" i="1"/>
  <c r="S833" i="1"/>
  <c r="R678" i="246"/>
  <c r="R2076" i="1"/>
  <c r="M2083" i="1"/>
  <c r="R2083" i="1" s="1"/>
  <c r="R2075" i="1" s="1"/>
  <c r="W835" i="246"/>
  <c r="D835" i="246" s="1"/>
  <c r="R835" i="246"/>
  <c r="S835" i="246"/>
  <c r="O2018" i="246"/>
  <c r="R2018" i="246" s="1"/>
  <c r="R2010" i="246" s="1"/>
  <c r="R2011" i="246"/>
  <c r="D49" i="234"/>
  <c r="R676" i="1"/>
  <c r="C49" i="234"/>
  <c r="R2338" i="246"/>
  <c r="O2357" i="246"/>
  <c r="R2357" i="246" s="1"/>
  <c r="R2337" i="246" s="1"/>
  <c r="R712" i="246"/>
  <c r="M2424" i="1"/>
  <c r="R2424" i="1" s="1"/>
  <c r="R2404" i="1" s="1"/>
  <c r="R2405" i="1"/>
  <c r="H25" i="234"/>
  <c r="R710" i="1"/>
  <c r="O841" i="246"/>
  <c r="R841" i="246" s="1"/>
  <c r="S847" i="246"/>
  <c r="W847" i="246"/>
  <c r="D847" i="246" s="1"/>
  <c r="R847" i="246"/>
  <c r="J341" i="5"/>
  <c r="O1216" i="246" l="1"/>
  <c r="R1216" i="246" s="1"/>
  <c r="R1217" i="246" s="1"/>
  <c r="M1255" i="1"/>
  <c r="R2428" i="246"/>
  <c r="R2423" i="246"/>
  <c r="R2424" i="246"/>
  <c r="M613" i="1"/>
  <c r="O2432" i="246"/>
  <c r="M2499" i="1"/>
  <c r="M2489" i="1"/>
  <c r="R2489" i="1" s="1"/>
  <c r="M2828" i="1"/>
  <c r="O613" i="246"/>
  <c r="U1216" i="246" s="1"/>
  <c r="O2761" i="246"/>
  <c r="O2751" i="246" s="1"/>
  <c r="G12" i="170"/>
  <c r="R2171" i="1"/>
  <c r="M2174" i="1"/>
  <c r="R2174" i="1" s="1"/>
  <c r="R2166" i="1" s="1"/>
  <c r="D32" i="234"/>
  <c r="R684" i="1"/>
  <c r="W2681" i="246"/>
  <c r="C2681" i="246" s="1"/>
  <c r="O2678" i="246"/>
  <c r="S2678" i="246" s="1"/>
  <c r="R686" i="246"/>
  <c r="R2105" i="246"/>
  <c r="O2108" i="246"/>
  <c r="R2108" i="246" s="1"/>
  <c r="R2100" i="246" s="1"/>
  <c r="Z2748" i="1"/>
  <c r="Y2748" i="1"/>
  <c r="M2745" i="1"/>
  <c r="S2745" i="1" s="1"/>
  <c r="D833" i="1"/>
  <c r="D845" i="1"/>
  <c r="R847" i="1"/>
  <c r="R838" i="1"/>
  <c r="R840" i="1"/>
  <c r="R841" i="1" s="1"/>
  <c r="L341" i="5"/>
  <c r="U678" i="246"/>
  <c r="U712" i="246"/>
  <c r="R2005" i="246"/>
  <c r="R2028" i="246"/>
  <c r="R2017" i="246"/>
  <c r="R2027" i="246"/>
  <c r="R2007" i="246"/>
  <c r="R2006" i="246"/>
  <c r="R2003" i="246"/>
  <c r="R2004" i="246"/>
  <c r="R2016" i="246"/>
  <c r="R2019" i="246"/>
  <c r="R2020" i="246" s="1"/>
  <c r="R2002" i="246"/>
  <c r="R2009" i="246"/>
  <c r="R2021" i="246"/>
  <c r="R2008" i="246"/>
  <c r="R2000" i="246"/>
  <c r="R2029" i="246"/>
  <c r="R1999" i="246"/>
  <c r="R2001" i="246"/>
  <c r="R2086" i="1"/>
  <c r="R2070" i="1"/>
  <c r="R2068" i="1"/>
  <c r="R2067" i="1"/>
  <c r="R2069" i="1"/>
  <c r="R2065" i="1"/>
  <c r="R2094" i="1"/>
  <c r="R2072" i="1"/>
  <c r="R2082" i="1"/>
  <c r="R2064" i="1"/>
  <c r="R2095" i="1"/>
  <c r="R2084" i="1"/>
  <c r="R2085" i="1" s="1"/>
  <c r="R2081" i="1"/>
  <c r="R2066" i="1"/>
  <c r="R2073" i="1"/>
  <c r="R2074" i="1"/>
  <c r="R2071" i="1"/>
  <c r="R2093" i="1"/>
  <c r="R2092" i="1"/>
  <c r="V710" i="1"/>
  <c r="V676" i="1"/>
  <c r="R840" i="246"/>
  <c r="R842" i="246"/>
  <c r="R843" i="246" s="1"/>
  <c r="R849" i="246"/>
  <c r="R2358" i="246"/>
  <c r="R2330" i="246"/>
  <c r="R2327" i="246"/>
  <c r="R2333" i="246"/>
  <c r="R2363" i="246"/>
  <c r="R2331" i="246"/>
  <c r="R2362" i="246"/>
  <c r="R2336" i="246"/>
  <c r="R2335" i="246"/>
  <c r="R2328" i="246"/>
  <c r="R2329" i="246"/>
  <c r="R2361" i="246"/>
  <c r="R2326" i="246"/>
  <c r="R2332" i="246"/>
  <c r="R2356" i="246"/>
  <c r="R2364" i="246"/>
  <c r="R2359" i="246"/>
  <c r="R2334" i="246"/>
  <c r="R2355" i="246"/>
  <c r="R2360" i="246"/>
  <c r="R2426" i="1"/>
  <c r="R2397" i="1"/>
  <c r="R2427" i="1"/>
  <c r="R2430" i="1"/>
  <c r="R2431" i="1"/>
  <c r="R2395" i="1"/>
  <c r="R2399" i="1"/>
  <c r="R2400" i="1"/>
  <c r="R2403" i="1"/>
  <c r="R2429" i="1"/>
  <c r="R2422" i="1"/>
  <c r="R2402" i="1"/>
  <c r="R2428" i="1"/>
  <c r="R2393" i="1"/>
  <c r="R2401" i="1"/>
  <c r="R2396" i="1"/>
  <c r="R2423" i="1"/>
  <c r="R2425" i="1"/>
  <c r="R2398" i="1"/>
  <c r="R2394" i="1"/>
  <c r="V1255" i="1" l="1"/>
  <c r="R1255" i="1"/>
  <c r="R1256" i="1" s="1"/>
  <c r="R613" i="246"/>
  <c r="R614" i="246" s="1"/>
  <c r="R615" i="246" s="1"/>
  <c r="R616" i="246" s="1"/>
  <c r="R617" i="246" s="1"/>
  <c r="C12" i="248"/>
  <c r="C13" i="248" s="1"/>
  <c r="R613" i="1"/>
  <c r="R614" i="1" s="1"/>
  <c r="R615" i="1" s="1"/>
  <c r="R616" i="1" s="1"/>
  <c r="R617" i="1" s="1"/>
  <c r="D66" i="234"/>
  <c r="D71" i="234" s="1"/>
  <c r="X836" i="246"/>
  <c r="Z836" i="246" s="1"/>
  <c r="C2040" i="246"/>
  <c r="C2106" i="1"/>
  <c r="S613" i="1"/>
  <c r="S2432" i="246"/>
  <c r="R2432" i="246"/>
  <c r="R2494" i="1"/>
  <c r="R2491" i="1"/>
  <c r="R2490" i="1"/>
  <c r="R2495" i="1"/>
  <c r="R2499" i="1"/>
  <c r="S2499" i="1"/>
  <c r="R2828" i="1"/>
  <c r="M2818" i="1"/>
  <c r="R2818" i="1" s="1"/>
  <c r="S613" i="246"/>
  <c r="R2761" i="246"/>
  <c r="M677" i="1"/>
  <c r="V684" i="1"/>
  <c r="R2113" i="246"/>
  <c r="R2089" i="246"/>
  <c r="R2097" i="246"/>
  <c r="R2106" i="246"/>
  <c r="R2110" i="246"/>
  <c r="R2101" i="246"/>
  <c r="R2094" i="246"/>
  <c r="R2111" i="246"/>
  <c r="R2099" i="246"/>
  <c r="R2091" i="246"/>
  <c r="R2093" i="246"/>
  <c r="R2109" i="246"/>
  <c r="R2107" i="246"/>
  <c r="R2095" i="246"/>
  <c r="R2092" i="246"/>
  <c r="R2112" i="246"/>
  <c r="R2096" i="246"/>
  <c r="R2098" i="246"/>
  <c r="R2090" i="246"/>
  <c r="R2160" i="1"/>
  <c r="R2175" i="1"/>
  <c r="R2163" i="1"/>
  <c r="R2164" i="1"/>
  <c r="R2179" i="1"/>
  <c r="R2177" i="1"/>
  <c r="R2162" i="1"/>
  <c r="R2157" i="1"/>
  <c r="R2172" i="1"/>
  <c r="R2156" i="1"/>
  <c r="R2180" i="1"/>
  <c r="R2173" i="1"/>
  <c r="R2176" i="1"/>
  <c r="R2178" i="1"/>
  <c r="R2161" i="1"/>
  <c r="R2159" i="1"/>
  <c r="R2155" i="1"/>
  <c r="R2165" i="1"/>
  <c r="R2158" i="1"/>
  <c r="R2167" i="1"/>
  <c r="C2748" i="1"/>
  <c r="U686" i="246"/>
  <c r="S2751" i="246"/>
  <c r="R2751" i="246"/>
  <c r="AA834" i="1"/>
  <c r="AC834" i="1" s="1"/>
  <c r="M834" i="1"/>
  <c r="O836" i="246"/>
  <c r="S836" i="246" s="1"/>
  <c r="O679" i="246"/>
  <c r="M2139" i="1"/>
  <c r="C2127" i="1" s="1"/>
  <c r="O2073" i="246"/>
  <c r="D677" i="1"/>
  <c r="D679" i="246"/>
  <c r="G18" i="229"/>
  <c r="G32" i="229" s="1"/>
  <c r="G34" i="229" s="1"/>
  <c r="O616" i="246" l="1"/>
  <c r="W616" i="246" s="1"/>
  <c r="D616" i="246" s="1"/>
  <c r="M616" i="1"/>
  <c r="Z616" i="1" s="1"/>
  <c r="D69" i="234"/>
  <c r="O2061" i="246"/>
  <c r="S2061" i="246" s="1"/>
  <c r="O2082" i="246" s="1"/>
  <c r="C2061" i="246"/>
  <c r="C15" i="248"/>
  <c r="C16" i="248" s="1"/>
  <c r="S2818" i="1"/>
  <c r="R677" i="1"/>
  <c r="D28" i="234"/>
  <c r="R2762" i="246"/>
  <c r="R2763" i="246"/>
  <c r="R2764" i="246" s="1"/>
  <c r="R2765" i="246" s="1"/>
  <c r="R2766" i="246" s="1"/>
  <c r="R2752" i="246"/>
  <c r="R2753" i="246" s="1"/>
  <c r="O2815" i="246"/>
  <c r="W2815" i="246" s="1"/>
  <c r="D2815" i="246" s="1"/>
  <c r="O2779" i="246"/>
  <c r="O2830" i="246"/>
  <c r="O2765" i="246"/>
  <c r="W2765" i="246" s="1"/>
  <c r="D2765" i="246" s="1"/>
  <c r="C21" i="248"/>
  <c r="C26" i="248"/>
  <c r="Y616" i="1"/>
  <c r="R2829" i="1"/>
  <c r="R2830" i="1"/>
  <c r="R2831" i="1" s="1"/>
  <c r="R2832" i="1" s="1"/>
  <c r="R2833" i="1" s="1"/>
  <c r="R2819" i="1"/>
  <c r="R2820" i="1" s="1"/>
  <c r="S834" i="1"/>
  <c r="Y834" i="1"/>
  <c r="Z834" i="1"/>
  <c r="R834" i="1"/>
  <c r="R836" i="246"/>
  <c r="W836" i="246"/>
  <c r="D836" i="246" s="1"/>
  <c r="R2073" i="246"/>
  <c r="R679" i="246"/>
  <c r="R2139" i="1"/>
  <c r="M2127" i="1"/>
  <c r="R2127" i="1" s="1"/>
  <c r="O830" i="246"/>
  <c r="R830" i="246" s="1"/>
  <c r="O853" i="246"/>
  <c r="M2898" i="1" l="1"/>
  <c r="Y2898" i="1" s="1"/>
  <c r="R2061" i="246"/>
  <c r="R2079" i="246" s="1"/>
  <c r="D616" i="1"/>
  <c r="M2832" i="1"/>
  <c r="Y2832" i="1" s="1"/>
  <c r="M2846" i="1"/>
  <c r="M2882" i="1"/>
  <c r="Y2882" i="1" s="1"/>
  <c r="W2830" i="246"/>
  <c r="D2830" i="246" s="1"/>
  <c r="U2830" i="246"/>
  <c r="D834" i="1"/>
  <c r="M828" i="1"/>
  <c r="R828" i="1" s="1"/>
  <c r="M851" i="1"/>
  <c r="S2127" i="1"/>
  <c r="M2148" i="1" s="1"/>
  <c r="R2148" i="1" s="1"/>
  <c r="R2107" i="1" s="1"/>
  <c r="R829" i="246"/>
  <c r="R831" i="246"/>
  <c r="R832" i="246" s="1"/>
  <c r="R838" i="246"/>
  <c r="R839" i="246" s="1"/>
  <c r="W852" i="246"/>
  <c r="D852" i="246" s="1"/>
  <c r="O860" i="246"/>
  <c r="U2196" i="246" s="1"/>
  <c r="R2082" i="246"/>
  <c r="R2041" i="246" s="1"/>
  <c r="U679" i="246"/>
  <c r="R2145" i="1"/>
  <c r="R2128" i="1"/>
  <c r="R2129" i="1" s="1"/>
  <c r="Z2898" i="1" l="1"/>
  <c r="D2898" i="1" s="1"/>
  <c r="R2062" i="246"/>
  <c r="R2063" i="246" s="1"/>
  <c r="Z2832" i="1"/>
  <c r="D2832" i="1" s="1"/>
  <c r="V2898" i="1"/>
  <c r="Z2882" i="1"/>
  <c r="D2882" i="1" s="1"/>
  <c r="U860" i="246"/>
  <c r="M858" i="1"/>
  <c r="V2263" i="1" s="1"/>
  <c r="Y850" i="1"/>
  <c r="Z850" i="1"/>
  <c r="R836" i="1"/>
  <c r="R837" i="1" s="1"/>
  <c r="R827" i="1"/>
  <c r="R829" i="1"/>
  <c r="R830" i="1" s="1"/>
  <c r="V677" i="1"/>
  <c r="R2146" i="1"/>
  <c r="R2150" i="1"/>
  <c r="R2101" i="1"/>
  <c r="R2106" i="1"/>
  <c r="R2096" i="1"/>
  <c r="R2099" i="1"/>
  <c r="R2102" i="1"/>
  <c r="R2147" i="1"/>
  <c r="R2105" i="1"/>
  <c r="R2152" i="1"/>
  <c r="R2153" i="1"/>
  <c r="R2103" i="1"/>
  <c r="R2098" i="1"/>
  <c r="R2097" i="1"/>
  <c r="R2100" i="1"/>
  <c r="R2154" i="1"/>
  <c r="R2104" i="1"/>
  <c r="R2151" i="1"/>
  <c r="R2149" i="1"/>
  <c r="R2033" i="246"/>
  <c r="R2034" i="246"/>
  <c r="R2036" i="246"/>
  <c r="R2035" i="246"/>
  <c r="R2088" i="246"/>
  <c r="R2031" i="246"/>
  <c r="R2039" i="246"/>
  <c r="R2032" i="246"/>
  <c r="R2081" i="246"/>
  <c r="R2084" i="246"/>
  <c r="R2030" i="246"/>
  <c r="R2083" i="246"/>
  <c r="R2085" i="246"/>
  <c r="R2038" i="246"/>
  <c r="R2086" i="246"/>
  <c r="R2037" i="246"/>
  <c r="R2080" i="246"/>
  <c r="R2040" i="246"/>
  <c r="R2087" i="246"/>
  <c r="D850" i="1" l="1"/>
  <c r="V858" i="1"/>
  <c r="J53" i="26" l="1"/>
  <c r="J55" i="26"/>
  <c r="J23" i="26" l="1"/>
  <c r="J228" i="5" s="1"/>
  <c r="L228" i="5" s="1"/>
  <c r="O2440" i="246" s="1"/>
  <c r="J22" i="26"/>
  <c r="J227" i="5" s="1"/>
  <c r="L227" i="5" s="1"/>
  <c r="M2459" i="1" l="1"/>
  <c r="O2392" i="246"/>
  <c r="O2380" i="246"/>
  <c r="M2447" i="1"/>
  <c r="R2440" i="246"/>
  <c r="S2440" i="246"/>
  <c r="O2439" i="246"/>
  <c r="O2448" i="246"/>
  <c r="S2448" i="246" s="1"/>
  <c r="G15" i="170"/>
  <c r="M2507" i="1"/>
  <c r="M2506" i="1"/>
  <c r="M2515" i="1"/>
  <c r="S2515" i="1" s="1"/>
  <c r="G14" i="170"/>
  <c r="M1587" i="1"/>
  <c r="R1587" i="1" s="1"/>
  <c r="O1549" i="246"/>
  <c r="R1549" i="246" s="1"/>
  <c r="Y2447" i="1"/>
  <c r="R2447" i="1" s="1"/>
  <c r="R2446" i="1" s="1"/>
  <c r="W2380" i="246"/>
  <c r="R2380" i="246" s="1"/>
  <c r="R2379" i="246" s="1"/>
  <c r="J163" i="5"/>
  <c r="L163" i="5" s="1"/>
  <c r="R2439" i="246" l="1"/>
  <c r="S2439" i="246"/>
  <c r="O2436" i="246" s="1"/>
  <c r="R2436" i="246" s="1"/>
  <c r="S2506" i="1"/>
  <c r="R2506" i="1"/>
  <c r="R2507" i="1"/>
  <c r="S2507" i="1"/>
  <c r="M1524" i="1"/>
  <c r="O1485" i="246"/>
  <c r="R2441" i="246" l="1"/>
  <c r="R2438" i="246"/>
  <c r="R2437" i="246"/>
  <c r="M2503" i="1"/>
  <c r="R2503" i="1" s="1"/>
  <c r="R1485" i="246"/>
  <c r="R1524" i="1"/>
  <c r="R2508" i="1" l="1"/>
  <c r="R2505" i="1"/>
  <c r="R2504" i="1"/>
  <c r="K618" i="1" l="1"/>
  <c r="K3248" i="1"/>
  <c r="K626" i="1"/>
  <c r="K3740" i="1"/>
  <c r="K3576" i="1"/>
  <c r="K2941" i="1"/>
  <c r="K3904" i="1"/>
  <c r="K3412" i="1"/>
  <c r="K4068" i="1"/>
  <c r="K3906" i="1" l="1"/>
  <c r="C1365" i="1"/>
  <c r="K3414" i="1"/>
  <c r="K2943" i="1"/>
  <c r="K628" i="1"/>
  <c r="K3250" i="1"/>
  <c r="K4070" i="1"/>
  <c r="K3578" i="1"/>
  <c r="K3742" i="1"/>
  <c r="C1367" i="1" l="1"/>
  <c r="K809" i="1" s="1"/>
  <c r="C1375" i="1" l="1"/>
  <c r="K810" i="1" s="1"/>
  <c r="C1396" i="1" l="1"/>
  <c r="K630" i="1" l="1"/>
  <c r="K2945" i="1"/>
  <c r="K4084" i="1"/>
  <c r="K3756" i="1"/>
  <c r="K3920" i="1"/>
  <c r="K3264" i="1"/>
  <c r="K3592" i="1"/>
  <c r="K3428" i="1"/>
  <c r="C1510" i="1" l="1"/>
  <c r="K636" i="1"/>
  <c r="K2958" i="1"/>
  <c r="K674" i="1" l="1"/>
  <c r="K670" i="1"/>
  <c r="C1549" i="1"/>
  <c r="K823" i="1" s="1"/>
  <c r="K673" i="1" l="1"/>
  <c r="C1571" i="1"/>
  <c r="K675" i="1" l="1"/>
  <c r="K676" i="1" l="1"/>
  <c r="K684" i="1" l="1"/>
  <c r="K677" i="1"/>
  <c r="K686" i="1" l="1"/>
  <c r="K685" i="1"/>
  <c r="K700" i="1" l="1"/>
  <c r="K701" i="1"/>
  <c r="K709" i="1" l="1"/>
  <c r="K720" i="1"/>
  <c r="K702" i="1"/>
  <c r="K710" i="1"/>
  <c r="K678" i="1" l="1"/>
  <c r="K711" i="1"/>
  <c r="K717" i="1" l="1"/>
  <c r="K718" i="1"/>
  <c r="K719" i="1" l="1"/>
  <c r="K721" i="1" l="1"/>
  <c r="K805" i="1" l="1"/>
  <c r="K618" i="246" l="1"/>
  <c r="K3180" i="246" l="1"/>
  <c r="K2873" i="246"/>
  <c r="K626" i="246"/>
  <c r="K3344" i="246"/>
  <c r="K3508" i="246"/>
  <c r="K3510" i="246" l="1"/>
  <c r="K3182" i="246"/>
  <c r="K628" i="246"/>
  <c r="K3346" i="246"/>
  <c r="C1326" i="246"/>
  <c r="K2875" i="246"/>
  <c r="C1328" i="246" l="1"/>
  <c r="K811" i="246" s="1"/>
  <c r="C1336" i="246" l="1"/>
  <c r="K812" i="246" s="1"/>
  <c r="C1357" i="246" l="1"/>
  <c r="K3360" i="246" l="1"/>
  <c r="K630" i="246"/>
  <c r="K2877" i="246"/>
  <c r="K3524" i="246"/>
  <c r="K824" i="246"/>
  <c r="K3196" i="246"/>
  <c r="C1471" i="246" l="1"/>
  <c r="K636" i="246"/>
  <c r="K2890" i="246"/>
  <c r="K676" i="246" l="1"/>
  <c r="C1510" i="246"/>
  <c r="C1533" i="246" s="1"/>
  <c r="K675" i="246"/>
  <c r="K672" i="246"/>
  <c r="K677" i="246" l="1"/>
  <c r="K825" i="246"/>
  <c r="K679" i="246" l="1"/>
  <c r="K678" i="246" l="1"/>
  <c r="K686" i="246"/>
  <c r="K687" i="246" l="1"/>
  <c r="K688" i="246" l="1"/>
  <c r="K703" i="246" l="1"/>
  <c r="K702" i="246" l="1"/>
  <c r="K704" i="246" l="1"/>
  <c r="K711" i="246" l="1"/>
  <c r="K722" i="246"/>
  <c r="K712" i="246"/>
  <c r="K713" i="246" l="1"/>
  <c r="K680" i="246"/>
  <c r="K719" i="246" l="1"/>
  <c r="K720" i="246" l="1"/>
  <c r="K721" i="246"/>
  <c r="K723" i="246" l="1"/>
  <c r="K807" i="246" l="1"/>
  <c r="J141" i="5" l="1"/>
  <c r="L141" i="5" s="1"/>
  <c r="M1261" i="1" s="1"/>
  <c r="O1222" i="246" l="1"/>
  <c r="R1222" i="246" s="1"/>
  <c r="R1223" i="246" s="1"/>
  <c r="O622" i="246"/>
  <c r="M2735" i="1"/>
  <c r="R2732" i="1" s="1"/>
  <c r="M622" i="1"/>
  <c r="F105" i="80"/>
  <c r="F81" i="80" s="1"/>
  <c r="F72" i="80"/>
  <c r="F79" i="80" s="1"/>
  <c r="M2984" i="1"/>
  <c r="M2937" i="1"/>
  <c r="O2869" i="246"/>
  <c r="M2916" i="246"/>
  <c r="O2668" i="246"/>
  <c r="R1228" i="246" l="1"/>
  <c r="R1230" i="246" s="1"/>
  <c r="R1261" i="1"/>
  <c r="R1262" i="1" s="1"/>
  <c r="R1267" i="1"/>
  <c r="R2665" i="246"/>
  <c r="O2665" i="246"/>
  <c r="F115" i="80"/>
  <c r="F117" i="80" s="1"/>
  <c r="F122" i="80" s="1"/>
  <c r="F127" i="80" s="1"/>
  <c r="S622" i="246"/>
  <c r="R622" i="246"/>
  <c r="R623" i="246" s="1"/>
  <c r="O2833" i="246"/>
  <c r="R2869" i="246"/>
  <c r="M2901" i="1"/>
  <c r="R2937" i="1"/>
  <c r="M2732" i="1"/>
  <c r="R2735" i="1"/>
  <c r="R2668" i="246"/>
  <c r="S622" i="1"/>
  <c r="D101" i="234"/>
  <c r="H104" i="234" s="1"/>
  <c r="R622" i="1"/>
  <c r="R623" i="1" s="1"/>
  <c r="O2915" i="246"/>
  <c r="R2916" i="246"/>
  <c r="O2983" i="1"/>
  <c r="R2984" i="1"/>
  <c r="R1236" i="246" l="1"/>
  <c r="R1234" i="246"/>
  <c r="R1226" i="246"/>
  <c r="R1232" i="246"/>
  <c r="R1229" i="246"/>
  <c r="R1235" i="246"/>
  <c r="R1227" i="246"/>
  <c r="R1237" i="246"/>
  <c r="R1233" i="246"/>
  <c r="R1231" i="246"/>
  <c r="R1266" i="1"/>
  <c r="R1268" i="1"/>
  <c r="R1271" i="1"/>
  <c r="R1274" i="1"/>
  <c r="R1276" i="1"/>
  <c r="R1269" i="1"/>
  <c r="R1272" i="1"/>
  <c r="R1265" i="1"/>
  <c r="R1270" i="1"/>
  <c r="R1273" i="1"/>
  <c r="R1275" i="1"/>
  <c r="Y1252" i="1"/>
  <c r="Z1252" i="1"/>
  <c r="O634" i="246"/>
  <c r="M634" i="1"/>
  <c r="O626" i="246"/>
  <c r="M626" i="1"/>
  <c r="S2983" i="1"/>
  <c r="R2983" i="1"/>
  <c r="D108" i="234"/>
  <c r="H108" i="234"/>
  <c r="S2732" i="1"/>
  <c r="S2833" i="246"/>
  <c r="R2833" i="246"/>
  <c r="M2731" i="1"/>
  <c r="Y2728" i="1"/>
  <c r="Y1250" i="1"/>
  <c r="Z2728" i="1"/>
  <c r="Y2731" i="1"/>
  <c r="Z2731" i="1"/>
  <c r="Z1250" i="1"/>
  <c r="R2915" i="246"/>
  <c r="R2931" i="246" s="1"/>
  <c r="S2915" i="246"/>
  <c r="S2665" i="246"/>
  <c r="S2901" i="1"/>
  <c r="R2901" i="1"/>
  <c r="O2664" i="246"/>
  <c r="W1214" i="246"/>
  <c r="C1214" i="246" s="1"/>
  <c r="W1212" i="246"/>
  <c r="C1212" i="246" s="1"/>
  <c r="W2664" i="246"/>
  <c r="C2664" i="246" s="1"/>
  <c r="W2661" i="246"/>
  <c r="C2661" i="246" s="1"/>
  <c r="C1253" i="1" l="1"/>
  <c r="R1253" i="1" s="1"/>
  <c r="C1252" i="1"/>
  <c r="H109" i="234"/>
  <c r="M2948" i="1"/>
  <c r="M2956" i="1"/>
  <c r="M2941" i="1"/>
  <c r="O2880" i="246"/>
  <c r="W2880" i="246" s="1"/>
  <c r="D2880" i="246" s="1"/>
  <c r="O2888" i="246"/>
  <c r="O2873" i="246"/>
  <c r="W2873" i="246" s="1"/>
  <c r="D2873" i="246" s="1"/>
  <c r="C2728" i="1"/>
  <c r="C1250" i="1"/>
  <c r="C2731" i="1"/>
  <c r="R626" i="246"/>
  <c r="W626" i="246"/>
  <c r="D626" i="246" s="1"/>
  <c r="R2933" i="246"/>
  <c r="R2934" i="246" s="1"/>
  <c r="R2932" i="246"/>
  <c r="R2870" i="246"/>
  <c r="R2834" i="246"/>
  <c r="R2835" i="246" s="1"/>
  <c r="R2666" i="246"/>
  <c r="R2676" i="246"/>
  <c r="R2677" i="246"/>
  <c r="R2667" i="246"/>
  <c r="R2675" i="246"/>
  <c r="R2674" i="246"/>
  <c r="Y626" i="1"/>
  <c r="Z626" i="1"/>
  <c r="R626" i="1"/>
  <c r="S2664" i="246"/>
  <c r="O2688" i="246" s="1"/>
  <c r="O2677" i="246"/>
  <c r="O1535" i="246"/>
  <c r="O1539" i="246" s="1"/>
  <c r="O1544" i="246" s="1"/>
  <c r="O487" i="246"/>
  <c r="O2913" i="246"/>
  <c r="D2913" i="246" s="1"/>
  <c r="W634" i="246"/>
  <c r="D634" i="246" s="1"/>
  <c r="S2731" i="1"/>
  <c r="M2755" i="1" s="1"/>
  <c r="M2744" i="1"/>
  <c r="R2743" i="1"/>
  <c r="R2744" i="1"/>
  <c r="R2734" i="1"/>
  <c r="R2741" i="1"/>
  <c r="R2742" i="1"/>
  <c r="R2733" i="1"/>
  <c r="R3000" i="1"/>
  <c r="R2999" i="1"/>
  <c r="R3001" i="1"/>
  <c r="R3002" i="1" s="1"/>
  <c r="R2938" i="1"/>
  <c r="R2902" i="1"/>
  <c r="R2903" i="1" s="1"/>
  <c r="M1573" i="1"/>
  <c r="M1577" i="1" s="1"/>
  <c r="M1582" i="1" s="1"/>
  <c r="O486" i="1"/>
  <c r="O2981" i="1"/>
  <c r="D2981" i="1" s="1"/>
  <c r="Y634" i="1"/>
  <c r="Z634" i="1"/>
  <c r="D634" i="1" l="1"/>
  <c r="D626" i="1"/>
  <c r="M486" i="1"/>
  <c r="D486" i="1"/>
  <c r="Z1573" i="1"/>
  <c r="Y1573" i="1"/>
  <c r="R627" i="1"/>
  <c r="R624" i="1"/>
  <c r="R625" i="1"/>
  <c r="Y2941" i="1"/>
  <c r="Z2941" i="1"/>
  <c r="S2913" i="246"/>
  <c r="O2933" i="246"/>
  <c r="O3001" i="1"/>
  <c r="S2981" i="1"/>
  <c r="V806" i="1"/>
  <c r="V805" i="1"/>
  <c r="D487" i="246"/>
  <c r="U808" i="246"/>
  <c r="U807" i="246"/>
  <c r="Y2948" i="1"/>
  <c r="Z2948" i="1"/>
  <c r="D1535" i="246"/>
  <c r="R627" i="246"/>
  <c r="R624" i="246"/>
  <c r="R625" i="246"/>
  <c r="D2948" i="1" l="1"/>
  <c r="D2941" i="1"/>
  <c r="D1573" i="1"/>
  <c r="O3016" i="1"/>
  <c r="O3020" i="1"/>
  <c r="M1584" i="1" s="1"/>
  <c r="O2952" i="246"/>
  <c r="O1546" i="246" s="1"/>
  <c r="O2948" i="246"/>
  <c r="D2952" i="246" l="1"/>
  <c r="D3020" i="1"/>
  <c r="K490" i="4"/>
  <c r="O2957" i="246" s="1"/>
  <c r="G34" i="170"/>
  <c r="I34" i="170" s="1"/>
  <c r="P490" i="4"/>
  <c r="U490" i="4"/>
  <c r="O2960" i="246" l="1"/>
  <c r="S2960" i="246" s="1"/>
  <c r="O2969" i="246" s="1"/>
  <c r="D2969" i="246" s="1"/>
  <c r="O1550" i="246"/>
  <c r="R1550" i="246" s="1"/>
  <c r="R1584" i="1"/>
  <c r="R1583" i="1" s="1"/>
  <c r="O3025" i="1"/>
  <c r="K34" i="170"/>
  <c r="I37" i="170"/>
  <c r="R1546" i="246"/>
  <c r="R1545" i="246" s="1"/>
  <c r="K36" i="170" l="1"/>
  <c r="F18" i="26" s="1"/>
  <c r="J18" i="26" s="1"/>
  <c r="J161" i="5" s="1"/>
  <c r="L161" i="5" s="1"/>
  <c r="O1483" i="246" s="1"/>
  <c r="I20" i="26"/>
  <c r="J20" i="26" s="1"/>
  <c r="J226" i="5" s="1"/>
  <c r="L226" i="5" s="1"/>
  <c r="O1553" i="246"/>
  <c r="O3028" i="1"/>
  <c r="S3028" i="1" s="1"/>
  <c r="O3037" i="1" s="1"/>
  <c r="D3037" i="1" s="1"/>
  <c r="F15" i="26"/>
  <c r="M1588" i="1"/>
  <c r="M2460" i="1" l="1"/>
  <c r="O2393" i="246"/>
  <c r="O2396" i="246" s="1"/>
  <c r="O2381" i="246"/>
  <c r="M2448" i="1"/>
  <c r="O2433" i="246"/>
  <c r="O2449" i="246"/>
  <c r="S2449" i="246" s="1"/>
  <c r="M2500" i="1"/>
  <c r="M2516" i="1"/>
  <c r="S2516" i="1" s="1"/>
  <c r="M1522" i="1"/>
  <c r="R1522" i="1" s="1"/>
  <c r="R1519" i="1" s="1"/>
  <c r="M711" i="1"/>
  <c r="G13" i="170"/>
  <c r="G17" i="170" s="1"/>
  <c r="I39" i="170" s="1"/>
  <c r="O713" i="246"/>
  <c r="O680" i="246"/>
  <c r="Y2448" i="1"/>
  <c r="R2448" i="1" s="1"/>
  <c r="R2451" i="1" s="1"/>
  <c r="M678" i="1"/>
  <c r="W2381" i="246"/>
  <c r="R2381" i="246" s="1"/>
  <c r="R2384" i="246" s="1"/>
  <c r="R1483" i="246"/>
  <c r="R1480" i="246" s="1"/>
  <c r="O1480" i="246"/>
  <c r="S1480" i="246" s="1"/>
  <c r="R1588" i="1"/>
  <c r="M1591" i="1"/>
  <c r="I16" i="26"/>
  <c r="J15" i="26"/>
  <c r="J158" i="5" s="1"/>
  <c r="F484" i="26"/>
  <c r="R2412" i="246" l="1"/>
  <c r="R2411" i="246"/>
  <c r="R2407" i="246"/>
  <c r="R2402" i="246"/>
  <c r="R2406" i="246"/>
  <c r="R2401" i="246"/>
  <c r="R2410" i="246"/>
  <c r="R2409" i="246"/>
  <c r="R2404" i="246"/>
  <c r="R2400" i="246"/>
  <c r="R2408" i="246"/>
  <c r="R2403" i="246"/>
  <c r="R2405" i="246"/>
  <c r="R2479" i="1"/>
  <c r="R2475" i="1"/>
  <c r="R2470" i="1"/>
  <c r="R2472" i="1"/>
  <c r="R2478" i="1"/>
  <c r="R2474" i="1"/>
  <c r="R2469" i="1"/>
  <c r="R2477" i="1"/>
  <c r="R2473" i="1"/>
  <c r="R2468" i="1"/>
  <c r="R2476" i="1"/>
  <c r="R2471" i="1"/>
  <c r="R2467" i="1"/>
  <c r="R2376" i="246"/>
  <c r="R2414" i="246"/>
  <c r="R2443" i="1"/>
  <c r="R2481" i="1"/>
  <c r="M2463" i="1"/>
  <c r="R2463" i="1"/>
  <c r="R2459" i="1"/>
  <c r="R2455" i="1"/>
  <c r="R2464" i="1"/>
  <c r="R2460" i="1"/>
  <c r="R2456" i="1"/>
  <c r="R2466" i="1"/>
  <c r="R2462" i="1"/>
  <c r="R2458" i="1"/>
  <c r="R2465" i="1"/>
  <c r="R2461" i="1"/>
  <c r="R2457" i="1"/>
  <c r="R2396" i="246"/>
  <c r="R2392" i="246"/>
  <c r="R2388" i="246"/>
  <c r="R2397" i="246"/>
  <c r="R2393" i="246"/>
  <c r="R2389" i="246"/>
  <c r="R2399" i="246"/>
  <c r="R2395" i="246"/>
  <c r="R2391" i="246"/>
  <c r="R2398" i="246"/>
  <c r="R2394" i="246"/>
  <c r="R2390" i="246"/>
  <c r="O2384" i="246"/>
  <c r="M2451" i="1"/>
  <c r="S2433" i="246"/>
  <c r="R2433" i="246"/>
  <c r="R2455" i="246"/>
  <c r="R2451" i="246"/>
  <c r="R2415" i="246"/>
  <c r="R2454" i="246"/>
  <c r="R2450" i="246"/>
  <c r="R2444" i="246"/>
  <c r="R2449" i="246"/>
  <c r="R2448" i="246" s="1"/>
  <c r="R2443" i="246"/>
  <c r="R2453" i="246"/>
  <c r="R2447" i="246"/>
  <c r="R2452" i="246"/>
  <c r="R2446" i="246"/>
  <c r="R2442" i="246"/>
  <c r="R2419" i="246"/>
  <c r="R2418" i="246" s="1"/>
  <c r="R2445" i="246"/>
  <c r="R2378" i="246"/>
  <c r="R2522" i="1"/>
  <c r="R2518" i="1"/>
  <c r="R2512" i="1"/>
  <c r="R2516" i="1"/>
  <c r="R2515" i="1" s="1"/>
  <c r="R2521" i="1"/>
  <c r="R2517" i="1"/>
  <c r="R2511" i="1"/>
  <c r="R2520" i="1"/>
  <c r="R2514" i="1"/>
  <c r="R2510" i="1"/>
  <c r="R2445" i="1"/>
  <c r="R2519" i="1"/>
  <c r="R2513" i="1"/>
  <c r="R2509" i="1"/>
  <c r="R2482" i="1"/>
  <c r="R2486" i="1"/>
  <c r="R2485" i="1" s="1"/>
  <c r="R2500" i="1"/>
  <c r="S2500" i="1"/>
  <c r="G19" i="170"/>
  <c r="M1519" i="1"/>
  <c r="S1519" i="1" s="1"/>
  <c r="R2365" i="246"/>
  <c r="R2375" i="246"/>
  <c r="R2369" i="246"/>
  <c r="R2373" i="246"/>
  <c r="R2377" i="246"/>
  <c r="R2367" i="246"/>
  <c r="R2383" i="246"/>
  <c r="R2385" i="246"/>
  <c r="R2370" i="246"/>
  <c r="R2413" i="246"/>
  <c r="R2368" i="246"/>
  <c r="R2371" i="246"/>
  <c r="R2386" i="246"/>
  <c r="R2387" i="246"/>
  <c r="R2366" i="246"/>
  <c r="R2374" i="246"/>
  <c r="R2382" i="246"/>
  <c r="R2372" i="246"/>
  <c r="R680" i="246"/>
  <c r="R678" i="1"/>
  <c r="D50" i="234"/>
  <c r="C50" i="234"/>
  <c r="O708" i="246"/>
  <c r="R713" i="246"/>
  <c r="M706" i="1"/>
  <c r="H36" i="234"/>
  <c r="R711" i="1"/>
  <c r="G36" i="234"/>
  <c r="R2436" i="1"/>
  <c r="R2434" i="1"/>
  <c r="R2480" i="1"/>
  <c r="R2435" i="1"/>
  <c r="R2438" i="1"/>
  <c r="R2441" i="1"/>
  <c r="R2452" i="1"/>
  <c r="R2433" i="1"/>
  <c r="R2442" i="1"/>
  <c r="R2453" i="1"/>
  <c r="R2440" i="1"/>
  <c r="R2450" i="1"/>
  <c r="R2449" i="1"/>
  <c r="R2432" i="1"/>
  <c r="R2437" i="1"/>
  <c r="R2439" i="1"/>
  <c r="R2444" i="1"/>
  <c r="R2454" i="1"/>
  <c r="R1486" i="246"/>
  <c r="R1487" i="246"/>
  <c r="R1482" i="246"/>
  <c r="R1481" i="246"/>
  <c r="R1521" i="1"/>
  <c r="R1520" i="1"/>
  <c r="R1525" i="1"/>
  <c r="R1526" i="1"/>
  <c r="L158" i="5"/>
  <c r="J16" i="26"/>
  <c r="I484" i="26"/>
  <c r="F8" i="26" s="1"/>
  <c r="D8" i="26" s="1"/>
  <c r="F486" i="26"/>
  <c r="F9" i="26" s="1"/>
  <c r="C37" i="248" l="1"/>
  <c r="M1551" i="1"/>
  <c r="V2463" i="1"/>
  <c r="U2396" i="246"/>
  <c r="O2429" i="246"/>
  <c r="R2429" i="246" s="1"/>
  <c r="O2444" i="246"/>
  <c r="U713" i="246" s="1"/>
  <c r="R2420" i="246"/>
  <c r="R2417" i="246"/>
  <c r="R2416" i="246"/>
  <c r="R2421" i="246"/>
  <c r="R2487" i="1"/>
  <c r="R2484" i="1"/>
  <c r="R2483" i="1"/>
  <c r="R2488" i="1"/>
  <c r="M2496" i="1"/>
  <c r="R2496" i="1" s="1"/>
  <c r="M2511" i="1"/>
  <c r="R708" i="246"/>
  <c r="S708" i="246"/>
  <c r="R706" i="1"/>
  <c r="S706" i="1"/>
  <c r="J289" i="5"/>
  <c r="J387" i="5"/>
  <c r="L387" i="5" s="1"/>
  <c r="O2890" i="246"/>
  <c r="D1533" i="1"/>
  <c r="R1533" i="1" s="1"/>
  <c r="D1534" i="1"/>
  <c r="R1534" i="1" s="1"/>
  <c r="O1512" i="246"/>
  <c r="M636" i="1"/>
  <c r="S636" i="1" s="1"/>
  <c r="M639" i="1" s="1"/>
  <c r="O636" i="246"/>
  <c r="S636" i="246" s="1"/>
  <c r="M2958" i="1"/>
  <c r="S2958" i="1" s="1"/>
  <c r="D1495" i="246"/>
  <c r="R1495" i="246" s="1"/>
  <c r="D1494" i="246"/>
  <c r="R1494" i="246" s="1"/>
  <c r="O1476" i="246"/>
  <c r="O1473" i="246" s="1"/>
  <c r="S1473" i="246" s="1"/>
  <c r="O1490" i="246" s="1"/>
  <c r="U1553" i="246" s="1"/>
  <c r="M1515" i="1"/>
  <c r="M1512" i="1" s="1"/>
  <c r="S1512" i="1" s="1"/>
  <c r="M1529" i="1" s="1"/>
  <c r="P3" i="5"/>
  <c r="O705" i="246"/>
  <c r="M703" i="1"/>
  <c r="M2966" i="1" l="1"/>
  <c r="M2961" i="1"/>
  <c r="O644" i="246"/>
  <c r="O639" i="246"/>
  <c r="W639" i="246" s="1"/>
  <c r="D639" i="246" s="1"/>
  <c r="Y639" i="1"/>
  <c r="Z639" i="1"/>
  <c r="M644" i="1"/>
  <c r="U2384" i="246"/>
  <c r="U680" i="246"/>
  <c r="V711" i="1"/>
  <c r="V678" i="1"/>
  <c r="O2573" i="246"/>
  <c r="M2640" i="1"/>
  <c r="Z2511" i="1"/>
  <c r="Y2511" i="1"/>
  <c r="U2444" i="246"/>
  <c r="W2444" i="246"/>
  <c r="C2444" i="246" s="1"/>
  <c r="R2431" i="246"/>
  <c r="R2430" i="246"/>
  <c r="R2435" i="246"/>
  <c r="R2434" i="246"/>
  <c r="V2511" i="1"/>
  <c r="V2451" i="1"/>
  <c r="R2501" i="1"/>
  <c r="R2498" i="1"/>
  <c r="R2497" i="1"/>
  <c r="R2502" i="1"/>
  <c r="R713" i="1"/>
  <c r="R708" i="1"/>
  <c r="R707" i="1"/>
  <c r="R712" i="1"/>
  <c r="R715" i="246"/>
  <c r="R710" i="246"/>
  <c r="R714" i="246"/>
  <c r="R709" i="246"/>
  <c r="O699" i="246"/>
  <c r="S699" i="246" s="1"/>
  <c r="D705" i="246"/>
  <c r="O488" i="246"/>
  <c r="O491" i="246" s="1"/>
  <c r="U636" i="246"/>
  <c r="O487" i="1"/>
  <c r="O490" i="1" s="1"/>
  <c r="V636" i="1"/>
  <c r="Z703" i="1"/>
  <c r="M697" i="1"/>
  <c r="Y703" i="1"/>
  <c r="V1591" i="1"/>
  <c r="V1594" i="1"/>
  <c r="G519" i="4" s="1"/>
  <c r="S2890" i="246"/>
  <c r="U2890" i="246"/>
  <c r="O1513" i="246"/>
  <c r="O1516" i="246" s="1"/>
  <c r="M687" i="1"/>
  <c r="V687" i="1" s="1"/>
  <c r="O724" i="246"/>
  <c r="O689" i="246"/>
  <c r="U689" i="246" s="1"/>
  <c r="M1552" i="1"/>
  <c r="M1555" i="1" s="1"/>
  <c r="M722" i="1"/>
  <c r="V2958" i="1"/>
  <c r="L289" i="5"/>
  <c r="J404" i="5"/>
  <c r="J2" i="5" s="1"/>
  <c r="O495" i="1" l="1"/>
  <c r="V495" i="1" s="1"/>
  <c r="O496" i="246"/>
  <c r="U496" i="246" s="1"/>
  <c r="O2898" i="246"/>
  <c r="W2898" i="246" s="1"/>
  <c r="D2898" i="246" s="1"/>
  <c r="O2893" i="246"/>
  <c r="D639" i="1"/>
  <c r="C2511" i="1"/>
  <c r="V2640" i="1"/>
  <c r="R2640" i="1"/>
  <c r="M2648" i="1"/>
  <c r="V722" i="1" s="1"/>
  <c r="R2573" i="246"/>
  <c r="U2573" i="246"/>
  <c r="O2581" i="246"/>
  <c r="U724" i="246" s="1"/>
  <c r="D703" i="1"/>
  <c r="V1555" i="1"/>
  <c r="V823" i="1"/>
  <c r="U1516" i="246"/>
  <c r="U825" i="246"/>
  <c r="G41" i="234"/>
  <c r="R722" i="1"/>
  <c r="H41" i="234"/>
  <c r="H32" i="234"/>
  <c r="M714" i="1"/>
  <c r="D51" i="234"/>
  <c r="R687" i="1"/>
  <c r="C51" i="234"/>
  <c r="M681" i="1"/>
  <c r="D495" i="1"/>
  <c r="D490" i="1"/>
  <c r="O1881" i="246"/>
  <c r="O1935" i="246"/>
  <c r="M1946" i="1"/>
  <c r="M2000" i="1"/>
  <c r="O1890" i="246"/>
  <c r="S1890" i="246" s="1"/>
  <c r="O1885" i="246" s="1"/>
  <c r="O675" i="246"/>
  <c r="M673" i="1"/>
  <c r="M1955" i="1"/>
  <c r="S1955" i="1" s="1"/>
  <c r="M1950" i="1" s="1"/>
  <c r="L404" i="5"/>
  <c r="L2" i="5" s="1"/>
  <c r="Y644" i="1"/>
  <c r="Z644" i="1"/>
  <c r="V647" i="1"/>
  <c r="M777" i="1"/>
  <c r="V644" i="1"/>
  <c r="U644" i="246"/>
  <c r="O779" i="246"/>
  <c r="W644" i="246"/>
  <c r="D644" i="246" s="1"/>
  <c r="Z2966" i="1"/>
  <c r="Y2966" i="1"/>
  <c r="V2966" i="1"/>
  <c r="R689" i="246"/>
  <c r="O683" i="246"/>
  <c r="S697" i="1"/>
  <c r="H22" i="234"/>
  <c r="O716" i="246"/>
  <c r="R724" i="246"/>
  <c r="U2898" i="246"/>
  <c r="D491" i="246"/>
  <c r="D496" i="246"/>
  <c r="U647" i="246" l="1"/>
  <c r="D2966" i="1"/>
  <c r="D644" i="1"/>
  <c r="D42" i="234"/>
  <c r="D54" i="234" s="1"/>
  <c r="M667" i="1"/>
  <c r="R2648" i="1"/>
  <c r="R2638" i="1" s="1"/>
  <c r="Z2648" i="1"/>
  <c r="Z2637" i="1"/>
  <c r="Y2648" i="1"/>
  <c r="Y2637" i="1"/>
  <c r="W2581" i="246"/>
  <c r="C2570" i="246" s="1"/>
  <c r="R2581" i="246"/>
  <c r="R2571" i="246" s="1"/>
  <c r="H42" i="234"/>
  <c r="H44" i="234"/>
  <c r="S683" i="246"/>
  <c r="R683" i="246"/>
  <c r="V673" i="1"/>
  <c r="R673" i="1"/>
  <c r="D46" i="234"/>
  <c r="C46" i="234"/>
  <c r="R716" i="246"/>
  <c r="S716" i="246"/>
  <c r="O729" i="246" s="1"/>
  <c r="U675" i="246"/>
  <c r="R675" i="246"/>
  <c r="O669" i="246"/>
  <c r="R1867" i="246"/>
  <c r="R1869" i="246" s="1"/>
  <c r="R1868" i="246"/>
  <c r="M781" i="1"/>
  <c r="Y777" i="1"/>
  <c r="Z777" i="1"/>
  <c r="R1870" i="246"/>
  <c r="R1871" i="246" s="1"/>
  <c r="U1885" i="246"/>
  <c r="O783" i="246"/>
  <c r="W779" i="246"/>
  <c r="C779" i="246" s="1"/>
  <c r="V1950" i="1"/>
  <c r="R1935" i="1"/>
  <c r="R1936" i="1" s="1"/>
  <c r="R1932" i="1"/>
  <c r="R1934" i="1" s="1"/>
  <c r="R1933" i="1"/>
  <c r="S681" i="1"/>
  <c r="R681" i="1"/>
  <c r="S714" i="1"/>
  <c r="M727" i="1" s="1"/>
  <c r="R714" i="1"/>
  <c r="C2637" i="1" l="1"/>
  <c r="H46" i="234"/>
  <c r="R1959" i="1"/>
  <c r="R1961" i="1" s="1"/>
  <c r="R1963" i="1"/>
  <c r="R1894" i="246"/>
  <c r="R1896" i="246" s="1"/>
  <c r="R1898" i="246"/>
  <c r="C2648" i="1"/>
  <c r="R2562" i="246"/>
  <c r="R2568" i="246"/>
  <c r="R2585" i="246"/>
  <c r="R2563" i="246"/>
  <c r="R2583" i="246"/>
  <c r="R2567" i="246"/>
  <c r="R2580" i="246"/>
  <c r="R2565" i="246"/>
  <c r="R2579" i="246"/>
  <c r="R2582" i="246"/>
  <c r="R2566" i="246"/>
  <c r="R2560" i="246"/>
  <c r="R2570" i="246"/>
  <c r="R2586" i="246"/>
  <c r="R2561" i="246"/>
  <c r="R2564" i="246"/>
  <c r="R2569" i="246"/>
  <c r="R2587" i="246"/>
  <c r="R2584" i="246"/>
  <c r="C2581" i="246"/>
  <c r="R2635" i="1"/>
  <c r="R2629" i="1"/>
  <c r="R2630" i="1"/>
  <c r="R2647" i="1"/>
  <c r="R2628" i="1"/>
  <c r="R2650" i="1"/>
  <c r="R2646" i="1"/>
  <c r="R2653" i="1"/>
  <c r="R2627" i="1"/>
  <c r="R2649" i="1"/>
  <c r="R2636" i="1"/>
  <c r="R2651" i="1"/>
  <c r="R2633" i="1"/>
  <c r="R2652" i="1"/>
  <c r="R2634" i="1"/>
  <c r="R2654" i="1"/>
  <c r="R2632" i="1"/>
  <c r="R2631" i="1"/>
  <c r="R2637" i="1"/>
  <c r="C777" i="1"/>
  <c r="D52" i="234"/>
  <c r="R689" i="1"/>
  <c r="R688" i="1"/>
  <c r="R682" i="1"/>
  <c r="R683" i="1"/>
  <c r="R1924" i="1"/>
  <c r="R2002" i="1"/>
  <c r="R2004" i="1"/>
  <c r="R1926" i="1"/>
  <c r="R1930" i="1"/>
  <c r="R2000" i="1"/>
  <c r="R1928" i="1"/>
  <c r="R1922" i="1"/>
  <c r="R2005" i="1"/>
  <c r="R2003" i="1"/>
  <c r="R1998" i="1"/>
  <c r="R1929" i="1"/>
  <c r="R1925" i="1"/>
  <c r="R2006" i="1"/>
  <c r="R1931" i="1"/>
  <c r="R2001" i="1"/>
  <c r="R1923" i="1"/>
  <c r="R1999" i="1"/>
  <c r="R1927" i="1"/>
  <c r="U705" i="246"/>
  <c r="Y774" i="1"/>
  <c r="Z774" i="1"/>
  <c r="V703" i="1"/>
  <c r="R715" i="1"/>
  <c r="R723" i="1"/>
  <c r="R724" i="1"/>
  <c r="R716" i="1"/>
  <c r="R1940" i="1"/>
  <c r="R1950" i="1"/>
  <c r="R1948" i="1"/>
  <c r="R1944" i="1"/>
  <c r="R1946" i="1"/>
  <c r="R1937" i="1"/>
  <c r="R1957" i="1"/>
  <c r="R1953" i="1"/>
  <c r="R1952" i="1"/>
  <c r="R1938" i="1"/>
  <c r="R1954" i="1"/>
  <c r="R1943" i="1"/>
  <c r="R1951" i="1"/>
  <c r="R1941" i="1"/>
  <c r="R1939" i="1"/>
  <c r="R1955" i="1"/>
  <c r="R1958" i="1"/>
  <c r="R1949" i="1"/>
  <c r="R1878" i="246"/>
  <c r="R1883" i="246"/>
  <c r="R1884" i="246"/>
  <c r="R1888" i="246"/>
  <c r="R1886" i="246"/>
  <c r="R1893" i="246"/>
  <c r="R1874" i="246"/>
  <c r="R1879" i="246"/>
  <c r="R1890" i="246"/>
  <c r="R1889" i="246"/>
  <c r="R1872" i="246"/>
  <c r="R1876" i="246"/>
  <c r="R1873" i="246"/>
  <c r="R1887" i="246"/>
  <c r="R1875" i="246"/>
  <c r="R1892" i="246"/>
  <c r="R1881" i="246"/>
  <c r="R1885" i="246"/>
  <c r="R667" i="1"/>
  <c r="S667" i="1"/>
  <c r="M692" i="1" s="1"/>
  <c r="R1860" i="246"/>
  <c r="R1933" i="246"/>
  <c r="R1938" i="246"/>
  <c r="R1937" i="246"/>
  <c r="R1858" i="246"/>
  <c r="R1865" i="246"/>
  <c r="R1861" i="246"/>
  <c r="R1935" i="246"/>
  <c r="R1866" i="246"/>
  <c r="R1863" i="246"/>
  <c r="R1934" i="246"/>
  <c r="R1857" i="246"/>
  <c r="R1862" i="246"/>
  <c r="R1939" i="246"/>
  <c r="R1941" i="246"/>
  <c r="R1940" i="246"/>
  <c r="R1936" i="246"/>
  <c r="R1864" i="246"/>
  <c r="R1859" i="246"/>
  <c r="R685" i="246"/>
  <c r="R691" i="246"/>
  <c r="R684" i="246"/>
  <c r="R690" i="246"/>
  <c r="S669" i="246"/>
  <c r="O694" i="246" s="1"/>
  <c r="R669" i="246"/>
  <c r="R717" i="246"/>
  <c r="R725" i="246"/>
  <c r="R718" i="246"/>
  <c r="R726" i="246"/>
  <c r="R1962" i="1" l="1"/>
  <c r="C774" i="1"/>
  <c r="R1960" i="1"/>
  <c r="R1897" i="246"/>
  <c r="R1895" i="246"/>
  <c r="R1902" i="246"/>
  <c r="R1904" i="246"/>
  <c r="R1903" i="246"/>
  <c r="R1906" i="246"/>
  <c r="R1901" i="246"/>
  <c r="R1900" i="246"/>
  <c r="R1899" i="246"/>
  <c r="R1907" i="246"/>
  <c r="R1905" i="246"/>
  <c r="R1966" i="1"/>
  <c r="R1964" i="1"/>
  <c r="R1970" i="1"/>
  <c r="R1965" i="1"/>
  <c r="R1971" i="1"/>
  <c r="R1968" i="1"/>
  <c r="R1967" i="1"/>
  <c r="R1972" i="1"/>
  <c r="R1969" i="1"/>
  <c r="C12" i="234"/>
  <c r="D56" i="234" s="1"/>
  <c r="O480" i="1"/>
  <c r="M480" i="1" s="1"/>
  <c r="V692" i="1"/>
  <c r="V2" i="1" s="1"/>
  <c r="R680" i="1"/>
  <c r="R669" i="1"/>
  <c r="R668" i="1"/>
  <c r="R679" i="1"/>
  <c r="O479" i="246"/>
  <c r="U694" i="246"/>
  <c r="U2" i="246" s="1"/>
  <c r="R671" i="246"/>
  <c r="R670" i="246"/>
  <c r="R682" i="246"/>
  <c r="R681" i="246"/>
  <c r="O71" i="1" l="1"/>
  <c r="O73" i="1" s="1"/>
  <c r="O71" i="246"/>
  <c r="O73" i="246" s="1"/>
  <c r="O77" i="246"/>
  <c r="O79" i="246"/>
  <c r="O81" i="246"/>
  <c r="O83" i="246"/>
  <c r="O89" i="246"/>
  <c r="O91" i="246"/>
  <c r="O75" i="1" l="1"/>
  <c r="Q658" i="1"/>
  <c r="O79" i="1" l="1"/>
  <c r="O77" i="1"/>
  <c r="Q732" i="1"/>
  <c r="O81" i="1" s="1"/>
  <c r="Q788" i="1" l="1"/>
  <c r="O83" i="1" s="1"/>
  <c r="Q863" i="1" l="1"/>
  <c r="Q911" i="1" s="1"/>
  <c r="Q931" i="1" l="1"/>
  <c r="Q947" i="1" s="1"/>
  <c r="Q968" i="1" l="1"/>
  <c r="Q994" i="1" s="1"/>
  <c r="Q1012" i="1" l="1"/>
  <c r="Q1031" i="1" s="1"/>
  <c r="Q1050" i="1" l="1"/>
  <c r="Q1073" i="1" l="1"/>
  <c r="Q1089" i="1" s="1"/>
  <c r="Q1109" i="1" s="1"/>
  <c r="Q1130" i="1" s="1"/>
  <c r="Q1145" i="1" s="1"/>
  <c r="Q1167" i="1" l="1"/>
  <c r="Q1195" i="1" s="1"/>
  <c r="Q1240" i="1" l="1"/>
  <c r="Q1267" i="1" s="1"/>
  <c r="Q1295" i="1" l="1"/>
  <c r="Q1328" i="1" s="1"/>
  <c r="Q1354" i="1" s="1"/>
  <c r="Q1413" i="1" s="1"/>
  <c r="Q1477" i="1" l="1"/>
  <c r="Q1498" i="1" s="1"/>
  <c r="Q1539" i="1" s="1"/>
  <c r="Q1561" i="1" s="1"/>
  <c r="Q1599" i="1" s="1"/>
  <c r="Q1654" i="1" s="1"/>
  <c r="Q1712" i="1" s="1"/>
  <c r="Q1779" i="1" s="1"/>
  <c r="Q1809" i="1" s="1"/>
  <c r="Q1864" i="1" s="1"/>
  <c r="Q1922" i="1" s="1"/>
  <c r="Q1963" i="1" s="1"/>
  <c r="Q2007" i="1" s="1"/>
  <c r="Q2032" i="1" s="1"/>
  <c r="Q2064" i="1" s="1"/>
  <c r="Q2096" i="1" s="1"/>
  <c r="Q2155" i="1" s="1"/>
  <c r="Q2181" i="1" s="1"/>
  <c r="Q2213" i="1" s="1"/>
  <c r="Q2241" i="1" s="1"/>
  <c r="Q2270" i="1" s="1"/>
  <c r="Q2293" i="1" s="1"/>
  <c r="Q2317" i="1" s="1"/>
  <c r="Q2353" i="1" s="1"/>
  <c r="Q2393" i="1" s="1"/>
  <c r="Q2432" i="1" s="1"/>
  <c r="Q2470" i="1" l="1"/>
  <c r="Q2523" i="1" s="1"/>
  <c r="Q2550" i="1" s="1"/>
  <c r="Q2577" i="1" s="1"/>
  <c r="Q2601" i="1" s="1"/>
  <c r="Q2627" i="1" s="1"/>
  <c r="Q2655" i="1" s="1"/>
  <c r="Q2681" i="1" s="1"/>
  <c r="Q2718" i="1" s="1"/>
  <c r="Q2762" i="1" s="1"/>
  <c r="D361" i="1" s="1"/>
  <c r="Q2804" i="1" l="1"/>
  <c r="Q2888" i="1" s="1"/>
  <c r="O87" i="1" s="1"/>
  <c r="D193" i="1"/>
  <c r="D222" i="1"/>
  <c r="O85" i="1"/>
  <c r="D265" i="1"/>
  <c r="Q2972" i="1"/>
  <c r="O89" i="1" s="1"/>
  <c r="Q3046" i="1" l="1"/>
  <c r="O91" i="1" s="1"/>
</calcChain>
</file>

<file path=xl/sharedStrings.xml><?xml version="1.0" encoding="utf-8"?>
<sst xmlns="http://schemas.openxmlformats.org/spreadsheetml/2006/main" count="6413" uniqueCount="1771">
  <si>
    <t>6200/020</t>
  </si>
  <si>
    <t>MOTOR VEHICLES - ACC DEPR</t>
  </si>
  <si>
    <t>6200/021</t>
  </si>
  <si>
    <t>6200/022</t>
  </si>
  <si>
    <t>6200/023</t>
  </si>
  <si>
    <t>6250/000</t>
  </si>
  <si>
    <t>6250/001</t>
  </si>
  <si>
    <t>6250/002</t>
  </si>
  <si>
    <t>6250/003</t>
  </si>
  <si>
    <t>6250/020</t>
  </si>
  <si>
    <t>6250/021</t>
  </si>
  <si>
    <t>6250/022</t>
  </si>
  <si>
    <t>6250/023</t>
  </si>
  <si>
    <t>Reserves</t>
  </si>
  <si>
    <t>6350/000</t>
  </si>
  <si>
    <t>6350/001</t>
  </si>
  <si>
    <t>Odd</t>
  </si>
  <si>
    <t>Even</t>
  </si>
  <si>
    <t>6150/020</t>
  </si>
  <si>
    <t>6150/021</t>
  </si>
  <si>
    <t>2500/000</t>
  </si>
  <si>
    <t>7500/002</t>
  </si>
  <si>
    <t>Work in progress</t>
  </si>
  <si>
    <t>7500/003</t>
  </si>
  <si>
    <t>Finished goods</t>
  </si>
  <si>
    <t>A</t>
  </si>
  <si>
    <t>Date</t>
  </si>
  <si>
    <t>7500/004</t>
  </si>
  <si>
    <t>Trading stock</t>
  </si>
  <si>
    <t>----------------------------------------</t>
  </si>
  <si>
    <t>8000/000</t>
  </si>
  <si>
    <t>DEBTORS</t>
  </si>
  <si>
    <t>8010/000</t>
  </si>
  <si>
    <t>Trade debtors</t>
  </si>
  <si>
    <t>8020/000</t>
  </si>
  <si>
    <t>6150/022</t>
  </si>
  <si>
    <t>6150/023</t>
  </si>
  <si>
    <t>6200/000</t>
  </si>
  <si>
    <t>MOTOR VEHICLES - COST</t>
  </si>
  <si>
    <t>6200/001</t>
  </si>
  <si>
    <t>6200/002</t>
  </si>
  <si>
    <t>6150/001</t>
  </si>
  <si>
    <t>6150/002</t>
  </si>
  <si>
    <t>6150/003</t>
  </si>
  <si>
    <t>Postal Address</t>
  </si>
  <si>
    <t xml:space="preserve">Balances </t>
  </si>
  <si>
    <t>INPUT RECONCILIATION</t>
  </si>
  <si>
    <t>Operating expenses</t>
  </si>
  <si>
    <t>Admin expenses</t>
  </si>
  <si>
    <t>Plant &amp; Equipment additions</t>
  </si>
  <si>
    <t>Motor vehicle additions(Claimable)</t>
  </si>
  <si>
    <t>Electronic equipment additions</t>
  </si>
  <si>
    <t>F &amp; F Additions</t>
  </si>
  <si>
    <t>Less: Non Vatable Expenses</t>
  </si>
  <si>
    <t>VAT per returns</t>
  </si>
  <si>
    <t>INTANGIBLE ASSETS</t>
  </si>
  <si>
    <t>INVENTORY</t>
  </si>
  <si>
    <t>Depreciation rates</t>
  </si>
  <si>
    <t>2100/033</t>
  </si>
  <si>
    <t>Depr - Motor vehicles</t>
  </si>
  <si>
    <t>Depr - Electronic equipment</t>
  </si>
  <si>
    <t>2100/040</t>
  </si>
  <si>
    <t>Discounts allowed</t>
  </si>
  <si>
    <t>2100/050</t>
  </si>
  <si>
    <t>2100/055</t>
  </si>
  <si>
    <t>SALES(Zero)</t>
  </si>
  <si>
    <t>Sales per VAT returns</t>
  </si>
  <si>
    <t>Sales per Trial Balance</t>
  </si>
  <si>
    <t>Is deferred tax provided?</t>
  </si>
  <si>
    <t>Equipment lease</t>
  </si>
  <si>
    <t>2100/060</t>
  </si>
  <si>
    <t>3000/095</t>
  </si>
  <si>
    <t>Tax payable</t>
  </si>
  <si>
    <t>Provisional tax paid</t>
  </si>
  <si>
    <t>First</t>
  </si>
  <si>
    <t>Second</t>
  </si>
  <si>
    <t>Third</t>
  </si>
  <si>
    <t>Repairs and maintenance</t>
  </si>
  <si>
    <t>2100/120</t>
  </si>
  <si>
    <t>Salaries</t>
  </si>
  <si>
    <t>2100/121</t>
  </si>
  <si>
    <t>UIF - Employer</t>
  </si>
  <si>
    <t>2100/122</t>
  </si>
  <si>
    <t>Casual wages</t>
  </si>
  <si>
    <t>2100/130</t>
  </si>
  <si>
    <t>Telephone</t>
  </si>
  <si>
    <t>2100/135</t>
  </si>
  <si>
    <t>2100/140</t>
  </si>
  <si>
    <t>2100/150</t>
  </si>
  <si>
    <t>2750/000</t>
  </si>
  <si>
    <t>2750/001</t>
  </si>
  <si>
    <t>2750/002</t>
  </si>
  <si>
    <t>2750/003</t>
  </si>
  <si>
    <t>2750/004</t>
  </si>
  <si>
    <t>Tax penalties and interest</t>
  </si>
  <si>
    <t>YEAREND:</t>
  </si>
  <si>
    <t>Prepared:</t>
  </si>
  <si>
    <t>Checked:</t>
  </si>
  <si>
    <t>Balance b/fwd</t>
  </si>
  <si>
    <t>WP REF.</t>
  </si>
  <si>
    <t>Less:</t>
  </si>
  <si>
    <t>5130/000</t>
  </si>
  <si>
    <t>Yes</t>
  </si>
  <si>
    <t>No</t>
  </si>
  <si>
    <t>Investments</t>
  </si>
  <si>
    <t>If "Yes":</t>
  </si>
  <si>
    <t>Balance</t>
  </si>
  <si>
    <t>FIRST SET OF ACCOUNTS</t>
  </si>
  <si>
    <t>Changes in working capital</t>
  </si>
  <si>
    <t>DETAILED INCOME STATEMENT FOR THE YEAR ENDED</t>
  </si>
  <si>
    <t>BALANCE SHEET</t>
  </si>
  <si>
    <t xml:space="preserve"> </t>
  </si>
  <si>
    <t xml:space="preserve">Page </t>
  </si>
  <si>
    <t>Nature of business</t>
  </si>
  <si>
    <t>Registered office</t>
  </si>
  <si>
    <t>Postal address</t>
  </si>
  <si>
    <t>Signature</t>
  </si>
  <si>
    <t>Date:</t>
  </si>
  <si>
    <t xml:space="preserve"> (Continued)</t>
  </si>
  <si>
    <t>FIXED ASSETS</t>
  </si>
  <si>
    <t>NOTES</t>
  </si>
  <si>
    <t>ASSETS</t>
  </si>
  <si>
    <t>EQUITY AND LIABILITIES</t>
  </si>
  <si>
    <t>REVENUE</t>
  </si>
  <si>
    <t>COST OF SALES</t>
  </si>
  <si>
    <t>OTHER INCOME</t>
  </si>
  <si>
    <t>FINANCE COSTS</t>
  </si>
  <si>
    <t>TAXATION</t>
  </si>
  <si>
    <t>Balance at the beginning of the year</t>
  </si>
  <si>
    <t>NET CASH FLOW FROM FINANCING ACTIVITIES</t>
  </si>
  <si>
    <t xml:space="preserve">NET INCREASE / (DECREASE) IN CASH AND </t>
  </si>
  <si>
    <t>CASH EQUIVALENTS DURING THE YEAR</t>
  </si>
  <si>
    <t>CAPITAL</t>
  </si>
  <si>
    <t>INTEREST</t>
  </si>
  <si>
    <t>Penalties &amp; Interest - SARS</t>
  </si>
  <si>
    <t>ELECTRONIC EQUIPMENT - COST</t>
  </si>
  <si>
    <t>ELECTRONIC EQUIPMENT - ACC DEPR</t>
  </si>
  <si>
    <t>Tax provision this year</t>
  </si>
  <si>
    <t>3rd Provisional paid</t>
  </si>
  <si>
    <t>BANK ACCOUNTS</t>
  </si>
  <si>
    <t>8460/000</t>
  </si>
  <si>
    <t>…………………………………………</t>
  </si>
  <si>
    <t>…………………………………</t>
  </si>
  <si>
    <t>5500/000</t>
  </si>
  <si>
    <t>LONG TERM  INTEREST LIABILITIES</t>
  </si>
  <si>
    <t>5500/001</t>
  </si>
  <si>
    <t>5500/002</t>
  </si>
  <si>
    <t>5500/003</t>
  </si>
  <si>
    <t>5500/004</t>
  </si>
  <si>
    <t>5500/005</t>
  </si>
  <si>
    <t>5520/000</t>
  </si>
  <si>
    <t xml:space="preserve">B/FWD </t>
  </si>
  <si>
    <t>5550/000</t>
  </si>
  <si>
    <t>LONG TERM INTEREST FREE LOANS</t>
  </si>
  <si>
    <t>5550/001</t>
  </si>
  <si>
    <t>5550/002</t>
  </si>
  <si>
    <t>5550/003</t>
  </si>
  <si>
    <t>5550/004</t>
  </si>
  <si>
    <t>5550/005</t>
  </si>
  <si>
    <t>5700/000</t>
  </si>
  <si>
    <t>5700/010</t>
  </si>
  <si>
    <t>Deferred tax on depreciation for year</t>
  </si>
  <si>
    <t>Deferred tax on tax loss for year</t>
  </si>
  <si>
    <t>6100/000</t>
  </si>
  <si>
    <t>6100/001</t>
  </si>
  <si>
    <t>6100/002</t>
  </si>
  <si>
    <t>6100/003</t>
  </si>
  <si>
    <t>. . . . . . . . . . . . . . . . . . . . . . .</t>
  </si>
  <si>
    <t>6350/021</t>
  </si>
  <si>
    <t>6350/022</t>
  </si>
  <si>
    <t>7100/205</t>
  </si>
  <si>
    <t>7450/000</t>
  </si>
  <si>
    <t>7450/001</t>
  </si>
  <si>
    <t>7450/002</t>
  </si>
  <si>
    <t>7450/003</t>
  </si>
  <si>
    <t>Sales</t>
  </si>
  <si>
    <t>Assessed loss brought forward from previous year</t>
  </si>
  <si>
    <t>YEAR END</t>
  </si>
  <si>
    <t>THIS YEAR</t>
  </si>
  <si>
    <t>Less: Disposals</t>
  </si>
  <si>
    <t xml:space="preserve">FINANCIAL STATEMENTS FOR THE YEAR ENDED </t>
  </si>
  <si>
    <t>SECRETARIAL INFORMATION</t>
  </si>
  <si>
    <t>JOURNALS</t>
  </si>
  <si>
    <t>NR</t>
  </si>
  <si>
    <t>JOURNALS - YEAR END</t>
  </si>
  <si>
    <t>CASH AND CASH EQUIVALENTS</t>
  </si>
  <si>
    <t>At the beginning of the year</t>
  </si>
  <si>
    <t>At the end of the year</t>
  </si>
  <si>
    <t>PLANT AND EQUIPMENT</t>
  </si>
  <si>
    <t>INVESTMENTS</t>
  </si>
  <si>
    <t>Levies - SDL</t>
  </si>
  <si>
    <t>2100/072</t>
  </si>
  <si>
    <t>Levies - other</t>
  </si>
  <si>
    <t>2100/080</t>
  </si>
  <si>
    <t>2100/090</t>
  </si>
  <si>
    <t>Motor vehicle expenses------------------</t>
  </si>
  <si>
    <t>2100/091</t>
  </si>
  <si>
    <t>Motor vehicle expenses - Petrol and oil</t>
  </si>
  <si>
    <t>2100/092</t>
  </si>
  <si>
    <t>Motor vehicle expenses - R&amp;M</t>
  </si>
  <si>
    <t>2100/093</t>
  </si>
  <si>
    <t>Motor vehicle expenses - Insurance</t>
  </si>
  <si>
    <t>2100/094</t>
  </si>
  <si>
    <t>2100/095</t>
  </si>
  <si>
    <t>2100/100</t>
  </si>
  <si>
    <t>Rent paid-------------------------------</t>
  </si>
  <si>
    <t>2100/101</t>
  </si>
  <si>
    <t>2100/102</t>
  </si>
  <si>
    <t>2100/103</t>
  </si>
  <si>
    <t>2100/110</t>
  </si>
  <si>
    <t>2800/000</t>
  </si>
  <si>
    <t>4820/000</t>
  </si>
  <si>
    <t>DEFERRED TAX</t>
  </si>
  <si>
    <t>4820/001</t>
  </si>
  <si>
    <t>Deferred tax this year</t>
  </si>
  <si>
    <t>4820/002</t>
  </si>
  <si>
    <t>Deferred tax adjustment previous year</t>
  </si>
  <si>
    <t>4850/000</t>
  </si>
  <si>
    <t>4860/000</t>
  </si>
  <si>
    <t>Carrying value</t>
  </si>
  <si>
    <t>2800/002</t>
  </si>
  <si>
    <t>2810/000</t>
  </si>
  <si>
    <t>2820/000</t>
  </si>
  <si>
    <t>Bad debts recovered</t>
  </si>
  <si>
    <t>2830/000</t>
  </si>
  <si>
    <t>Other income</t>
  </si>
  <si>
    <t>3000/000</t>
  </si>
  <si>
    <t>3000/011</t>
  </si>
  <si>
    <t>Audit fees for current year</t>
  </si>
  <si>
    <t>3000/012</t>
  </si>
  <si>
    <t>3000/013</t>
  </si>
  <si>
    <t>Overprovision previous year</t>
  </si>
  <si>
    <t>3000/014</t>
  </si>
  <si>
    <t>Accounting fees</t>
  </si>
  <si>
    <t>3000/020</t>
  </si>
  <si>
    <t>Bank charges</t>
  </si>
  <si>
    <t>3000/030</t>
  </si>
  <si>
    <t>Bad debts</t>
  </si>
  <si>
    <t>3000/040</t>
  </si>
  <si>
    <t>3000/050</t>
  </si>
  <si>
    <t>Computer expenses</t>
  </si>
  <si>
    <t>3000/060</t>
  </si>
  <si>
    <t>3000/061</t>
  </si>
  <si>
    <t>Tax thereon at:</t>
  </si>
  <si>
    <t>Dividends paid</t>
  </si>
  <si>
    <t>NET CASH FLOW FROM OPERATING ACTIVITIES</t>
  </si>
  <si>
    <t>Less: Cash paid to suppliers and employees</t>
  </si>
  <si>
    <t>Cash generated from operations</t>
  </si>
  <si>
    <t xml:space="preserve">Add: </t>
  </si>
  <si>
    <t xml:space="preserve">   Dividends received</t>
  </si>
  <si>
    <t xml:space="preserve">   Interest received</t>
  </si>
  <si>
    <t xml:space="preserve">Less: </t>
  </si>
  <si>
    <t xml:space="preserve">   Taxation paid</t>
  </si>
  <si>
    <t>NET CASH FLOW FROM INVESTING ACTIVITIES</t>
  </si>
  <si>
    <t>Book Values</t>
  </si>
  <si>
    <t>Tax Values</t>
  </si>
  <si>
    <t>Diff</t>
  </si>
  <si>
    <t>Def Tax</t>
  </si>
  <si>
    <t>Fixed Assets</t>
  </si>
  <si>
    <t>I/S</t>
  </si>
  <si>
    <t>Legal expenses - Non deductible</t>
  </si>
  <si>
    <t>Description</t>
  </si>
  <si>
    <t>Account</t>
  </si>
  <si>
    <t/>
  </si>
  <si>
    <t>DR</t>
  </si>
  <si>
    <t>CR</t>
  </si>
  <si>
    <t>1000/000</t>
  </si>
  <si>
    <t>1000/001</t>
  </si>
  <si>
    <t>1000/002</t>
  </si>
  <si>
    <t>1000/003</t>
  </si>
  <si>
    <t>2000/000</t>
  </si>
  <si>
    <t>2000/001</t>
  </si>
  <si>
    <t>8200/020</t>
  </si>
  <si>
    <t>8400/000</t>
  </si>
  <si>
    <t>8410/000</t>
  </si>
  <si>
    <t>8420/000</t>
  </si>
  <si>
    <t>8430/000</t>
  </si>
  <si>
    <t>8440/000</t>
  </si>
  <si>
    <t>8450/000</t>
  </si>
  <si>
    <t>6350/023</t>
  </si>
  <si>
    <t>Income Statement</t>
  </si>
  <si>
    <t>Is a Cash Flow Statement presented?</t>
  </si>
  <si>
    <t>(Continued)</t>
  </si>
  <si>
    <t>OTHER RESERVES</t>
  </si>
  <si>
    <t>5130/001</t>
  </si>
  <si>
    <t>5130/002</t>
  </si>
  <si>
    <t xml:space="preserve">Salaries </t>
  </si>
  <si>
    <t>Training</t>
  </si>
  <si>
    <t>Short term portion of long term loans</t>
  </si>
  <si>
    <t>Carried forward</t>
  </si>
  <si>
    <t>Brought forward</t>
  </si>
  <si>
    <t>Cleaning</t>
  </si>
  <si>
    <t>Donations</t>
  </si>
  <si>
    <t>Refreshments</t>
  </si>
  <si>
    <t>Security</t>
  </si>
  <si>
    <t>STATEMENT OF TAXABLE INCOME FOR THE YEAR ENDED</t>
  </si>
  <si>
    <t>South African sources</t>
  </si>
  <si>
    <t xml:space="preserve">ERROR </t>
  </si>
  <si>
    <t>Keep open</t>
  </si>
  <si>
    <t>Straight Line</t>
  </si>
  <si>
    <t>6350/020</t>
  </si>
  <si>
    <t>Purchases</t>
  </si>
  <si>
    <t>Advertising</t>
  </si>
  <si>
    <t>Consumables</t>
  </si>
  <si>
    <t>Depreciation</t>
  </si>
  <si>
    <t>Insurance</t>
  </si>
  <si>
    <t>3000/180</t>
  </si>
  <si>
    <t>3000/190</t>
  </si>
  <si>
    <t>3000/200</t>
  </si>
  <si>
    <t>3000/210</t>
  </si>
  <si>
    <t>3000/220</t>
  </si>
  <si>
    <t>6100/020</t>
  </si>
  <si>
    <t>6100/021</t>
  </si>
  <si>
    <t>6100/022</t>
  </si>
  <si>
    <t>SHORT TERM LOANS</t>
  </si>
  <si>
    <t>6100/023</t>
  </si>
  <si>
    <t>6150/000</t>
  </si>
  <si>
    <t>7450/005</t>
  </si>
  <si>
    <t>7460/000</t>
  </si>
  <si>
    <t>Change in profit</t>
  </si>
  <si>
    <t>7460/001</t>
  </si>
  <si>
    <t>7460/002</t>
  </si>
  <si>
    <t>7460/003</t>
  </si>
  <si>
    <t>7460/006</t>
  </si>
  <si>
    <t>7460/007</t>
  </si>
  <si>
    <t>Sundry debtors</t>
  </si>
  <si>
    <t>Dividends received----------------------</t>
  </si>
  <si>
    <t>2800/001</t>
  </si>
  <si>
    <t>3000/110</t>
  </si>
  <si>
    <t>3000/120</t>
  </si>
  <si>
    <t>Printing and stationary</t>
  </si>
  <si>
    <t>3000/130</t>
  </si>
  <si>
    <t>3000/140</t>
  </si>
  <si>
    <t>3000/141</t>
  </si>
  <si>
    <t>3000/150</t>
  </si>
  <si>
    <t>3000/160</t>
  </si>
  <si>
    <t>4700/000</t>
  </si>
  <si>
    <t>4700/010</t>
  </si>
  <si>
    <t>Interest paid---------------------------</t>
  </si>
  <si>
    <t>4700/011</t>
  </si>
  <si>
    <t>4700/012</t>
  </si>
  <si>
    <t>4700/013</t>
  </si>
  <si>
    <t>4700/014</t>
  </si>
  <si>
    <t>4700/020</t>
  </si>
  <si>
    <t>4800/000</t>
  </si>
  <si>
    <t>NORMAL TAXATION</t>
  </si>
  <si>
    <t>4800/001</t>
  </si>
  <si>
    <t>Tax provided this year</t>
  </si>
  <si>
    <t>4800/002</t>
  </si>
  <si>
    <t>Tax adjustment previous year</t>
  </si>
  <si>
    <t>OTHER OPERATING INCOME</t>
  </si>
  <si>
    <t>2050/000</t>
  </si>
  <si>
    <t>2050/001</t>
  </si>
  <si>
    <t>2050/002</t>
  </si>
  <si>
    <t>2050/003</t>
  </si>
  <si>
    <t>2050/004</t>
  </si>
  <si>
    <t>2050/005</t>
  </si>
  <si>
    <t>Fines</t>
  </si>
  <si>
    <t>5130/003</t>
  </si>
  <si>
    <t>Service deposits</t>
  </si>
  <si>
    <t>Profit</t>
  </si>
  <si>
    <t>Loss</t>
  </si>
  <si>
    <t>3000/170</t>
  </si>
  <si>
    <t>Appointed in year</t>
  </si>
  <si>
    <t>Ongoing</t>
  </si>
  <si>
    <t>Resign at annual meeting</t>
  </si>
  <si>
    <t>Difference</t>
  </si>
  <si>
    <t>TOTAL</t>
  </si>
  <si>
    <t>9300/000</t>
  </si>
  <si>
    <t>9350/000</t>
  </si>
  <si>
    <t>9400/000</t>
  </si>
  <si>
    <t>9400/010</t>
  </si>
  <si>
    <t>9400/020</t>
  </si>
  <si>
    <t>9500/000</t>
  </si>
  <si>
    <t>VALUE ADDED TAX</t>
  </si>
  <si>
    <t>9501/000</t>
  </si>
  <si>
    <t>VAT account</t>
  </si>
  <si>
    <t>9510/000</t>
  </si>
  <si>
    <t>9990/000</t>
  </si>
  <si>
    <t>FURNITURE AND FITTINGS</t>
  </si>
  <si>
    <t>(Profit)/Loss</t>
  </si>
  <si>
    <t>OTHER</t>
  </si>
  <si>
    <t>PROFIT/LOSS</t>
  </si>
  <si>
    <t>Balance - end of year</t>
  </si>
  <si>
    <t>MOTOR VEHICLES</t>
  </si>
  <si>
    <t>ELECTRONIC EQUIPMENT</t>
  </si>
  <si>
    <t>Under provision previous year</t>
  </si>
  <si>
    <t>Trade licenses</t>
  </si>
  <si>
    <t>Motor vehicle expenses - licenses</t>
  </si>
  <si>
    <t>VAT CONTROL</t>
  </si>
  <si>
    <t>VAT Returns</t>
  </si>
  <si>
    <t>SALES(Incl)</t>
  </si>
  <si>
    <t>SALES(Capital)</t>
  </si>
  <si>
    <t>OUTPUT</t>
  </si>
  <si>
    <t>INPUT</t>
  </si>
  <si>
    <t>INPUT(Capital)</t>
  </si>
  <si>
    <t>NET</t>
  </si>
  <si>
    <t>2710/000</t>
  </si>
  <si>
    <t>Rent received</t>
  </si>
  <si>
    <t>3000/063</t>
  </si>
  <si>
    <t>3000/070</t>
  </si>
  <si>
    <t>3000/071</t>
  </si>
  <si>
    <t>3000/072</t>
  </si>
  <si>
    <t>3000/073</t>
  </si>
  <si>
    <t>3000/074</t>
  </si>
  <si>
    <t>3000/075</t>
  </si>
  <si>
    <t>3000/080</t>
  </si>
  <si>
    <t>3000/090</t>
  </si>
  <si>
    <t>Entertainment expenses</t>
  </si>
  <si>
    <t>3000/100</t>
  </si>
  <si>
    <t>General expenses</t>
  </si>
  <si>
    <t>OTHER INVESTMENTS</t>
  </si>
  <si>
    <t>Secured loan bearing interest at xx% p.a. with no fixed</t>
  </si>
  <si>
    <t>repayment terms</t>
  </si>
  <si>
    <t>Prepayments</t>
  </si>
  <si>
    <t>NOTES TO THE FINANCIAL STATEMENTS FOR THE YEAR ENDED</t>
  </si>
  <si>
    <t>Cost</t>
  </si>
  <si>
    <t>Additions</t>
  </si>
  <si>
    <t>Plant and</t>
  </si>
  <si>
    <t>Furniture and</t>
  </si>
  <si>
    <t>Total</t>
  </si>
  <si>
    <t xml:space="preserve">  Cost</t>
  </si>
  <si>
    <t>Add: Additions</t>
  </si>
  <si>
    <t>Other reserves - transfer</t>
  </si>
  <si>
    <t>5200/000</t>
  </si>
  <si>
    <t>Travelling and accommodation</t>
  </si>
  <si>
    <t>2000/002</t>
  </si>
  <si>
    <t>Opening stock - WIP</t>
  </si>
  <si>
    <t>2000/003</t>
  </si>
  <si>
    <t>Opening stock - Finished goods</t>
  </si>
  <si>
    <t>2000/004</t>
  </si>
  <si>
    <t>Opening stock - Trading stock</t>
  </si>
  <si>
    <t>2000/010</t>
  </si>
  <si>
    <t>2000/011</t>
  </si>
  <si>
    <t>2000/012</t>
  </si>
  <si>
    <t>2000/013</t>
  </si>
  <si>
    <t>2000/014</t>
  </si>
  <si>
    <t>2000/015</t>
  </si>
  <si>
    <t>2000/050</t>
  </si>
  <si>
    <t>Closing stock - Raw materials</t>
  </si>
  <si>
    <t>2000/051</t>
  </si>
  <si>
    <t>Closing stock - WIP</t>
  </si>
  <si>
    <t>2000/052</t>
  </si>
  <si>
    <t>Closing stock - Finished goods</t>
  </si>
  <si>
    <t>2000/053</t>
  </si>
  <si>
    <t>Closing stock - Trading stock</t>
  </si>
  <si>
    <t>2100/000</t>
  </si>
  <si>
    <t>2100/001</t>
  </si>
  <si>
    <t>2100/010</t>
  </si>
  <si>
    <t>2100/020</t>
  </si>
  <si>
    <t>2100/030</t>
  </si>
  <si>
    <t>Depreciation----------------------------</t>
  </si>
  <si>
    <t>2100/031</t>
  </si>
  <si>
    <t>2100/032</t>
  </si>
  <si>
    <t>Balance Sheet</t>
  </si>
  <si>
    <t>Months</t>
  </si>
  <si>
    <t>7500/000</t>
  </si>
  <si>
    <t>7500/001</t>
  </si>
  <si>
    <t>Raw materials</t>
  </si>
  <si>
    <t>Trade payables</t>
  </si>
  <si>
    <t>Other</t>
  </si>
  <si>
    <t>7450/004</t>
  </si>
  <si>
    <t>6350/002</t>
  </si>
  <si>
    <t>8500/000</t>
  </si>
  <si>
    <t>Cash on hand</t>
  </si>
  <si>
    <t>8900/000</t>
  </si>
  <si>
    <t>8900/001</t>
  </si>
  <si>
    <t>8900/002</t>
  </si>
  <si>
    <t>8900/003</t>
  </si>
  <si>
    <t>8900/004</t>
  </si>
  <si>
    <t>9000/000</t>
  </si>
  <si>
    <t>CREDITORS</t>
  </si>
  <si>
    <t>9010/000</t>
  </si>
  <si>
    <t>Trade creditors</t>
  </si>
  <si>
    <t>9200/000</t>
  </si>
  <si>
    <t>9200/010</t>
  </si>
  <si>
    <t>9200/020</t>
  </si>
  <si>
    <t>9250/000</t>
  </si>
  <si>
    <t>6350/003</t>
  </si>
  <si>
    <t>Amount to finance</t>
  </si>
  <si>
    <t>Instalment</t>
  </si>
  <si>
    <t>Interest Rate</t>
  </si>
  <si>
    <t>INSTALMENT</t>
  </si>
  <si>
    <t>BALANCE</t>
  </si>
  <si>
    <t>2100/071</t>
  </si>
  <si>
    <t>3000/111</t>
  </si>
  <si>
    <t>4750/000</t>
  </si>
  <si>
    <t>4750/010</t>
  </si>
  <si>
    <t>9300/010</t>
  </si>
  <si>
    <t>9300/020</t>
  </si>
  <si>
    <t>9300/030</t>
  </si>
  <si>
    <t>9300/040</t>
  </si>
  <si>
    <t>9300/050</t>
  </si>
  <si>
    <t>9300/060</t>
  </si>
  <si>
    <t>9300/070</t>
  </si>
  <si>
    <t>9300/090</t>
  </si>
  <si>
    <t>5120/000</t>
  </si>
  <si>
    <t>5120/001</t>
  </si>
  <si>
    <t>5120/002</t>
  </si>
  <si>
    <t>5120/003</t>
  </si>
  <si>
    <t>7000/000</t>
  </si>
  <si>
    <t>7000/010</t>
  </si>
  <si>
    <t>7000/025</t>
  </si>
  <si>
    <t>7100/000</t>
  </si>
  <si>
    <t>7100/100</t>
  </si>
  <si>
    <t>LISTED INVESTMENTS</t>
  </si>
  <si>
    <t>7100/101</t>
  </si>
  <si>
    <t>7100/102</t>
  </si>
  <si>
    <t>7100/103</t>
  </si>
  <si>
    <t>7100/104</t>
  </si>
  <si>
    <t>7100/105</t>
  </si>
  <si>
    <t>7100/200</t>
  </si>
  <si>
    <t>7100/201</t>
  </si>
  <si>
    <t>7100/202</t>
  </si>
  <si>
    <t>7100/203</t>
  </si>
  <si>
    <t>7100/204</t>
  </si>
  <si>
    <t>8200/000</t>
  </si>
  <si>
    <t>8200/010</t>
  </si>
  <si>
    <t>6200/003</t>
  </si>
  <si>
    <t>Postage and courier</t>
  </si>
  <si>
    <t>Directors</t>
  </si>
  <si>
    <t>DIRECTORS' REPORT</t>
  </si>
  <si>
    <t>Did the company have operating activities this year?</t>
  </si>
  <si>
    <t>Did the company have operating activities last year?</t>
  </si>
  <si>
    <t>Did the company sold all it's assets and will be deregistered</t>
  </si>
  <si>
    <t>Dividends declared</t>
  </si>
  <si>
    <t>If Yes:</t>
  </si>
  <si>
    <t>Were there a fundamental change in the nature or use of fixed assets?</t>
  </si>
  <si>
    <t>Share Capital</t>
  </si>
  <si>
    <t>SHARE CAPITAL</t>
  </si>
  <si>
    <t>STATEMENT OF CHANGES IN EQUITY FOR THE YEAR ENDED</t>
  </si>
  <si>
    <t>Issued shares at the beginning of the year</t>
  </si>
  <si>
    <t>Shares issued during the year</t>
  </si>
  <si>
    <t>Issued shares at the end of the year</t>
  </si>
  <si>
    <t>SHARE PREMIUM</t>
  </si>
  <si>
    <t>Share premium on shares issued during the year</t>
  </si>
  <si>
    <t>Share premium transfer</t>
  </si>
  <si>
    <t>Share premium at the end of the year</t>
  </si>
  <si>
    <t>Balance at the end of the year</t>
  </si>
  <si>
    <t>5100/000</t>
  </si>
  <si>
    <t>5100/001</t>
  </si>
  <si>
    <t>5100/002</t>
  </si>
  <si>
    <t>5110/000</t>
  </si>
  <si>
    <t>5110/001</t>
  </si>
  <si>
    <t>5110/002</t>
  </si>
  <si>
    <t>5110/003</t>
  </si>
  <si>
    <t>Share premium - transfer</t>
  </si>
  <si>
    <t>Rent paid</t>
  </si>
  <si>
    <t>7460/008</t>
  </si>
  <si>
    <t>4700/015</t>
  </si>
  <si>
    <t>ANNEXURES</t>
  </si>
  <si>
    <t>Portion</t>
  </si>
  <si>
    <t>Reg Date</t>
  </si>
  <si>
    <t>COMMERCIAL</t>
  </si>
  <si>
    <t>RESIDENTIAL AND VACANT STANDS</t>
  </si>
  <si>
    <t>SERVICE DEPOSITS</t>
  </si>
  <si>
    <t>Input</t>
  </si>
  <si>
    <t>Output</t>
  </si>
  <si>
    <t>Net</t>
  </si>
  <si>
    <t>4700/016</t>
  </si>
  <si>
    <t>PREPAYMENTS</t>
  </si>
  <si>
    <t>Legal expenses</t>
  </si>
  <si>
    <t>ANNEXURE A</t>
  </si>
  <si>
    <t>Opening stock</t>
  </si>
  <si>
    <t>Closing stock</t>
  </si>
  <si>
    <t>Discount allowed</t>
  </si>
  <si>
    <t>Motor vehicle expenses</t>
  </si>
  <si>
    <t>Dividends received</t>
  </si>
  <si>
    <t xml:space="preserve">Interest received </t>
  </si>
  <si>
    <t>Deferred tax balance  depreciation b/fwd</t>
  </si>
  <si>
    <t>Deferred tax balance  tax loss b/fwd</t>
  </si>
  <si>
    <t>STAFF LOANS</t>
  </si>
  <si>
    <t>BANK BALANCES</t>
  </si>
  <si>
    <t>3000/230</t>
  </si>
  <si>
    <t>3000/240</t>
  </si>
  <si>
    <t>3000/250</t>
  </si>
  <si>
    <t>3000/260</t>
  </si>
  <si>
    <t>3000/270</t>
  </si>
  <si>
    <t>CASH ON HAND</t>
  </si>
  <si>
    <t>SALES(Exempt)</t>
  </si>
  <si>
    <t>VAT return</t>
  </si>
  <si>
    <t>TB</t>
  </si>
  <si>
    <t>DIFF</t>
  </si>
  <si>
    <t>COMPANY INFORMATION</t>
  </si>
  <si>
    <t>COMPANY NAME</t>
  </si>
  <si>
    <t>Licenses</t>
  </si>
  <si>
    <t>Taxable (80%)</t>
  </si>
  <si>
    <t>Levies - Skills development</t>
  </si>
  <si>
    <t>Loss on sale of fixed assets</t>
  </si>
  <si>
    <t>Profit on sale of fixed assets</t>
  </si>
  <si>
    <t>Capital gains profit</t>
  </si>
  <si>
    <t>Dividends received - South African sources</t>
  </si>
  <si>
    <t>Deferred tax asset</t>
  </si>
  <si>
    <t>Share capital</t>
  </si>
  <si>
    <t>Share premium</t>
  </si>
  <si>
    <t>Deferred tax liability</t>
  </si>
  <si>
    <t>Current tax liability</t>
  </si>
  <si>
    <t xml:space="preserve">   Bad debts recovered</t>
  </si>
  <si>
    <t xml:space="preserve">   Other income</t>
  </si>
  <si>
    <t xml:space="preserve">   Rent received</t>
  </si>
  <si>
    <t xml:space="preserve">   Finance costs</t>
  </si>
  <si>
    <t>Increase from issue of shares</t>
  </si>
  <si>
    <t>equipment</t>
  </si>
  <si>
    <t>vehicles</t>
  </si>
  <si>
    <t>Trade receivables</t>
  </si>
  <si>
    <t>Revenue Service - VAT recoverable</t>
  </si>
  <si>
    <t>Staff loans</t>
  </si>
  <si>
    <t>Revenue Service - VAT payable</t>
  </si>
  <si>
    <t>Dividends payable</t>
  </si>
  <si>
    <t>Provision for future expenses</t>
  </si>
  <si>
    <t>Provision for insurance</t>
  </si>
  <si>
    <t>Provision for salary bonus</t>
  </si>
  <si>
    <t>Deferred taxation</t>
  </si>
  <si>
    <t>Motor vehicles</t>
  </si>
  <si>
    <t>Electronic equipment</t>
  </si>
  <si>
    <t>Foreign dividends</t>
  </si>
  <si>
    <t>Total other income</t>
  </si>
  <si>
    <t>2060/001</t>
  </si>
  <si>
    <t>2060/002</t>
  </si>
  <si>
    <t>2060/003</t>
  </si>
  <si>
    <t>2060/004</t>
  </si>
  <si>
    <t>4700/017</t>
  </si>
  <si>
    <t>Sundry suppliers</t>
  </si>
  <si>
    <t>Other accruals</t>
  </si>
  <si>
    <t>SUNDRY SUPPLIERS</t>
  </si>
  <si>
    <t>OTHER ACCRUALS</t>
  </si>
  <si>
    <t>SALARY AND WAGES CONTROL</t>
  </si>
  <si>
    <t>DIFFERENCE</t>
  </si>
  <si>
    <t>Depr adjust</t>
  </si>
  <si>
    <t>TO GO FURTHER, FINISH TRIAL BALANCE FIRST</t>
  </si>
  <si>
    <t>SALES DR</t>
  </si>
  <si>
    <t>SALES CR</t>
  </si>
  <si>
    <t>Balance before interest</t>
  </si>
  <si>
    <t>Average</t>
  </si>
  <si>
    <t>WP</t>
  </si>
  <si>
    <t>Less: Provision for doubtful debts</t>
  </si>
  <si>
    <t>TRADE DEBTORS</t>
  </si>
  <si>
    <t>8030/000</t>
  </si>
  <si>
    <t>1.</t>
  </si>
  <si>
    <t>2.</t>
  </si>
  <si>
    <t>Trial balance difference</t>
  </si>
  <si>
    <t>3.</t>
  </si>
  <si>
    <t>SUNDRY CUSTOMERS</t>
  </si>
  <si>
    <t>4.</t>
  </si>
  <si>
    <t>5.</t>
  </si>
  <si>
    <t>BANK AND CASH</t>
  </si>
  <si>
    <t>TRADE CREDITORS</t>
  </si>
  <si>
    <t>Depr</t>
  </si>
  <si>
    <t>Net Value</t>
  </si>
  <si>
    <t>Acc Depr</t>
  </si>
  <si>
    <t>Sales Cost</t>
  </si>
  <si>
    <t>Sales acc depr</t>
  </si>
  <si>
    <t>Profit/(Loss)</t>
  </si>
  <si>
    <t>Transfer deed</t>
  </si>
  <si>
    <t>5500/006</t>
  </si>
  <si>
    <t>5500/007</t>
  </si>
  <si>
    <t>5500/008</t>
  </si>
  <si>
    <t>5500/009</t>
  </si>
  <si>
    <t>5500/010</t>
  </si>
  <si>
    <t>5500/011</t>
  </si>
  <si>
    <t>5500/012</t>
  </si>
  <si>
    <t>5500/013</t>
  </si>
  <si>
    <t>A - T/A</t>
  </si>
  <si>
    <t>B - T/A</t>
  </si>
  <si>
    <t>C - T/A</t>
  </si>
  <si>
    <t>Depreciation---------------------------------</t>
  </si>
  <si>
    <t>Rent paid-------------------------------------</t>
  </si>
  <si>
    <t>Dividends received------------------------</t>
  </si>
  <si>
    <t>Directors' remuneration-----------------</t>
  </si>
  <si>
    <t>Interest paid--------------------------------</t>
  </si>
  <si>
    <t>Def tax adj  depreciation previous year</t>
  </si>
  <si>
    <t>Def tax adj tax loss previous year</t>
  </si>
  <si>
    <t>--------------------------------------------------</t>
  </si>
  <si>
    <t>DR/(CR)</t>
  </si>
  <si>
    <t>2150/001</t>
  </si>
  <si>
    <t>2150/002</t>
  </si>
  <si>
    <t>2150/003</t>
  </si>
  <si>
    <t>2150/004</t>
  </si>
  <si>
    <t>2150/005</t>
  </si>
  <si>
    <t>2150/006</t>
  </si>
  <si>
    <t>2150/007</t>
  </si>
  <si>
    <t>2150/008</t>
  </si>
  <si>
    <t>2150/009</t>
  </si>
  <si>
    <t>2150/010</t>
  </si>
  <si>
    <t>5550/006</t>
  </si>
  <si>
    <t>5550/007</t>
  </si>
  <si>
    <t>5550/008</t>
  </si>
  <si>
    <t>5550/009</t>
  </si>
  <si>
    <t>5700/020</t>
  </si>
  <si>
    <t>5700/030</t>
  </si>
  <si>
    <t>5700/040</t>
  </si>
  <si>
    <t>5700/050</t>
  </si>
  <si>
    <t>5700/060</t>
  </si>
  <si>
    <t>7460/004</t>
  </si>
  <si>
    <t>7460/005</t>
  </si>
  <si>
    <t>Depreciation--------------------------------------------------</t>
  </si>
  <si>
    <t>ANNEXURE B</t>
  </si>
  <si>
    <t>B</t>
  </si>
  <si>
    <t>Annexure A</t>
  </si>
  <si>
    <t>Annexure B</t>
  </si>
  <si>
    <t>Annexure C</t>
  </si>
  <si>
    <t>`</t>
  </si>
  <si>
    <t>GL</t>
  </si>
  <si>
    <t>C</t>
  </si>
  <si>
    <t>South Africa</t>
  </si>
  <si>
    <t>ANNEXURE C</t>
  </si>
  <si>
    <t>Income Tax</t>
  </si>
  <si>
    <t>7000/011</t>
  </si>
  <si>
    <t>Scheme nr</t>
  </si>
  <si>
    <t>5550/010</t>
  </si>
  <si>
    <t>Provision for doubtful debts</t>
  </si>
  <si>
    <t>Current tax asset</t>
  </si>
  <si>
    <t>4700/018</t>
  </si>
  <si>
    <t>4700/019</t>
  </si>
  <si>
    <t>4700/021</t>
  </si>
  <si>
    <t>5500/014</t>
  </si>
  <si>
    <t>5500/015</t>
  </si>
  <si>
    <t>Column</t>
  </si>
  <si>
    <t>Opening stock - Raw materials</t>
  </si>
  <si>
    <t>NET (PROFIT)/LOSS OTHER</t>
  </si>
  <si>
    <t>2060/000</t>
  </si>
  <si>
    <t>(Profit)/Loss on sale of fixed assets</t>
  </si>
  <si>
    <t>5550/011</t>
  </si>
  <si>
    <t>5550/012</t>
  </si>
  <si>
    <t>5550/013</t>
  </si>
  <si>
    <t>5550/014</t>
  </si>
  <si>
    <t>5550/015</t>
  </si>
  <si>
    <t>5550/016</t>
  </si>
  <si>
    <t>5550/017</t>
  </si>
  <si>
    <t>Audit fees</t>
  </si>
  <si>
    <t>Motor vehicle expenses----------------------------------</t>
  </si>
  <si>
    <t>TRIAL BALANCE</t>
  </si>
  <si>
    <t>Interest free</t>
  </si>
  <si>
    <t>Interest bearing</t>
  </si>
  <si>
    <t>REG. NO.</t>
  </si>
  <si>
    <t>Compilation</t>
  </si>
  <si>
    <t>Review</t>
  </si>
  <si>
    <t>STATEMENT OF COMPREHENSIVE INCOME FOR THE YEAR ENDED</t>
  </si>
  <si>
    <t>NON CURRENT RECEIVABLES</t>
  </si>
  <si>
    <t>VAT at 15%</t>
  </si>
  <si>
    <t>VAT INPUT ESTIMATE</t>
  </si>
  <si>
    <t>VAT or Transfer duty on purchase</t>
  </si>
  <si>
    <t>of property</t>
  </si>
  <si>
    <t>FIXED ASSET SUMMARY</t>
  </si>
  <si>
    <t>VAT Input</t>
  </si>
  <si>
    <t>VAT Output</t>
  </si>
  <si>
    <t>PLACE OF SIGNING</t>
  </si>
  <si>
    <t>Auditor/Accounting Officer</t>
  </si>
  <si>
    <t>R</t>
  </si>
  <si>
    <t>Please provide description relating to other</t>
  </si>
  <si>
    <t>Cash and cash equivalents</t>
  </si>
  <si>
    <t>Specify the gross income (sales / turnover plus other income in respect to the year of</t>
  </si>
  <si>
    <t>assessment?</t>
  </si>
  <si>
    <t>Specify the total assets (current and non-current) of the company in respect of the</t>
  </si>
  <si>
    <t>year of assessment?</t>
  </si>
  <si>
    <t>Balance with C12</t>
  </si>
  <si>
    <t>Profit code of your main source of income</t>
  </si>
  <si>
    <t>Gross Profit / Loss</t>
  </si>
  <si>
    <t>Sales (Turnover)</t>
  </si>
  <si>
    <t>Gross profit - subtotal</t>
  </si>
  <si>
    <t>Gross loss - subtotal</t>
  </si>
  <si>
    <t>Income Items (Only credit amounts)</t>
  </si>
  <si>
    <t>Bad and doubtful debts recovered</t>
  </si>
  <si>
    <t>Tainted Dividends (local and foreign) deemed to be income (s22B)</t>
  </si>
  <si>
    <t>Government grants (national, provincial and local)</t>
  </si>
  <si>
    <t>Income Statement (Continued)</t>
  </si>
  <si>
    <t>Income Items (Only credit amounts) (Continued)</t>
  </si>
  <si>
    <t>Interest received</t>
  </si>
  <si>
    <t>REIT distributions received</t>
  </si>
  <si>
    <t>Control Total</t>
  </si>
  <si>
    <t>Expense Items (Only debit amounts)</t>
  </si>
  <si>
    <t>Accounting loss on disposal of fixed assets / other assets</t>
  </si>
  <si>
    <t>Bad debts written off</t>
  </si>
  <si>
    <t>Donations (s18A)</t>
  </si>
  <si>
    <t>Donations - other</t>
  </si>
  <si>
    <t>Travelling expenses</t>
  </si>
  <si>
    <t>Net Profit / Loss</t>
  </si>
  <si>
    <t>Net Profit - Subtotal</t>
  </si>
  <si>
    <t>Net Loss - Subtotal</t>
  </si>
  <si>
    <t>Balances with C8</t>
  </si>
  <si>
    <t>3000/055</t>
  </si>
  <si>
    <t>Dividends</t>
  </si>
  <si>
    <t>INSTRUCTIONS SUMMARY</t>
  </si>
  <si>
    <t>*</t>
  </si>
  <si>
    <t>ALL ROWS TRUE</t>
  </si>
  <si>
    <t>Balances with FS</t>
  </si>
  <si>
    <t>Trial Balance</t>
  </si>
  <si>
    <t>Journals</t>
  </si>
  <si>
    <t>If you've written a journal for an item for which a description is filled in on the green sections</t>
  </si>
  <si>
    <t>of the Trial Balance and afterwards change the description, you'll have to do the selection</t>
  </si>
  <si>
    <t>There can be a rounding difference for column L. Go to an expense for example bank charges</t>
  </si>
  <si>
    <t>Fixed Asset Register</t>
  </si>
  <si>
    <t>figures of column L of the previous year file, copy and Paste special - Values, to the current</t>
  </si>
  <si>
    <t>Do not write any journals for depreciation, the Trial Balance is updated with the depreciation</t>
  </si>
  <si>
    <t>from the Fixed Asset Register (column I on the Trial Balance) - unless you use your own</t>
  </si>
  <si>
    <t>EXPENSES</t>
  </si>
  <si>
    <t>From</t>
  </si>
  <si>
    <t>To</t>
  </si>
  <si>
    <t>%</t>
  </si>
  <si>
    <t>SMALL BUSINESS CORPORATION TAX RATES</t>
  </si>
  <si>
    <t>Applicable table</t>
  </si>
  <si>
    <t>Other financial year ends</t>
  </si>
  <si>
    <t>ADVERTISING</t>
  </si>
  <si>
    <t>INSURANCE</t>
  </si>
  <si>
    <t>Reduction</t>
  </si>
  <si>
    <t>6100/030</t>
  </si>
  <si>
    <t>6100/031</t>
  </si>
  <si>
    <t>6100/032</t>
  </si>
  <si>
    <t>6100/033</t>
  </si>
  <si>
    <t>Sales Price</t>
  </si>
  <si>
    <t>Sales price</t>
  </si>
  <si>
    <t>Recoupment</t>
  </si>
  <si>
    <t>Capital</t>
  </si>
  <si>
    <t>of allowances</t>
  </si>
  <si>
    <t>Gain/(Loss)</t>
  </si>
  <si>
    <t>TAX ASSET REGISTER</t>
  </si>
  <si>
    <t>Acc Allowance</t>
  </si>
  <si>
    <t>Allowance</t>
  </si>
  <si>
    <t>Tax loss</t>
  </si>
  <si>
    <t>allowance</t>
  </si>
  <si>
    <t>TAX</t>
  </si>
  <si>
    <t>Acc allowance</t>
  </si>
  <si>
    <t>acc allowance</t>
  </si>
  <si>
    <t>Balance with FA register</t>
  </si>
  <si>
    <t>Per Fixed Asset register</t>
  </si>
  <si>
    <t>NO</t>
  </si>
  <si>
    <t>ADD:</t>
  </si>
  <si>
    <t>LESS:</t>
  </si>
  <si>
    <t>section 8(4)(a) Recoupment of allowances</t>
  </si>
  <si>
    <t>section 11 (e) Wear-and-tear allowance</t>
  </si>
  <si>
    <t>Assets less than R7,000</t>
  </si>
  <si>
    <t>Assets less than R7 000</t>
  </si>
  <si>
    <t>section 11(o) Scrapping allowance</t>
  </si>
  <si>
    <t>Johannesburg</t>
  </si>
  <si>
    <t xml:space="preserve">   Dividends and dividend's tax paid</t>
  </si>
  <si>
    <t>Levies - Other</t>
  </si>
  <si>
    <t>UIF Employer</t>
  </si>
  <si>
    <t>Directors remuneration</t>
  </si>
  <si>
    <t>Salaries - admin</t>
  </si>
  <si>
    <t>Casual wages - admin</t>
  </si>
  <si>
    <t>A PRODUCT BY</t>
  </si>
  <si>
    <t>www.fseasy.co.za</t>
  </si>
  <si>
    <t>Audit</t>
  </si>
  <si>
    <t>DETAIL INSTRUCTIONS</t>
  </si>
  <si>
    <t>If you have more than one trading activity, complete sheets TrialBalanceA, TrialBalanceB and</t>
  </si>
  <si>
    <t>Optional</t>
  </si>
  <si>
    <t>Type the current year figures into columns D and E, or link to the TBClient or GLClient</t>
  </si>
  <si>
    <t>In the second year of using FSEasy statements, each section's detail can be copied from the</t>
  </si>
  <si>
    <t>If you have a Tax Asset register, fill in the details on the "TARegister" sheet.</t>
  </si>
  <si>
    <t>Less: Loss brought forward from previous year</t>
  </si>
  <si>
    <t>Cash receipts from clients and customers</t>
  </si>
  <si>
    <t>Were there any fundamental facts or contingencies since year end?</t>
  </si>
  <si>
    <t>In the second year of using the FSEasy file, the figures can be copied by highlighting the</t>
  </si>
  <si>
    <t>Profit realized during the period under review</t>
  </si>
  <si>
    <t>current assets listed above</t>
  </si>
  <si>
    <t>non-current assets listed above</t>
  </si>
  <si>
    <t>Div.'s received - SA sources</t>
  </si>
  <si>
    <t>Div.'s received - Foreign div.'s</t>
  </si>
  <si>
    <t>A Director</t>
  </si>
  <si>
    <t>Nationality</t>
  </si>
  <si>
    <t>RSA</t>
  </si>
  <si>
    <t>Were there any changes in the directors during the year?</t>
  </si>
  <si>
    <t>Total assets</t>
  </si>
  <si>
    <t>Bankers</t>
  </si>
  <si>
    <t>Currency</t>
  </si>
  <si>
    <t>South African Rand</t>
  </si>
  <si>
    <t>Reserves additions</t>
  </si>
  <si>
    <t>Reserves transfers</t>
  </si>
  <si>
    <t>OTHER NON - CURRENT RECEIVABLES</t>
  </si>
  <si>
    <t>Trade and other receivables</t>
  </si>
  <si>
    <t>a13 quin Commercial buildings allowance</t>
  </si>
  <si>
    <t>Electricity and water</t>
  </si>
  <si>
    <t>Telephone, postage and courier</t>
  </si>
  <si>
    <t>Consulting and professional fees</t>
  </si>
  <si>
    <t>Printing and stationery</t>
  </si>
  <si>
    <t>Subscriptions and membership fees</t>
  </si>
  <si>
    <t>Less: Loss realized during the period under review</t>
  </si>
  <si>
    <t>Plant and equipment</t>
  </si>
  <si>
    <t>Trade and other payables</t>
  </si>
  <si>
    <t>Additions/</t>
  </si>
  <si>
    <t>fittings</t>
  </si>
  <si>
    <t>Furniture and fittings</t>
  </si>
  <si>
    <t>CONNECTED ENTITIES LOANS</t>
  </si>
  <si>
    <t>South African normal taxation</t>
  </si>
  <si>
    <t>Applicable taxation on net income before taxation</t>
  </si>
  <si>
    <t xml:space="preserve">Movement in taxation liability </t>
  </si>
  <si>
    <t>Provision in the Statement of Comprehensive Income</t>
  </si>
  <si>
    <t>Registration number</t>
  </si>
  <si>
    <t>Were there any changes in the share capital?</t>
  </si>
  <si>
    <t>The major part of fixed assets was sold in the current financial year.</t>
  </si>
  <si>
    <t>Issued share capital</t>
  </si>
  <si>
    <t>Straight line</t>
  </si>
  <si>
    <t>Plant and equipment - leased assets capitalized</t>
  </si>
  <si>
    <t xml:space="preserve">  Less: Accumulated depreciation</t>
  </si>
  <si>
    <t>Market value</t>
  </si>
  <si>
    <t>Other investments</t>
  </si>
  <si>
    <t>Directors' valuation</t>
  </si>
  <si>
    <t>Non - current receivables</t>
  </si>
  <si>
    <t>Are trade debtors ceded to the bank for the overdraft facility?</t>
  </si>
  <si>
    <t>Trade debtors are ceded to…</t>
  </si>
  <si>
    <t>Salary and wages control</t>
  </si>
  <si>
    <t>Interest bearing borrowings</t>
  </si>
  <si>
    <t>(Increase) / Decrease in inventory</t>
  </si>
  <si>
    <t>(Increase) / Decrease in accounts receivable</t>
  </si>
  <si>
    <t>Increase / (Decrease) in accounts payable</t>
  </si>
  <si>
    <t>Property, plant and equipment acquired</t>
  </si>
  <si>
    <t>(Increase) / Decrease in investments</t>
  </si>
  <si>
    <t>(Increase) / Decrease in non-current receivables</t>
  </si>
  <si>
    <t>Proceeds on disposal of property, plant and equipment</t>
  </si>
  <si>
    <t>Increase / (Decrease) in interest bearing borrowings</t>
  </si>
  <si>
    <t>Increase / (Decrease) in interest free borrowings</t>
  </si>
  <si>
    <t>Assessed loss brought forward</t>
  </si>
  <si>
    <t>Capital gains tax loss brought forward</t>
  </si>
  <si>
    <t>Capital gains profit/loss (gross before 20% deduction)</t>
  </si>
  <si>
    <t>Does the Company qualify for Small Business Corporation's tax?</t>
  </si>
  <si>
    <t>Listed investments</t>
  </si>
  <si>
    <t>Assessed tax loss</t>
  </si>
  <si>
    <t>Calculated loss for tax purposes</t>
  </si>
  <si>
    <t>Previous year</t>
  </si>
  <si>
    <t>adjustment I/S</t>
  </si>
  <si>
    <t>Estimated tax loss</t>
  </si>
  <si>
    <t>Audit and accounting fee accrual</t>
  </si>
  <si>
    <t>Audit and accounting fees</t>
  </si>
  <si>
    <t>7450/006</t>
  </si>
  <si>
    <t>Main - T/A</t>
  </si>
  <si>
    <t>Issued and fully paid</t>
  </si>
  <si>
    <t>Depr - Plant and machinery</t>
  </si>
  <si>
    <t>Motor vehicle expenses - Licenses</t>
  </si>
  <si>
    <t>Motor vehicle expenses - General</t>
  </si>
  <si>
    <t>Rent received (not main income)</t>
  </si>
  <si>
    <t>Interest received--------------------------</t>
  </si>
  <si>
    <t>Legal expenses - tax deductible</t>
  </si>
  <si>
    <t>Legal expenses - non deductible</t>
  </si>
  <si>
    <t>Penalties and interest - SARS</t>
  </si>
  <si>
    <t>Depr - Furniture and fittings</t>
  </si>
  <si>
    <t>Interest received-----------------------</t>
  </si>
  <si>
    <t>Share capital - balance b/fwd</t>
  </si>
  <si>
    <t>Share capital - additions</t>
  </si>
  <si>
    <t>Share premium - balance b/fwd</t>
  </si>
  <si>
    <t>Share premium - additions</t>
  </si>
  <si>
    <t>Other reserves - balance b/fwd</t>
  </si>
  <si>
    <t>Other reserves - additions</t>
  </si>
  <si>
    <t>(Retained income) / Accumulated loss</t>
  </si>
  <si>
    <t>PLANT AND MACHINERY - COST</t>
  </si>
  <si>
    <t>Plant and machinery - cost b/fwd</t>
  </si>
  <si>
    <t>Plant and machinery - additions</t>
  </si>
  <si>
    <t>Plant and machinery - cost of sales</t>
  </si>
  <si>
    <t>PLANT AND MACHINERY - ACC DEPR</t>
  </si>
  <si>
    <t>Plant and machinery - acc depr b/fwd</t>
  </si>
  <si>
    <t>Plant and machinery - depr this year</t>
  </si>
  <si>
    <t>Plant and machinery - acc depr on sales</t>
  </si>
  <si>
    <t>Motor vehicles - cost b/fwd</t>
  </si>
  <si>
    <t>Motor vehicles - additions</t>
  </si>
  <si>
    <t>Motor vehicles - cost of sales</t>
  </si>
  <si>
    <t>Motor vehicles - acc depr b/fwd</t>
  </si>
  <si>
    <t>Motor vehicles - depr this year</t>
  </si>
  <si>
    <t>Motor vehicles - acc depr on sales</t>
  </si>
  <si>
    <t>Electronic equipment - cost b/fwd</t>
  </si>
  <si>
    <t>Electronic equipment - additions</t>
  </si>
  <si>
    <t>Electronic equipment - cost of sales</t>
  </si>
  <si>
    <t>Electronic equipment - acc depr b/fwd</t>
  </si>
  <si>
    <t>Electronic equipment - depr this year</t>
  </si>
  <si>
    <t>Electronic equipment - acc depr on sales</t>
  </si>
  <si>
    <t>FURNITURE AND FITTINGS - COST</t>
  </si>
  <si>
    <t>Furniture and fittings - cost b/fwd</t>
  </si>
  <si>
    <t>Furniture and fittings - additions</t>
  </si>
  <si>
    <t>Furniture and fittings - cost of sales</t>
  </si>
  <si>
    <t>FURNITURE AND FITTINGS - ACC DEPR</t>
  </si>
  <si>
    <t>Furniture and fittings - acc depr b/fwd</t>
  </si>
  <si>
    <t>Furniture and fittings - depr this year</t>
  </si>
  <si>
    <t>Furniture and fittings - acc depr on sales</t>
  </si>
  <si>
    <t>Sundry customers</t>
  </si>
  <si>
    <t>1st Provisional paid</t>
  </si>
  <si>
    <t>2nd Provisional paid</t>
  </si>
  <si>
    <t>Suspense account</t>
  </si>
  <si>
    <t>Other reserves - Balance b/fwd</t>
  </si>
  <si>
    <t>Traveling and accommodation</t>
  </si>
  <si>
    <t>(decrease)</t>
  </si>
  <si>
    <t>Taxation</t>
  </si>
  <si>
    <t>Increase/</t>
  </si>
  <si>
    <t>Initial measurement</t>
  </si>
  <si>
    <t>Motor</t>
  </si>
  <si>
    <t>Electronic</t>
  </si>
  <si>
    <t>….................................</t>
  </si>
  <si>
    <t>Business address</t>
  </si>
  <si>
    <t>Business adress</t>
  </si>
  <si>
    <t>Total deferred tax liability / (asset)</t>
  </si>
  <si>
    <t>Effect of permanent differences (non-taxable income and</t>
  </si>
  <si>
    <t>non-deductable expenses)</t>
  </si>
  <si>
    <t>Total income and deferred taxation provision</t>
  </si>
  <si>
    <t>Effect of temporary differences adjustment for previous year</t>
  </si>
  <si>
    <t>Tax expense reconciliation</t>
  </si>
  <si>
    <t>Tax effect of permanent differences (non-taxable income and non-deductable expenses) previous year</t>
  </si>
  <si>
    <t>Adjustment</t>
  </si>
  <si>
    <t>Effect of Small Business Corporation reduced rates</t>
  </si>
  <si>
    <t>Effect of Small Business Corporation reduced rates - previous year</t>
  </si>
  <si>
    <t>Cash Flow Statement - previous year</t>
  </si>
  <si>
    <t>Related party balances and transactions</t>
  </si>
  <si>
    <t>Relationship</t>
  </si>
  <si>
    <t>Director</t>
  </si>
  <si>
    <t>Related party</t>
  </si>
  <si>
    <t>owed by / (to)</t>
  </si>
  <si>
    <t>Related party balances and interest (link to Trial Balance)</t>
  </si>
  <si>
    <t>Balance owed by / (to)</t>
  </si>
  <si>
    <t>from / (paid to)</t>
  </si>
  <si>
    <t>Interest (received from) /</t>
  </si>
  <si>
    <t>paid to</t>
  </si>
  <si>
    <t>Persons with significant influence</t>
  </si>
  <si>
    <t>B Director resigned during the financial year and C Director was appointed.</t>
  </si>
  <si>
    <t>Government grants received</t>
  </si>
  <si>
    <t>Change the name of the file.</t>
  </si>
  <si>
    <t>Complete the Trial Balance with the current year entries (Column D and E).</t>
  </si>
  <si>
    <t>or Balance Sheet items for automatic update to Trial Balance).</t>
  </si>
  <si>
    <t>TrialBalanceC.</t>
  </si>
  <si>
    <t>Previous year figures are typed into column A.</t>
  </si>
  <si>
    <t>year A column.</t>
  </si>
  <si>
    <t>sheet to go back to the main TB.</t>
  </si>
  <si>
    <t>to the main Trial Balance.</t>
  </si>
  <si>
    <t>Go to the FARegister sheet and complete the Fixed Asset Register (see instructions below).</t>
  </si>
  <si>
    <t>Fixed Assets program.</t>
  </si>
  <si>
    <t>Go to the Journals sheet to write your journals.</t>
  </si>
  <si>
    <t>Choose the item from the drop down boxes for I/S and B/S.</t>
  </si>
  <si>
    <t>Choose the next item of the journal on the next row.</t>
  </si>
  <si>
    <t>on the Journals sheet again. A red "ERROR" message will appear next to the item.</t>
  </si>
  <si>
    <t>Delete the second row of each section you are filling in Tax Asset details.</t>
  </si>
  <si>
    <t>INSTRUCTIONS ON HOW TO PRINT YOUR FINAL FINANCIAL STATEMENTS</t>
  </si>
  <si>
    <t>Make a copy of the FS sheet and name it "FSFinal" (Format, Move or Copy sheet, Create a</t>
  </si>
  <si>
    <t>copy)</t>
  </si>
  <si>
    <t>Highlight column "R" on the FSFinal sheet.</t>
  </si>
  <si>
    <t>Press Control and C to copy</t>
  </si>
  <si>
    <t>Click on the Paste drop down arrow. Choose option "Values (V)"</t>
  </si>
  <si>
    <t>Press Escape</t>
  </si>
  <si>
    <t>6.</t>
  </si>
  <si>
    <t>Click on Find &amp; Select icon</t>
  </si>
  <si>
    <t>7.</t>
  </si>
  <si>
    <t>Choose "Find"</t>
  </si>
  <si>
    <t>8.</t>
  </si>
  <si>
    <t>Type in DELETE</t>
  </si>
  <si>
    <t>9.</t>
  </si>
  <si>
    <t>click Find All</t>
  </si>
  <si>
    <t>10.</t>
  </si>
  <si>
    <t>Press Ctrl and A to highlight all rows</t>
  </si>
  <si>
    <t>11.</t>
  </si>
  <si>
    <t>Click on your delete row icon</t>
  </si>
  <si>
    <t>12.</t>
  </si>
  <si>
    <t>Close</t>
  </si>
  <si>
    <t>All you have to do now is to fit the pages by deleting or adding rows and delete headings</t>
  </si>
  <si>
    <t>For example, at the Notes section, click one row below the note and highlight through the heading</t>
  </si>
  <si>
    <t>till before the next note (or date heading) and delete rows.</t>
  </si>
  <si>
    <t>If your detail Income Statement can be fitted on one page, go to carried forward cell, highlight till</t>
  </si>
  <si>
    <t>balance brought forward and delete rows.</t>
  </si>
  <si>
    <t>Tips</t>
  </si>
  <si>
    <t>Next to Digit grouping symbol, delete the comma and space bar once. Click apply, OK, Apply</t>
  </si>
  <si>
    <t>and OK.</t>
  </si>
  <si>
    <t>Statements, add rows and link to the Criteria sheet.</t>
  </si>
  <si>
    <t>When you have further operating and administration expenses filled in on the green</t>
  </si>
  <si>
    <t>Do the alphabetical sort only on the FSFinal sheet and not on the FS sheet.</t>
  </si>
  <si>
    <t>next to the print preview icon on the top left corner. Go to More Commands.</t>
  </si>
  <si>
    <t>Add the icons for insert and delete rows and columns.</t>
  </si>
  <si>
    <t>For example: If you want to move the depreciation from the Main Trial Balance to the first</t>
  </si>
  <si>
    <t>other activity Trial Balance (TrialBalanceA) - write the journal for depreciation on the other</t>
  </si>
  <si>
    <t>activity (JournalsA sheet) and contra the journal on the main journals sheet - DR Acc depr,</t>
  </si>
  <si>
    <t>CR depreciation.</t>
  </si>
  <si>
    <t>provided for on any of the trading activities.</t>
  </si>
  <si>
    <t>For other income or expenses, write the journal on the Trial Balance you want it to show</t>
  </si>
  <si>
    <t>with the other leg of the journal the Suspense Account right at the bottom. Write the</t>
  </si>
  <si>
    <t>journal as a contra on the Trial Balance you want it to be removed, with the other leg of the</t>
  </si>
  <si>
    <t>journal also the Suspense Account.</t>
  </si>
  <si>
    <t>click on Custom Header. Click on Center Section, Enter once, type in DRAFT.</t>
  </si>
  <si>
    <t>Highlight DRAFT and click on A, choose font style as Bold and size as 24.</t>
  </si>
  <si>
    <t>the previous year file (column L) and Paste special, Values to the current year Trial Balance</t>
  </si>
  <si>
    <t>(column A)</t>
  </si>
  <si>
    <t>The fixed assets detail on the previous year file can also be copied to the following year file.</t>
  </si>
  <si>
    <t>Highlight the detail on the FARegister and copy to the following year file for each section.</t>
  </si>
  <si>
    <t>I and J of the current year.</t>
  </si>
  <si>
    <t>support@fseasy.co.za</t>
  </si>
  <si>
    <t>If there is more than one director, always make the first two directors the signatories.</t>
  </si>
  <si>
    <t>BALANCES WITH FA REGISTER</t>
  </si>
  <si>
    <r>
      <t xml:space="preserve">Fill in the previous year's figures on the </t>
    </r>
    <r>
      <rPr>
        <b/>
        <sz val="11"/>
        <rFont val="Calibri"/>
        <family val="2"/>
      </rPr>
      <t>Trial Balance</t>
    </r>
    <r>
      <rPr>
        <sz val="11"/>
        <rFont val="Calibri"/>
        <family val="2"/>
      </rPr>
      <t xml:space="preserve"> (Column A).</t>
    </r>
  </si>
  <si>
    <r>
      <t xml:space="preserve">Complete the </t>
    </r>
    <r>
      <rPr>
        <b/>
        <sz val="11"/>
        <rFont val="Calibri"/>
        <family val="2"/>
      </rPr>
      <t>Fixed Asset Register</t>
    </r>
    <r>
      <rPr>
        <sz val="11"/>
        <rFont val="Calibri"/>
        <family val="2"/>
      </rPr>
      <t>.</t>
    </r>
  </si>
  <si>
    <r>
      <t xml:space="preserve">Write the </t>
    </r>
    <r>
      <rPr>
        <b/>
        <sz val="11"/>
        <rFont val="Calibri"/>
        <family val="2"/>
      </rPr>
      <t>journals</t>
    </r>
    <r>
      <rPr>
        <sz val="11"/>
        <rFont val="Calibri"/>
        <family val="2"/>
      </rPr>
      <t xml:space="preserve"> on the Journals sheet (drop down boxes to choose Income Statement</t>
    </r>
  </si>
  <si>
    <r>
      <t xml:space="preserve">Complete your </t>
    </r>
    <r>
      <rPr>
        <b/>
        <sz val="11"/>
        <rFont val="Calibri"/>
        <family val="2"/>
      </rPr>
      <t>Working Papers</t>
    </r>
    <r>
      <rPr>
        <sz val="11"/>
        <rFont val="Calibri"/>
        <family val="2"/>
      </rPr>
      <t>.</t>
    </r>
  </si>
  <si>
    <r>
      <t xml:space="preserve">Complete the rest of the </t>
    </r>
    <r>
      <rPr>
        <b/>
        <sz val="11"/>
        <rFont val="Calibri"/>
        <family val="2"/>
      </rPr>
      <t>Criteria</t>
    </r>
    <r>
      <rPr>
        <sz val="11"/>
        <rFont val="Calibri"/>
        <family val="2"/>
      </rPr>
      <t xml:space="preserve"> sheet.</t>
    </r>
  </si>
  <si>
    <r>
      <rPr>
        <b/>
        <sz val="11"/>
        <rFont val="Calibri"/>
        <family val="2"/>
      </rPr>
      <t>Make a copy</t>
    </r>
    <r>
      <rPr>
        <sz val="11"/>
        <rFont val="Calibri"/>
        <family val="2"/>
      </rPr>
      <t xml:space="preserve"> - right click on the file and save to your client folder.</t>
    </r>
  </si>
  <si>
    <r>
      <t xml:space="preserve">Your Financial Statements are </t>
    </r>
    <r>
      <rPr>
        <b/>
        <sz val="11"/>
        <rFont val="Calibri"/>
        <family val="2"/>
      </rPr>
      <t>ready</t>
    </r>
    <r>
      <rPr>
        <sz val="11"/>
        <rFont val="Calibri"/>
        <family val="2"/>
      </rPr>
      <t xml:space="preserve"> </t>
    </r>
    <r>
      <rPr>
        <b/>
        <sz val="11"/>
        <rFont val="Calibri"/>
        <family val="2"/>
      </rPr>
      <t>to be printed</t>
    </r>
    <r>
      <rPr>
        <sz val="11"/>
        <rFont val="Calibri"/>
        <family val="2"/>
      </rPr>
      <t xml:space="preserve"> under 10 minutes.</t>
    </r>
  </si>
  <si>
    <r>
      <t xml:space="preserve">If there is a </t>
    </r>
    <r>
      <rPr>
        <b/>
        <sz val="11"/>
        <rFont val="Calibri"/>
        <family val="2"/>
      </rPr>
      <t>comma as your thousands separator</t>
    </r>
    <r>
      <rPr>
        <sz val="11"/>
        <rFont val="Calibri"/>
        <family val="2"/>
      </rPr>
      <t>, do the following:</t>
    </r>
  </si>
  <si>
    <r>
      <t xml:space="preserve">sections of the Trial Balance - to </t>
    </r>
    <r>
      <rPr>
        <b/>
        <sz val="11"/>
        <rFont val="Calibri"/>
        <family val="2"/>
      </rPr>
      <t>sort the Detailed Income Statement on your FSFinal sheet</t>
    </r>
  </si>
  <si>
    <r>
      <rPr>
        <b/>
        <sz val="11"/>
        <rFont val="Calibri"/>
        <family val="2"/>
      </rPr>
      <t>alphabetically</t>
    </r>
    <r>
      <rPr>
        <sz val="11"/>
        <rFont val="Calibri"/>
        <family val="2"/>
      </rPr>
      <t>, highlight the expenses from column D to O - click Sort &amp; Filter icon, sort A to Z</t>
    </r>
  </si>
  <si>
    <r>
      <t xml:space="preserve">If you do not have </t>
    </r>
    <r>
      <rPr>
        <b/>
        <sz val="11"/>
        <rFont val="Calibri"/>
        <family val="2"/>
      </rPr>
      <t>icons for insert and delete rows or columns</t>
    </r>
    <r>
      <rPr>
        <sz val="11"/>
        <rFont val="Calibri"/>
        <family val="2"/>
      </rPr>
      <t>, click on the drop down box</t>
    </r>
  </si>
  <si>
    <r>
      <t xml:space="preserve">Income and expenses can be </t>
    </r>
    <r>
      <rPr>
        <b/>
        <sz val="11"/>
        <rFont val="Calibri"/>
        <family val="2"/>
      </rPr>
      <t>moved between the different detailed Income Statements</t>
    </r>
    <r>
      <rPr>
        <sz val="11"/>
        <rFont val="Calibri"/>
        <family val="2"/>
      </rPr>
      <t>.</t>
    </r>
  </si>
  <si>
    <r>
      <rPr>
        <b/>
        <sz val="11"/>
        <rFont val="Calibri"/>
        <family val="2"/>
      </rPr>
      <t>Draft statements</t>
    </r>
    <r>
      <rPr>
        <sz val="11"/>
        <rFont val="Calibri"/>
        <family val="2"/>
      </rPr>
      <t xml:space="preserve"> - click on Page Layout, click on Print Titles, click on Header/Footer,</t>
    </r>
  </si>
  <si>
    <r>
      <t xml:space="preserve">In the second year of using the FSEasy file, the </t>
    </r>
    <r>
      <rPr>
        <b/>
        <sz val="11"/>
        <rFont val="Calibri"/>
        <family val="2"/>
      </rPr>
      <t>previous year figures can be copied</t>
    </r>
    <r>
      <rPr>
        <sz val="11"/>
        <rFont val="Calibri"/>
        <family val="2"/>
      </rPr>
      <t xml:space="preserve"> from</t>
    </r>
  </si>
  <si>
    <t>AUDIT AND ACCOUNTING FEE ACCRUAL</t>
  </si>
  <si>
    <t>Effect of income tax adjustment for previous year</t>
  </si>
  <si>
    <t>Over-/(Under) provision previous year</t>
  </si>
  <si>
    <t>Tax paid/(refund) for previous year provisions</t>
  </si>
  <si>
    <t>Dividends' tax provision</t>
  </si>
  <si>
    <t>Dividends tax provision</t>
  </si>
  <si>
    <t>Provision for current year</t>
  </si>
  <si>
    <t>Previous periods adjustment</t>
  </si>
  <si>
    <r>
      <t xml:space="preserve">Modify the </t>
    </r>
    <r>
      <rPr>
        <b/>
        <sz val="11"/>
        <rFont val="Calibri"/>
        <family val="2"/>
      </rPr>
      <t>reports</t>
    </r>
    <r>
      <rPr>
        <sz val="11"/>
        <rFont val="Calibri"/>
        <family val="2"/>
      </rPr>
      <t xml:space="preserve"> to include your header and footer to the Master file (FS and FS2 spreadsheet).</t>
    </r>
  </si>
  <si>
    <t>The FS2 sheet is for first year financials, with no comparative figures.</t>
  </si>
  <si>
    <t>The journals for provision of expenses and income (for example directors' remuneration), can be</t>
  </si>
  <si>
    <t>Standard Industry Code (SIC)</t>
  </si>
  <si>
    <t>ITR14 - MICRO BUSINESS</t>
  </si>
  <si>
    <t>Non-current assets - Property, plant and equipment</t>
  </si>
  <si>
    <t>Non-current assets - Vehicles</t>
  </si>
  <si>
    <t>Non-current assets - Long term loans</t>
  </si>
  <si>
    <t>(net after provisions)</t>
  </si>
  <si>
    <t>Current assets - Inventory and work in progress</t>
  </si>
  <si>
    <t xml:space="preserve">Current assets - Trade and other receivables </t>
  </si>
  <si>
    <t>Current assets - Cash and cash equivalents</t>
  </si>
  <si>
    <t>Other assets</t>
  </si>
  <si>
    <t>Total Equity (Capital and reserves)</t>
  </si>
  <si>
    <t>Non-current liabilities - Long term-loans &amp; provisions</t>
  </si>
  <si>
    <t>Current liabilities - Trade and other payables</t>
  </si>
  <si>
    <t>(including accruals)</t>
  </si>
  <si>
    <t>Other equity and liabilities</t>
  </si>
  <si>
    <t>Total equity and liabilites</t>
  </si>
  <si>
    <t>Less: Cost of sales</t>
  </si>
  <si>
    <t>Interest (excluding SARS interest (s7E))</t>
  </si>
  <si>
    <t>SARS interest (s7E)</t>
  </si>
  <si>
    <t>Accounting profit on disposal of fixed assets and / or</t>
  </si>
  <si>
    <t>other assets</t>
  </si>
  <si>
    <t>Dividends (local and foreign) deemed to be income</t>
  </si>
  <si>
    <t>(s8E and s8EA)</t>
  </si>
  <si>
    <t>Levy income</t>
  </si>
  <si>
    <t>Repairs, maintenance. insurance, alterations and improvements</t>
  </si>
  <si>
    <t>Other Expenses (excluding expenses listed above)</t>
  </si>
  <si>
    <t>Municipal charges (electricity, water, sewerage, refuse,</t>
  </si>
  <si>
    <t>rates &amp; taxes)</t>
  </si>
  <si>
    <t>Salaries and wages (incl. directors' / members'</t>
  </si>
  <si>
    <t>remuneration)</t>
  </si>
  <si>
    <r>
      <t xml:space="preserve">Click on cell </t>
    </r>
    <r>
      <rPr>
        <sz val="11"/>
        <color rgb="FFFF0000"/>
        <rFont val="Calibri"/>
        <family val="2"/>
      </rPr>
      <t>F1</t>
    </r>
    <r>
      <rPr>
        <sz val="11"/>
        <rFont val="Calibri"/>
        <family val="2"/>
      </rPr>
      <t xml:space="preserve"> to go to the first other activity Trial Balance . Click on </t>
    </r>
    <r>
      <rPr>
        <sz val="11"/>
        <color rgb="FFFF0000"/>
        <rFont val="Calibri"/>
        <family val="2"/>
      </rPr>
      <t>C1</t>
    </r>
    <r>
      <rPr>
        <sz val="11"/>
        <rFont val="Calibri"/>
        <family val="2"/>
      </rPr>
      <t xml:space="preserve"> on the TrialBalanceA</t>
    </r>
  </si>
  <si>
    <r>
      <t xml:space="preserve">you are taken to the Debtors working paper. Click on cell </t>
    </r>
    <r>
      <rPr>
        <sz val="11"/>
        <color rgb="FFFF0000"/>
        <rFont val="Calibri"/>
        <family val="2"/>
      </rPr>
      <t>C4</t>
    </r>
    <r>
      <rPr>
        <sz val="11"/>
        <rFont val="Calibri"/>
        <family val="2"/>
      </rPr>
      <t xml:space="preserve"> on the Debtors sheet to go back</t>
    </r>
  </si>
  <si>
    <r>
      <t xml:space="preserve">Make sure that cell </t>
    </r>
    <r>
      <rPr>
        <sz val="11"/>
        <color rgb="FFFF0000"/>
        <rFont val="Calibri"/>
        <family val="2"/>
      </rPr>
      <t>V2</t>
    </r>
    <r>
      <rPr>
        <sz val="11"/>
        <rFont val="Calibri"/>
        <family val="2"/>
      </rPr>
      <t xml:space="preserve"> and </t>
    </r>
    <r>
      <rPr>
        <sz val="11"/>
        <color rgb="FFFF0000"/>
        <rFont val="Calibri"/>
        <family val="2"/>
      </rPr>
      <t>X2</t>
    </r>
    <r>
      <rPr>
        <sz val="11"/>
        <rFont val="Calibri"/>
        <family val="2"/>
      </rPr>
      <t xml:space="preserve"> on the FS sheet are YES (cell </t>
    </r>
    <r>
      <rPr>
        <sz val="11"/>
        <color rgb="FFFF0000"/>
        <rFont val="Calibri"/>
        <family val="2"/>
      </rPr>
      <t>U2</t>
    </r>
    <r>
      <rPr>
        <sz val="11"/>
        <rFont val="Calibri"/>
        <family val="2"/>
      </rPr>
      <t xml:space="preserve"> on the FS2 sheet).</t>
    </r>
  </si>
  <si>
    <t>Highlight the whole Financial Statements sheet by clicking on the arrow at the top left corner of the</t>
  </si>
  <si>
    <t>sheet.</t>
  </si>
  <si>
    <t>Click on the Find &amp; Select icon and choose the replace option. Type in YEAR and replace by PERIOD,</t>
  </si>
  <si>
    <t>CLIENT</t>
  </si>
  <si>
    <t>YEAR</t>
  </si>
  <si>
    <t>PERIOD</t>
  </si>
  <si>
    <t>SARS</t>
  </si>
  <si>
    <t>previous year</t>
  </si>
  <si>
    <t>Days</t>
  </si>
  <si>
    <t>Sales increase %</t>
  </si>
  <si>
    <t>REVIEW</t>
  </si>
  <si>
    <t>Expense for full year</t>
  </si>
  <si>
    <t>Select if</t>
  </si>
  <si>
    <t>&lt; 365 days</t>
  </si>
  <si>
    <t>FS Markup %</t>
  </si>
  <si>
    <t>Tax liability increase</t>
  </si>
  <si>
    <t>Sales comparison</t>
  </si>
  <si>
    <t>Premises</t>
  </si>
  <si>
    <t>Gross profit %</t>
  </si>
  <si>
    <t>MAIN ACTIVITY</t>
  </si>
  <si>
    <t>The company distributed the share premium to the loan accounts of the shareholders.</t>
  </si>
  <si>
    <t>Increase/(Decrease) in share premium</t>
  </si>
  <si>
    <t>Figures can be copied from the Holding company's Trial Balance to the Master Consolidated Company</t>
  </si>
  <si>
    <t>Then make use of the Master Consolidated Company to consolidate the group.</t>
  </si>
  <si>
    <t>SEAFRONT HOTEL</t>
  </si>
  <si>
    <t>RENTAL PROPERTIES</t>
  </si>
  <si>
    <t>Seafront Hotel</t>
  </si>
  <si>
    <t>Rental Properties</t>
  </si>
  <si>
    <t>2000/123456/07</t>
  </si>
  <si>
    <t>Hotel trade</t>
  </si>
  <si>
    <t>Restaurant industry</t>
  </si>
  <si>
    <t>Investment in immovable property</t>
  </si>
  <si>
    <t>7450/007</t>
  </si>
  <si>
    <t>7450/008</t>
  </si>
  <si>
    <t>7450/009</t>
  </si>
  <si>
    <t>7450/010</t>
  </si>
  <si>
    <t>7455/000</t>
  </si>
  <si>
    <t>7455/001</t>
  </si>
  <si>
    <t>7455/002</t>
  </si>
  <si>
    <t>7455/003</t>
  </si>
  <si>
    <t>7455/004</t>
  </si>
  <si>
    <t>7455/005</t>
  </si>
  <si>
    <t>7455/006</t>
  </si>
  <si>
    <t>7455/007</t>
  </si>
  <si>
    <t>7455/008</t>
  </si>
  <si>
    <t>7455/009</t>
  </si>
  <si>
    <t>7455/010</t>
  </si>
  <si>
    <r>
      <t xml:space="preserve">If your Financial Statements are for </t>
    </r>
    <r>
      <rPr>
        <b/>
        <sz val="11"/>
        <rFont val="Calibri"/>
        <family val="2"/>
      </rPr>
      <t>less than a year period</t>
    </r>
    <r>
      <rPr>
        <sz val="11"/>
        <rFont val="Calibri"/>
        <family val="2"/>
      </rPr>
      <t>, do the following:</t>
    </r>
  </si>
  <si>
    <t>These analytical procedures can only be used</t>
  </si>
  <si>
    <t>if you have one trading activity</t>
  </si>
  <si>
    <t>section.</t>
  </si>
  <si>
    <t>Do the same with Year and year. Make sure the "Match case" option is clicked under the options</t>
  </si>
  <si>
    <t>ABC COMPANY (PROPRIETARY) LIMITED</t>
  </si>
  <si>
    <t>domicile</t>
  </si>
  <si>
    <t>Country of incorporation and</t>
  </si>
  <si>
    <t>The reports and statements set out below comprise the annual Financial Statements</t>
  </si>
  <si>
    <t>ADMINISTRATIVE EXPENSES</t>
  </si>
  <si>
    <t xml:space="preserve">Revenue </t>
  </si>
  <si>
    <t>Revenue</t>
  </si>
  <si>
    <t>Sale of goods</t>
  </si>
  <si>
    <t>Rendering of services</t>
  </si>
  <si>
    <t>Commissions received</t>
  </si>
  <si>
    <t>1000/004</t>
  </si>
  <si>
    <t>1000/005</t>
  </si>
  <si>
    <t>1000/006</t>
  </si>
  <si>
    <t>1000/007</t>
  </si>
  <si>
    <t>Inventories</t>
  </si>
  <si>
    <t>INVESTMENTS IN ASSOCIATES</t>
  </si>
  <si>
    <t>2800/003</t>
  </si>
  <si>
    <t>Div.'s received - Associates</t>
  </si>
  <si>
    <t>If you have Investments in associates - supply a description of the investment showing the name</t>
  </si>
  <si>
    <t>For example : 100 Shares in ABC Company (Pty) Ltd - 100% interest</t>
  </si>
  <si>
    <t>Associates</t>
  </si>
  <si>
    <t>7100/050</t>
  </si>
  <si>
    <t>7100/051</t>
  </si>
  <si>
    <t>7100/052</t>
  </si>
  <si>
    <t>7100/053</t>
  </si>
  <si>
    <t>REVALUATION RESERVE</t>
  </si>
  <si>
    <t>Revaluation reserve - balance b/fwd</t>
  </si>
  <si>
    <t>Revaluation reserve - additions</t>
  </si>
  <si>
    <t>Revaluation reserve - transfer</t>
  </si>
  <si>
    <t>If Yes, could it have a material effect on the comparative figures, had the</t>
  </si>
  <si>
    <t>If Yes, supply details of the effect</t>
  </si>
  <si>
    <t>This is the first time that the Company adopts the International Financial Reporting</t>
  </si>
  <si>
    <t>information has accordingly remained unchanged since the prior reporting period.</t>
  </si>
  <si>
    <t>Current tax assets and liabilities</t>
  </si>
  <si>
    <t>Deferred Tax</t>
  </si>
  <si>
    <t>Tax Expense</t>
  </si>
  <si>
    <t>Property</t>
  </si>
  <si>
    <t>INVESTMENT PROPERTY</t>
  </si>
  <si>
    <t>Goodwill</t>
  </si>
  <si>
    <t>Amortisation period (max. 10 years)</t>
  </si>
  <si>
    <t>years</t>
  </si>
  <si>
    <t>An intangible asset is an identifiable non-monetary asset without physical substance.</t>
  </si>
  <si>
    <t>Prepaid lease agreements</t>
  </si>
  <si>
    <t>Finance Lease - Lessee</t>
  </si>
  <si>
    <t>Operating Lease – Lessee</t>
  </si>
  <si>
    <t>INVESTMENT PROPERTY - COST</t>
  </si>
  <si>
    <t>Investment property - cost b/fwd</t>
  </si>
  <si>
    <t>Investment property - additions</t>
  </si>
  <si>
    <t>Investment property - cost of sales</t>
  </si>
  <si>
    <t>Investment property - transfer from property</t>
  </si>
  <si>
    <t>6100/004</t>
  </si>
  <si>
    <t>OPERATING EXPENSES</t>
  </si>
  <si>
    <t>Financial instruments at amortised cost</t>
  </si>
  <si>
    <t>Where necessary comparative figures have been reclassified.</t>
  </si>
  <si>
    <t>PROPERTY</t>
  </si>
  <si>
    <t>PREVIOUS YEAR</t>
  </si>
  <si>
    <t>Previous Year</t>
  </si>
  <si>
    <t>Audit, review or compilation report</t>
  </si>
  <si>
    <t>INDEPENDENT AUDITOR'S REPORT</t>
  </si>
  <si>
    <t>Report on the Audit of the Financial Statements</t>
  </si>
  <si>
    <t xml:space="preserve">Opinion </t>
  </si>
  <si>
    <t>Auditor</t>
  </si>
  <si>
    <t>INDEPENDENT REVIEWER'S REPORT</t>
  </si>
  <si>
    <t>Independent Reviewer’s responsibility</t>
  </si>
  <si>
    <t>Conclusion</t>
  </si>
  <si>
    <t>Authorised share capital</t>
  </si>
  <si>
    <t>Authorised</t>
  </si>
  <si>
    <t>Amortisation of prepaid lease agreement</t>
  </si>
  <si>
    <t>Impairment losses</t>
  </si>
  <si>
    <t>3000/280</t>
  </si>
  <si>
    <t>Amortisation of goodwill</t>
  </si>
  <si>
    <t>7000/001</t>
  </si>
  <si>
    <t>GOODWILL - COST</t>
  </si>
  <si>
    <t>7000/002</t>
  </si>
  <si>
    <t>Goodwill - cost b/fwd</t>
  </si>
  <si>
    <t>7000/003</t>
  </si>
  <si>
    <t>Goodwill - additions</t>
  </si>
  <si>
    <t>7000/005</t>
  </si>
  <si>
    <t>GOODWILL - ACC AMORTISATION</t>
  </si>
  <si>
    <t>7000/006</t>
  </si>
  <si>
    <t>Goodwill - acc amortisation b/fwd</t>
  </si>
  <si>
    <t>7000/007</t>
  </si>
  <si>
    <t>Goodwill - amortisation this year</t>
  </si>
  <si>
    <t>GOODWILL - IMPAIRMENT</t>
  </si>
  <si>
    <t>Goodwill - impairment loss b/fwd</t>
  </si>
  <si>
    <t>7000/012</t>
  </si>
  <si>
    <t>Goodwill - impairment loss this year</t>
  </si>
  <si>
    <t>7000/021</t>
  </si>
  <si>
    <t>PREPAID LEASE AGREEMENT - COST</t>
  </si>
  <si>
    <t>7000/022</t>
  </si>
  <si>
    <t>Prepaid lease agreement - cost b/fwd</t>
  </si>
  <si>
    <t>7000/023</t>
  </si>
  <si>
    <t>Prepaid lease agreement - additions</t>
  </si>
  <si>
    <t>PREPAID LEASE AGREEMENT - ACC AMORTISATION</t>
  </si>
  <si>
    <t>7000/026</t>
  </si>
  <si>
    <t>Prepaid lease agreement - acc amortisation b/fwd</t>
  </si>
  <si>
    <t>7000/027</t>
  </si>
  <si>
    <t>Prepaid lease agreement - amortisation this year</t>
  </si>
  <si>
    <t>7000/030</t>
  </si>
  <si>
    <t>PREPAID LEASE AGREEMENT - IMPAIRMENT</t>
  </si>
  <si>
    <t>7000/031</t>
  </si>
  <si>
    <t>Prepaid lease agreement - impairment loss b/fwd</t>
  </si>
  <si>
    <t>7000/032</t>
  </si>
  <si>
    <t>Prepaid lease agreement - impairment loss this year</t>
  </si>
  <si>
    <t>Carrying value at beginning of year</t>
  </si>
  <si>
    <t>Annual amortisation</t>
  </si>
  <si>
    <t>Impairment loss</t>
  </si>
  <si>
    <t>Carrying value at the end of year</t>
  </si>
  <si>
    <t>Intangible assets</t>
  </si>
  <si>
    <t>Dividends received - Associates</t>
  </si>
  <si>
    <t>(Increase) / Decrease in intangibles</t>
  </si>
  <si>
    <t>6100/034</t>
  </si>
  <si>
    <t>6100/040</t>
  </si>
  <si>
    <t>6100/041</t>
  </si>
  <si>
    <t>6100/042</t>
  </si>
  <si>
    <t>6100/043</t>
  </si>
  <si>
    <t>INVESTMENT PROPERTY - VALUATION</t>
  </si>
  <si>
    <t>Investment property - valuation b/fwd</t>
  </si>
  <si>
    <t>Investment property - valuation additions</t>
  </si>
  <si>
    <t>6100/024</t>
  </si>
  <si>
    <t>2050/006</t>
  </si>
  <si>
    <t>Recoupment of depreciation</t>
  </si>
  <si>
    <t>2840/000</t>
  </si>
  <si>
    <t>Revaluation of investment property</t>
  </si>
  <si>
    <t>Revaluation</t>
  </si>
  <si>
    <t>Investment property</t>
  </si>
  <si>
    <t>Less: Transfers to investment property</t>
  </si>
  <si>
    <t>When you have property that was depreciated and a transfer is made to Investment property,</t>
  </si>
  <si>
    <t>6100/005</t>
  </si>
  <si>
    <t>6100/035</t>
  </si>
  <si>
    <t>Investment property - transfer to property</t>
  </si>
  <si>
    <t>When investment property is no longer revalued and a transfer is made to property and a reduction</t>
  </si>
  <si>
    <t>Investment property - valuation reduction on sales</t>
  </si>
  <si>
    <t>6100/044</t>
  </si>
  <si>
    <t>Investment property - valuation reduction on transfers</t>
  </si>
  <si>
    <t>Add: Transfers from property (cost)</t>
  </si>
  <si>
    <t>Add: Fair value changes (revaluation)</t>
  </si>
  <si>
    <t>Less: Transfers to property</t>
  </si>
  <si>
    <t>When you have Intangible assets, write down to R1 and not zero.</t>
  </si>
  <si>
    <t>Transfer from inv. prop</t>
  </si>
  <si>
    <t>Transfer to inv. prop</t>
  </si>
  <si>
    <t>REVALUATION</t>
  </si>
  <si>
    <t>Transfer to property</t>
  </si>
  <si>
    <t>Transfer from property</t>
  </si>
  <si>
    <t>Transfers</t>
  </si>
  <si>
    <t>Revaluation/</t>
  </si>
  <si>
    <t>For the other sections on the Tax asset register (Plant and equipment, Vehicles, Electronic equipment</t>
  </si>
  <si>
    <t>and Furniture and fittings) you can leave the link (first line of each section) to the Fixed assets</t>
  </si>
  <si>
    <t>register if the tax allowance is the same as the depreciation.</t>
  </si>
  <si>
    <t>Income tax rate</t>
  </si>
  <si>
    <t xml:space="preserve">Tax at the applicable rate </t>
  </si>
  <si>
    <t>Tax at the applicable rate</t>
  </si>
  <si>
    <t>5700/021</t>
  </si>
  <si>
    <t>Opening balance depreciation tax rate change</t>
  </si>
  <si>
    <t>5700/022</t>
  </si>
  <si>
    <t>Opening balance tax loss tax rate change</t>
  </si>
  <si>
    <t>Deferred tax adjustment on income tax rate change</t>
  </si>
  <si>
    <t>4820/003</t>
  </si>
  <si>
    <t>Revaluation reserve additions</t>
  </si>
  <si>
    <t>Revaluation reserve transfers</t>
  </si>
  <si>
    <t>Other reserves additions</t>
  </si>
  <si>
    <t>Other reserves transfers</t>
  </si>
  <si>
    <t>Is there a bond over Property?</t>
  </si>
  <si>
    <t xml:space="preserve">Property, plant and equipment </t>
  </si>
  <si>
    <t>Tax rate change</t>
  </si>
  <si>
    <t>Income tax rate change</t>
  </si>
  <si>
    <t>Effect of income tax rate change</t>
  </si>
  <si>
    <t>Property, plant and equipment (at carrying value)</t>
  </si>
  <si>
    <t>Property, plant and equipment (at cost)</t>
  </si>
  <si>
    <t>The future minimum lease payments are as follows:</t>
  </si>
  <si>
    <t>Within one year</t>
  </si>
  <si>
    <t>Later than one year but within five years</t>
  </si>
  <si>
    <t>Later than five years</t>
  </si>
  <si>
    <t>Finance leases (if applicable)</t>
  </si>
  <si>
    <t>Future minimum lease payments</t>
  </si>
  <si>
    <t>One to five years</t>
  </si>
  <si>
    <t>Operating leases (if applicable)</t>
  </si>
  <si>
    <t>leases that fall due as follows:</t>
  </si>
  <si>
    <t>Depr - Property</t>
  </si>
  <si>
    <t>PROPERTY - COST</t>
  </si>
  <si>
    <t>Property - cost b/fwd</t>
  </si>
  <si>
    <t>Property - additions</t>
  </si>
  <si>
    <t>Property - cost of sales</t>
  </si>
  <si>
    <t>Property - transfer to investment property</t>
  </si>
  <si>
    <t>Property - transfer from investment property</t>
  </si>
  <si>
    <t>PROPERTY - ACC DEPR</t>
  </si>
  <si>
    <t>Property - acc depr b/fwd</t>
  </si>
  <si>
    <t>Property - depr this year</t>
  </si>
  <si>
    <t>Property - acc depr on sales</t>
  </si>
  <si>
    <t>Property - recoupment of depr</t>
  </si>
  <si>
    <t>the fact that property (except Investment property) is depreciated at 2% and there is for tax purposes</t>
  </si>
  <si>
    <t>Per Fixed Asset register - Investment property</t>
  </si>
  <si>
    <t>Per Fixed Asset register - Property</t>
  </si>
  <si>
    <t>0% allowance or in some cases 5%. Delete the first 2 lines of the property section on the Tax Asset register.</t>
  </si>
  <si>
    <t>Secured by a finance lease/bond agreement over a motor vehicle/property with a book</t>
  </si>
  <si>
    <t>value of R      and which bears interest at x% p.a.</t>
  </si>
  <si>
    <t>inclusive of capital and interest.</t>
  </si>
  <si>
    <t>and is repayable in equal monthly instalments of R     ,</t>
  </si>
  <si>
    <t>On the Fixed Asset register, when you revalue investment property, insert the cost in the Investment</t>
  </si>
  <si>
    <t>Property section and the valuation amount in the Revaluation section.</t>
  </si>
  <si>
    <t>Income tax provision</t>
  </si>
  <si>
    <t>4800/001Tax provided this year</t>
  </si>
  <si>
    <t>9300/020Tax provision this year</t>
  </si>
  <si>
    <t>Deferred tax provision</t>
  </si>
  <si>
    <t>4820/001Deferred tax this year</t>
  </si>
  <si>
    <t>5700/030Deferred tax on depreciation for year</t>
  </si>
  <si>
    <t>5700/040Deferred tax on tax loss for year</t>
  </si>
  <si>
    <t>4820/003Deferred tax adjustment previous year</t>
  </si>
  <si>
    <t>5700/050Def tax adj  depreciation previous year</t>
  </si>
  <si>
    <t>5700/060Def tax adj tax loss previous year</t>
  </si>
  <si>
    <t>4820/002Deferred tax adjustment on income tax rate change</t>
  </si>
  <si>
    <t>5700/021Opening balance depreciation tax rate change</t>
  </si>
  <si>
    <t>5700/022Opening balance tax loss tax rate change</t>
  </si>
  <si>
    <t>When Investment property is sold, the Investment property section on the Fixed Asset register</t>
  </si>
  <si>
    <t>determines the cost profit or loss. The revaluation amount on the Revaluation section is written</t>
  </si>
  <si>
    <t>down to Profit/loss on sale of fixed assets to determine the book value profit or loss.</t>
  </si>
  <si>
    <t>Delete if not applicable</t>
  </si>
  <si>
    <t>Shareholders (optional)</t>
  </si>
  <si>
    <t>Interest at the SARS official rate</t>
  </si>
  <si>
    <t>Calculate the permanent differences on the tax calculation with the tax rate and compare to this line.</t>
  </si>
  <si>
    <t>The figures for columns F,G and H are transferred from the individual Trial Balances for each other</t>
  </si>
  <si>
    <t>activity.</t>
  </si>
  <si>
    <t>FS EASY</t>
  </si>
  <si>
    <t>Less: Residential rental</t>
  </si>
  <si>
    <t>Statements and is a very good control measure to ensure your tax and deferred tax calculations are correct.</t>
  </si>
  <si>
    <t>Increase / (Decrease) in short term loans</t>
  </si>
  <si>
    <t>(Commitments under non-cancellable contracts)</t>
  </si>
  <si>
    <t>Index reference, the Cash Flow Statement, the note to the Cash Flow Statement - Reconciliation of</t>
  </si>
  <si>
    <t>Criteria sheet the current year and previous year's tax rate.</t>
  </si>
  <si>
    <r>
      <t>Fill in (or copy from your own previous year Asset register) the details in columns</t>
    </r>
    <r>
      <rPr>
        <sz val="11"/>
        <color rgb="FFFF0000"/>
        <rFont val="Calibri"/>
        <family val="2"/>
      </rPr>
      <t xml:space="preserve"> B to J</t>
    </r>
    <r>
      <rPr>
        <sz val="11"/>
        <rFont val="Calibri"/>
        <family val="2"/>
      </rPr>
      <t>.</t>
    </r>
  </si>
  <si>
    <r>
      <t xml:space="preserve">previous year's file (column </t>
    </r>
    <r>
      <rPr>
        <sz val="11"/>
        <color rgb="FFFF0000"/>
        <rFont val="Calibri"/>
        <family val="2"/>
      </rPr>
      <t>AA and AB</t>
    </r>
    <r>
      <rPr>
        <sz val="11"/>
        <rFont val="Calibri"/>
        <family val="2"/>
      </rPr>
      <t>) - "copy, paste special, values".</t>
    </r>
  </si>
  <si>
    <t>Click on the Control panel icon on your screen.</t>
  </si>
  <si>
    <t>Click on Change the date, time or number format under the Clock and region section.</t>
  </si>
  <si>
    <t>Click on Additional Settings. Change the Decimal symbol to a dot.</t>
  </si>
  <si>
    <r>
      <t xml:space="preserve">We've </t>
    </r>
    <r>
      <rPr>
        <b/>
        <sz val="11"/>
        <rFont val="Calibri"/>
        <family val="2"/>
      </rPr>
      <t>loaded the Income tax and deferred tax journals</t>
    </r>
    <r>
      <rPr>
        <sz val="11"/>
        <rFont val="Calibri"/>
        <family val="2"/>
      </rPr>
      <t xml:space="preserve"> for automatic update when further</t>
    </r>
  </si>
  <si>
    <t>adjustment are made to the Trial Balances, Income tax and deferred tax calculations.</t>
  </si>
  <si>
    <r>
      <t xml:space="preserve">Highlight columns </t>
    </r>
    <r>
      <rPr>
        <sz val="11"/>
        <color rgb="FFFF0000"/>
        <rFont val="Calibri"/>
        <family val="2"/>
      </rPr>
      <t>AA and AB</t>
    </r>
    <r>
      <rPr>
        <sz val="11"/>
        <rFont val="Calibri"/>
        <family val="2"/>
      </rPr>
      <t xml:space="preserve"> and copy, paste special, values for each section to column</t>
    </r>
  </si>
  <si>
    <t>of the company, the total shares and the percentage interest.</t>
  </si>
  <si>
    <t>the Investment account.</t>
  </si>
  <si>
    <r>
      <t xml:space="preserve">The </t>
    </r>
    <r>
      <rPr>
        <b/>
        <sz val="11"/>
        <rFont val="Calibri"/>
        <family val="2"/>
      </rPr>
      <t>"Effect of permanent differences"</t>
    </r>
    <r>
      <rPr>
        <sz val="11"/>
        <rFont val="Calibri"/>
        <family val="2"/>
      </rPr>
      <t xml:space="preserve"> line on the Tax expense reconciliation note to the Financial</t>
    </r>
  </si>
  <si>
    <t>Difference between carrying values and tax bases of property,</t>
  </si>
  <si>
    <t>plant and equipment</t>
  </si>
  <si>
    <t>Temporary differences on property, plant and equipment</t>
  </si>
  <si>
    <t>The following are the deferred tax liabilities (assets) recognised by the Company:</t>
  </si>
  <si>
    <t>Income tax provision for current year</t>
  </si>
  <si>
    <t>Under-/(Over) provisions for previous years</t>
  </si>
  <si>
    <t>Tax (paid)/refund for previous years' assessments</t>
  </si>
  <si>
    <t>1st Provisional tax paid</t>
  </si>
  <si>
    <t>2nd Provisional tax paid</t>
  </si>
  <si>
    <t>3rd Provisional tax paid</t>
  </si>
  <si>
    <t>Details of property at Cost (excluding Investment property) - at 0 decimal rounding</t>
  </si>
  <si>
    <t>Details of Investment property at fair value (at 0 decimal rounding)</t>
  </si>
  <si>
    <t>The details of property at cost are as follows:</t>
  </si>
  <si>
    <t>The details of investment property at fair value are as follows:</t>
  </si>
  <si>
    <t>Sales increase/(decrease)</t>
  </si>
  <si>
    <t>Sales increase/(decrease) %</t>
  </si>
  <si>
    <t>Cost of sales increase/(decrease)</t>
  </si>
  <si>
    <t>Cost of sales increase/(decrease) %</t>
  </si>
  <si>
    <t>Gross profit increase/(decrease)</t>
  </si>
  <si>
    <t>Gross profit increase/(decrease) %</t>
  </si>
  <si>
    <t>(If sock figure is not provided by client)</t>
  </si>
  <si>
    <t>Amount</t>
  </si>
  <si>
    <t>increase/(decrease)</t>
  </si>
  <si>
    <r>
      <t>Complete the Tax</t>
    </r>
    <r>
      <rPr>
        <b/>
        <sz val="11"/>
        <rFont val="Calibri"/>
        <family val="2"/>
      </rPr>
      <t xml:space="preserve"> Asset Register </t>
    </r>
    <r>
      <rPr>
        <sz val="11"/>
        <rFont val="Calibri"/>
        <family val="2"/>
      </rPr>
      <t>if different than the Fixed Asset Register.</t>
    </r>
  </si>
  <si>
    <t>Go to the Deferred tax sheet and review the calculation.</t>
  </si>
  <si>
    <t>Client's markup %</t>
  </si>
  <si>
    <t>Estimated stock figure in Financial Statements</t>
  </si>
  <si>
    <t>Do this for operating and administration expenses separately.</t>
  </si>
  <si>
    <t>When you have Property, the Tax Asset register needs to be completed for the Property section, due to</t>
  </si>
  <si>
    <t>Statement is provided with a formula with reference to the tax calculation on the Financial</t>
  </si>
  <si>
    <r>
      <t xml:space="preserve">If you make use of the </t>
    </r>
    <r>
      <rPr>
        <b/>
        <sz val="11"/>
        <rFont val="Calibri"/>
        <family val="2"/>
      </rPr>
      <t>Consolidated Financial Statements</t>
    </r>
    <r>
      <rPr>
        <sz val="11"/>
        <rFont val="Calibri"/>
        <family val="2"/>
      </rPr>
      <t>, complete the Master Company file for each</t>
    </r>
  </si>
  <si>
    <t>and then to consolidate the subsidiaries using the other trading activities Trial Balances.</t>
  </si>
  <si>
    <r>
      <t xml:space="preserve">Make sure, on the FS sheet (or FS2 sheet),  that cell </t>
    </r>
    <r>
      <rPr>
        <sz val="11"/>
        <color rgb="FFFF0000"/>
        <rFont val="Calibri"/>
        <family val="2"/>
      </rPr>
      <t>V2</t>
    </r>
    <r>
      <rPr>
        <sz val="11"/>
        <rFont val="Calibri"/>
        <family val="2"/>
      </rPr>
      <t xml:space="preserve"> and cell </t>
    </r>
    <r>
      <rPr>
        <sz val="11"/>
        <color rgb="FFFF0000"/>
        <rFont val="Calibri"/>
        <family val="2"/>
      </rPr>
      <t>X2</t>
    </r>
    <r>
      <rPr>
        <sz val="11"/>
        <rFont val="Calibri"/>
        <family val="2"/>
      </rPr>
      <t xml:space="preserve"> (or cell </t>
    </r>
    <r>
      <rPr>
        <sz val="11"/>
        <color rgb="FFFF0000"/>
        <rFont val="Calibri"/>
        <family val="2"/>
      </rPr>
      <t>U2</t>
    </r>
    <r>
      <rPr>
        <sz val="11"/>
        <rFont val="Calibri"/>
        <family val="2"/>
      </rPr>
      <t xml:space="preserve"> on FS2) are </t>
    </r>
    <r>
      <rPr>
        <b/>
        <sz val="11"/>
        <rFont val="Calibri"/>
        <family val="2"/>
      </rPr>
      <t>"YES"</t>
    </r>
    <r>
      <rPr>
        <sz val="11"/>
        <rFont val="Calibri"/>
        <family val="2"/>
      </rPr>
      <t>.</t>
    </r>
  </si>
  <si>
    <t>sheets if your client provides in Excel format.</t>
  </si>
  <si>
    <r>
      <t xml:space="preserve">Make sure that the Fixed Asset register balances with the Trial Balance - row </t>
    </r>
    <r>
      <rPr>
        <sz val="11"/>
        <color rgb="FFFF0000"/>
        <rFont val="Calibri"/>
        <family val="2"/>
      </rPr>
      <t>19</t>
    </r>
    <r>
      <rPr>
        <sz val="11"/>
        <rFont val="Calibri"/>
        <family val="2"/>
      </rPr>
      <t>.</t>
    </r>
  </si>
  <si>
    <t>Subsidiary and for the holding company for bank and tax purposes.</t>
  </si>
  <si>
    <t>Any income received, for example: dividends, are transacted to the loan account of the entity and not</t>
  </si>
  <si>
    <t>If it does not compare, the problem can be with the Fix asset or Tax asset registers.</t>
  </si>
  <si>
    <t>If you do not find the problem, we will be happy to assist you.</t>
  </si>
  <si>
    <t>The company's main objective is trading in the restaurant industry.</t>
  </si>
  <si>
    <t>Bank overdrafts are now classified as Cash and cash equivalents and not shown under short term loans</t>
  </si>
  <si>
    <t>on the Cash Flow Statement. When you copy the cash flow from the previous period to the current</t>
  </si>
  <si>
    <t>year Criteria, you'll have to adjust the overdrafts included in Increase/(decrease) of short term loans.</t>
  </si>
  <si>
    <t>Share premium at the beginning of the year</t>
  </si>
  <si>
    <t>First time adoption of IFRS for SMEs</t>
  </si>
  <si>
    <t>standard for SMEs been applied the previous period?</t>
  </si>
  <si>
    <t>Nature of operations and</t>
  </si>
  <si>
    <t>principal activities</t>
  </si>
  <si>
    <t>Table of contents</t>
  </si>
  <si>
    <t>Secretarial information</t>
  </si>
  <si>
    <t>Statement of comprehensive income</t>
  </si>
  <si>
    <t>Statement of financial position</t>
  </si>
  <si>
    <t>Statement of changes in equity</t>
  </si>
  <si>
    <t>Statement of cash flows</t>
  </si>
  <si>
    <t>STATEMENT OF CASH FLOWS FOR THE YEAR ENDED</t>
  </si>
  <si>
    <t>Notes to the Financial Statements</t>
  </si>
  <si>
    <t>Detailed income statement</t>
  </si>
  <si>
    <t>Statement of taxable income</t>
  </si>
  <si>
    <t>Annexure to statement of taxable income</t>
  </si>
  <si>
    <t>Annexures</t>
  </si>
  <si>
    <t>Page</t>
  </si>
  <si>
    <t>FSEasy</t>
  </si>
  <si>
    <t>Cost of sales</t>
  </si>
  <si>
    <t>Other operating income</t>
  </si>
  <si>
    <t>Administrative expenses</t>
  </si>
  <si>
    <t>Finance costs</t>
  </si>
  <si>
    <t>Notes</t>
  </si>
  <si>
    <t>Non-current assets</t>
  </si>
  <si>
    <t>Current assets</t>
  </si>
  <si>
    <t>Equity</t>
  </si>
  <si>
    <t>Non-current liabilities</t>
  </si>
  <si>
    <t>Current liabilities</t>
  </si>
  <si>
    <t>Total equity and liabilities</t>
  </si>
  <si>
    <t>Nature of business and principal activities</t>
  </si>
  <si>
    <t>Financial results</t>
  </si>
  <si>
    <t>Fixed assets</t>
  </si>
  <si>
    <t>Going concern</t>
  </si>
  <si>
    <t>Fundamental facts or contingencies since year end</t>
  </si>
  <si>
    <t>Deferred tax</t>
  </si>
  <si>
    <t>Net cash flows from operating activities</t>
  </si>
  <si>
    <t>Net cash flows from investing activities</t>
  </si>
  <si>
    <t>Net cash flows from financing activities</t>
  </si>
  <si>
    <t>cash equivalents during the year</t>
  </si>
  <si>
    <t>Approval of the annual Financial Statements</t>
  </si>
  <si>
    <t>Basis of preparation and accounting policies</t>
  </si>
  <si>
    <t>Revenue recognition</t>
  </si>
  <si>
    <t>Property, plant and equipment</t>
  </si>
  <si>
    <t xml:space="preserve">Investment property  </t>
  </si>
  <si>
    <t xml:space="preserve">Leases  </t>
  </si>
  <si>
    <t xml:space="preserve">Inventories  </t>
  </si>
  <si>
    <t xml:space="preserve">Financial instruments  </t>
  </si>
  <si>
    <t>Comparative figures</t>
  </si>
  <si>
    <t>Changes in accounting policies</t>
  </si>
  <si>
    <t>Taxation provided</t>
  </si>
  <si>
    <t>Reconciliation of taxation paid</t>
  </si>
  <si>
    <t>Finance lease assets included in plant and equipment</t>
  </si>
  <si>
    <t>Prepaid lease agreement</t>
  </si>
  <si>
    <t>Revaluation reserve</t>
  </si>
  <si>
    <t>Other reserves</t>
  </si>
  <si>
    <t>Reconciliation</t>
  </si>
  <si>
    <t>Obligations under finance leases</t>
  </si>
  <si>
    <t>Commitments under operating leases</t>
  </si>
  <si>
    <t>to cash generated from operations</t>
  </si>
  <si>
    <t>Related parties and transactions</t>
  </si>
  <si>
    <t>Less: Operating expenses</t>
  </si>
  <si>
    <t>Less: Administrative expenses</t>
  </si>
  <si>
    <t>Less: Finance costs</t>
  </si>
  <si>
    <t>Net profit/(loss) before taxation - other activities</t>
  </si>
  <si>
    <t>Less: Taxation</t>
  </si>
  <si>
    <t>Add:</t>
  </si>
  <si>
    <t>Capital gains' tax</t>
  </si>
  <si>
    <t>T/A SEAFRONT HOTEL, ABC RESTAURANT AND RENTAL PROPERTIES</t>
  </si>
  <si>
    <t>ABC RESTAURANT</t>
  </si>
  <si>
    <t>ABC Restaurant</t>
  </si>
  <si>
    <t>management for the year under review, principally through self-assessment by, and</t>
  </si>
  <si>
    <t>accounting records, risk management and internal controls and systems have been</t>
  </si>
  <si>
    <t>B Director</t>
  </si>
  <si>
    <t>A review of Financial Statements in accordance with ISRE 2400 (revised) is a limited</t>
  </si>
  <si>
    <t>assurance engagement. The Independent Reviewer performs procedures, primarily</t>
  </si>
  <si>
    <t xml:space="preserve">assurance engagement. The Independent Reviewer performs procedures, primarily </t>
  </si>
  <si>
    <t>These Financial Statements have been prepared in accordance with the International</t>
  </si>
  <si>
    <t>International Accounting Standards Board.</t>
  </si>
  <si>
    <t>Financial Reporting Standard for Small- and Medium-sized Entities issued by the</t>
  </si>
  <si>
    <t>stated otherwise and incorporate the principal policies set out below.</t>
  </si>
  <si>
    <t>The Financial Statements have been prepared on the historical cost basis, except where</t>
  </si>
  <si>
    <t>Revenue is measured at the fair value of the consideration received or receivable and</t>
  </si>
  <si>
    <t>Deferred tax is recognised on differences between the carrying amounts of assets and</t>
  </si>
  <si>
    <t>liabilities in the Financial Statements and their corresponding tax bases. Deferred tax</t>
  </si>
  <si>
    <t xml:space="preserve">liabilities in the Financial Statements and their corresponding tax bases. Deferred tax </t>
  </si>
  <si>
    <t>Income tax expense represents the sum of the tax currently payable and deferred tax</t>
  </si>
  <si>
    <t>acquisition.</t>
  </si>
  <si>
    <t>Goodwill acquired in a business combination is recognised as an asset and is initially</t>
  </si>
  <si>
    <t>accumulated amortisation and net of accumulated impairment losses.</t>
  </si>
  <si>
    <t>measured at its cost. Subsequent to initial recognition goodwill is carried at cost less</t>
  </si>
  <si>
    <t>These include loans, trade receivables and trade payables. Debt instruments which are</t>
  </si>
  <si>
    <t>Less: Payable within 1 year transferred to current liabilities</t>
  </si>
  <si>
    <t xml:space="preserve">Inventories consist of the following: </t>
  </si>
  <si>
    <t>The deferred tax assets and the deferred tax liabilities relate to income tax in the same</t>
  </si>
  <si>
    <t>jurisdiction, and the law allows net settlement. Therefore, they have been offset in the</t>
  </si>
  <si>
    <t>statement of financial position as follows:</t>
  </si>
  <si>
    <t>Details of operating leases</t>
  </si>
  <si>
    <t>The company rents several sales offices under operating leases. The leases are for an</t>
  </si>
  <si>
    <t>average period of five years, with fixed rentals over the same period.</t>
  </si>
  <si>
    <t>The company also leases office equipment for an average period of 3 years, with fixed</t>
  </si>
  <si>
    <t>rentals over the same period.</t>
  </si>
  <si>
    <t>Minimum lease payments under operating leases</t>
  </si>
  <si>
    <t>recognised as an expense during the year</t>
  </si>
  <si>
    <t>Assets with a unit cost of less than R7 000 are recognised directly as an expense upon</t>
  </si>
  <si>
    <t>Assets with a unit cost of less than R7 000 are recognized directly as an expense upon</t>
  </si>
  <si>
    <t>At year-end, the company has outstanding commitments under non-cancellable operating</t>
  </si>
  <si>
    <t>If you have items on the Statement of comprehensive income and Statement of cash flows with a</t>
  </si>
  <si>
    <t>negative amount of (10,000,000) and more, for example Operating expenses, you'll have to adjust the</t>
  </si>
  <si>
    <t>font size from 25 to 24.</t>
  </si>
  <si>
    <t>Value</t>
  </si>
  <si>
    <t>The pages and font size of the Financial Statements are set up for the printer "Microsoft Print to PDF".</t>
  </si>
  <si>
    <t>Do the page fittings using the "Microsoft Print to PDF" after which you can change to your printer.</t>
  </si>
  <si>
    <t>If the page fittings have not changed, you are good to go. If the page breaks have changed, it is an</t>
  </si>
  <si>
    <t xml:space="preserve">option to use the "Microsoft Print to PDF" printer and print the pdf. pages on your printer. </t>
  </si>
  <si>
    <t>If you have, for example, no motor vehicles, you can delete the column for motor vehicles on the note</t>
  </si>
  <si>
    <t>to Plant and equipment. You can then change the column to no border and move the other columns.</t>
  </si>
  <si>
    <t>Dividends and dividend's tax paid</t>
  </si>
  <si>
    <t>Current period</t>
  </si>
  <si>
    <t>Previous periods</t>
  </si>
  <si>
    <t>Adjustment for income tax rate change</t>
  </si>
  <si>
    <t>Less: Accumulated depreciation</t>
  </si>
  <si>
    <t xml:space="preserve"> Transfers from investment property</t>
  </si>
  <si>
    <t>Less: Acc depr</t>
  </si>
  <si>
    <t xml:space="preserve">Revaluation </t>
  </si>
  <si>
    <t>Less: Accumulated amortisation</t>
  </si>
  <si>
    <t>Less: Accumulated impairment loss</t>
  </si>
  <si>
    <t>integrity of the annual Financial Statements and related financial information. The</t>
  </si>
  <si>
    <t>annual Financial Statements have been prepared in accordance with the International</t>
  </si>
  <si>
    <t xml:space="preserve">Financial Reporting Standard for Small- and Medium-sized Entities and the </t>
  </si>
  <si>
    <t>requirements of the Companies Act, No. 71 of 2008 ("the Companies Act") and</t>
  </si>
  <si>
    <t>incorporate full and responsible disclosure in line with the accounting philosophy of</t>
  </si>
  <si>
    <t>Financial Reporting Standard for Small- and Medium-sized Entities and the</t>
  </si>
  <si>
    <t>incorporate full and responsible diclosure in line with the accounting philosophy of</t>
  </si>
  <si>
    <t xml:space="preserve">maintained to provide reasonable assurance on the integrity and reliability of the </t>
  </si>
  <si>
    <t>annual Financial Statements and to sufficiently safeguard, verify and maintain</t>
  </si>
  <si>
    <t>misstatement is minimised.</t>
  </si>
  <si>
    <t>accountability for the assets and ensure that the possibility of material loss or</t>
  </si>
  <si>
    <t>maintained to provide reasonable assurance on the integrity and reliability of the</t>
  </si>
  <si>
    <t>that the annual Financial Statements fairly present in all material respects the state of</t>
  </si>
  <si>
    <t>company has adequate resources to continue in operation for the foreseeable future.</t>
  </si>
  <si>
    <t>basis.</t>
  </si>
  <si>
    <t>Accordingly, the annual Financial Statements have been prepared on a going concern</t>
  </si>
  <si>
    <t>Our responsibility is to express a conclusion on these Financial Statements. We</t>
  </si>
  <si>
    <t>conducted our review in accordance with the International Standard on Review</t>
  </si>
  <si>
    <t>Engagements (ISRE) 2400 (revised), Engagements to Review Historical Financial</t>
  </si>
  <si>
    <t>Statements (ISRE 2400 (revised)). ISRE 2400 (revised) requires us to conclude</t>
  </si>
  <si>
    <t>whether anything has come to our attention that causes us to believe that the Financial</t>
  </si>
  <si>
    <t>Statements, taken as a whole, are not prepared in all material respects in accordance</t>
  </si>
  <si>
    <t>comply with relevant ethical requirements.</t>
  </si>
  <si>
    <t>with the applicable financial reporting framework. This Standard also requires us to</t>
  </si>
  <si>
    <t xml:space="preserve">Our responsibility is to express a conclusion on these Financial Statements. We </t>
  </si>
  <si>
    <t>appropriate and applying analytical procedures and evaluates the evidence obtained.</t>
  </si>
  <si>
    <t>consisting of making inquiries of management and others within the entity, as</t>
  </si>
  <si>
    <t>The procedures performed in a review are substantially less than those performed in</t>
  </si>
  <si>
    <t>Accordingly, we do not express an audit opinion on these Financial Statements.</t>
  </si>
  <si>
    <t>an audit conducted in accordance with International Standards on Auditing.</t>
  </si>
  <si>
    <t>on Related Services 4410 (revised), Compilation Engagements.</t>
  </si>
  <si>
    <t>We performed this compilation engagement in accordance with International Standard</t>
  </si>
  <si>
    <t>the preparation and presentation of these Financial Statements in accordance with the</t>
  </si>
  <si>
    <t>We have applied our expertise in accounting and financial reporting to assist you in</t>
  </si>
  <si>
    <t>International Financial Reporting Standard for Small- and Medium-sized Entities. We</t>
  </si>
  <si>
    <t>objectivity, professional competence and due care.</t>
  </si>
  <si>
    <t>have complied with relevant ethical requirements, including principles of integrity,</t>
  </si>
  <si>
    <t>used to compile them are your responsibility.</t>
  </si>
  <si>
    <t>These Financial Statements and the accuracy and completeness of the information</t>
  </si>
  <si>
    <t>Since a compilation engagement is not an assurance engagement, we are not required</t>
  </si>
  <si>
    <t xml:space="preserve">to verify the accuracy or completeness of the information you provided to us to </t>
  </si>
  <si>
    <t>compile these Financial Statements. Accordingly, we do not express an audit opinion</t>
  </si>
  <si>
    <t xml:space="preserve">or a review conclusion on whether these Financial Statements are prepared in </t>
  </si>
  <si>
    <t>Medium-sized Entities.</t>
  </si>
  <si>
    <t>accordance with the International Financial Reporting Standard for Small- and</t>
  </si>
  <si>
    <t>or a review conclusion on whether these Financial Statements are prepared in</t>
  </si>
  <si>
    <t>ACCOUNTING OFFICER'S COMPILATION REPORT</t>
  </si>
  <si>
    <t>in the Republic of South Africa and the Company's registration number is</t>
  </si>
  <si>
    <t>The  Financial Statements have been prepared in accordance with the International</t>
  </si>
  <si>
    <t>requirements of the Companies Act of South Africa.</t>
  </si>
  <si>
    <t>current financial year:</t>
  </si>
  <si>
    <t>The financial results of the company are set out in the attached Financial Statements</t>
  </si>
  <si>
    <t>Financial Statements.</t>
  </si>
  <si>
    <t>The annual Financial Statements have been prepared on the basis of accounting</t>
  </si>
  <si>
    <t xml:space="preserve">policies applicable to a going concern. This basis presumes that funds will be </t>
  </si>
  <si>
    <t>policies applicable to a going concern. This basis presumes that funds will be</t>
  </si>
  <si>
    <t>available to finance future operations and that the realisation of assets and settlement</t>
  </si>
  <si>
    <t>course of business.</t>
  </si>
  <si>
    <t>of liabilities, contingent obligations and commitments will occur in the ordinary</t>
  </si>
  <si>
    <t>Also delete the Accounting policies not applicable.</t>
  </si>
  <si>
    <t>The page break must be just above the page number.</t>
  </si>
  <si>
    <t>in the Directors' report (if necessary) and in the Notes section to fit the info on one page.</t>
  </si>
  <si>
    <t>ABC Company (Pty) Ltd</t>
  </si>
  <si>
    <t>FINANCIAL STATEMENTS FOR THE YEAR ENDED</t>
  </si>
  <si>
    <t>Standard for Small- and Medium-sized Entities and that no material difference could</t>
  </si>
  <si>
    <t>period, except for as disclosed in note 2.</t>
  </si>
  <si>
    <t>be identified with the comparative figures had the standard been applied the previous</t>
  </si>
  <si>
    <t>represents the amounts receivable for goods and services provided in the normal</t>
  </si>
  <si>
    <t>registered for such taxes).</t>
  </si>
  <si>
    <t xml:space="preserve">course of business, net of discounts, volume rebates and sales-related taxes (if </t>
  </si>
  <si>
    <t>course of business, net of discounts, volume rebates and sales-related taxes (if</t>
  </si>
  <si>
    <t>rewards of ownership have passed to the buyer.</t>
  </si>
  <si>
    <t>Revenue is recognised when the goods are delivered and the significant risks and</t>
  </si>
  <si>
    <t>Revenue is recognised with reference to the stage of completion provided that the</t>
  </si>
  <si>
    <t>the economic benefits associated with the transaction will flow to the Company.</t>
  </si>
  <si>
    <t>amount of revenue and its related costs can be measured reliably and it is probable that</t>
  </si>
  <si>
    <t>Current tax for current and prior periods is, to the extent unpaid, recognised as a</t>
  </si>
  <si>
    <t>liability. If the amount already paid in respect of current and prior periods exceeds the</t>
  </si>
  <si>
    <t>amount due for those periods, the excess is recognised as an asset, limited to the extent</t>
  </si>
  <si>
    <t>temporary differences can be utilised.</t>
  </si>
  <si>
    <t>that it is probable that taxable profits will be available against which those deductible</t>
  </si>
  <si>
    <t>liabilities are recognised for all temporary differences that are expected to increase</t>
  </si>
  <si>
    <t>taxable profit in the future. Deferred tax assets are recognised for all temporary</t>
  </si>
  <si>
    <t>differences that are expected to reduce taxable profit in the future, and any unused tax</t>
  </si>
  <si>
    <t>will be available against which those deductible temporary differences can be utilised.</t>
  </si>
  <si>
    <t>losses or unused tax credits, limited to the extent that it is probable that taxable profits</t>
  </si>
  <si>
    <t>for the year.</t>
  </si>
  <si>
    <t>movement for the current period. The tax currently payable is based on taxable profit</t>
  </si>
  <si>
    <t>Property, plant and equipment are tangible assets which the Company holds in the</t>
  </si>
  <si>
    <t>long term for its own use or for rental purposes and are not held for short term</t>
  </si>
  <si>
    <t>speculative reasons. Property, plant and equipment are initially measured at cost. Cost</t>
  </si>
  <si>
    <t>includes all costs directly attributable to bringing the assets to working condition for</t>
  </si>
  <si>
    <t>their intended use and subsequently to add or replace part of the assets, if it is probable</t>
  </si>
  <si>
    <t>that future economic benefits associated with the expenditure will flow to the</t>
  </si>
  <si>
    <t>accumulated depreciation.</t>
  </si>
  <si>
    <t>Company. Property, plant and equipment are subsequently stated at cost less</t>
  </si>
  <si>
    <t>Depreciation is calculated to write off the cost of property, plant and equipment over</t>
  </si>
  <si>
    <t>for and taken into use, at the following rates per annum:</t>
  </si>
  <si>
    <t>their useful economic life to its estimated residual value, when the asset is available</t>
  </si>
  <si>
    <t>If there is an indication that there has been a significant change in the depreciation</t>
  </si>
  <si>
    <t>accordingly to reflect the new expectations.</t>
  </si>
  <si>
    <t>rates, useful life or residual value of an asset, the depreciation of that asset is revised</t>
  </si>
  <si>
    <t>Investment property whose fair value can be measured reliably is recorded initially at</t>
  </si>
  <si>
    <t>its cost and subsequently at its fair value, with the changes in the fair value going</t>
  </si>
  <si>
    <t>or effort the property is then included in property, plant and equipment.</t>
  </si>
  <si>
    <t>through profit and loss. If the fair value is not reliably measurable without undue cost</t>
  </si>
  <si>
    <t>Prepaid lease agreements are initially recognised at cost and subsequently carried at</t>
  </si>
  <si>
    <t>straight-line method over the period according to the terms of the agreement.</t>
  </si>
  <si>
    <t>cost less accumulated amortisation. Amortisation is calculated by applying the</t>
  </si>
  <si>
    <t>follows:</t>
  </si>
  <si>
    <t>Amortisation is provided to write down the goodwill on a straight line basis, as</t>
  </si>
  <si>
    <t>Leases are classified as finance leases when the terms of the lease transfer</t>
  </si>
  <si>
    <t>All other leases are classified as operating leases.</t>
  </si>
  <si>
    <t>substantially all the risks and rewards of ownership of the leased asset to the lessee.</t>
  </si>
  <si>
    <t>the leased asset at the inception of the lease.</t>
  </si>
  <si>
    <t>Rights to assets held under finance leases are recognised as assets at the fair value of</t>
  </si>
  <si>
    <t>basis over the term of the relevant lease.</t>
  </si>
  <si>
    <t>Rentals payable under operating leases are charged to profit or loss on a straight-line</t>
  </si>
  <si>
    <t>sell. Cost is calculated using the first-in, first-out (FIFO) method.</t>
  </si>
  <si>
    <t>Inventories are stated at the lower of cost and selling price less costs to complete and</t>
  </si>
  <si>
    <t>Financial instruments are initially measured at the transaction price (including</t>
  </si>
  <si>
    <t>transaction costs except in the initial measurement of financial assets and liabilities</t>
  </si>
  <si>
    <t>that are measured at fair value through profit and loss), unless the arrangement</t>
  </si>
  <si>
    <t>constitutes, in effect, a financing transaction in which case it is measured at the present</t>
  </si>
  <si>
    <t>instrument.</t>
  </si>
  <si>
    <t>value of the future payments discounted at a market rate of interest for a similar debt</t>
  </si>
  <si>
    <t>classified as current assets or current liabilities are measured at the undiscounted</t>
  </si>
  <si>
    <t>amount of the cash expected to be received or paid, unless the arrangement effectively</t>
  </si>
  <si>
    <t xml:space="preserve">constitutes a financing transaction. At each reporting date, the carrying amounts of </t>
  </si>
  <si>
    <t>assets held in this category are reviewed to determine whether there is any objective</t>
  </si>
  <si>
    <t xml:space="preserve">evidence of impairment. If there is objective evidence, the recoverable amount is </t>
  </si>
  <si>
    <t>estimated and compared with the carrying amount. If the estimated recoverable</t>
  </si>
  <si>
    <t>and an impairment loss is recognised immediately in profit and loss.</t>
  </si>
  <si>
    <t>amount is lower, the carrying amount is reduced to its estimated recoverable amount</t>
  </si>
  <si>
    <t>company.</t>
  </si>
  <si>
    <t>No comparative figures are given as these are the first Financial Statements of the</t>
  </si>
  <si>
    <t>and non-deductable expenses)</t>
  </si>
  <si>
    <t>Effect of permanent differences (non-taxable income</t>
  </si>
  <si>
    <t>Effect of temp differences adjustment previous year</t>
  </si>
  <si>
    <t>Notes to the Financial Statements.</t>
  </si>
  <si>
    <t>business.</t>
  </si>
  <si>
    <t>The company entered into transactions with related parties in the ordinary course of</t>
  </si>
  <si>
    <r>
      <t xml:space="preserve">Fill in your </t>
    </r>
    <r>
      <rPr>
        <b/>
        <sz val="11"/>
        <rFont val="Calibri"/>
        <family val="2"/>
      </rPr>
      <t>practice details</t>
    </r>
    <r>
      <rPr>
        <sz val="11"/>
        <rFont val="Calibri"/>
        <family val="2"/>
      </rPr>
      <t xml:space="preserve"> on the FS sheet - cell </t>
    </r>
    <r>
      <rPr>
        <sz val="11"/>
        <color rgb="FFFF0000"/>
        <rFont val="Calibri"/>
        <family val="2"/>
      </rPr>
      <t xml:space="preserve">D147 </t>
    </r>
    <r>
      <rPr>
        <sz val="11"/>
        <rFont val="Calibri"/>
        <family val="2"/>
      </rPr>
      <t>and on the FS2 sheet.</t>
    </r>
  </si>
  <si>
    <r>
      <t xml:space="preserve">If you choose Cell </t>
    </r>
    <r>
      <rPr>
        <sz val="11"/>
        <color rgb="FFFF0000"/>
        <rFont val="Calibri"/>
        <family val="2"/>
      </rPr>
      <t>F110</t>
    </r>
    <r>
      <rPr>
        <sz val="11"/>
        <rFont val="Calibri"/>
        <family val="2"/>
      </rPr>
      <t xml:space="preserve"> on the Criteria sheet as No - </t>
    </r>
    <r>
      <rPr>
        <b/>
        <sz val="11"/>
        <rFont val="Calibri"/>
        <family val="2"/>
      </rPr>
      <t>Cash flow not presented</t>
    </r>
    <r>
      <rPr>
        <sz val="11"/>
        <rFont val="Calibri"/>
        <family val="2"/>
      </rPr>
      <t xml:space="preserve"> - delete the rows of the </t>
    </r>
  </si>
  <si>
    <r>
      <t xml:space="preserve">If you want the </t>
    </r>
    <r>
      <rPr>
        <b/>
        <sz val="11"/>
        <rFont val="Calibri"/>
        <family val="2"/>
      </rPr>
      <t>notes</t>
    </r>
    <r>
      <rPr>
        <sz val="11"/>
        <rFont val="Calibri"/>
        <family val="2"/>
      </rPr>
      <t xml:space="preserve"> (cell </t>
    </r>
    <r>
      <rPr>
        <sz val="11"/>
        <color rgb="FFFF0000"/>
        <rFont val="Calibri"/>
        <family val="2"/>
      </rPr>
      <t>G258</t>
    </r>
    <r>
      <rPr>
        <sz val="11"/>
        <rFont val="Calibri"/>
        <family val="2"/>
      </rPr>
      <t xml:space="preserve"> and </t>
    </r>
    <r>
      <rPr>
        <sz val="11"/>
        <color rgb="FFFF0000"/>
        <rFont val="Calibri"/>
        <family val="2"/>
      </rPr>
      <t>F309</t>
    </r>
    <r>
      <rPr>
        <sz val="11"/>
        <rFont val="Calibri"/>
        <family val="2"/>
      </rPr>
      <t xml:space="preserve"> on the Criteria sheet) to show on the Financial</t>
    </r>
  </si>
  <si>
    <r>
      <t xml:space="preserve">FS sheet and copy, paste special, values to the Criteria sheet cell </t>
    </r>
    <r>
      <rPr>
        <sz val="11"/>
        <color rgb="FFFF0000"/>
        <rFont val="Calibri"/>
        <family val="2"/>
      </rPr>
      <t>H416</t>
    </r>
    <r>
      <rPr>
        <sz val="11"/>
        <rFont val="Calibri"/>
        <family val="2"/>
      </rPr>
      <t>.</t>
    </r>
  </si>
  <si>
    <t>ANNEXURE TO STATEMENT OF TAXABLE INCOME FOR THE</t>
  </si>
  <si>
    <t>Other comprehensive income</t>
  </si>
  <si>
    <t>(Note 9.3 on FS sheet) - permanent difference at the applicable tax rate</t>
  </si>
  <si>
    <t>Rounding difference current year (Note 9.3 on FS sheet - column V), if any</t>
  </si>
  <si>
    <r>
      <t xml:space="preserve">profit before taxation to cash generated from operations and the second part of </t>
    </r>
    <r>
      <rPr>
        <sz val="11"/>
        <color rgb="FFFF0000"/>
        <rFont val="Calibri"/>
        <family val="2"/>
      </rPr>
      <t>Note 20</t>
    </r>
    <r>
      <rPr>
        <sz val="11"/>
        <rFont val="Calibri"/>
        <family val="2"/>
      </rPr>
      <t>.</t>
    </r>
  </si>
  <si>
    <t>30 Shares in ABC Company (Pty) Ltd - 30% interest</t>
  </si>
  <si>
    <t>of the revaluation amount is made - transfer the investment property at carrying value to property,</t>
  </si>
  <si>
    <t>as required by the IFRS for SMEs. On the Fixed assets register, show the revaluation amount separate</t>
  </si>
  <si>
    <t>from the cost on the property section for future reference.</t>
  </si>
  <si>
    <r>
      <t xml:space="preserve">Fill in the </t>
    </r>
    <r>
      <rPr>
        <b/>
        <sz val="11"/>
        <rFont val="Calibri"/>
        <family val="2"/>
      </rPr>
      <t>Criteria</t>
    </r>
    <r>
      <rPr>
        <sz val="11"/>
        <rFont val="Calibri"/>
        <family val="2"/>
      </rPr>
      <t xml:space="preserve"> from row </t>
    </r>
    <r>
      <rPr>
        <sz val="11"/>
        <color rgb="FFFF0000"/>
        <rFont val="Calibri"/>
        <family val="2"/>
      </rPr>
      <t>1 to 79.</t>
    </r>
  </si>
  <si>
    <r>
      <t xml:space="preserve">The same can be done with the Cash Flow Statement - highlight cells </t>
    </r>
    <r>
      <rPr>
        <sz val="11"/>
        <color rgb="FFFF0000"/>
        <rFont val="Calibri"/>
        <family val="2"/>
      </rPr>
      <t>M801</t>
    </r>
    <r>
      <rPr>
        <sz val="11"/>
        <rFont val="Calibri"/>
        <family val="2"/>
      </rPr>
      <t xml:space="preserve"> to </t>
    </r>
    <r>
      <rPr>
        <sz val="11"/>
        <color rgb="FFFF0000"/>
        <rFont val="Calibri"/>
        <family val="2"/>
      </rPr>
      <t>M854</t>
    </r>
    <r>
      <rPr>
        <sz val="11"/>
        <rFont val="Calibri"/>
        <family val="2"/>
      </rPr>
      <t xml:space="preserve"> on the</t>
    </r>
  </si>
  <si>
    <t>2100/115</t>
  </si>
  <si>
    <t>Research and development cost</t>
  </si>
  <si>
    <r>
      <rPr>
        <sz val="11"/>
        <color rgb="FFFF0000"/>
        <rFont val="Calibri"/>
        <family val="2"/>
      </rPr>
      <t>L103</t>
    </r>
    <r>
      <rPr>
        <sz val="11"/>
        <rFont val="Calibri"/>
        <family val="2"/>
      </rPr>
      <t>, press F2 and add or subtract the rounding difference - usually R1 or R2.</t>
    </r>
  </si>
  <si>
    <t>3000/058</t>
  </si>
  <si>
    <t>Defined contribution plan expense</t>
  </si>
  <si>
    <r>
      <t xml:space="preserve">Column K provides you with links to the Working Papers. For example if you click on cell </t>
    </r>
    <r>
      <rPr>
        <sz val="11"/>
        <color rgb="FFFF0000"/>
        <rFont val="Calibri"/>
        <family val="2"/>
      </rPr>
      <t>K359</t>
    </r>
    <r>
      <rPr>
        <sz val="11"/>
        <rFont val="Calibri"/>
        <family val="2"/>
      </rPr>
      <t>,</t>
    </r>
  </si>
  <si>
    <r>
      <t xml:space="preserve">use the "Recoupment of depreciation" line item on the Trial Balance - </t>
    </r>
    <r>
      <rPr>
        <sz val="11"/>
        <color rgb="FFFF0000"/>
        <rFont val="Calibri"/>
        <family val="2"/>
      </rPr>
      <t>C33 and C239.</t>
    </r>
  </si>
  <si>
    <t>Cost of inventories recognised as expense</t>
  </si>
  <si>
    <t>Amortisation of intangible assets</t>
  </si>
  <si>
    <t>Financial years ending on any date between 1 April 2024 and 31 March 2025</t>
  </si>
  <si>
    <t>The 2026 file can be used for previous years' Financial Statements due to the option to choose on the</t>
  </si>
  <si>
    <t>Some printers may change the page fittings.</t>
  </si>
  <si>
    <t>28 FEBRUARY 2026</t>
  </si>
  <si>
    <t>Dividends amounting to R1,500,000 were declared on 28 February 2026</t>
  </si>
  <si>
    <t>(2025 - R1,400,000).</t>
  </si>
  <si>
    <t>Financial years ending on any date between 1 April 2025 and 31 March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</si>
</sst>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_(* #,##0.00_);_(* \(#,##0.00\);_(* &quot;-&quot;??_);_(@_)"/>
    <numFmt numFmtId="165" formatCode="_ * #,##0.00_ ;_ * \-#,##0.00_ ;_ * &quot;-&quot;??_ ;_ @_ "/>
    <numFmt numFmtId="166" formatCode="&quot;R&quot;\ #,##0.00_);[Red]\(&quot;R&quot;\ #,##0.00\)"/>
    <numFmt numFmtId="167" formatCode="&quot;R&quot;\ #,##0.00"/>
    <numFmt numFmtId="168" formatCode="_(* #,##0_);_(* \(#,##0\);_(* &quot;-&quot;??_);_(@_)"/>
    <numFmt numFmtId="169" formatCode="0.000%"/>
    <numFmt numFmtId="170" formatCode="[$-1C09]dd\ mmmm\ yyyy;@"/>
    <numFmt numFmtId="171" formatCode="_(* #,##0.00_);_(* \(#,##0.00\);_(* \-??_);_(@_)"/>
    <numFmt numFmtId="172" formatCode="_ * #,##0.00_ ;_ * \-#,##0.00_ ;_ * \-??_ ;_ @_ "/>
    <numFmt numFmtId="173" formatCode="[$-409]d\-mmm\-yy;@"/>
    <numFmt numFmtId="174" formatCode="_(* #,##0.0000_);_(* \(#,##0.0000\);_(* &quot;-&quot;??_);_(@_)"/>
  </numFmts>
  <fonts count="97" x14ac:knownFonts="1">
    <font>
      <sz val="10"/>
      <name val="Arial"/>
    </font>
    <font>
      <sz val="11"/>
      <color theme="1"/>
      <name val="Calibri"/>
      <family val="2"/>
      <scheme val="minor"/>
    </font>
    <font>
      <sz val="10"/>
      <name val="Arial"/>
      <family val="2"/>
    </font>
    <font>
      <sz val="10"/>
      <name val="Times New Roman"/>
      <family val="1"/>
    </font>
    <font>
      <b/>
      <sz val="10"/>
      <name val="Times New Roman"/>
      <family val="1"/>
    </font>
    <font>
      <sz val="12"/>
      <name val="Times New Roman"/>
      <family val="1"/>
    </font>
    <font>
      <b/>
      <sz val="12"/>
      <name val="Times New Roman"/>
      <family val="1"/>
    </font>
    <font>
      <b/>
      <sz val="14"/>
      <name val="Times New Roman"/>
      <family val="1"/>
    </font>
    <font>
      <sz val="12"/>
      <color indexed="10"/>
      <name val="Times New Roman"/>
      <family val="1"/>
    </font>
    <font>
      <b/>
      <sz val="18"/>
      <name val="Times New Roman"/>
      <family val="1"/>
    </font>
    <font>
      <b/>
      <sz val="10"/>
      <name val="Arial"/>
      <family val="2"/>
    </font>
    <font>
      <u/>
      <sz val="10"/>
      <color indexed="12"/>
      <name val="Arial"/>
      <family val="2"/>
    </font>
    <font>
      <b/>
      <u/>
      <sz val="12"/>
      <name val="Times New Roman"/>
      <family val="1"/>
    </font>
    <font>
      <sz val="10"/>
      <color indexed="10"/>
      <name val="Arial"/>
      <family val="2"/>
    </font>
    <font>
      <b/>
      <u/>
      <sz val="10"/>
      <name val="Times New Roman"/>
      <family val="1"/>
    </font>
    <font>
      <u/>
      <sz val="10"/>
      <name val="Times New Roman"/>
      <family val="1"/>
    </font>
    <font>
      <b/>
      <sz val="10"/>
      <name val="Arial"/>
      <family val="2"/>
    </font>
    <font>
      <sz val="10"/>
      <name val="Arial"/>
      <family val="2"/>
    </font>
    <font>
      <sz val="10"/>
      <name val="Arial"/>
      <family val="2"/>
    </font>
    <font>
      <sz val="18"/>
      <name val="Times New Roman"/>
      <family val="1"/>
    </font>
    <font>
      <sz val="18"/>
      <name val="Arial"/>
      <family val="2"/>
    </font>
    <font>
      <sz val="16"/>
      <name val="Times New Roman"/>
      <family val="1"/>
    </font>
    <font>
      <b/>
      <u/>
      <sz val="18"/>
      <name val="Times New Roman"/>
      <family val="1"/>
    </font>
    <font>
      <sz val="10"/>
      <name val="Arial"/>
      <family val="2"/>
    </font>
    <font>
      <sz val="10"/>
      <name val="Arial"/>
      <family val="2"/>
    </font>
    <font>
      <sz val="10"/>
      <name val="Arial"/>
      <family val="2"/>
    </font>
    <font>
      <sz val="18"/>
      <name val="Arial"/>
      <family val="2"/>
    </font>
    <font>
      <sz val="22"/>
      <name val="Arial"/>
      <family val="2"/>
    </font>
    <font>
      <sz val="10"/>
      <name val="Arial"/>
      <family val="2"/>
    </font>
    <font>
      <b/>
      <sz val="10"/>
      <name val="Arial"/>
      <family val="2"/>
    </font>
    <font>
      <b/>
      <u val="singleAccounting"/>
      <sz val="10"/>
      <name val="Times New Roman"/>
      <family val="1"/>
    </font>
    <font>
      <sz val="10"/>
      <name val="Arial"/>
      <family val="2"/>
    </font>
    <font>
      <sz val="11"/>
      <color indexed="8"/>
      <name val="Calibri"/>
      <family val="2"/>
    </font>
    <font>
      <sz val="10"/>
      <name val="Arial"/>
      <family val="2"/>
    </font>
    <font>
      <sz val="11"/>
      <color theme="1"/>
      <name val="Calibri"/>
      <family val="2"/>
      <scheme val="minor"/>
    </font>
    <font>
      <sz val="10"/>
      <color rgb="FFFF0000"/>
      <name val="Arial"/>
      <family val="2"/>
    </font>
    <font>
      <b/>
      <u val="singleAccounting"/>
      <sz val="18"/>
      <name val="Times New Roman"/>
      <family val="1"/>
    </font>
    <font>
      <b/>
      <u val="singleAccounting"/>
      <sz val="10"/>
      <color theme="3"/>
      <name val="Times New Roman"/>
      <family val="1"/>
    </font>
    <font>
      <b/>
      <sz val="18"/>
      <name val="Arial"/>
      <family val="2"/>
    </font>
    <font>
      <sz val="18"/>
      <color rgb="FFFF0000"/>
      <name val="Arial"/>
      <family val="2"/>
    </font>
    <font>
      <sz val="12"/>
      <name val="Arial"/>
      <family val="2"/>
    </font>
    <font>
      <b/>
      <u/>
      <sz val="11"/>
      <name val="Times New Roman"/>
      <family val="1"/>
    </font>
    <font>
      <b/>
      <u/>
      <sz val="12"/>
      <name val="Tempus Sans ITC"/>
      <family val="5"/>
    </font>
    <font>
      <b/>
      <u/>
      <sz val="14"/>
      <name val="Tempus Sans ITC"/>
      <family val="5"/>
    </font>
    <font>
      <sz val="10"/>
      <name val="MS Sans Serif"/>
      <family val="2"/>
    </font>
    <font>
      <u/>
      <sz val="18"/>
      <color indexed="12"/>
      <name val="Times New Roman"/>
      <family val="1"/>
    </font>
    <font>
      <sz val="10"/>
      <color theme="0"/>
      <name val="Arial"/>
      <family val="2"/>
    </font>
    <font>
      <sz val="11"/>
      <color theme="1"/>
      <name val="Times New Roman"/>
      <family val="1"/>
    </font>
    <font>
      <sz val="11"/>
      <name val="Times New Roman"/>
      <family val="1"/>
    </font>
    <font>
      <b/>
      <sz val="11"/>
      <color theme="1"/>
      <name val="Times New Roman"/>
      <family val="1"/>
    </font>
    <font>
      <sz val="10"/>
      <color rgb="FFFF0000"/>
      <name val="Times New Roman"/>
      <family val="1"/>
    </font>
    <font>
      <sz val="12"/>
      <name val="Cambria"/>
      <family val="1"/>
      <scheme val="major"/>
    </font>
    <font>
      <b/>
      <sz val="24"/>
      <color theme="3"/>
      <name val="Cambria"/>
      <family val="1"/>
      <scheme val="major"/>
    </font>
    <font>
      <b/>
      <sz val="12"/>
      <color theme="3"/>
      <name val="Cambria"/>
      <family val="1"/>
      <scheme val="major"/>
    </font>
    <font>
      <b/>
      <sz val="12"/>
      <name val="Cambria"/>
      <family val="1"/>
      <scheme val="major"/>
    </font>
    <font>
      <sz val="12"/>
      <color rgb="FFFF0000"/>
      <name val="Cambria"/>
      <family val="1"/>
      <scheme val="major"/>
    </font>
    <font>
      <b/>
      <u/>
      <sz val="11"/>
      <name val="Calibri"/>
      <family val="2"/>
    </font>
    <font>
      <sz val="11"/>
      <name val="Calibri"/>
      <family val="2"/>
    </font>
    <font>
      <b/>
      <sz val="11"/>
      <name val="Calibri"/>
      <family val="2"/>
    </font>
    <font>
      <sz val="10"/>
      <color indexed="10"/>
      <name val="Times New Roman"/>
      <family val="1"/>
    </font>
    <font>
      <b/>
      <u/>
      <sz val="14"/>
      <name val="Times New Roman"/>
      <family val="1"/>
    </font>
    <font>
      <sz val="12"/>
      <color theme="3"/>
      <name val="Times New Roman"/>
      <family val="1"/>
    </font>
    <font>
      <sz val="10"/>
      <color theme="3"/>
      <name val="Times New Roman"/>
      <family val="1"/>
    </font>
    <font>
      <sz val="12"/>
      <name val="Calibri"/>
      <family val="2"/>
    </font>
    <font>
      <sz val="24"/>
      <name val="Bodoni MT"/>
      <family val="1"/>
    </font>
    <font>
      <sz val="12"/>
      <color rgb="FFFF0000"/>
      <name val="Times New Roman"/>
      <family val="1"/>
    </font>
    <font>
      <u/>
      <sz val="12"/>
      <color indexed="12"/>
      <name val="Calibri"/>
      <family val="2"/>
    </font>
    <font>
      <sz val="21"/>
      <name val="Times New Roman"/>
      <family val="1"/>
    </font>
    <font>
      <b/>
      <sz val="21"/>
      <name val="Times New Roman"/>
      <family val="1"/>
    </font>
    <font>
      <b/>
      <sz val="10"/>
      <color rgb="FFFF0000"/>
      <name val="Times New Roman"/>
      <family val="1"/>
    </font>
    <font>
      <b/>
      <u/>
      <sz val="11"/>
      <name val="Tempus Sans ITC"/>
      <family val="5"/>
    </font>
    <font>
      <sz val="11"/>
      <color rgb="FFFF0000"/>
      <name val="Calibri"/>
      <family val="2"/>
    </font>
    <font>
      <u/>
      <sz val="12"/>
      <color indexed="12"/>
      <name val="Times New Roman"/>
      <family val="1"/>
    </font>
    <font>
      <sz val="12"/>
      <color rgb="FFC00000"/>
      <name val="Times New Roman"/>
      <family val="1"/>
    </font>
    <font>
      <u/>
      <sz val="12"/>
      <name val="Times New Roman"/>
      <family val="1"/>
    </font>
    <font>
      <b/>
      <u/>
      <sz val="12"/>
      <color indexed="12"/>
      <name val="Times New Roman"/>
      <family val="1"/>
    </font>
    <font>
      <u/>
      <sz val="14"/>
      <color indexed="12"/>
      <name val="Times New Roman"/>
      <family val="1"/>
    </font>
    <font>
      <sz val="25"/>
      <name val="Times New Roman"/>
      <family val="1"/>
    </font>
    <font>
      <b/>
      <sz val="25"/>
      <name val="Times New Roman"/>
      <family val="1"/>
    </font>
    <font>
      <sz val="25"/>
      <name val="Arial"/>
      <family val="2"/>
    </font>
    <font>
      <b/>
      <sz val="16"/>
      <name val="Times New Roman"/>
      <family val="1"/>
    </font>
    <font>
      <sz val="16"/>
      <name val="Arial"/>
      <family val="2"/>
    </font>
    <font>
      <b/>
      <sz val="16"/>
      <color theme="3"/>
      <name val="Times New Roman"/>
      <family val="1"/>
    </font>
    <font>
      <sz val="16"/>
      <color indexed="10"/>
      <name val="Times New Roman"/>
      <family val="1"/>
    </font>
    <font>
      <b/>
      <sz val="21"/>
      <color theme="3"/>
      <name val="Times New Roman"/>
      <family val="1"/>
    </font>
    <font>
      <sz val="24"/>
      <name val="Times New Roman"/>
      <family val="1"/>
    </font>
    <font>
      <sz val="20"/>
      <name val="Times New Roman"/>
      <family val="1"/>
    </font>
    <font>
      <b/>
      <sz val="20"/>
      <name val="Times New Roman"/>
      <family val="1"/>
    </font>
    <font>
      <sz val="27"/>
      <name val="Times New Roman"/>
      <family val="1"/>
    </font>
    <font>
      <sz val="20"/>
      <name val="Arial"/>
      <family val="2"/>
    </font>
    <font>
      <b/>
      <sz val="27"/>
      <name val="Times New Roman"/>
      <family val="1"/>
    </font>
    <font>
      <sz val="22"/>
      <name val="Times New Roman"/>
      <family val="1"/>
    </font>
    <font>
      <b/>
      <sz val="29"/>
      <name val="Times New Roman"/>
      <family val="1"/>
    </font>
    <font>
      <sz val="29"/>
      <name val="Times New Roman"/>
      <family val="1"/>
    </font>
    <font>
      <sz val="29"/>
      <name val="Arial"/>
      <family val="2"/>
    </font>
    <font>
      <u/>
      <sz val="29"/>
      <name val="Times New Roman"/>
      <family val="1"/>
    </font>
    <font>
      <sz val="28"/>
      <name val="Times New Roman"/>
      <family val="1"/>
    </font>
  </fonts>
  <fills count="22">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40"/>
        <bgColor indexed="64"/>
      </patternFill>
    </fill>
    <fill>
      <patternFill patternType="solid">
        <fgColor indexed="47"/>
        <bgColor indexed="64"/>
      </patternFill>
    </fill>
    <fill>
      <patternFill patternType="solid">
        <fgColor indexed="15"/>
        <bgColor indexed="64"/>
      </patternFill>
    </fill>
    <fill>
      <patternFill patternType="solid">
        <fgColor theme="4"/>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2"/>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CCFF66"/>
        <bgColor indexed="64"/>
      </patternFill>
    </fill>
    <fill>
      <patternFill patternType="solid">
        <fgColor rgb="FF7EC579"/>
        <bgColor indexed="64"/>
      </patternFill>
    </fill>
    <fill>
      <patternFill patternType="solid">
        <fgColor rgb="FFFFFF00"/>
        <bgColor indexed="64"/>
      </patternFill>
    </fill>
    <fill>
      <gradientFill degree="270">
        <stop position="0">
          <color theme="0"/>
        </stop>
        <stop position="1">
          <color theme="4"/>
        </stop>
      </gradientFill>
    </fill>
    <fill>
      <patternFill patternType="solid">
        <fgColor theme="4" tint="0.79998168889431442"/>
        <bgColor indexed="64"/>
      </patternFill>
    </fill>
    <fill>
      <patternFill patternType="solid">
        <fgColor theme="8"/>
        <bgColor indexed="64"/>
      </patternFill>
    </fill>
    <fill>
      <patternFill patternType="solid">
        <fgColor theme="8" tint="0.39997558519241921"/>
        <bgColor indexed="64"/>
      </patternFill>
    </fill>
  </fills>
  <borders count="22">
    <border>
      <left/>
      <right/>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double">
        <color indexed="64"/>
      </bottom>
      <diagonal/>
    </border>
    <border>
      <left style="thin">
        <color indexed="64"/>
      </left>
      <right style="thin">
        <color indexed="64"/>
      </right>
      <top style="thin">
        <color indexed="64"/>
      </top>
      <bottom/>
      <diagonal/>
    </border>
    <border>
      <left/>
      <right/>
      <top style="thin">
        <color indexed="64"/>
      </top>
      <bottom style="double">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double">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s>
  <cellStyleXfs count="29">
    <xf numFmtId="0" fontId="0" fillId="0" borderId="0"/>
    <xf numFmtId="164" fontId="2" fillId="0" borderId="0" applyFont="0" applyFill="0" applyBorder="0" applyAlignment="0" applyProtection="0"/>
    <xf numFmtId="164" fontId="17" fillId="0" borderId="0" applyFont="0" applyFill="0" applyBorder="0" applyAlignment="0" applyProtection="0"/>
    <xf numFmtId="171" fontId="17" fillId="0" borderId="0" applyFill="0" applyBorder="0" applyAlignment="0" applyProtection="0"/>
    <xf numFmtId="165" fontId="23" fillId="0" borderId="0" applyFont="0" applyFill="0" applyBorder="0" applyAlignment="0" applyProtection="0"/>
    <xf numFmtId="172" fontId="17" fillId="0" borderId="0" applyFill="0" applyBorder="0" applyAlignment="0" applyProtection="0"/>
    <xf numFmtId="164" fontId="24" fillId="0" borderId="0" applyFont="0" applyFill="0" applyBorder="0" applyAlignment="0" applyProtection="0"/>
    <xf numFmtId="171" fontId="17" fillId="0" borderId="0" applyFill="0" applyBorder="0" applyAlignment="0" applyProtection="0"/>
    <xf numFmtId="164" fontId="25" fillId="0" borderId="0" applyFont="0" applyFill="0" applyBorder="0" applyAlignment="0" applyProtection="0"/>
    <xf numFmtId="171" fontId="17" fillId="0" borderId="0" applyFill="0" applyBorder="0" applyAlignment="0" applyProtection="0"/>
    <xf numFmtId="171" fontId="17" fillId="0" borderId="0" applyFill="0" applyBorder="0" applyAlignment="0" applyProtection="0"/>
    <xf numFmtId="164" fontId="33" fillId="0" borderId="0" applyFont="0" applyFill="0" applyBorder="0" applyAlignment="0" applyProtection="0"/>
    <xf numFmtId="0" fontId="32" fillId="0" borderId="0"/>
    <xf numFmtId="0" fontId="11" fillId="0" borderId="0" applyNumberFormat="0" applyFill="0" applyBorder="0" applyAlignment="0" applyProtection="0">
      <alignment vertical="top"/>
      <protection locked="0"/>
    </xf>
    <xf numFmtId="0" fontId="17" fillId="0" borderId="0"/>
    <xf numFmtId="0" fontId="34" fillId="0" borderId="0"/>
    <xf numFmtId="0" fontId="17" fillId="0" borderId="0"/>
    <xf numFmtId="9" fontId="2" fillId="0" borderId="0" applyFont="0" applyFill="0" applyBorder="0" applyAlignment="0" applyProtection="0"/>
    <xf numFmtId="9" fontId="17" fillId="0" borderId="0" applyFont="0" applyFill="0" applyBorder="0" applyAlignment="0" applyProtection="0"/>
    <xf numFmtId="9" fontId="17" fillId="0" borderId="0" applyFill="0" applyBorder="0" applyAlignment="0" applyProtection="0"/>
    <xf numFmtId="9" fontId="24" fillId="0" borderId="0" applyFont="0" applyFill="0" applyBorder="0" applyAlignment="0" applyProtection="0"/>
    <xf numFmtId="9" fontId="17" fillId="0" borderId="0" applyFill="0" applyBorder="0" applyAlignment="0" applyProtection="0"/>
    <xf numFmtId="9" fontId="33" fillId="0" borderId="0" applyFont="0" applyFill="0" applyBorder="0" applyAlignment="0" applyProtection="0"/>
    <xf numFmtId="0" fontId="2" fillId="0" borderId="0"/>
    <xf numFmtId="164" fontId="2" fillId="0" borderId="0" applyFont="0" applyFill="0" applyBorder="0" applyAlignment="0" applyProtection="0"/>
    <xf numFmtId="0" fontId="44" fillId="0" borderId="0"/>
    <xf numFmtId="0" fontId="1" fillId="0" borderId="0"/>
    <xf numFmtId="0" fontId="2" fillId="0" borderId="0"/>
    <xf numFmtId="9" fontId="2" fillId="0" borderId="0" applyFont="0" applyFill="0" applyBorder="0" applyAlignment="0" applyProtection="0"/>
  </cellStyleXfs>
  <cellXfs count="693">
    <xf numFmtId="0" fontId="0" fillId="0" borderId="0" xfId="0"/>
    <xf numFmtId="0" fontId="3" fillId="0" borderId="0" xfId="0" applyFont="1"/>
    <xf numFmtId="0" fontId="5" fillId="0" borderId="0" xfId="0" applyFont="1"/>
    <xf numFmtId="0" fontId="6" fillId="0" borderId="0" xfId="0" applyFont="1"/>
    <xf numFmtId="164" fontId="5" fillId="0" borderId="0" xfId="1" applyFont="1"/>
    <xf numFmtId="0" fontId="5" fillId="0" borderId="0" xfId="0" applyFont="1" applyAlignment="1">
      <alignment horizontal="center"/>
    </xf>
    <xf numFmtId="0" fontId="3" fillId="0" borderId="0" xfId="0" applyFont="1" applyAlignment="1">
      <alignment horizontal="center"/>
    </xf>
    <xf numFmtId="0" fontId="5" fillId="0" borderId="1" xfId="0" applyFont="1" applyBorder="1"/>
    <xf numFmtId="164" fontId="3" fillId="0" borderId="0" xfId="1" applyFont="1" applyAlignment="1">
      <alignment horizontal="center"/>
    </xf>
    <xf numFmtId="0" fontId="8" fillId="0" borderId="0" xfId="0" applyFont="1"/>
    <xf numFmtId="15" fontId="3" fillId="0" borderId="0" xfId="1" applyNumberFormat="1" applyFont="1" applyAlignment="1">
      <alignment horizontal="center"/>
    </xf>
    <xf numFmtId="0" fontId="5" fillId="0" borderId="9" xfId="0" applyFont="1" applyBorder="1"/>
    <xf numFmtId="0" fontId="9" fillId="0" borderId="0" xfId="0" applyFont="1"/>
    <xf numFmtId="0" fontId="0" fillId="0" borderId="0" xfId="0" quotePrefix="1"/>
    <xf numFmtId="164" fontId="0" fillId="0" borderId="0" xfId="1" applyFont="1"/>
    <xf numFmtId="0" fontId="10" fillId="0" borderId="0" xfId="0" applyFont="1"/>
    <xf numFmtId="164" fontId="0" fillId="0" borderId="0" xfId="1" applyFont="1" applyAlignment="1">
      <alignment horizontal="center"/>
    </xf>
    <xf numFmtId="164" fontId="5" fillId="0" borderId="0" xfId="0" applyNumberFormat="1" applyFont="1"/>
    <xf numFmtId="164" fontId="3" fillId="0" borderId="0" xfId="0" applyNumberFormat="1" applyFont="1"/>
    <xf numFmtId="164" fontId="5" fillId="0" borderId="10" xfId="1" applyFont="1" applyBorder="1"/>
    <xf numFmtId="0" fontId="12" fillId="0" borderId="0" xfId="0" applyFont="1"/>
    <xf numFmtId="164" fontId="6" fillId="0" borderId="0" xfId="1" applyFont="1" applyAlignment="1">
      <alignment horizontal="center"/>
    </xf>
    <xf numFmtId="164" fontId="4" fillId="0" borderId="0" xfId="1" applyFont="1" applyAlignment="1">
      <alignment horizontal="center"/>
    </xf>
    <xf numFmtId="0" fontId="4" fillId="0" borderId="0" xfId="0" applyFont="1" applyAlignment="1">
      <alignment horizontal="center"/>
    </xf>
    <xf numFmtId="164" fontId="4" fillId="0" borderId="1" xfId="1" applyFont="1" applyBorder="1" applyAlignment="1">
      <alignment horizontal="center"/>
    </xf>
    <xf numFmtId="164" fontId="6" fillId="0" borderId="1" xfId="1" applyFont="1" applyBorder="1" applyAlignment="1">
      <alignment horizontal="center"/>
    </xf>
    <xf numFmtId="0" fontId="13" fillId="0" borderId="0" xfId="0" applyFont="1"/>
    <xf numFmtId="0" fontId="12" fillId="0" borderId="0" xfId="0" applyFont="1" applyAlignment="1">
      <alignment horizontal="center"/>
    </xf>
    <xf numFmtId="0" fontId="6" fillId="0" borderId="0" xfId="0" applyFont="1" applyAlignment="1">
      <alignment horizontal="center"/>
    </xf>
    <xf numFmtId="0" fontId="5" fillId="0" borderId="0" xfId="0" applyFont="1" applyAlignment="1">
      <alignment horizontal="left"/>
    </xf>
    <xf numFmtId="0" fontId="14" fillId="0" borderId="0" xfId="0" applyFont="1"/>
    <xf numFmtId="0" fontId="5" fillId="0" borderId="0" xfId="0" quotePrefix="1" applyFont="1"/>
    <xf numFmtId="39" fontId="5" fillId="0" borderId="0" xfId="0" applyNumberFormat="1" applyFont="1"/>
    <xf numFmtId="164" fontId="5" fillId="0" borderId="10" xfId="0" applyNumberFormat="1" applyFont="1" applyBorder="1"/>
    <xf numFmtId="164" fontId="0" fillId="0" borderId="0" xfId="0" applyNumberFormat="1"/>
    <xf numFmtId="0" fontId="6" fillId="0" borderId="1" xfId="0" applyFont="1" applyBorder="1" applyAlignment="1">
      <alignment horizontal="center"/>
    </xf>
    <xf numFmtId="0" fontId="19" fillId="0" borderId="0" xfId="0" applyFont="1"/>
    <xf numFmtId="164" fontId="19" fillId="0" borderId="0" xfId="1" applyFont="1"/>
    <xf numFmtId="0" fontId="20" fillId="0" borderId="0" xfId="0" applyFont="1"/>
    <xf numFmtId="0" fontId="21" fillId="0" borderId="0" xfId="0" applyFont="1"/>
    <xf numFmtId="0" fontId="22" fillId="0" borderId="0" xfId="0" applyFont="1"/>
    <xf numFmtId="0" fontId="5" fillId="4" borderId="0" xfId="0" applyFont="1" applyFill="1" applyProtection="1">
      <protection hidden="1"/>
    </xf>
    <xf numFmtId="164" fontId="8" fillId="0" borderId="0" xfId="1" applyFont="1"/>
    <xf numFmtId="164" fontId="6" fillId="0" borderId="0" xfId="1" applyFont="1"/>
    <xf numFmtId="164" fontId="3" fillId="0" borderId="0" xfId="1" applyFont="1"/>
    <xf numFmtId="0" fontId="5" fillId="0" borderId="10" xfId="0" applyFont="1" applyBorder="1"/>
    <xf numFmtId="164" fontId="18" fillId="0" borderId="0" xfId="1" applyFont="1"/>
    <xf numFmtId="164" fontId="18" fillId="0" borderId="0" xfId="1" applyFont="1" applyAlignment="1">
      <alignment horizontal="center"/>
    </xf>
    <xf numFmtId="166" fontId="5" fillId="0" borderId="0" xfId="0" applyNumberFormat="1" applyFont="1"/>
    <xf numFmtId="164" fontId="16" fillId="0" borderId="10" xfId="1" quotePrefix="1" applyFont="1" applyBorder="1"/>
    <xf numFmtId="0" fontId="18" fillId="0" borderId="0" xfId="0" applyFont="1"/>
    <xf numFmtId="0" fontId="2" fillId="0" borderId="0" xfId="0" applyFont="1"/>
    <xf numFmtId="164" fontId="3" fillId="0" borderId="10" xfId="1" applyFont="1" applyBorder="1"/>
    <xf numFmtId="0" fontId="16" fillId="0" borderId="0" xfId="0" applyFont="1"/>
    <xf numFmtId="164" fontId="18" fillId="0" borderId="0" xfId="1" quotePrefix="1" applyFont="1"/>
    <xf numFmtId="164" fontId="18" fillId="6" borderId="0" xfId="1" applyFont="1" applyFill="1"/>
    <xf numFmtId="164" fontId="18" fillId="5" borderId="0" xfId="1" applyFont="1" applyFill="1"/>
    <xf numFmtId="170" fontId="3" fillId="0" borderId="0" xfId="0" quotePrefix="1" applyNumberFormat="1" applyFont="1"/>
    <xf numFmtId="0" fontId="11" fillId="0" borderId="0" xfId="13" applyAlignment="1" applyProtection="1"/>
    <xf numFmtId="164" fontId="2" fillId="0" borderId="0" xfId="1"/>
    <xf numFmtId="9" fontId="5" fillId="0" borderId="0" xfId="0" applyNumberFormat="1" applyFont="1"/>
    <xf numFmtId="164" fontId="5" fillId="4" borderId="0" xfId="1" applyFont="1" applyFill="1" applyProtection="1">
      <protection hidden="1"/>
    </xf>
    <xf numFmtId="0" fontId="17" fillId="0" borderId="0" xfId="0" quotePrefix="1" applyFont="1"/>
    <xf numFmtId="0" fontId="10" fillId="0" borderId="0" xfId="0" quotePrefix="1" applyFont="1"/>
    <xf numFmtId="0" fontId="17" fillId="0" borderId="0" xfId="0" applyFont="1"/>
    <xf numFmtId="164" fontId="4" fillId="0" borderId="0" xfId="1" applyFont="1"/>
    <xf numFmtId="164" fontId="14" fillId="0" borderId="0" xfId="1" applyFont="1"/>
    <xf numFmtId="164" fontId="17" fillId="0" borderId="0" xfId="1" applyFont="1"/>
    <xf numFmtId="164" fontId="3" fillId="0" borderId="1" xfId="1" applyFont="1" applyBorder="1"/>
    <xf numFmtId="164" fontId="4" fillId="0" borderId="1" xfId="1" applyFont="1" applyBorder="1"/>
    <xf numFmtId="9" fontId="17" fillId="0" borderId="0" xfId="17" applyFont="1"/>
    <xf numFmtId="9" fontId="0" fillId="0" borderId="0" xfId="17" applyFont="1"/>
    <xf numFmtId="164" fontId="5" fillId="0" borderId="0" xfId="6" applyFont="1"/>
    <xf numFmtId="164" fontId="3" fillId="0" borderId="0" xfId="6" applyFont="1"/>
    <xf numFmtId="164" fontId="5" fillId="2" borderId="0" xfId="6" applyFont="1" applyFill="1"/>
    <xf numFmtId="169" fontId="5" fillId="2" borderId="0" xfId="20" applyNumberFormat="1" applyFont="1" applyFill="1"/>
    <xf numFmtId="164" fontId="5" fillId="0" borderId="1" xfId="6" applyFont="1" applyBorder="1"/>
    <xf numFmtId="164" fontId="6" fillId="0" borderId="0" xfId="6" applyFont="1"/>
    <xf numFmtId="164" fontId="2" fillId="0" borderId="0" xfId="0" applyNumberFormat="1" applyFont="1"/>
    <xf numFmtId="164" fontId="2" fillId="0" borderId="0" xfId="1" quotePrefix="1"/>
    <xf numFmtId="164" fontId="13" fillId="0" borderId="0" xfId="0" applyNumberFormat="1" applyFont="1"/>
    <xf numFmtId="164" fontId="18" fillId="0" borderId="0" xfId="1" quotePrefix="1" applyFont="1" applyAlignment="1">
      <alignment horizontal="center"/>
    </xf>
    <xf numFmtId="164" fontId="16" fillId="0" borderId="0" xfId="1" quotePrefix="1" applyFont="1"/>
    <xf numFmtId="164" fontId="17" fillId="3" borderId="0" xfId="1" applyFont="1" applyFill="1"/>
    <xf numFmtId="164" fontId="17" fillId="0" borderId="0" xfId="1" applyFont="1" applyAlignment="1">
      <alignment horizontal="center"/>
    </xf>
    <xf numFmtId="164" fontId="6" fillId="0" borderId="14" xfId="1" applyFont="1" applyBorder="1"/>
    <xf numFmtId="164" fontId="5" fillId="0" borderId="1" xfId="1" applyFont="1" applyBorder="1"/>
    <xf numFmtId="164" fontId="17" fillId="4" borderId="0" xfId="2" applyFill="1"/>
    <xf numFmtId="164" fontId="17" fillId="4" borderId="0" xfId="2" quotePrefix="1" applyFill="1"/>
    <xf numFmtId="164" fontId="18" fillId="4" borderId="0" xfId="1" quotePrefix="1" applyFont="1" applyFill="1" applyAlignment="1">
      <alignment horizontal="center"/>
    </xf>
    <xf numFmtId="164" fontId="0" fillId="4" borderId="0" xfId="1" applyFont="1" applyFill="1" applyAlignment="1">
      <alignment horizontal="center"/>
    </xf>
    <xf numFmtId="164" fontId="10" fillId="0" borderId="0" xfId="1" quotePrefix="1" applyFont="1"/>
    <xf numFmtId="170" fontId="3" fillId="0" borderId="0" xfId="0" applyNumberFormat="1" applyFont="1"/>
    <xf numFmtId="0" fontId="26" fillId="0" borderId="0" xfId="0" applyFont="1"/>
    <xf numFmtId="164" fontId="9" fillId="0" borderId="14" xfId="1" applyFont="1" applyBorder="1"/>
    <xf numFmtId="164" fontId="9" fillId="0" borderId="0" xfId="1" applyFont="1"/>
    <xf numFmtId="164" fontId="9" fillId="0" borderId="14" xfId="1" applyFont="1" applyBorder="1" applyAlignment="1">
      <alignment horizontal="center"/>
    </xf>
    <xf numFmtId="164" fontId="19" fillId="0" borderId="1" xfId="1" applyFont="1" applyBorder="1"/>
    <xf numFmtId="164" fontId="9" fillId="0" borderId="1" xfId="1" applyFont="1" applyBorder="1"/>
    <xf numFmtId="164" fontId="9" fillId="0" borderId="1" xfId="1" applyFont="1" applyBorder="1" applyAlignment="1">
      <alignment horizontal="center"/>
    </xf>
    <xf numFmtId="164" fontId="19" fillId="0" borderId="10" xfId="1" applyFont="1" applyBorder="1"/>
    <xf numFmtId="164" fontId="19" fillId="2" borderId="0" xfId="1" applyFont="1" applyFill="1"/>
    <xf numFmtId="164" fontId="19" fillId="0" borderId="8" xfId="1" applyFont="1" applyBorder="1"/>
    <xf numFmtId="164" fontId="3" fillId="0" borderId="0" xfId="8" applyFont="1"/>
    <xf numFmtId="0" fontId="28" fillId="0" borderId="0" xfId="0" quotePrefix="1" applyFont="1"/>
    <xf numFmtId="164" fontId="26" fillId="0" borderId="0" xfId="0" applyNumberFormat="1" applyFont="1"/>
    <xf numFmtId="165" fontId="26" fillId="0" borderId="0" xfId="0" applyNumberFormat="1" applyFont="1"/>
    <xf numFmtId="171" fontId="19" fillId="0" borderId="0" xfId="3" applyFont="1"/>
    <xf numFmtId="0" fontId="27" fillId="0" borderId="0" xfId="16" applyFont="1"/>
    <xf numFmtId="164" fontId="4" fillId="0" borderId="1" xfId="2" applyFont="1" applyBorder="1"/>
    <xf numFmtId="168" fontId="4" fillId="0" borderId="1" xfId="2" applyNumberFormat="1" applyFont="1" applyBorder="1"/>
    <xf numFmtId="0" fontId="6" fillId="0" borderId="0" xfId="0" quotePrefix="1" applyFont="1"/>
    <xf numFmtId="0" fontId="5" fillId="0" borderId="11" xfId="0" applyFont="1" applyBorder="1"/>
    <xf numFmtId="0" fontId="2" fillId="0" borderId="0" xfId="0" quotePrefix="1" applyFont="1"/>
    <xf numFmtId="164" fontId="35" fillId="3" borderId="0" xfId="1" applyFont="1" applyFill="1"/>
    <xf numFmtId="164" fontId="30" fillId="0" borderId="0" xfId="1" applyFont="1"/>
    <xf numFmtId="164" fontId="36" fillId="0" borderId="0" xfId="1" applyFont="1"/>
    <xf numFmtId="164" fontId="36" fillId="0" borderId="0" xfId="1" applyFont="1" applyAlignment="1">
      <alignment horizontal="center"/>
    </xf>
    <xf numFmtId="168" fontId="5" fillId="0" borderId="0" xfId="0" applyNumberFormat="1" applyFont="1"/>
    <xf numFmtId="164" fontId="37" fillId="0" borderId="0" xfId="1" applyFont="1"/>
    <xf numFmtId="0" fontId="2" fillId="0" borderId="0" xfId="14" applyFont="1"/>
    <xf numFmtId="164" fontId="19" fillId="0" borderId="2" xfId="1" applyFont="1" applyBorder="1"/>
    <xf numFmtId="164" fontId="19" fillId="0" borderId="7" xfId="1" applyFont="1" applyBorder="1"/>
    <xf numFmtId="164" fontId="19" fillId="0" borderId="13" xfId="1" applyFont="1" applyBorder="1"/>
    <xf numFmtId="0" fontId="26" fillId="0" borderId="7" xfId="0" applyFont="1" applyBorder="1"/>
    <xf numFmtId="0" fontId="26" fillId="0" borderId="3" xfId="0" applyFont="1" applyBorder="1"/>
    <xf numFmtId="0" fontId="26" fillId="0" borderId="4" xfId="0" applyFont="1" applyBorder="1"/>
    <xf numFmtId="165" fontId="20" fillId="0" borderId="0" xfId="0" applyNumberFormat="1" applyFont="1"/>
    <xf numFmtId="164" fontId="20" fillId="0" borderId="0" xfId="0" applyNumberFormat="1" applyFont="1"/>
    <xf numFmtId="165" fontId="26" fillId="0" borderId="4" xfId="0" applyNumberFormat="1" applyFont="1" applyBorder="1"/>
    <xf numFmtId="165" fontId="38" fillId="0" borderId="0" xfId="0" applyNumberFormat="1" applyFont="1"/>
    <xf numFmtId="171" fontId="9" fillId="0" borderId="1" xfId="10" applyFont="1" applyBorder="1"/>
    <xf numFmtId="165" fontId="38" fillId="0" borderId="1" xfId="0" applyNumberFormat="1" applyFont="1" applyBorder="1"/>
    <xf numFmtId="0" fontId="38" fillId="0" borderId="6" xfId="0" applyFont="1" applyBorder="1"/>
    <xf numFmtId="0" fontId="38" fillId="0" borderId="0" xfId="0" applyFont="1"/>
    <xf numFmtId="164" fontId="38" fillId="0" borderId="0" xfId="0" applyNumberFormat="1" applyFont="1"/>
    <xf numFmtId="165" fontId="39" fillId="0" borderId="4" xfId="0" applyNumberFormat="1" applyFont="1" applyBorder="1"/>
    <xf numFmtId="0" fontId="5" fillId="0" borderId="0" xfId="23" applyFont="1"/>
    <xf numFmtId="164" fontId="5" fillId="0" borderId="0" xfId="24" applyFont="1"/>
    <xf numFmtId="165" fontId="5" fillId="0" borderId="0" xfId="23" applyNumberFormat="1" applyFont="1"/>
    <xf numFmtId="15" fontId="5" fillId="0" borderId="0" xfId="23" applyNumberFormat="1" applyFont="1"/>
    <xf numFmtId="164" fontId="5" fillId="0" borderId="8" xfId="24" applyFont="1" applyBorder="1"/>
    <xf numFmtId="164" fontId="4" fillId="7" borderId="10" xfId="1" applyFont="1" applyFill="1" applyBorder="1"/>
    <xf numFmtId="0" fontId="5" fillId="0" borderId="1" xfId="0" applyFont="1" applyBorder="1" applyAlignment="1">
      <alignment horizontal="center"/>
    </xf>
    <xf numFmtId="164" fontId="5" fillId="0" borderId="0" xfId="1" applyFont="1" applyAlignment="1">
      <alignment horizontal="center"/>
    </xf>
    <xf numFmtId="164" fontId="5" fillId="0" borderId="1" xfId="1" applyFont="1" applyBorder="1" applyAlignment="1">
      <alignment horizontal="center"/>
    </xf>
    <xf numFmtId="164" fontId="5" fillId="7" borderId="10" xfId="1" applyFont="1" applyFill="1" applyBorder="1" applyAlignment="1">
      <alignment horizontal="center"/>
    </xf>
    <xf numFmtId="0" fontId="6" fillId="10" borderId="0" xfId="0" applyFont="1" applyFill="1" applyAlignment="1">
      <alignment horizontal="left" vertical="center"/>
    </xf>
    <xf numFmtId="0" fontId="6" fillId="0" borderId="14" xfId="0" applyFont="1" applyBorder="1" applyAlignment="1">
      <alignment horizontal="center" vertical="center"/>
    </xf>
    <xf numFmtId="0" fontId="6" fillId="11" borderId="0" xfId="0" applyFont="1" applyFill="1" applyAlignment="1">
      <alignment vertical="center"/>
    </xf>
    <xf numFmtId="0" fontId="40" fillId="0" borderId="0" xfId="0" applyFont="1"/>
    <xf numFmtId="0" fontId="40" fillId="0" borderId="0" xfId="0" quotePrefix="1" applyFont="1"/>
    <xf numFmtId="164" fontId="4" fillId="0" borderId="14" xfId="1" applyFont="1" applyBorder="1" applyAlignment="1">
      <alignment horizontal="center" vertical="center"/>
    </xf>
    <xf numFmtId="164" fontId="4" fillId="11" borderId="0" xfId="1" applyFont="1" applyFill="1" applyAlignment="1">
      <alignment vertical="center"/>
    </xf>
    <xf numFmtId="0" fontId="5" fillId="12" borderId="3" xfId="0" applyFont="1" applyFill="1" applyBorder="1"/>
    <xf numFmtId="0" fontId="5" fillId="12" borderId="4" xfId="0" applyFont="1" applyFill="1" applyBorder="1"/>
    <xf numFmtId="0" fontId="5" fillId="12" borderId="6" xfId="0" applyFont="1" applyFill="1" applyBorder="1"/>
    <xf numFmtId="9" fontId="5" fillId="0" borderId="0" xfId="18" applyFont="1"/>
    <xf numFmtId="9" fontId="5" fillId="0" borderId="0" xfId="17" applyFont="1"/>
    <xf numFmtId="9" fontId="5" fillId="12" borderId="0" xfId="0" applyNumberFormat="1" applyFont="1" applyFill="1"/>
    <xf numFmtId="164" fontId="6" fillId="0" borderId="0" xfId="0" applyNumberFormat="1" applyFont="1"/>
    <xf numFmtId="0" fontId="5" fillId="13" borderId="0" xfId="0" applyFont="1" applyFill="1"/>
    <xf numFmtId="15" fontId="5" fillId="0" borderId="0" xfId="0" applyNumberFormat="1" applyFont="1" applyAlignment="1">
      <alignment horizontal="center"/>
    </xf>
    <xf numFmtId="0" fontId="42" fillId="0" borderId="0" xfId="0" applyFont="1"/>
    <xf numFmtId="0" fontId="43" fillId="0" borderId="0" xfId="0" applyFont="1"/>
    <xf numFmtId="164" fontId="17" fillId="14" borderId="0" xfId="2" applyFill="1"/>
    <xf numFmtId="164" fontId="10" fillId="0" borderId="10" xfId="1" quotePrefix="1" applyFont="1" applyBorder="1"/>
    <xf numFmtId="164" fontId="16" fillId="0" borderId="0" xfId="1" quotePrefix="1" applyFont="1" applyAlignment="1">
      <alignment horizontal="center"/>
    </xf>
    <xf numFmtId="0" fontId="5" fillId="16" borderId="0" xfId="0" applyFont="1" applyFill="1"/>
    <xf numFmtId="164" fontId="2" fillId="0" borderId="0" xfId="1" applyAlignment="1">
      <alignment horizontal="center"/>
    </xf>
    <xf numFmtId="15" fontId="5" fillId="0" borderId="0" xfId="0" applyNumberFormat="1" applyFont="1"/>
    <xf numFmtId="164" fontId="3" fillId="0" borderId="0" xfId="24" applyFont="1"/>
    <xf numFmtId="168" fontId="3" fillId="0" borderId="0" xfId="24" applyNumberFormat="1" applyFont="1"/>
    <xf numFmtId="164" fontId="30" fillId="0" borderId="0" xfId="24" applyFont="1"/>
    <xf numFmtId="164" fontId="19" fillId="0" borderId="3" xfId="1" applyFont="1" applyBorder="1"/>
    <xf numFmtId="164" fontId="9" fillId="0" borderId="13" xfId="1" applyFont="1" applyBorder="1"/>
    <xf numFmtId="164" fontId="9" fillId="0" borderId="4" xfId="1" applyFont="1" applyBorder="1"/>
    <xf numFmtId="164" fontId="19" fillId="0" borderId="4" xfId="1" applyFont="1" applyBorder="1"/>
    <xf numFmtId="164" fontId="19" fillId="0" borderId="5" xfId="1" applyFont="1" applyBorder="1"/>
    <xf numFmtId="164" fontId="19" fillId="0" borderId="6" xfId="1" applyFont="1" applyBorder="1"/>
    <xf numFmtId="170" fontId="3" fillId="0" borderId="0" xfId="14" applyNumberFormat="1" applyFont="1"/>
    <xf numFmtId="168" fontId="3" fillId="0" borderId="0" xfId="24" applyNumberFormat="1" applyFont="1" applyAlignment="1">
      <alignment horizontal="center"/>
    </xf>
    <xf numFmtId="0" fontId="3" fillId="0" borderId="0" xfId="14" applyFont="1"/>
    <xf numFmtId="170" fontId="3" fillId="0" borderId="0" xfId="24" applyNumberFormat="1" applyFont="1"/>
    <xf numFmtId="164" fontId="17" fillId="8" borderId="0" xfId="1" applyFont="1" applyFill="1"/>
    <xf numFmtId="164" fontId="17" fillId="8" borderId="0" xfId="1" quotePrefix="1" applyFont="1" applyFill="1"/>
    <xf numFmtId="164" fontId="10" fillId="8" borderId="0" xfId="1" quotePrefix="1" applyFont="1" applyFill="1"/>
    <xf numFmtId="164" fontId="0" fillId="8" borderId="0" xfId="1" applyFont="1" applyFill="1" applyAlignment="1">
      <alignment horizontal="center"/>
    </xf>
    <xf numFmtId="164" fontId="5" fillId="0" borderId="0" xfId="0" applyNumberFormat="1" applyFont="1" applyAlignment="1">
      <alignment horizontal="center"/>
    </xf>
    <xf numFmtId="164" fontId="45" fillId="0" borderId="0" xfId="13" applyNumberFormat="1" applyFont="1" applyAlignment="1" applyProtection="1"/>
    <xf numFmtId="0" fontId="12" fillId="10" borderId="0" xfId="13" applyFont="1" applyFill="1" applyAlignment="1" applyProtection="1">
      <alignment horizontal="left" vertical="center"/>
    </xf>
    <xf numFmtId="164" fontId="14" fillId="10" borderId="0" xfId="13" applyNumberFormat="1" applyFont="1" applyFill="1" applyAlignment="1" applyProtection="1">
      <alignment vertical="center"/>
    </xf>
    <xf numFmtId="0" fontId="12" fillId="10" borderId="0" xfId="13" applyFont="1" applyFill="1" applyAlignment="1" applyProtection="1">
      <alignment vertical="center"/>
    </xf>
    <xf numFmtId="0" fontId="9" fillId="11" borderId="0" xfId="0" applyFont="1" applyFill="1" applyAlignment="1">
      <alignment vertical="center"/>
    </xf>
    <xf numFmtId="0" fontId="22" fillId="10" borderId="0" xfId="13" applyFont="1" applyFill="1" applyAlignment="1" applyProtection="1">
      <alignment horizontal="left" vertical="center"/>
    </xf>
    <xf numFmtId="164" fontId="9" fillId="0" borderId="14" xfId="1" applyFont="1" applyBorder="1" applyAlignment="1">
      <alignment horizontal="center" vertical="center"/>
    </xf>
    <xf numFmtId="0" fontId="46" fillId="0" borderId="0" xfId="0" applyFont="1"/>
    <xf numFmtId="164" fontId="3" fillId="0" borderId="0" xfId="13" applyNumberFormat="1" applyFont="1" applyAlignment="1" applyProtection="1"/>
    <xf numFmtId="165" fontId="3" fillId="0" borderId="0" xfId="8" applyNumberFormat="1" applyFont="1"/>
    <xf numFmtId="0" fontId="47" fillId="0" borderId="0" xfId="15" quotePrefix="1" applyFont="1"/>
    <xf numFmtId="0" fontId="48" fillId="0" borderId="0" xfId="15" quotePrefix="1" applyFont="1"/>
    <xf numFmtId="0" fontId="49" fillId="0" borderId="0" xfId="15" quotePrefix="1" applyFont="1"/>
    <xf numFmtId="170" fontId="3" fillId="0" borderId="0" xfId="1" applyNumberFormat="1" applyFont="1"/>
    <xf numFmtId="170" fontId="14" fillId="0" borderId="0" xfId="1" applyNumberFormat="1" applyFont="1"/>
    <xf numFmtId="170" fontId="15" fillId="0" borderId="0" xfId="1" applyNumberFormat="1" applyFont="1"/>
    <xf numFmtId="170" fontId="4" fillId="0" borderId="1" xfId="1" applyNumberFormat="1" applyFont="1" applyBorder="1"/>
    <xf numFmtId="170" fontId="3" fillId="0" borderId="0" xfId="1" quotePrefix="1" applyNumberFormat="1" applyFont="1"/>
    <xf numFmtId="170" fontId="41" fillId="0" borderId="0" xfId="1" applyNumberFormat="1" applyFont="1"/>
    <xf numFmtId="170" fontId="3" fillId="0" borderId="0" xfId="8" applyNumberFormat="1" applyFont="1"/>
    <xf numFmtId="170" fontId="3" fillId="0" borderId="0" xfId="8" quotePrefix="1" applyNumberFormat="1" applyFont="1"/>
    <xf numFmtId="170" fontId="47" fillId="0" borderId="0" xfId="15" quotePrefix="1" applyNumberFormat="1" applyFont="1"/>
    <xf numFmtId="164" fontId="2" fillId="0" borderId="0" xfId="1" applyFont="1"/>
    <xf numFmtId="164" fontId="2" fillId="0" borderId="0" xfId="1" quotePrefix="1" applyFont="1"/>
    <xf numFmtId="164" fontId="2" fillId="0" borderId="0" xfId="1" applyFont="1" applyAlignment="1">
      <alignment horizontal="center"/>
    </xf>
    <xf numFmtId="164" fontId="19" fillId="0" borderId="0" xfId="1" applyFont="1" applyBorder="1"/>
    <xf numFmtId="0" fontId="19" fillId="0" borderId="0" xfId="0" applyFont="1" applyAlignment="1">
      <alignment horizontal="center"/>
    </xf>
    <xf numFmtId="0" fontId="5" fillId="11" borderId="0" xfId="0" applyFont="1" applyFill="1"/>
    <xf numFmtId="164" fontId="19" fillId="11" borderId="0" xfId="1" applyFont="1" applyFill="1"/>
    <xf numFmtId="164" fontId="9" fillId="0" borderId="0" xfId="1" applyFont="1" applyBorder="1"/>
    <xf numFmtId="164" fontId="19" fillId="0" borderId="0" xfId="1" applyFont="1" applyFill="1"/>
    <xf numFmtId="164" fontId="19" fillId="0" borderId="9" xfId="1" applyFont="1" applyBorder="1"/>
    <xf numFmtId="164" fontId="19" fillId="0" borderId="11" xfId="1" applyFont="1" applyBorder="1"/>
    <xf numFmtId="164" fontId="19" fillId="0" borderId="12" xfId="1" applyFont="1" applyBorder="1"/>
    <xf numFmtId="0" fontId="19" fillId="0" borderId="0" xfId="0" applyFont="1" applyAlignment="1">
      <alignment horizontal="right"/>
    </xf>
    <xf numFmtId="164" fontId="19" fillId="17" borderId="0" xfId="1" applyFont="1" applyFill="1"/>
    <xf numFmtId="164" fontId="4" fillId="0" borderId="0" xfId="1" applyFont="1" applyBorder="1"/>
    <xf numFmtId="164" fontId="9" fillId="0" borderId="5" xfId="1" applyFont="1" applyBorder="1"/>
    <xf numFmtId="164" fontId="9" fillId="0" borderId="6" xfId="1" applyFont="1" applyBorder="1"/>
    <xf numFmtId="164" fontId="4" fillId="0" borderId="0" xfId="24" applyFont="1" applyBorder="1"/>
    <xf numFmtId="168" fontId="3" fillId="0" borderId="0" xfId="24" applyNumberFormat="1" applyFont="1" applyBorder="1" applyAlignment="1">
      <alignment horizontal="center"/>
    </xf>
    <xf numFmtId="173" fontId="3" fillId="0" borderId="0" xfId="0" applyNumberFormat="1" applyFont="1"/>
    <xf numFmtId="164" fontId="3" fillId="0" borderId="0" xfId="24" applyFont="1" applyBorder="1"/>
    <xf numFmtId="164" fontId="3" fillId="0" borderId="0" xfId="1" applyFont="1" applyBorder="1"/>
    <xf numFmtId="173" fontId="3" fillId="0" borderId="0" xfId="14" applyNumberFormat="1" applyFont="1"/>
    <xf numFmtId="173" fontId="3" fillId="0" borderId="0" xfId="24" applyNumberFormat="1" applyFont="1" applyBorder="1" applyAlignment="1">
      <alignment horizontal="center"/>
    </xf>
    <xf numFmtId="164" fontId="3" fillId="0" borderId="0" xfId="24" quotePrefix="1" applyFont="1" applyBorder="1"/>
    <xf numFmtId="168" fontId="3" fillId="0" borderId="0" xfId="24" applyNumberFormat="1" applyFont="1" applyBorder="1"/>
    <xf numFmtId="170" fontId="3" fillId="0" borderId="0" xfId="24" applyNumberFormat="1" applyFont="1" applyBorder="1"/>
    <xf numFmtId="15" fontId="3" fillId="0" borderId="0" xfId="0" applyNumberFormat="1" applyFont="1"/>
    <xf numFmtId="164" fontId="50" fillId="0" borderId="0" xfId="1" applyFont="1" applyBorder="1"/>
    <xf numFmtId="164" fontId="3" fillId="0" borderId="0" xfId="2" applyFont="1" applyBorder="1"/>
    <xf numFmtId="0" fontId="51" fillId="0" borderId="0" xfId="0" applyFont="1"/>
    <xf numFmtId="0" fontId="52" fillId="0" borderId="0" xfId="0" applyFont="1"/>
    <xf numFmtId="0" fontId="53" fillId="0" borderId="0" xfId="0" applyFont="1"/>
    <xf numFmtId="0" fontId="54" fillId="0" borderId="0" xfId="0" applyFont="1"/>
    <xf numFmtId="168" fontId="54" fillId="0" borderId="14" xfId="1" applyNumberFormat="1" applyFont="1" applyBorder="1"/>
    <xf numFmtId="168" fontId="54" fillId="0" borderId="0" xfId="1" applyNumberFormat="1" applyFont="1" applyBorder="1"/>
    <xf numFmtId="0" fontId="51" fillId="0" borderId="1" xfId="0" applyFont="1" applyBorder="1"/>
    <xf numFmtId="0" fontId="54" fillId="7" borderId="0" xfId="0" applyFont="1" applyFill="1"/>
    <xf numFmtId="0" fontId="51" fillId="7" borderId="0" xfId="0" applyFont="1" applyFill="1"/>
    <xf numFmtId="0" fontId="54" fillId="12" borderId="0" xfId="0" applyFont="1" applyFill="1"/>
    <xf numFmtId="0" fontId="51" fillId="12" borderId="0" xfId="0" applyFont="1" applyFill="1"/>
    <xf numFmtId="0" fontId="51" fillId="0" borderId="17" xfId="0" applyFont="1" applyBorder="1"/>
    <xf numFmtId="168" fontId="51" fillId="0" borderId="18" xfId="1" applyNumberFormat="1" applyFont="1" applyBorder="1"/>
    <xf numFmtId="168" fontId="51" fillId="0" borderId="17" xfId="1" applyNumberFormat="1" applyFont="1" applyBorder="1"/>
    <xf numFmtId="0" fontId="51" fillId="0" borderId="2" xfId="0" applyFont="1" applyBorder="1" applyAlignment="1">
      <alignment vertical="top"/>
    </xf>
    <xf numFmtId="168" fontId="51" fillId="0" borderId="3" xfId="1" applyNumberFormat="1" applyFont="1" applyBorder="1" applyAlignment="1">
      <alignment vertical="top"/>
    </xf>
    <xf numFmtId="0" fontId="51" fillId="0" borderId="13" xfId="0" applyFont="1" applyBorder="1" applyAlignment="1">
      <alignment vertical="top"/>
    </xf>
    <xf numFmtId="168" fontId="51" fillId="0" borderId="4" xfId="1" applyNumberFormat="1" applyFont="1" applyBorder="1" applyAlignment="1">
      <alignment vertical="top"/>
    </xf>
    <xf numFmtId="0" fontId="51" fillId="0" borderId="5" xfId="0" applyFont="1" applyBorder="1" applyAlignment="1">
      <alignment vertical="top"/>
    </xf>
    <xf numFmtId="168" fontId="51" fillId="0" borderId="6" xfId="1" applyNumberFormat="1" applyFont="1" applyBorder="1" applyAlignment="1">
      <alignment vertical="top"/>
    </xf>
    <xf numFmtId="168" fontId="55" fillId="0" borderId="0" xfId="0" applyNumberFormat="1" applyFont="1"/>
    <xf numFmtId="168" fontId="54" fillId="0" borderId="17" xfId="1" applyNumberFormat="1" applyFont="1" applyBorder="1"/>
    <xf numFmtId="168" fontId="54" fillId="0" borderId="18" xfId="1" applyNumberFormat="1" applyFont="1" applyBorder="1"/>
    <xf numFmtId="164" fontId="55" fillId="0" borderId="0" xfId="1" applyFont="1"/>
    <xf numFmtId="168" fontId="51" fillId="0" borderId="3" xfId="1" applyNumberFormat="1" applyFont="1" applyFill="1" applyBorder="1" applyAlignment="1">
      <alignment vertical="top"/>
    </xf>
    <xf numFmtId="168" fontId="51" fillId="0" borderId="4" xfId="1" applyNumberFormat="1" applyFont="1" applyFill="1" applyBorder="1" applyAlignment="1">
      <alignment vertical="top"/>
    </xf>
    <xf numFmtId="0" fontId="51" fillId="0" borderId="6" xfId="0" applyFont="1" applyBorder="1" applyAlignment="1">
      <alignment vertical="top"/>
    </xf>
    <xf numFmtId="168" fontId="51" fillId="0" borderId="0" xfId="0" applyNumberFormat="1" applyFont="1"/>
    <xf numFmtId="0" fontId="51" fillId="0" borderId="14" xfId="0" applyFont="1" applyBorder="1"/>
    <xf numFmtId="0" fontId="54" fillId="0" borderId="17" xfId="0" applyFont="1" applyBorder="1"/>
    <xf numFmtId="168" fontId="54" fillId="0" borderId="0" xfId="0" applyNumberFormat="1" applyFont="1"/>
    <xf numFmtId="0" fontId="59" fillId="0" borderId="0" xfId="0" applyFont="1"/>
    <xf numFmtId="0" fontId="60" fillId="0" borderId="0" xfId="0" applyFont="1"/>
    <xf numFmtId="168" fontId="0" fillId="0" borderId="0" xfId="0" applyNumberFormat="1"/>
    <xf numFmtId="164" fontId="61" fillId="0" borderId="10" xfId="1" applyFont="1" applyBorder="1"/>
    <xf numFmtId="164" fontId="3" fillId="0" borderId="0" xfId="1" applyFont="1" applyFill="1"/>
    <xf numFmtId="164" fontId="4" fillId="0" borderId="1" xfId="2" applyFont="1" applyBorder="1" applyAlignment="1">
      <alignment horizontal="center"/>
    </xf>
    <xf numFmtId="168" fontId="4" fillId="0" borderId="1" xfId="2" applyNumberFormat="1" applyFont="1" applyBorder="1" applyAlignment="1">
      <alignment horizontal="center"/>
    </xf>
    <xf numFmtId="164" fontId="4" fillId="0" borderId="13" xfId="1" applyFont="1" applyBorder="1" applyAlignment="1">
      <alignment horizontal="center"/>
    </xf>
    <xf numFmtId="164" fontId="4" fillId="0" borderId="0" xfId="1" applyFont="1" applyBorder="1" applyAlignment="1">
      <alignment horizontal="center"/>
    </xf>
    <xf numFmtId="164" fontId="4" fillId="0" borderId="4" xfId="1" applyFont="1" applyBorder="1" applyAlignment="1">
      <alignment horizontal="center"/>
    </xf>
    <xf numFmtId="164" fontId="4" fillId="0" borderId="5" xfId="1" applyFont="1" applyBorder="1" applyAlignment="1">
      <alignment horizontal="center"/>
    </xf>
    <xf numFmtId="164" fontId="4" fillId="0" borderId="6" xfId="1" applyFont="1" applyBorder="1" applyAlignment="1">
      <alignment horizontal="center"/>
    </xf>
    <xf numFmtId="164" fontId="3" fillId="0" borderId="13" xfId="1" applyFont="1" applyBorder="1"/>
    <xf numFmtId="164" fontId="3" fillId="0" borderId="4" xfId="1" applyFont="1" applyBorder="1"/>
    <xf numFmtId="164" fontId="4" fillId="7" borderId="19" xfId="1" applyFont="1" applyFill="1" applyBorder="1"/>
    <xf numFmtId="164" fontId="4" fillId="7" borderId="20" xfId="1" applyFont="1" applyFill="1" applyBorder="1"/>
    <xf numFmtId="164" fontId="50" fillId="0" borderId="0" xfId="1" applyFont="1"/>
    <xf numFmtId="164" fontId="62" fillId="0" borderId="0" xfId="1" applyFont="1"/>
    <xf numFmtId="164" fontId="62" fillId="0" borderId="0" xfId="8" applyFont="1"/>
    <xf numFmtId="164" fontId="62" fillId="0" borderId="0" xfId="6" applyFont="1"/>
    <xf numFmtId="164" fontId="10" fillId="0" borderId="0" xfId="1" applyFont="1" applyBorder="1" applyAlignment="1">
      <alignment horizontal="center"/>
    </xf>
    <xf numFmtId="164" fontId="0" fillId="0" borderId="0" xfId="1" applyFont="1" applyBorder="1"/>
    <xf numFmtId="164" fontId="19" fillId="0" borderId="15" xfId="1" applyFont="1" applyBorder="1"/>
    <xf numFmtId="164" fontId="4" fillId="0" borderId="2" xfId="1" applyFont="1" applyBorder="1" applyAlignment="1">
      <alignment horizontal="center"/>
    </xf>
    <xf numFmtId="164" fontId="4" fillId="0" borderId="7" xfId="1" applyFont="1" applyBorder="1" applyAlignment="1">
      <alignment horizontal="center"/>
    </xf>
    <xf numFmtId="164" fontId="4" fillId="0" borderId="3" xfId="1" applyFont="1" applyBorder="1" applyAlignment="1">
      <alignment horizontal="center"/>
    </xf>
    <xf numFmtId="168" fontId="5" fillId="16" borderId="0" xfId="1" applyNumberFormat="1" applyFont="1" applyFill="1"/>
    <xf numFmtId="0" fontId="5" fillId="8" borderId="0" xfId="0" applyFont="1" applyFill="1"/>
    <xf numFmtId="164" fontId="6" fillId="0" borderId="0" xfId="1" applyFont="1" applyBorder="1" applyAlignment="1">
      <alignment horizontal="center"/>
    </xf>
    <xf numFmtId="168" fontId="3" fillId="0" borderId="0" xfId="1" applyNumberFormat="1" applyFont="1" applyAlignment="1">
      <alignment horizontal="center"/>
    </xf>
    <xf numFmtId="168" fontId="3" fillId="0" borderId="0" xfId="2" applyNumberFormat="1" applyFont="1" applyAlignment="1">
      <alignment horizontal="center"/>
    </xf>
    <xf numFmtId="168" fontId="3" fillId="0" borderId="2" xfId="1" applyNumberFormat="1" applyFont="1" applyBorder="1" applyAlignment="1">
      <alignment horizontal="center"/>
    </xf>
    <xf numFmtId="168" fontId="3" fillId="0" borderId="7" xfId="2" applyNumberFormat="1" applyFont="1" applyBorder="1" applyAlignment="1">
      <alignment horizontal="center"/>
    </xf>
    <xf numFmtId="168" fontId="3" fillId="0" borderId="7" xfId="1" applyNumberFormat="1" applyFont="1" applyBorder="1" applyAlignment="1">
      <alignment horizontal="center"/>
    </xf>
    <xf numFmtId="168" fontId="3" fillId="0" borderId="3" xfId="1" applyNumberFormat="1" applyFont="1" applyBorder="1" applyAlignment="1">
      <alignment horizontal="center"/>
    </xf>
    <xf numFmtId="168" fontId="3" fillId="0" borderId="4" xfId="1" applyNumberFormat="1" applyFont="1" applyBorder="1" applyAlignment="1">
      <alignment horizontal="center"/>
    </xf>
    <xf numFmtId="168" fontId="3" fillId="0" borderId="5" xfId="1" applyNumberFormat="1" applyFont="1" applyBorder="1" applyAlignment="1">
      <alignment horizontal="center"/>
    </xf>
    <xf numFmtId="168" fontId="3" fillId="0" borderId="1" xfId="1" applyNumberFormat="1" applyFont="1" applyBorder="1" applyAlignment="1">
      <alignment horizontal="center"/>
    </xf>
    <xf numFmtId="168" fontId="3" fillId="0" borderId="6" xfId="1" applyNumberFormat="1" applyFont="1" applyBorder="1" applyAlignment="1">
      <alignment horizontal="center"/>
    </xf>
    <xf numFmtId="168" fontId="6" fillId="0" borderId="0" xfId="0" applyNumberFormat="1" applyFont="1"/>
    <xf numFmtId="168" fontId="5" fillId="0" borderId="9" xfId="0" applyNumberFormat="1" applyFont="1" applyBorder="1"/>
    <xf numFmtId="168" fontId="5" fillId="0" borderId="11" xfId="0" applyNumberFormat="1" applyFont="1" applyBorder="1"/>
    <xf numFmtId="168" fontId="5" fillId="0" borderId="11" xfId="1" applyNumberFormat="1" applyFont="1" applyBorder="1" applyAlignment="1">
      <alignment horizontal="center"/>
    </xf>
    <xf numFmtId="168" fontId="5" fillId="0" borderId="12" xfId="1" applyNumberFormat="1" applyFont="1" applyBorder="1" applyAlignment="1">
      <alignment horizontal="center"/>
    </xf>
    <xf numFmtId="168" fontId="5" fillId="0" borderId="9" xfId="1" applyNumberFormat="1" applyFont="1" applyBorder="1" applyAlignment="1">
      <alignment horizontal="center"/>
    </xf>
    <xf numFmtId="168" fontId="5" fillId="0" borderId="14" xfId="1" applyNumberFormat="1" applyFont="1" applyBorder="1" applyAlignment="1">
      <alignment horizontal="center"/>
    </xf>
    <xf numFmtId="168" fontId="5" fillId="0" borderId="0" xfId="1" applyNumberFormat="1" applyFont="1" applyAlignment="1">
      <alignment horizontal="center"/>
    </xf>
    <xf numFmtId="168" fontId="6" fillId="0" borderId="0" xfId="1" applyNumberFormat="1" applyFont="1" applyAlignment="1">
      <alignment horizontal="center"/>
    </xf>
    <xf numFmtId="168" fontId="5" fillId="0" borderId="15" xfId="1" applyNumberFormat="1" applyFont="1" applyBorder="1" applyAlignment="1">
      <alignment horizontal="center"/>
    </xf>
    <xf numFmtId="168" fontId="5" fillId="0" borderId="1" xfId="1" applyNumberFormat="1" applyFont="1" applyBorder="1" applyAlignment="1">
      <alignment horizontal="center"/>
    </xf>
    <xf numFmtId="168" fontId="5" fillId="0" borderId="8" xfId="1" applyNumberFormat="1" applyFont="1" applyBorder="1" applyAlignment="1">
      <alignment horizontal="center"/>
    </xf>
    <xf numFmtId="164" fontId="6" fillId="0" borderId="10" xfId="0" applyNumberFormat="1" applyFont="1" applyBorder="1"/>
    <xf numFmtId="164" fontId="65" fillId="0" borderId="0" xfId="0" applyNumberFormat="1" applyFont="1"/>
    <xf numFmtId="164" fontId="65" fillId="0" borderId="0" xfId="1" applyFont="1"/>
    <xf numFmtId="0" fontId="57" fillId="0" borderId="0" xfId="27" applyFont="1"/>
    <xf numFmtId="0" fontId="56" fillId="0" borderId="0" xfId="27" applyFont="1"/>
    <xf numFmtId="0" fontId="58" fillId="0" borderId="0" xfId="27" applyFont="1" applyAlignment="1">
      <alignment horizontal="center" vertical="center"/>
    </xf>
    <xf numFmtId="0" fontId="57" fillId="0" borderId="0" xfId="27" quotePrefix="1" applyFont="1"/>
    <xf numFmtId="0" fontId="63" fillId="19" borderId="0" xfId="27" applyFont="1" applyFill="1" applyAlignment="1">
      <alignment horizontal="center" vertical="center"/>
    </xf>
    <xf numFmtId="0" fontId="57" fillId="19" borderId="0" xfId="27" applyFont="1" applyFill="1"/>
    <xf numFmtId="0" fontId="64" fillId="19" borderId="0" xfId="27" applyFont="1" applyFill="1" applyAlignment="1">
      <alignment horizontal="center"/>
    </xf>
    <xf numFmtId="0" fontId="66" fillId="19" borderId="0" xfId="13" applyFont="1" applyFill="1" applyBorder="1" applyAlignment="1" applyProtection="1">
      <alignment horizontal="center"/>
    </xf>
    <xf numFmtId="10" fontId="3" fillId="2" borderId="0" xfId="17" applyNumberFormat="1" applyFont="1" applyFill="1"/>
    <xf numFmtId="0" fontId="67" fillId="0" borderId="0" xfId="0" applyFont="1" applyAlignment="1">
      <alignment horizontal="center"/>
    </xf>
    <xf numFmtId="164" fontId="69" fillId="0" borderId="0" xfId="1" applyFont="1"/>
    <xf numFmtId="0" fontId="19" fillId="8" borderId="0" xfId="0" applyFont="1" applyFill="1"/>
    <xf numFmtId="0" fontId="70" fillId="0" borderId="0" xfId="27" applyFont="1"/>
    <xf numFmtId="168" fontId="51" fillId="0" borderId="0" xfId="1" applyNumberFormat="1" applyFont="1" applyBorder="1"/>
    <xf numFmtId="168" fontId="51" fillId="0" borderId="0" xfId="1" applyNumberFormat="1" applyFont="1" applyFill="1" applyBorder="1"/>
    <xf numFmtId="0" fontId="51" fillId="0" borderId="0" xfId="0" applyFont="1" applyAlignment="1">
      <alignment vertical="top"/>
    </xf>
    <xf numFmtId="168" fontId="51" fillId="0" borderId="0" xfId="1" applyNumberFormat="1" applyFont="1" applyFill="1" applyBorder="1" applyAlignment="1">
      <alignment vertical="top"/>
    </xf>
    <xf numFmtId="168" fontId="54" fillId="0" borderId="0" xfId="1" applyNumberFormat="1" applyFont="1" applyFill="1" applyBorder="1"/>
    <xf numFmtId="168" fontId="51" fillId="0" borderId="1" xfId="1" applyNumberFormat="1" applyFont="1" applyBorder="1"/>
    <xf numFmtId="168" fontId="51" fillId="0" borderId="1" xfId="1" applyNumberFormat="1" applyFont="1" applyFill="1" applyBorder="1"/>
    <xf numFmtId="168" fontId="51" fillId="0" borderId="0" xfId="1" applyNumberFormat="1" applyFont="1" applyBorder="1" applyAlignment="1">
      <alignment vertical="top"/>
    </xf>
    <xf numFmtId="164" fontId="18" fillId="6" borderId="0" xfId="1" applyFont="1" applyFill="1" applyProtection="1"/>
    <xf numFmtId="0" fontId="6" fillId="0" borderId="21" xfId="0" applyFont="1" applyBorder="1" applyAlignment="1">
      <alignment horizontal="center"/>
    </xf>
    <xf numFmtId="0" fontId="72" fillId="0" borderId="0" xfId="13" applyFont="1" applyAlignment="1" applyProtection="1"/>
    <xf numFmtId="9" fontId="5" fillId="0" borderId="0" xfId="17" applyFont="1" applyAlignment="1">
      <alignment horizontal="center"/>
    </xf>
    <xf numFmtId="0" fontId="73" fillId="0" borderId="0" xfId="0" applyFont="1"/>
    <xf numFmtId="0" fontId="74" fillId="0" borderId="0" xfId="0" applyFont="1"/>
    <xf numFmtId="0" fontId="5" fillId="20" borderId="0" xfId="0" applyFont="1" applyFill="1" applyAlignment="1">
      <alignment horizontal="center"/>
    </xf>
    <xf numFmtId="0" fontId="75" fillId="0" borderId="0" xfId="13" applyFont="1" applyFill="1" applyAlignment="1" applyProtection="1"/>
    <xf numFmtId="164" fontId="6" fillId="0" borderId="0" xfId="0" applyNumberFormat="1" applyFont="1" applyAlignment="1">
      <alignment horizontal="center"/>
    </xf>
    <xf numFmtId="9" fontId="6" fillId="0" borderId="0" xfId="17" applyFont="1" applyAlignment="1">
      <alignment horizontal="center"/>
    </xf>
    <xf numFmtId="0" fontId="5" fillId="0" borderId="0" xfId="13" applyFont="1" applyAlignment="1" applyProtection="1"/>
    <xf numFmtId="0" fontId="5" fillId="0" borderId="1" xfId="13" applyFont="1" applyBorder="1" applyAlignment="1" applyProtection="1"/>
    <xf numFmtId="9" fontId="5" fillId="0" borderId="1" xfId="17" applyFont="1" applyBorder="1" applyAlignment="1">
      <alignment horizontal="center"/>
    </xf>
    <xf numFmtId="10" fontId="5" fillId="0" borderId="0" xfId="17" applyNumberFormat="1" applyFont="1" applyAlignment="1">
      <alignment horizontal="center"/>
    </xf>
    <xf numFmtId="0" fontId="76" fillId="0" borderId="0" xfId="13" applyFont="1" applyAlignment="1" applyProtection="1"/>
    <xf numFmtId="0" fontId="5" fillId="8" borderId="0" xfId="0" applyFont="1" applyFill="1" applyProtection="1">
      <protection locked="0"/>
    </xf>
    <xf numFmtId="0" fontId="6" fillId="12" borderId="0" xfId="0" applyFont="1" applyFill="1" applyAlignment="1" applyProtection="1">
      <alignment horizontal="center"/>
      <protection locked="0"/>
    </xf>
    <xf numFmtId="0" fontId="6" fillId="12" borderId="0" xfId="0" quotePrefix="1" applyFont="1" applyFill="1" applyAlignment="1" applyProtection="1">
      <alignment horizontal="center"/>
      <protection locked="0"/>
    </xf>
    <xf numFmtId="0" fontId="5" fillId="3" borderId="0" xfId="0" applyFont="1" applyFill="1" applyAlignment="1" applyProtection="1">
      <alignment horizontal="center"/>
      <protection locked="0"/>
    </xf>
    <xf numFmtId="0" fontId="5" fillId="0" borderId="0" xfId="0" applyFont="1" applyAlignment="1" applyProtection="1">
      <alignment horizontal="center"/>
      <protection locked="0"/>
    </xf>
    <xf numFmtId="15" fontId="5" fillId="12" borderId="0" xfId="0" applyNumberFormat="1" applyFont="1" applyFill="1" applyAlignment="1" applyProtection="1">
      <alignment horizontal="center"/>
      <protection locked="0"/>
    </xf>
    <xf numFmtId="0" fontId="5" fillId="12" borderId="0" xfId="0" applyFont="1" applyFill="1" applyProtection="1">
      <protection locked="0"/>
    </xf>
    <xf numFmtId="0" fontId="5" fillId="12" borderId="2" xfId="0" applyFont="1" applyFill="1" applyBorder="1" applyProtection="1">
      <protection locked="0"/>
    </xf>
    <xf numFmtId="0" fontId="5" fillId="12" borderId="13" xfId="0" applyFont="1" applyFill="1" applyBorder="1" applyProtection="1">
      <protection locked="0"/>
    </xf>
    <xf numFmtId="0" fontId="5" fillId="12" borderId="5" xfId="0" applyFont="1" applyFill="1" applyBorder="1" applyProtection="1">
      <protection locked="0"/>
    </xf>
    <xf numFmtId="9" fontId="5" fillId="12" borderId="0" xfId="0" applyNumberFormat="1" applyFont="1" applyFill="1" applyProtection="1">
      <protection locked="0"/>
    </xf>
    <xf numFmtId="0" fontId="5" fillId="12" borderId="0" xfId="0" quotePrefix="1" applyFont="1" applyFill="1" applyAlignment="1" applyProtection="1">
      <alignment horizontal="left"/>
      <protection locked="0"/>
    </xf>
    <xf numFmtId="0" fontId="5" fillId="12" borderId="0" xfId="0" applyFont="1" applyFill="1" applyAlignment="1" applyProtection="1">
      <alignment horizontal="left"/>
      <protection locked="0"/>
    </xf>
    <xf numFmtId="0" fontId="5" fillId="13" borderId="0" xfId="0" applyFont="1" applyFill="1" applyProtection="1">
      <protection locked="0"/>
    </xf>
    <xf numFmtId="168" fontId="5" fillId="13" borderId="0" xfId="2" applyNumberFormat="1" applyFont="1" applyFill="1" applyAlignment="1" applyProtection="1">
      <alignment horizontal="center"/>
      <protection locked="0"/>
    </xf>
    <xf numFmtId="167" fontId="5" fillId="13" borderId="0" xfId="0" applyNumberFormat="1" applyFont="1" applyFill="1" applyAlignment="1" applyProtection="1">
      <alignment horizontal="center"/>
      <protection locked="0"/>
    </xf>
    <xf numFmtId="0" fontId="5" fillId="13" borderId="0" xfId="0" applyFont="1" applyFill="1" applyAlignment="1" applyProtection="1">
      <alignment horizontal="center"/>
      <protection locked="0"/>
    </xf>
    <xf numFmtId="164" fontId="6" fillId="16" borderId="0" xfId="1" applyFont="1" applyFill="1" applyAlignment="1" applyProtection="1">
      <alignment horizontal="center"/>
      <protection locked="0"/>
    </xf>
    <xf numFmtId="164" fontId="6" fillId="16" borderId="1" xfId="1" applyFont="1" applyFill="1" applyBorder="1" applyAlignment="1" applyProtection="1">
      <alignment horizontal="center"/>
      <protection locked="0"/>
    </xf>
    <xf numFmtId="10" fontId="5" fillId="16" borderId="0" xfId="17" applyNumberFormat="1" applyFont="1" applyFill="1" applyAlignment="1" applyProtection="1">
      <alignment horizontal="center"/>
      <protection locked="0"/>
    </xf>
    <xf numFmtId="0" fontId="5" fillId="16" borderId="0" xfId="0" applyFont="1" applyFill="1" applyAlignment="1" applyProtection="1">
      <alignment horizontal="center"/>
      <protection locked="0"/>
    </xf>
    <xf numFmtId="168" fontId="3" fillId="16" borderId="13" xfId="1" applyNumberFormat="1" applyFont="1" applyFill="1" applyBorder="1" applyAlignment="1" applyProtection="1">
      <alignment horizontal="center"/>
      <protection locked="0"/>
    </xf>
    <xf numFmtId="168" fontId="3" fillId="16" borderId="0" xfId="2" applyNumberFormat="1" applyFont="1" applyFill="1" applyAlignment="1" applyProtection="1">
      <alignment horizontal="center"/>
      <protection locked="0"/>
    </xf>
    <xf numFmtId="168" fontId="3" fillId="16" borderId="0" xfId="1" applyNumberFormat="1" applyFont="1" applyFill="1" applyAlignment="1" applyProtection="1">
      <alignment horizontal="center"/>
      <protection locked="0"/>
    </xf>
    <xf numFmtId="168" fontId="5" fillId="16" borderId="0" xfId="1" applyNumberFormat="1" applyFont="1" applyFill="1" applyProtection="1">
      <protection locked="0"/>
    </xf>
    <xf numFmtId="0" fontId="5" fillId="16" borderId="0" xfId="0" applyFont="1" applyFill="1" applyProtection="1">
      <protection locked="0"/>
    </xf>
    <xf numFmtId="168" fontId="5" fillId="13" borderId="0" xfId="1" applyNumberFormat="1" applyFont="1" applyFill="1" applyProtection="1">
      <protection locked="0"/>
    </xf>
    <xf numFmtId="168" fontId="5" fillId="13" borderId="11" xfId="1" applyNumberFormat="1" applyFont="1" applyFill="1" applyBorder="1" applyAlignment="1" applyProtection="1">
      <alignment horizontal="center"/>
      <protection locked="0"/>
    </xf>
    <xf numFmtId="0" fontId="5" fillId="0" borderId="0" xfId="0" applyFont="1" applyProtection="1">
      <protection locked="0"/>
    </xf>
    <xf numFmtId="168" fontId="5" fillId="16" borderId="0" xfId="1" applyNumberFormat="1" applyFont="1" applyFill="1" applyAlignment="1" applyProtection="1">
      <alignment horizontal="center"/>
      <protection locked="0"/>
    </xf>
    <xf numFmtId="9" fontId="5" fillId="16" borderId="0" xfId="17" applyFont="1" applyFill="1" applyAlignment="1" applyProtection="1">
      <alignment horizontal="center"/>
      <protection locked="0"/>
    </xf>
    <xf numFmtId="164" fontId="17" fillId="14" borderId="0" xfId="2" applyFill="1" applyProtection="1">
      <protection locked="0"/>
    </xf>
    <xf numFmtId="0" fontId="17" fillId="0" borderId="0" xfId="0" quotePrefix="1" applyFont="1" applyProtection="1">
      <protection locked="0"/>
    </xf>
    <xf numFmtId="0" fontId="2" fillId="0" borderId="0" xfId="0" applyFont="1" applyProtection="1">
      <protection locked="0"/>
    </xf>
    <xf numFmtId="0" fontId="10" fillId="0" borderId="0" xfId="0" quotePrefix="1" applyFont="1" applyProtection="1">
      <protection locked="0"/>
    </xf>
    <xf numFmtId="0" fontId="2" fillId="0" borderId="0" xfId="0" quotePrefix="1" applyFont="1" applyProtection="1">
      <protection locked="0"/>
    </xf>
    <xf numFmtId="0" fontId="2" fillId="15" borderId="0" xfId="0" applyFont="1" applyFill="1" applyProtection="1">
      <protection locked="0"/>
    </xf>
    <xf numFmtId="0" fontId="10" fillId="0" borderId="0" xfId="0" applyFont="1" applyProtection="1">
      <protection locked="0"/>
    </xf>
    <xf numFmtId="0" fontId="11" fillId="0" borderId="0" xfId="13" applyAlignment="1" applyProtection="1">
      <protection locked="0"/>
    </xf>
    <xf numFmtId="0" fontId="17" fillId="0" borderId="0" xfId="0" applyFont="1" applyProtection="1">
      <protection locked="0"/>
    </xf>
    <xf numFmtId="0" fontId="17" fillId="15" borderId="0" xfId="0" applyFont="1" applyFill="1" applyProtection="1">
      <protection locked="0"/>
    </xf>
    <xf numFmtId="0" fontId="28" fillId="0" borderId="0" xfId="0" quotePrefix="1" applyFont="1" applyProtection="1">
      <protection locked="0"/>
    </xf>
    <xf numFmtId="0" fontId="2" fillId="15" borderId="0" xfId="0" quotePrefix="1" applyFont="1" applyFill="1" applyProtection="1">
      <protection locked="0"/>
    </xf>
    <xf numFmtId="164" fontId="2" fillId="0" borderId="0" xfId="1" quotePrefix="1" applyFont="1" applyProtection="1">
      <protection locked="0"/>
    </xf>
    <xf numFmtId="164" fontId="2" fillId="0" borderId="0" xfId="1" applyFont="1" applyProtection="1">
      <protection locked="0"/>
    </xf>
    <xf numFmtId="164" fontId="2" fillId="0" borderId="0" xfId="1" applyFont="1" applyAlignment="1" applyProtection="1">
      <alignment horizontal="center"/>
      <protection locked="0"/>
    </xf>
    <xf numFmtId="164" fontId="18" fillId="0" borderId="0" xfId="1" applyFont="1" applyAlignment="1" applyProtection="1">
      <alignment horizontal="center"/>
      <protection locked="0"/>
    </xf>
    <xf numFmtId="164" fontId="11" fillId="0" borderId="0" xfId="13" applyNumberFormat="1" applyAlignment="1" applyProtection="1">
      <alignment horizontal="center"/>
      <protection locked="0"/>
    </xf>
    <xf numFmtId="164" fontId="2" fillId="3" borderId="0" xfId="1" applyFont="1" applyFill="1" applyProtection="1">
      <protection locked="0"/>
    </xf>
    <xf numFmtId="164" fontId="35" fillId="3" borderId="0" xfId="1" applyFont="1" applyFill="1" applyProtection="1">
      <protection locked="0"/>
    </xf>
    <xf numFmtId="164" fontId="0" fillId="0" borderId="0" xfId="1" quotePrefix="1" applyFont="1" applyProtection="1">
      <protection locked="0"/>
    </xf>
    <xf numFmtId="0" fontId="0" fillId="0" borderId="0" xfId="0" applyProtection="1">
      <protection locked="0"/>
    </xf>
    <xf numFmtId="164" fontId="0" fillId="0" borderId="0" xfId="2" applyFont="1" applyProtection="1">
      <protection locked="0"/>
    </xf>
    <xf numFmtId="164" fontId="10" fillId="0" borderId="0" xfId="2" applyFont="1" applyAlignment="1" applyProtection="1">
      <alignment horizontal="center"/>
      <protection locked="0"/>
    </xf>
    <xf numFmtId="0" fontId="10" fillId="0" borderId="0" xfId="0" applyFont="1" applyAlignment="1" applyProtection="1">
      <alignment horizontal="center"/>
      <protection locked="0"/>
    </xf>
    <xf numFmtId="164" fontId="10" fillId="0" borderId="0" xfId="1" quotePrefix="1" applyFont="1" applyAlignment="1" applyProtection="1">
      <alignment horizontal="center"/>
      <protection locked="0"/>
    </xf>
    <xf numFmtId="164" fontId="0" fillId="0" borderId="0" xfId="1" applyFont="1" applyAlignment="1" applyProtection="1">
      <alignment horizontal="center"/>
      <protection locked="0"/>
    </xf>
    <xf numFmtId="164" fontId="10" fillId="0" borderId="0" xfId="2" applyFont="1" applyProtection="1">
      <protection locked="0"/>
    </xf>
    <xf numFmtId="164" fontId="0" fillId="0" borderId="0" xfId="2" applyFont="1" applyAlignment="1" applyProtection="1">
      <alignment horizontal="center"/>
      <protection locked="0"/>
    </xf>
    <xf numFmtId="164" fontId="2" fillId="0" borderId="0" xfId="2" applyFont="1" applyProtection="1">
      <protection locked="0"/>
    </xf>
    <xf numFmtId="164" fontId="17" fillId="0" borderId="0" xfId="2" applyProtection="1">
      <protection locked="0"/>
    </xf>
    <xf numFmtId="164" fontId="0" fillId="0" borderId="0" xfId="0" applyNumberFormat="1" applyProtection="1">
      <protection locked="0"/>
    </xf>
    <xf numFmtId="0" fontId="0" fillId="0" borderId="0" xfId="0" quotePrefix="1" applyProtection="1">
      <protection locked="0"/>
    </xf>
    <xf numFmtId="164" fontId="10" fillId="0" borderId="0" xfId="1" applyFont="1" applyProtection="1">
      <protection locked="0"/>
    </xf>
    <xf numFmtId="164" fontId="0" fillId="0" borderId="0" xfId="1" quotePrefix="1" applyFont="1" applyAlignment="1" applyProtection="1">
      <alignment horizontal="center"/>
      <protection locked="0"/>
    </xf>
    <xf numFmtId="164" fontId="17" fillId="0" borderId="0" xfId="1" applyFont="1" applyProtection="1">
      <protection locked="0"/>
    </xf>
    <xf numFmtId="164" fontId="11" fillId="0" borderId="0" xfId="13" applyNumberFormat="1" applyAlignment="1" applyProtection="1">
      <protection locked="0"/>
    </xf>
    <xf numFmtId="0" fontId="2" fillId="13" borderId="0" xfId="0" applyFont="1" applyFill="1" applyProtection="1">
      <protection locked="0"/>
    </xf>
    <xf numFmtId="0" fontId="17" fillId="13" borderId="0" xfId="0" applyFont="1" applyFill="1" applyProtection="1">
      <protection locked="0"/>
    </xf>
    <xf numFmtId="0" fontId="0" fillId="13" borderId="0" xfId="0" applyFill="1" applyProtection="1">
      <protection locked="0"/>
    </xf>
    <xf numFmtId="0" fontId="17" fillId="13" borderId="0" xfId="0" quotePrefix="1" applyFont="1" applyFill="1" applyProtection="1">
      <protection locked="0"/>
    </xf>
    <xf numFmtId="0" fontId="29" fillId="0" borderId="0" xfId="0" quotePrefix="1" applyFont="1" applyProtection="1">
      <protection locked="0"/>
    </xf>
    <xf numFmtId="164" fontId="2" fillId="0" borderId="0" xfId="1" applyProtection="1">
      <protection locked="0"/>
    </xf>
    <xf numFmtId="164" fontId="17" fillId="0" borderId="0" xfId="1" quotePrefix="1" applyFont="1" applyProtection="1">
      <protection locked="0"/>
    </xf>
    <xf numFmtId="164" fontId="10" fillId="0" borderId="0" xfId="1" quotePrefix="1" applyFont="1" applyProtection="1">
      <protection locked="0"/>
    </xf>
    <xf numFmtId="164" fontId="2" fillId="0" borderId="0" xfId="1" quotePrefix="1" applyProtection="1">
      <protection locked="0"/>
    </xf>
    <xf numFmtId="164" fontId="11" fillId="0" borderId="0" xfId="1" applyFont="1" applyProtection="1">
      <protection locked="0"/>
    </xf>
    <xf numFmtId="164" fontId="0" fillId="0" borderId="0" xfId="1" applyFont="1" applyProtection="1">
      <protection locked="0"/>
    </xf>
    <xf numFmtId="164" fontId="28" fillId="0" borderId="0" xfId="1" quotePrefix="1" applyFont="1" applyProtection="1">
      <protection locked="0"/>
    </xf>
    <xf numFmtId="164" fontId="31" fillId="0" borderId="0" xfId="1" applyFont="1" applyProtection="1">
      <protection locked="0"/>
    </xf>
    <xf numFmtId="164" fontId="18" fillId="0" borderId="0" xfId="1" applyFont="1" applyProtection="1">
      <protection locked="0"/>
    </xf>
    <xf numFmtId="0" fontId="11" fillId="0" borderId="0" xfId="13" applyAlignment="1" applyProtection="1">
      <alignment horizontal="center"/>
      <protection locked="0"/>
    </xf>
    <xf numFmtId="0" fontId="10" fillId="0" borderId="0" xfId="0" quotePrefix="1" applyFont="1" applyAlignment="1" applyProtection="1">
      <alignment horizontal="center"/>
      <protection locked="0"/>
    </xf>
    <xf numFmtId="164" fontId="29" fillId="0" borderId="0" xfId="1" quotePrefix="1" applyFont="1" applyProtection="1">
      <protection locked="0"/>
    </xf>
    <xf numFmtId="164" fontId="2" fillId="3" borderId="0" xfId="1" applyFill="1" applyProtection="1">
      <protection locked="0"/>
    </xf>
    <xf numFmtId="164" fontId="17" fillId="3" borderId="0" xfId="1" applyFont="1" applyFill="1" applyProtection="1">
      <protection locked="0"/>
    </xf>
    <xf numFmtId="0" fontId="77" fillId="0" borderId="0" xfId="0" applyFont="1"/>
    <xf numFmtId="0" fontId="78" fillId="0" borderId="0" xfId="0" applyFont="1"/>
    <xf numFmtId="0" fontId="77" fillId="0" borderId="0" xfId="0" applyFont="1" applyAlignment="1">
      <alignment horizontal="center"/>
    </xf>
    <xf numFmtId="0" fontId="79" fillId="0" borderId="0" xfId="0" applyFont="1"/>
    <xf numFmtId="164" fontId="78" fillId="0" borderId="0" xfId="1" applyFont="1" applyAlignment="1">
      <alignment horizontal="center"/>
    </xf>
    <xf numFmtId="0" fontId="77" fillId="0" borderId="0" xfId="1" applyNumberFormat="1" applyFont="1" applyAlignment="1">
      <alignment horizontal="center"/>
    </xf>
    <xf numFmtId="164" fontId="77" fillId="0" borderId="0" xfId="1" applyFont="1" applyAlignment="1">
      <alignment horizontal="center"/>
    </xf>
    <xf numFmtId="0" fontId="77" fillId="0" borderId="1" xfId="0" applyFont="1" applyBorder="1"/>
    <xf numFmtId="168" fontId="77" fillId="0" borderId="0" xfId="0" applyNumberFormat="1" applyFont="1"/>
    <xf numFmtId="0" fontId="77" fillId="0" borderId="7" xfId="0" applyFont="1" applyBorder="1"/>
    <xf numFmtId="168" fontId="77" fillId="0" borderId="0" xfId="1" applyNumberFormat="1" applyFont="1" applyAlignment="1">
      <alignment horizontal="center"/>
    </xf>
    <xf numFmtId="168" fontId="77" fillId="0" borderId="7" xfId="1" applyNumberFormat="1" applyFont="1" applyBorder="1" applyAlignment="1">
      <alignment horizontal="center"/>
    </xf>
    <xf numFmtId="168" fontId="77" fillId="0" borderId="5" xfId="1" applyNumberFormat="1" applyFont="1" applyBorder="1" applyAlignment="1">
      <alignment horizontal="center"/>
    </xf>
    <xf numFmtId="168" fontId="77" fillId="0" borderId="1" xfId="1" applyNumberFormat="1" applyFont="1" applyBorder="1" applyAlignment="1">
      <alignment horizontal="center"/>
    </xf>
    <xf numFmtId="168" fontId="77" fillId="0" borderId="8" xfId="1" applyNumberFormat="1" applyFont="1" applyBorder="1" applyAlignment="1">
      <alignment horizontal="center"/>
    </xf>
    <xf numFmtId="168" fontId="77" fillId="0" borderId="0" xfId="13" applyNumberFormat="1" applyFont="1" applyAlignment="1" applyProtection="1">
      <alignment horizontal="center"/>
    </xf>
    <xf numFmtId="0" fontId="77" fillId="0" borderId="7" xfId="1" applyNumberFormat="1" applyFont="1" applyBorder="1" applyAlignment="1">
      <alignment horizontal="center"/>
    </xf>
    <xf numFmtId="168" fontId="77" fillId="0" borderId="0" xfId="13" applyNumberFormat="1" applyFont="1" applyAlignment="1" applyProtection="1"/>
    <xf numFmtId="9" fontId="77" fillId="0" borderId="0" xfId="17" applyFont="1" applyAlignment="1">
      <alignment horizontal="center"/>
    </xf>
    <xf numFmtId="0" fontId="77" fillId="0" borderId="1" xfId="0" applyFont="1" applyBorder="1" applyAlignment="1">
      <alignment horizontal="center"/>
    </xf>
    <xf numFmtId="164" fontId="77" fillId="0" borderId="1" xfId="1" applyFont="1" applyBorder="1" applyAlignment="1">
      <alignment horizontal="center"/>
    </xf>
    <xf numFmtId="0" fontId="77" fillId="0" borderId="13" xfId="0" applyFont="1" applyBorder="1" applyAlignment="1">
      <alignment horizontal="center"/>
    </xf>
    <xf numFmtId="164" fontId="77" fillId="0" borderId="0" xfId="2" applyFont="1" applyAlignment="1">
      <alignment horizontal="center"/>
    </xf>
    <xf numFmtId="168" fontId="77" fillId="0" borderId="0" xfId="2" applyNumberFormat="1" applyFont="1" applyAlignment="1">
      <alignment horizontal="center"/>
    </xf>
    <xf numFmtId="168" fontId="77" fillId="0" borderId="1" xfId="2" applyNumberFormat="1" applyFont="1" applyBorder="1" applyAlignment="1">
      <alignment horizontal="center"/>
    </xf>
    <xf numFmtId="168" fontId="77" fillId="0" borderId="8" xfId="2" applyNumberFormat="1" applyFont="1" applyBorder="1" applyAlignment="1">
      <alignment horizontal="center"/>
    </xf>
    <xf numFmtId="168" fontId="77" fillId="0" borderId="0" xfId="2" applyNumberFormat="1" applyFont="1" applyBorder="1" applyAlignment="1">
      <alignment horizontal="center"/>
    </xf>
    <xf numFmtId="168" fontId="77" fillId="0" borderId="0" xfId="1" applyNumberFormat="1" applyFont="1" applyBorder="1" applyAlignment="1">
      <alignment horizontal="center"/>
    </xf>
    <xf numFmtId="0" fontId="77" fillId="0" borderId="2" xfId="0" applyFont="1" applyBorder="1" applyAlignment="1">
      <alignment horizontal="center"/>
    </xf>
    <xf numFmtId="164" fontId="77" fillId="0" borderId="3" xfId="1" applyFont="1" applyBorder="1" applyAlignment="1">
      <alignment horizontal="center"/>
    </xf>
    <xf numFmtId="164" fontId="77" fillId="0" borderId="4" xfId="1" applyFont="1" applyBorder="1" applyAlignment="1">
      <alignment horizontal="center"/>
    </xf>
    <xf numFmtId="168" fontId="77" fillId="0" borderId="15" xfId="1" applyNumberFormat="1" applyFont="1" applyBorder="1" applyAlignment="1">
      <alignment horizontal="center"/>
    </xf>
    <xf numFmtId="0" fontId="77" fillId="0" borderId="5" xfId="0" applyFont="1" applyBorder="1" applyAlignment="1">
      <alignment horizontal="center"/>
    </xf>
    <xf numFmtId="164" fontId="77" fillId="0" borderId="6" xfId="1" applyFont="1" applyBorder="1" applyAlignment="1">
      <alignment horizontal="center"/>
    </xf>
    <xf numFmtId="0" fontId="77" fillId="0" borderId="8" xfId="0" applyFont="1" applyBorder="1"/>
    <xf numFmtId="9" fontId="77" fillId="0" borderId="0" xfId="0" applyNumberFormat="1" applyFont="1" applyAlignment="1">
      <alignment horizontal="center"/>
    </xf>
    <xf numFmtId="0" fontId="78" fillId="0" borderId="7" xfId="0" applyFont="1" applyBorder="1"/>
    <xf numFmtId="15" fontId="77" fillId="0" borderId="0" xfId="1" applyNumberFormat="1" applyFont="1" applyAlignment="1">
      <alignment horizontal="center"/>
    </xf>
    <xf numFmtId="164" fontId="77" fillId="0" borderId="7" xfId="1" applyFont="1" applyBorder="1" applyAlignment="1">
      <alignment horizontal="center"/>
    </xf>
    <xf numFmtId="168" fontId="77" fillId="0" borderId="7" xfId="0" applyNumberFormat="1" applyFont="1" applyBorder="1"/>
    <xf numFmtId="0" fontId="77" fillId="0" borderId="0" xfId="1" applyNumberFormat="1" applyFont="1" applyBorder="1" applyAlignment="1">
      <alignment horizontal="center"/>
    </xf>
    <xf numFmtId="164" fontId="77" fillId="0" borderId="0" xfId="0" applyNumberFormat="1" applyFont="1"/>
    <xf numFmtId="0" fontId="80" fillId="0" borderId="0" xfId="0" applyFont="1"/>
    <xf numFmtId="0" fontId="21" fillId="0" borderId="0" xfId="0" applyFont="1" applyAlignment="1">
      <alignment horizontal="center"/>
    </xf>
    <xf numFmtId="0" fontId="81" fillId="0" borderId="0" xfId="0" applyFont="1"/>
    <xf numFmtId="0" fontId="82" fillId="0" borderId="0" xfId="0" applyFont="1" applyAlignment="1">
      <alignment horizontal="center"/>
    </xf>
    <xf numFmtId="0" fontId="80" fillId="0" borderId="0" xfId="0" applyFont="1" applyAlignment="1">
      <alignment horizontal="center"/>
    </xf>
    <xf numFmtId="168" fontId="21" fillId="0" borderId="0" xfId="0" applyNumberFormat="1" applyFont="1" applyAlignment="1">
      <alignment horizontal="center"/>
    </xf>
    <xf numFmtId="164" fontId="21" fillId="0" borderId="0" xfId="0" applyNumberFormat="1" applyFont="1" applyAlignment="1">
      <alignment horizontal="center"/>
    </xf>
    <xf numFmtId="0" fontId="83" fillId="0" borderId="0" xfId="0" applyFont="1" applyAlignment="1">
      <alignment horizontal="center"/>
    </xf>
    <xf numFmtId="0" fontId="81" fillId="0" borderId="0" xfId="0" applyFont="1" applyAlignment="1">
      <alignment horizontal="center"/>
    </xf>
    <xf numFmtId="0" fontId="21" fillId="0" borderId="0" xfId="13" applyFont="1" applyAlignment="1" applyProtection="1">
      <alignment horizontal="center"/>
    </xf>
    <xf numFmtId="0" fontId="84" fillId="0" borderId="0" xfId="0" applyFont="1" applyAlignment="1">
      <alignment horizontal="center"/>
    </xf>
    <xf numFmtId="0" fontId="85" fillId="0" borderId="0" xfId="0" applyFont="1" applyAlignment="1">
      <alignment horizontal="center"/>
    </xf>
    <xf numFmtId="0" fontId="85" fillId="0" borderId="0" xfId="0" applyFont="1"/>
    <xf numFmtId="168" fontId="85" fillId="0" borderId="0" xfId="1" applyNumberFormat="1" applyFont="1" applyAlignment="1">
      <alignment horizontal="center"/>
    </xf>
    <xf numFmtId="168" fontId="85" fillId="0" borderId="2" xfId="1" applyNumberFormat="1" applyFont="1" applyBorder="1" applyAlignment="1">
      <alignment horizontal="center"/>
    </xf>
    <xf numFmtId="168" fontId="85" fillId="0" borderId="13" xfId="1" applyNumberFormat="1" applyFont="1" applyBorder="1" applyAlignment="1">
      <alignment horizontal="center"/>
    </xf>
    <xf numFmtId="168" fontId="85" fillId="0" borderId="5" xfId="1" applyNumberFormat="1" applyFont="1" applyBorder="1" applyAlignment="1">
      <alignment horizontal="center"/>
    </xf>
    <xf numFmtId="168" fontId="85" fillId="0" borderId="1" xfId="1" applyNumberFormat="1" applyFont="1" applyBorder="1" applyAlignment="1">
      <alignment horizontal="center"/>
    </xf>
    <xf numFmtId="168" fontId="85" fillId="0" borderId="8" xfId="1" applyNumberFormat="1" applyFont="1" applyBorder="1" applyAlignment="1">
      <alignment horizontal="center"/>
    </xf>
    <xf numFmtId="168" fontId="85" fillId="0" borderId="7" xfId="1" applyNumberFormat="1" applyFont="1" applyBorder="1" applyAlignment="1">
      <alignment horizontal="center"/>
    </xf>
    <xf numFmtId="168" fontId="85" fillId="0" borderId="0" xfId="1" applyNumberFormat="1" applyFont="1" applyBorder="1" applyAlignment="1">
      <alignment horizontal="center"/>
    </xf>
    <xf numFmtId="9" fontId="85" fillId="0" borderId="0" xfId="17" applyFont="1" applyAlignment="1">
      <alignment horizontal="center"/>
    </xf>
    <xf numFmtId="168" fontId="85" fillId="0" borderId="3" xfId="1" applyNumberFormat="1" applyFont="1" applyBorder="1" applyAlignment="1">
      <alignment horizontal="center"/>
    </xf>
    <xf numFmtId="168" fontId="85" fillId="0" borderId="4" xfId="1" applyNumberFormat="1" applyFont="1" applyBorder="1" applyAlignment="1">
      <alignment horizontal="center"/>
    </xf>
    <xf numFmtId="168" fontId="85" fillId="0" borderId="6" xfId="1" applyNumberFormat="1" applyFont="1" applyBorder="1" applyAlignment="1">
      <alignment horizontal="center"/>
    </xf>
    <xf numFmtId="0" fontId="86" fillId="0" borderId="0" xfId="0" applyFont="1"/>
    <xf numFmtId="0" fontId="87" fillId="0" borderId="0" xfId="0" applyFont="1"/>
    <xf numFmtId="0" fontId="87" fillId="0" borderId="7" xfId="0" applyFont="1" applyBorder="1"/>
    <xf numFmtId="0" fontId="86" fillId="0" borderId="0" xfId="0" applyFont="1" applyAlignment="1">
      <alignment horizontal="center"/>
    </xf>
    <xf numFmtId="0" fontId="86" fillId="0" borderId="7" xfId="0" applyFont="1" applyBorder="1" applyAlignment="1">
      <alignment horizontal="center"/>
    </xf>
    <xf numFmtId="0" fontId="88" fillId="0" borderId="0" xfId="0" applyFont="1"/>
    <xf numFmtId="164" fontId="77" fillId="0" borderId="0" xfId="1" applyFont="1" applyBorder="1" applyAlignment="1">
      <alignment horizontal="center"/>
    </xf>
    <xf numFmtId="164" fontId="78" fillId="0" borderId="0" xfId="1" applyFont="1" applyBorder="1" applyAlignment="1">
      <alignment horizontal="center"/>
    </xf>
    <xf numFmtId="15" fontId="77" fillId="0" borderId="0" xfId="1" applyNumberFormat="1" applyFont="1" applyBorder="1" applyAlignment="1">
      <alignment horizontal="center"/>
    </xf>
    <xf numFmtId="0" fontId="5" fillId="21" borderId="0" xfId="0" applyFont="1" applyFill="1" applyAlignment="1" applyProtection="1">
      <alignment horizontal="center"/>
      <protection locked="0"/>
    </xf>
    <xf numFmtId="0" fontId="5" fillId="12" borderId="0" xfId="0" applyFont="1" applyFill="1" applyAlignment="1" applyProtection="1">
      <alignment horizontal="center"/>
      <protection locked="0"/>
    </xf>
    <xf numFmtId="15" fontId="77" fillId="0" borderId="0" xfId="0" applyNumberFormat="1" applyFont="1"/>
    <xf numFmtId="164" fontId="4" fillId="0" borderId="9" xfId="1" applyFont="1" applyBorder="1" applyAlignment="1">
      <alignment horizontal="center"/>
    </xf>
    <xf numFmtId="164" fontId="4" fillId="0" borderId="12" xfId="1" applyFont="1" applyBorder="1" applyAlignment="1">
      <alignment horizontal="center"/>
    </xf>
    <xf numFmtId="164" fontId="4" fillId="0" borderId="1" xfId="24" applyFont="1" applyBorder="1"/>
    <xf numFmtId="168" fontId="4" fillId="0" borderId="1" xfId="24" applyNumberFormat="1" applyFont="1" applyBorder="1" applyAlignment="1">
      <alignment horizontal="center"/>
    </xf>
    <xf numFmtId="164" fontId="4" fillId="0" borderId="1" xfId="24" applyFont="1" applyBorder="1" applyAlignment="1">
      <alignment horizontal="center"/>
    </xf>
    <xf numFmtId="10" fontId="3" fillId="0" borderId="0" xfId="17" applyNumberFormat="1" applyFont="1" applyFill="1"/>
    <xf numFmtId="164" fontId="4" fillId="0" borderId="9" xfId="1" applyFont="1" applyBorder="1" applyAlignment="1"/>
    <xf numFmtId="164" fontId="4" fillId="0" borderId="0" xfId="1" applyFont="1" applyBorder="1" applyAlignment="1"/>
    <xf numFmtId="168" fontId="4" fillId="0" borderId="1" xfId="24" applyNumberFormat="1" applyFont="1" applyBorder="1"/>
    <xf numFmtId="164" fontId="3" fillId="0" borderId="5" xfId="1" applyFont="1" applyBorder="1"/>
    <xf numFmtId="164" fontId="3" fillId="0" borderId="6" xfId="1" applyFont="1" applyBorder="1"/>
    <xf numFmtId="9" fontId="5" fillId="12" borderId="0" xfId="0" applyNumberFormat="1" applyFont="1" applyFill="1" applyAlignment="1" applyProtection="1">
      <alignment horizontal="center"/>
      <protection locked="0"/>
    </xf>
    <xf numFmtId="164" fontId="85" fillId="0" borderId="0" xfId="1" applyFont="1" applyAlignment="1"/>
    <xf numFmtId="164" fontId="77" fillId="0" borderId="0" xfId="1" applyFont="1" applyAlignment="1"/>
    <xf numFmtId="168" fontId="77" fillId="0" borderId="0" xfId="1" applyNumberFormat="1" applyFont="1" applyAlignment="1"/>
    <xf numFmtId="164" fontId="77" fillId="0" borderId="1" xfId="2" applyFont="1" applyBorder="1" applyAlignment="1"/>
    <xf numFmtId="164" fontId="77" fillId="0" borderId="1" xfId="1" applyFont="1" applyBorder="1" applyAlignment="1"/>
    <xf numFmtId="164" fontId="85" fillId="0" borderId="0" xfId="1" applyFont="1" applyBorder="1" applyAlignment="1"/>
    <xf numFmtId="164" fontId="77" fillId="0" borderId="0" xfId="1" applyFont="1" applyBorder="1" applyAlignment="1"/>
    <xf numFmtId="168" fontId="85" fillId="0" borderId="0" xfId="1" applyNumberFormat="1" applyFont="1" applyAlignment="1"/>
    <xf numFmtId="164" fontId="77" fillId="0" borderId="0" xfId="2" applyFont="1" applyAlignment="1"/>
    <xf numFmtId="168" fontId="85" fillId="0" borderId="0" xfId="1" applyNumberFormat="1" applyFont="1" applyBorder="1" applyAlignment="1"/>
    <xf numFmtId="9" fontId="77" fillId="0" borderId="0" xfId="17" applyFont="1" applyAlignment="1"/>
    <xf numFmtId="164" fontId="85" fillId="0" borderId="7" xfId="1" applyFont="1" applyBorder="1" applyAlignment="1"/>
    <xf numFmtId="164" fontId="77" fillId="0" borderId="7" xfId="1" applyFont="1" applyBorder="1" applyAlignment="1"/>
    <xf numFmtId="168" fontId="77" fillId="0" borderId="8" xfId="1" applyNumberFormat="1" applyFont="1" applyBorder="1" applyAlignment="1"/>
    <xf numFmtId="164" fontId="77" fillId="0" borderId="8" xfId="1" applyFont="1" applyBorder="1" applyAlignment="1"/>
    <xf numFmtId="168" fontId="77" fillId="0" borderId="1" xfId="1" applyNumberFormat="1" applyFont="1" applyBorder="1" applyAlignment="1"/>
    <xf numFmtId="168" fontId="77" fillId="0" borderId="0" xfId="1" applyNumberFormat="1" applyFont="1" applyBorder="1" applyAlignment="1"/>
    <xf numFmtId="168" fontId="85" fillId="0" borderId="7" xfId="1" applyNumberFormat="1" applyFont="1" applyBorder="1" applyAlignment="1"/>
    <xf numFmtId="168" fontId="77" fillId="0" borderId="7" xfId="1" applyNumberFormat="1" applyFont="1" applyBorder="1" applyAlignment="1"/>
    <xf numFmtId="0" fontId="89" fillId="0" borderId="0" xfId="0" applyFont="1"/>
    <xf numFmtId="15" fontId="77" fillId="0" borderId="0" xfId="1" applyNumberFormat="1" applyFont="1" applyAlignment="1"/>
    <xf numFmtId="168" fontId="79" fillId="0" borderId="0" xfId="0" applyNumberFormat="1" applyFont="1"/>
    <xf numFmtId="43" fontId="77" fillId="0" borderId="0" xfId="0" applyNumberFormat="1" applyFont="1"/>
    <xf numFmtId="9" fontId="85" fillId="0" borderId="0" xfId="17" applyFont="1" applyAlignment="1"/>
    <xf numFmtId="164" fontId="67" fillId="0" borderId="0" xfId="1" applyFont="1" applyAlignment="1"/>
    <xf numFmtId="164" fontId="67" fillId="0" borderId="1" xfId="1" applyFont="1" applyBorder="1" applyAlignment="1"/>
    <xf numFmtId="164" fontId="67" fillId="0" borderId="8" xfId="1" applyFont="1" applyBorder="1" applyAlignment="1"/>
    <xf numFmtId="164" fontId="77" fillId="0" borderId="0" xfId="2" applyFont="1" applyBorder="1" applyAlignment="1"/>
    <xf numFmtId="15" fontId="77" fillId="0" borderId="0" xfId="1" applyNumberFormat="1" applyFont="1" applyBorder="1" applyAlignment="1"/>
    <xf numFmtId="168" fontId="77" fillId="0" borderId="7" xfId="13" applyNumberFormat="1" applyFont="1" applyBorder="1" applyAlignment="1" applyProtection="1">
      <alignment horizontal="center"/>
    </xf>
    <xf numFmtId="168" fontId="77" fillId="0" borderId="0" xfId="13" applyNumberFormat="1" applyFont="1" applyBorder="1" applyAlignment="1" applyProtection="1">
      <alignment horizontal="center"/>
    </xf>
    <xf numFmtId="168" fontId="77" fillId="0" borderId="1" xfId="13" applyNumberFormat="1" applyFont="1" applyBorder="1" applyAlignment="1" applyProtection="1">
      <alignment horizontal="center"/>
    </xf>
    <xf numFmtId="168" fontId="5" fillId="0" borderId="10" xfId="0" applyNumberFormat="1" applyFont="1" applyBorder="1"/>
    <xf numFmtId="0" fontId="79" fillId="0" borderId="7" xfId="0" applyFont="1" applyBorder="1"/>
    <xf numFmtId="0" fontId="5" fillId="16" borderId="0" xfId="0" applyFont="1" applyFill="1" applyAlignment="1">
      <alignment horizontal="center"/>
    </xf>
    <xf numFmtId="164" fontId="5" fillId="16" borderId="0" xfId="1" applyFont="1" applyFill="1" applyAlignment="1">
      <alignment horizontal="center"/>
    </xf>
    <xf numFmtId="0" fontId="90" fillId="0" borderId="0" xfId="0" applyFont="1"/>
    <xf numFmtId="164" fontId="88" fillId="0" borderId="0" xfId="1" applyFont="1" applyAlignment="1"/>
    <xf numFmtId="0" fontId="88" fillId="0" borderId="1" xfId="0" applyFont="1" applyBorder="1"/>
    <xf numFmtId="168" fontId="77" fillId="0" borderId="2" xfId="1" applyNumberFormat="1" applyFont="1" applyBorder="1" applyAlignment="1">
      <alignment horizontal="center"/>
    </xf>
    <xf numFmtId="168" fontId="77" fillId="0" borderId="3" xfId="1" applyNumberFormat="1" applyFont="1" applyBorder="1" applyAlignment="1">
      <alignment horizontal="center"/>
    </xf>
    <xf numFmtId="168" fontId="77" fillId="0" borderId="13" xfId="1" applyNumberFormat="1" applyFont="1" applyBorder="1" applyAlignment="1">
      <alignment horizontal="center"/>
    </xf>
    <xf numFmtId="168" fontId="77" fillId="0" borderId="4" xfId="1" applyNumberFormat="1" applyFont="1" applyBorder="1" applyAlignment="1">
      <alignment horizontal="center"/>
    </xf>
    <xf numFmtId="168" fontId="77" fillId="0" borderId="6" xfId="1" applyNumberFormat="1" applyFont="1" applyBorder="1" applyAlignment="1">
      <alignment horizontal="center"/>
    </xf>
    <xf numFmtId="168" fontId="77" fillId="0" borderId="13" xfId="13" applyNumberFormat="1" applyFont="1" applyBorder="1" applyAlignment="1" applyProtection="1">
      <alignment horizontal="center"/>
    </xf>
    <xf numFmtId="168" fontId="77" fillId="0" borderId="4" xfId="13" applyNumberFormat="1" applyFont="1" applyBorder="1" applyAlignment="1" applyProtection="1">
      <alignment horizontal="center"/>
    </xf>
    <xf numFmtId="168" fontId="77" fillId="0" borderId="1" xfId="13" applyNumberFormat="1" applyFont="1" applyBorder="1" applyAlignment="1" applyProtection="1"/>
    <xf numFmtId="9" fontId="77" fillId="0" borderId="0" xfId="17" applyFont="1" applyBorder="1" applyAlignment="1">
      <alignment horizontal="center"/>
    </xf>
    <xf numFmtId="168" fontId="77" fillId="0" borderId="9" xfId="1" applyNumberFormat="1" applyFont="1" applyBorder="1" applyAlignment="1">
      <alignment horizontal="center"/>
    </xf>
    <xf numFmtId="168" fontId="77" fillId="0" borderId="11" xfId="1" applyNumberFormat="1" applyFont="1" applyBorder="1" applyAlignment="1">
      <alignment horizontal="center"/>
    </xf>
    <xf numFmtId="168" fontId="77" fillId="0" borderId="12" xfId="1" applyNumberFormat="1" applyFont="1" applyBorder="1" applyAlignment="1">
      <alignment horizontal="center"/>
    </xf>
    <xf numFmtId="168" fontId="77" fillId="0" borderId="11" xfId="13" applyNumberFormat="1" applyFont="1" applyBorder="1" applyAlignment="1" applyProtection="1">
      <alignment horizontal="center"/>
    </xf>
    <xf numFmtId="0" fontId="88" fillId="0" borderId="7" xfId="0" applyFont="1" applyBorder="1"/>
    <xf numFmtId="0" fontId="91" fillId="0" borderId="0" xfId="0" applyFont="1"/>
    <xf numFmtId="168" fontId="77" fillId="0" borderId="2" xfId="13" applyNumberFormat="1" applyFont="1" applyBorder="1" applyAlignment="1" applyProtection="1">
      <alignment horizontal="center"/>
    </xf>
    <xf numFmtId="168" fontId="77" fillId="0" borderId="3" xfId="13" applyNumberFormat="1" applyFont="1" applyBorder="1" applyAlignment="1" applyProtection="1">
      <alignment horizontal="center"/>
    </xf>
    <xf numFmtId="168" fontId="77" fillId="0" borderId="5" xfId="13" applyNumberFormat="1" applyFont="1" applyBorder="1" applyAlignment="1" applyProtection="1">
      <alignment horizontal="center"/>
    </xf>
    <xf numFmtId="168" fontId="77" fillId="0" borderId="6" xfId="13" applyNumberFormat="1" applyFont="1" applyBorder="1" applyAlignment="1" applyProtection="1">
      <alignment horizontal="center"/>
    </xf>
    <xf numFmtId="168" fontId="77" fillId="0" borderId="9" xfId="1" applyNumberFormat="1" applyFont="1" applyBorder="1" applyAlignment="1"/>
    <xf numFmtId="168" fontId="77" fillId="0" borderId="11" xfId="1" applyNumberFormat="1" applyFont="1" applyBorder="1" applyAlignment="1"/>
    <xf numFmtId="168" fontId="77" fillId="0" borderId="12" xfId="1" applyNumberFormat="1" applyFont="1" applyBorder="1" applyAlignment="1"/>
    <xf numFmtId="168" fontId="77" fillId="0" borderId="9" xfId="13" applyNumberFormat="1" applyFont="1" applyBorder="1" applyAlignment="1" applyProtection="1">
      <alignment horizontal="center"/>
    </xf>
    <xf numFmtId="168" fontId="77" fillId="0" borderId="12" xfId="13" applyNumberFormat="1" applyFont="1" applyBorder="1" applyAlignment="1" applyProtection="1">
      <alignment horizontal="center"/>
    </xf>
    <xf numFmtId="168" fontId="77" fillId="0" borderId="13" xfId="13" applyNumberFormat="1" applyFont="1" applyBorder="1" applyAlignment="1" applyProtection="1"/>
    <xf numFmtId="168" fontId="77" fillId="0" borderId="4" xfId="13" applyNumberFormat="1" applyFont="1" applyBorder="1" applyAlignment="1" applyProtection="1"/>
    <xf numFmtId="168" fontId="77" fillId="0" borderId="11" xfId="13" applyNumberFormat="1" applyFont="1" applyBorder="1" applyAlignment="1" applyProtection="1"/>
    <xf numFmtId="164" fontId="77" fillId="0" borderId="16" xfId="1" applyFont="1" applyBorder="1" applyAlignment="1"/>
    <xf numFmtId="174" fontId="77" fillId="0" borderId="0" xfId="1" applyNumberFormat="1" applyFont="1" applyAlignment="1"/>
    <xf numFmtId="164" fontId="88" fillId="0" borderId="0" xfId="1" applyFont="1" applyAlignment="1">
      <alignment horizontal="center"/>
    </xf>
    <xf numFmtId="9" fontId="88" fillId="0" borderId="0" xfId="17" applyFont="1" applyAlignment="1"/>
    <xf numFmtId="37" fontId="88" fillId="0" borderId="0" xfId="0" applyNumberFormat="1" applyFont="1"/>
    <xf numFmtId="0" fontId="90" fillId="0" borderId="0" xfId="13" applyFont="1" applyBorder="1" applyAlignment="1" applyProtection="1"/>
    <xf numFmtId="0" fontId="5" fillId="13" borderId="0" xfId="0" quotePrefix="1" applyFont="1" applyFill="1" applyProtection="1">
      <protection locked="0"/>
    </xf>
    <xf numFmtId="164" fontId="88" fillId="0" borderId="0" xfId="1" applyFont="1" applyBorder="1" applyAlignment="1">
      <alignment horizontal="center"/>
    </xf>
    <xf numFmtId="164" fontId="88" fillId="0" borderId="0" xfId="0" applyNumberFormat="1" applyFont="1" applyAlignment="1">
      <alignment horizontal="center"/>
    </xf>
    <xf numFmtId="164" fontId="88" fillId="0" borderId="0" xfId="1" applyFont="1" applyBorder="1" applyAlignment="1"/>
    <xf numFmtId="0" fontId="92" fillId="0" borderId="0" xfId="0" applyFont="1" applyAlignment="1">
      <alignment vertical="center"/>
    </xf>
    <xf numFmtId="0" fontId="93" fillId="0" borderId="0" xfId="0" applyFont="1" applyAlignment="1">
      <alignment vertical="center"/>
    </xf>
    <xf numFmtId="164" fontId="93" fillId="0" borderId="0" xfId="1" applyFont="1" applyAlignment="1">
      <alignment vertical="center"/>
    </xf>
    <xf numFmtId="164" fontId="92" fillId="0" borderId="0" xfId="1" applyFont="1" applyAlignment="1">
      <alignment horizontal="center" vertical="center"/>
    </xf>
    <xf numFmtId="0" fontId="93" fillId="0" borderId="0" xfId="1" applyNumberFormat="1" applyFont="1" applyAlignment="1">
      <alignment horizontal="center" vertical="center"/>
    </xf>
    <xf numFmtId="0" fontId="94" fillId="0" borderId="0" xfId="0" applyFont="1" applyAlignment="1">
      <alignment vertical="center"/>
    </xf>
    <xf numFmtId="0" fontId="93" fillId="0" borderId="0" xfId="0" applyFont="1" applyAlignment="1">
      <alignment horizontal="left" vertical="center"/>
    </xf>
    <xf numFmtId="0" fontId="93" fillId="0" borderId="0" xfId="0" quotePrefix="1" applyFont="1" applyAlignment="1">
      <alignment horizontal="left" vertical="center"/>
    </xf>
    <xf numFmtId="0" fontId="93" fillId="0" borderId="1" xfId="0" applyFont="1" applyBorder="1" applyAlignment="1">
      <alignment vertical="center"/>
    </xf>
    <xf numFmtId="164" fontId="93" fillId="0" borderId="1" xfId="2" applyFont="1" applyBorder="1" applyAlignment="1">
      <alignment vertical="center"/>
    </xf>
    <xf numFmtId="164" fontId="93" fillId="0" borderId="1" xfId="1" applyFont="1" applyBorder="1" applyAlignment="1">
      <alignment vertical="center"/>
    </xf>
    <xf numFmtId="0" fontId="95" fillId="0" borderId="0" xfId="0" applyFont="1" applyAlignment="1">
      <alignment vertical="center"/>
    </xf>
    <xf numFmtId="164" fontId="93" fillId="0" borderId="0" xfId="1" quotePrefix="1" applyFont="1" applyAlignment="1">
      <alignment vertical="center"/>
    </xf>
    <xf numFmtId="0" fontId="93" fillId="0" borderId="0" xfId="13" applyFont="1" applyAlignment="1" applyProtection="1">
      <alignment vertical="center"/>
    </xf>
    <xf numFmtId="164" fontId="93" fillId="0" borderId="0" xfId="1" applyFont="1" applyBorder="1" applyAlignment="1">
      <alignment vertical="center"/>
    </xf>
    <xf numFmtId="0" fontId="92" fillId="0" borderId="0" xfId="0" applyFont="1"/>
    <xf numFmtId="0" fontId="93" fillId="0" borderId="0" xfId="0" applyFont="1"/>
    <xf numFmtId="0" fontId="93" fillId="0" borderId="0" xfId="13" applyFont="1" applyAlignment="1" applyProtection="1"/>
    <xf numFmtId="0" fontId="93" fillId="0" borderId="1" xfId="0" applyFont="1" applyBorder="1"/>
    <xf numFmtId="0" fontId="93" fillId="0" borderId="7" xfId="0" applyFont="1" applyBorder="1" applyAlignment="1">
      <alignment vertical="center"/>
    </xf>
    <xf numFmtId="164" fontId="80" fillId="0" borderId="0" xfId="0" applyNumberFormat="1" applyFont="1"/>
    <xf numFmtId="0" fontId="92" fillId="0" borderId="0" xfId="13" applyFont="1" applyAlignment="1" applyProtection="1"/>
    <xf numFmtId="0" fontId="92" fillId="0" borderId="0" xfId="13" applyFont="1" applyAlignment="1" applyProtection="1">
      <alignment vertical="center"/>
    </xf>
    <xf numFmtId="9" fontId="93" fillId="0" borderId="0" xfId="17" applyFont="1" applyAlignment="1">
      <alignment vertical="center"/>
    </xf>
    <xf numFmtId="0" fontId="96" fillId="0" borderId="0" xfId="0" applyFont="1"/>
    <xf numFmtId="0" fontId="85" fillId="0" borderId="7" xfId="0" applyFont="1" applyBorder="1" applyAlignment="1">
      <alignment horizontal="center"/>
    </xf>
    <xf numFmtId="0" fontId="85" fillId="0" borderId="7" xfId="0" applyFont="1" applyBorder="1"/>
    <xf numFmtId="164" fontId="93" fillId="0" borderId="0" xfId="1" applyFont="1" applyBorder="1" applyAlignment="1"/>
    <xf numFmtId="164" fontId="93" fillId="0" borderId="0" xfId="1" applyFont="1" applyAlignment="1"/>
    <xf numFmtId="0" fontId="92" fillId="0" borderId="0" xfId="0" applyFont="1" applyAlignment="1">
      <alignment horizontal="center" vertical="center"/>
    </xf>
    <xf numFmtId="0" fontId="93" fillId="0" borderId="0" xfId="0" applyFont="1" applyAlignment="1">
      <alignment horizontal="center" vertical="center"/>
    </xf>
    <xf numFmtId="164" fontId="93" fillId="0" borderId="0" xfId="0" applyNumberFormat="1" applyFont="1" applyAlignment="1">
      <alignment vertical="center"/>
    </xf>
    <xf numFmtId="0" fontId="93" fillId="0" borderId="7" xfId="0" applyFont="1" applyBorder="1" applyAlignment="1">
      <alignment horizontal="center" vertical="center"/>
    </xf>
    <xf numFmtId="0" fontId="94" fillId="0" borderId="0" xfId="0" applyFont="1"/>
    <xf numFmtId="0" fontId="93" fillId="0" borderId="7" xfId="0" applyFont="1" applyBorder="1"/>
    <xf numFmtId="0" fontId="95" fillId="0" borderId="0" xfId="0" applyFont="1"/>
    <xf numFmtId="10" fontId="93" fillId="0" borderId="0" xfId="0" applyNumberFormat="1" applyFont="1" applyAlignment="1">
      <alignment horizontal="center"/>
    </xf>
    <xf numFmtId="0" fontId="92" fillId="0" borderId="7" xfId="0" applyFont="1" applyBorder="1"/>
    <xf numFmtId="0" fontId="92" fillId="0" borderId="0" xfId="13" applyFont="1" applyBorder="1" applyAlignment="1" applyProtection="1"/>
    <xf numFmtId="0" fontId="93" fillId="0" borderId="0" xfId="13" applyFont="1" applyBorder="1" applyAlignment="1" applyProtection="1"/>
    <xf numFmtId="164" fontId="93" fillId="0" borderId="0" xfId="0" applyNumberFormat="1" applyFont="1"/>
    <xf numFmtId="0" fontId="86" fillId="0" borderId="7" xfId="0" applyFont="1" applyBorder="1"/>
    <xf numFmtId="9" fontId="93" fillId="0" borderId="0" xfId="0" applyNumberFormat="1" applyFont="1" applyAlignment="1">
      <alignment horizontal="center"/>
    </xf>
    <xf numFmtId="168" fontId="93" fillId="0" borderId="0" xfId="0" applyNumberFormat="1" applyFont="1"/>
    <xf numFmtId="168" fontId="93" fillId="0" borderId="0" xfId="1" applyNumberFormat="1" applyFont="1" applyAlignment="1"/>
    <xf numFmtId="168" fontId="93" fillId="0" borderId="0" xfId="1" applyNumberFormat="1" applyFont="1" applyBorder="1" applyAlignment="1"/>
    <xf numFmtId="168" fontId="93" fillId="0" borderId="7" xfId="1" applyNumberFormat="1" applyFont="1" applyBorder="1" applyAlignment="1"/>
    <xf numFmtId="168" fontId="93" fillId="0" borderId="7" xfId="0" applyNumberFormat="1" applyFont="1" applyBorder="1"/>
    <xf numFmtId="0" fontId="94" fillId="0" borderId="7" xfId="0" applyFont="1" applyBorder="1"/>
    <xf numFmtId="0" fontId="93" fillId="0" borderId="0" xfId="0" applyFont="1" applyAlignment="1">
      <alignment horizontal="left" vertical="top" wrapText="1"/>
    </xf>
    <xf numFmtId="0" fontId="68" fillId="0" borderId="0" xfId="0" applyFont="1" applyAlignment="1">
      <alignment horizontal="center"/>
    </xf>
    <xf numFmtId="0" fontId="93" fillId="0" borderId="0" xfId="0" applyFont="1" applyAlignment="1">
      <alignment horizontal="center" vertical="center"/>
    </xf>
    <xf numFmtId="0" fontId="92" fillId="0" borderId="0" xfId="0" applyFont="1" applyAlignment="1">
      <alignment horizontal="center" vertical="center"/>
    </xf>
    <xf numFmtId="168" fontId="88" fillId="0" borderId="1" xfId="1" applyNumberFormat="1" applyFont="1" applyBorder="1" applyAlignment="1">
      <alignment horizontal="center"/>
    </xf>
    <xf numFmtId="168" fontId="88" fillId="0" borderId="0" xfId="1" applyNumberFormat="1" applyFont="1" applyBorder="1" applyAlignment="1">
      <alignment horizontal="center"/>
    </xf>
    <xf numFmtId="15" fontId="77" fillId="0" borderId="0" xfId="1" applyNumberFormat="1" applyFont="1" applyAlignment="1">
      <alignment horizontal="center"/>
    </xf>
    <xf numFmtId="0" fontId="54" fillId="12" borderId="0" xfId="0" applyFont="1" applyFill="1" applyAlignment="1">
      <alignment horizontal="center"/>
    </xf>
    <xf numFmtId="164" fontId="88" fillId="0" borderId="0" xfId="1" applyFont="1" applyBorder="1" applyAlignment="1">
      <alignment horizontal="center"/>
    </xf>
    <xf numFmtId="164" fontId="88" fillId="0" borderId="1" xfId="1" applyFont="1" applyBorder="1" applyAlignment="1">
      <alignment horizontal="center"/>
    </xf>
    <xf numFmtId="15" fontId="77" fillId="0" borderId="0" xfId="1" applyNumberFormat="1" applyFont="1" applyBorder="1" applyAlignment="1">
      <alignment horizontal="center"/>
    </xf>
    <xf numFmtId="0" fontId="5" fillId="0" borderId="0" xfId="0" applyFont="1" applyAlignment="1">
      <alignment horizontal="center"/>
    </xf>
    <xf numFmtId="0" fontId="7" fillId="9" borderId="0" xfId="0" applyFont="1" applyFill="1" applyAlignment="1">
      <alignment horizontal="center"/>
    </xf>
    <xf numFmtId="0" fontId="5" fillId="8" borderId="0" xfId="0" applyFont="1" applyFill="1" applyProtection="1">
      <protection locked="0"/>
    </xf>
    <xf numFmtId="0" fontId="7" fillId="18" borderId="0" xfId="0" applyFont="1" applyFill="1" applyProtection="1">
      <protection locked="0"/>
    </xf>
    <xf numFmtId="0" fontId="7" fillId="12" borderId="0" xfId="0" applyFont="1" applyFill="1" applyProtection="1">
      <protection locked="0"/>
    </xf>
    <xf numFmtId="0" fontId="5" fillId="13" borderId="0" xfId="0" applyFont="1" applyFill="1" applyProtection="1">
      <protection locked="0"/>
    </xf>
    <xf numFmtId="164" fontId="10" fillId="0" borderId="0" xfId="1" applyFont="1" applyAlignment="1" applyProtection="1">
      <alignment horizontal="center"/>
      <protection locked="0"/>
    </xf>
    <xf numFmtId="164" fontId="2" fillId="0" borderId="0" xfId="1" applyAlignment="1" applyProtection="1">
      <alignment horizontal="center"/>
      <protection locked="0"/>
    </xf>
    <xf numFmtId="0" fontId="10" fillId="0" borderId="0" xfId="0" applyFont="1" applyAlignment="1" applyProtection="1">
      <alignment horizontal="center"/>
      <protection locked="0"/>
    </xf>
    <xf numFmtId="164" fontId="6" fillId="0" borderId="0" xfId="1" applyFont="1" applyAlignment="1">
      <alignment horizontal="center"/>
    </xf>
    <xf numFmtId="164" fontId="4" fillId="0" borderId="2" xfId="1" applyFont="1" applyBorder="1" applyAlignment="1">
      <alignment horizontal="center"/>
    </xf>
    <xf numFmtId="164" fontId="4" fillId="0" borderId="7" xfId="1" applyFont="1" applyBorder="1" applyAlignment="1">
      <alignment horizontal="center"/>
    </xf>
    <xf numFmtId="164" fontId="4" fillId="0" borderId="3" xfId="1" applyFont="1" applyBorder="1" applyAlignment="1">
      <alignment horizontal="center"/>
    </xf>
    <xf numFmtId="164" fontId="9" fillId="0" borderId="13" xfId="1" applyFont="1" applyBorder="1" applyAlignment="1">
      <alignment horizontal="center"/>
    </xf>
    <xf numFmtId="164" fontId="9" fillId="0" borderId="0" xfId="1" applyFont="1" applyAlignment="1">
      <alignment horizontal="center"/>
    </xf>
    <xf numFmtId="164" fontId="9" fillId="0" borderId="4" xfId="1" applyFont="1" applyBorder="1" applyAlignment="1">
      <alignment horizontal="center"/>
    </xf>
    <xf numFmtId="164" fontId="0" fillId="0" borderId="0" xfId="1" applyFont="1" applyAlignment="1" applyProtection="1">
      <alignment horizontal="center"/>
      <protection locked="0"/>
    </xf>
    <xf numFmtId="0" fontId="6" fillId="0" borderId="0" xfId="0" applyFont="1" applyAlignment="1">
      <alignment horizontal="center"/>
    </xf>
  </cellXfs>
  <cellStyles count="29">
    <cellStyle name="Comma" xfId="1" builtinId="3"/>
    <cellStyle name="Comma 2" xfId="2" xr:uid="{00000000-0005-0000-0000-000001000000}"/>
    <cellStyle name="Comma 2 2" xfId="3" xr:uid="{00000000-0005-0000-0000-000002000000}"/>
    <cellStyle name="Comma 2 3" xfId="24" xr:uid="{52453EEF-0D51-4395-958C-7C128978CA96}"/>
    <cellStyle name="Comma 3" xfId="4" xr:uid="{00000000-0005-0000-0000-000003000000}"/>
    <cellStyle name="Comma 3 2" xfId="5" xr:uid="{00000000-0005-0000-0000-000004000000}"/>
    <cellStyle name="Comma 4" xfId="6" xr:uid="{00000000-0005-0000-0000-000005000000}"/>
    <cellStyle name="Comma 4 2" xfId="7" xr:uid="{00000000-0005-0000-0000-000006000000}"/>
    <cellStyle name="Comma 5" xfId="8" xr:uid="{00000000-0005-0000-0000-000007000000}"/>
    <cellStyle name="Comma 5 2" xfId="9" xr:uid="{00000000-0005-0000-0000-000008000000}"/>
    <cellStyle name="Comma 6" xfId="10" xr:uid="{00000000-0005-0000-0000-000009000000}"/>
    <cellStyle name="Comma 7" xfId="11" xr:uid="{00000000-0005-0000-0000-00000A000000}"/>
    <cellStyle name="Excel Built-in Normal" xfId="12" xr:uid="{00000000-0005-0000-0000-00000D000000}"/>
    <cellStyle name="Hyperlink" xfId="13" builtinId="8"/>
    <cellStyle name="Normal" xfId="0" builtinId="0"/>
    <cellStyle name="Normal 2" xfId="14" xr:uid="{00000000-0005-0000-0000-000010000000}"/>
    <cellStyle name="Normal 2 2" xfId="27" xr:uid="{CB3EB91A-3A64-4AFF-8188-AFBAFF9485A8}"/>
    <cellStyle name="Normal 3" xfId="15" xr:uid="{00000000-0005-0000-0000-000011000000}"/>
    <cellStyle name="Normal 4" xfId="23" xr:uid="{ACF0510B-F609-44CF-B7C9-9DF42D839272}"/>
    <cellStyle name="Normal 5" xfId="25" xr:uid="{A7247675-8E61-4763-AD07-039BEAA7DE58}"/>
    <cellStyle name="Normal 6" xfId="26" xr:uid="{00000000-0005-0000-0000-000047000000}"/>
    <cellStyle name="Normal_VAT schedule" xfId="16" xr:uid="{00000000-0005-0000-0000-000016000000}"/>
    <cellStyle name="Percent" xfId="17" builtinId="5"/>
    <cellStyle name="Percent 2" xfId="18" xr:uid="{00000000-0005-0000-0000-000018000000}"/>
    <cellStyle name="Percent 2 2" xfId="19" xr:uid="{00000000-0005-0000-0000-000019000000}"/>
    <cellStyle name="Percent 2 3" xfId="28" xr:uid="{35482C83-D02B-4C4B-9006-C0FEE8602378}"/>
    <cellStyle name="Percent 3" xfId="20" xr:uid="{00000000-0005-0000-0000-00001A000000}"/>
    <cellStyle name="Percent 3 2" xfId="21" xr:uid="{00000000-0005-0000-0000-00001B000000}"/>
    <cellStyle name="Percent 4" xfId="22" xr:uid="{00000000-0005-0000-0000-00001C000000}"/>
  </cellStyles>
  <dxfs count="0"/>
  <tableStyles count="0" defaultTableStyle="TableStyleMedium9" defaultPivotStyle="PivotStyleLight16"/>
  <colors>
    <mruColors>
      <color rgb="FF7EC579"/>
      <color rgb="FF79EE50"/>
      <color rgb="FFCC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xdr:col>
      <xdr:colOff>9525</xdr:colOff>
      <xdr:row>6</xdr:row>
      <xdr:rowOff>19050</xdr:rowOff>
    </xdr:from>
    <xdr:to>
      <xdr:col>3</xdr:col>
      <xdr:colOff>9525</xdr:colOff>
      <xdr:row>18</xdr:row>
      <xdr:rowOff>161157</xdr:rowOff>
    </xdr:to>
    <xdr:pic>
      <xdr:nvPicPr>
        <xdr:cNvPr id="4" name="Picture 3">
          <a:extLst>
            <a:ext uri="{FF2B5EF4-FFF2-40B4-BE49-F238E27FC236}">
              <a16:creationId xmlns:a16="http://schemas.microsoft.com/office/drawing/2014/main" id="{FFFCC214-EB20-4D88-8E6E-9E9D878B27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 y="1562100"/>
          <a:ext cx="6067425" cy="24281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442</xdr:row>
      <xdr:rowOff>0</xdr:rowOff>
    </xdr:from>
    <xdr:to>
      <xdr:col>3</xdr:col>
      <xdr:colOff>104775</xdr:colOff>
      <xdr:row>442</xdr:row>
      <xdr:rowOff>0</xdr:rowOff>
    </xdr:to>
    <xdr:pic>
      <xdr:nvPicPr>
        <xdr:cNvPr id="50065" name="Picture 1">
          <a:extLst>
            <a:ext uri="{FF2B5EF4-FFF2-40B4-BE49-F238E27FC236}">
              <a16:creationId xmlns:a16="http://schemas.microsoft.com/office/drawing/2014/main" id="{00000000-0008-0000-0000-000091C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5325" y="54854475"/>
          <a:ext cx="561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19050</xdr:colOff>
      <xdr:row>442</xdr:row>
      <xdr:rowOff>0</xdr:rowOff>
    </xdr:from>
    <xdr:to>
      <xdr:col>10</xdr:col>
      <xdr:colOff>876300</xdr:colOff>
      <xdr:row>442</xdr:row>
      <xdr:rowOff>0</xdr:rowOff>
    </xdr:to>
    <xdr:pic>
      <xdr:nvPicPr>
        <xdr:cNvPr id="50066" name="Picture 2" descr="fullset">
          <a:extLst>
            <a:ext uri="{FF2B5EF4-FFF2-40B4-BE49-F238E27FC236}">
              <a16:creationId xmlns:a16="http://schemas.microsoft.com/office/drawing/2014/main" id="{00000000-0008-0000-0000-000092C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0" y="54854475"/>
          <a:ext cx="3181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3</xdr:col>
      <xdr:colOff>200025</xdr:colOff>
      <xdr:row>2</xdr:row>
      <xdr:rowOff>76200</xdr:rowOff>
    </xdr:to>
    <xdr:pic>
      <xdr:nvPicPr>
        <xdr:cNvPr id="3" name="Picture 2" descr="SARS Online">
          <a:extLst>
            <a:ext uri="{FF2B5EF4-FFF2-40B4-BE49-F238E27FC236}">
              <a16:creationId xmlns:a16="http://schemas.microsoft.com/office/drawing/2014/main" id="{DEE817D0-F07E-4E3C-998C-942DA9311F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0" y="161925"/>
          <a:ext cx="2076450"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442</xdr:row>
      <xdr:rowOff>0</xdr:rowOff>
    </xdr:from>
    <xdr:to>
      <xdr:col>3</xdr:col>
      <xdr:colOff>104775</xdr:colOff>
      <xdr:row>442</xdr:row>
      <xdr:rowOff>0</xdr:rowOff>
    </xdr:to>
    <xdr:pic>
      <xdr:nvPicPr>
        <xdr:cNvPr id="2" name="Picture 1">
          <a:extLst>
            <a:ext uri="{FF2B5EF4-FFF2-40B4-BE49-F238E27FC236}">
              <a16:creationId xmlns:a16="http://schemas.microsoft.com/office/drawing/2014/main" id="{9CCF8970-D91D-4AAB-96FC-7DD208DC72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5325" y="106946700"/>
          <a:ext cx="561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19050</xdr:colOff>
      <xdr:row>442</xdr:row>
      <xdr:rowOff>0</xdr:rowOff>
    </xdr:from>
    <xdr:to>
      <xdr:col>10</xdr:col>
      <xdr:colOff>876300</xdr:colOff>
      <xdr:row>442</xdr:row>
      <xdr:rowOff>0</xdr:rowOff>
    </xdr:to>
    <xdr:pic>
      <xdr:nvPicPr>
        <xdr:cNvPr id="3" name="Picture 2" descr="fullset">
          <a:extLst>
            <a:ext uri="{FF2B5EF4-FFF2-40B4-BE49-F238E27FC236}">
              <a16:creationId xmlns:a16="http://schemas.microsoft.com/office/drawing/2014/main" id="{C454B70E-C73B-4E37-BBD8-77B560E522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0" y="106946700"/>
          <a:ext cx="3467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0</xdr:colOff>
      <xdr:row>2</xdr:row>
      <xdr:rowOff>0</xdr:rowOff>
    </xdr:from>
    <xdr:to>
      <xdr:col>9</xdr:col>
      <xdr:colOff>247650</xdr:colOff>
      <xdr:row>3</xdr:row>
      <xdr:rowOff>251845</xdr:rowOff>
    </xdr:to>
    <xdr:pic>
      <xdr:nvPicPr>
        <xdr:cNvPr id="2" name="Picture 1" descr="SARS Online">
          <a:extLst>
            <a:ext uri="{FF2B5EF4-FFF2-40B4-BE49-F238E27FC236}">
              <a16:creationId xmlns:a16="http://schemas.microsoft.com/office/drawing/2014/main" id="{7AD7711A-8F74-408E-B086-9720541D88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1600" y="609600"/>
          <a:ext cx="4171950" cy="918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HP\Documents\AFSEasy\Financials\Master%20CC.xlsx" TargetMode="External"/><Relationship Id="rId1" Type="http://schemas.openxmlformats.org/officeDocument/2006/relationships/externalLinkPath" Target="Master%20C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Clients\GER03\2006\Purple%20Moss%201230%20(2006).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Users/Gerhard/Documents/AFSEasy/MasterPtyLtd.xlsx" TargetMode="External"/><Relationship Id="rId1" Type="http://schemas.openxmlformats.org/officeDocument/2006/relationships/externalLinkPath" Target="/Users/Gerhard/Documents/AFSEasy/MasterPtyLtd.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Users/Gerhard/Documents/Albert/CShell%20172%20(Pty)%20Ltd/2017/CShell%20172%20(Pty)%20Ltd%202013%20Final%20SARS.xls" TargetMode="External"/><Relationship Id="rId1" Type="http://schemas.openxmlformats.org/officeDocument/2006/relationships/externalLinkPath" Target="/Users/Gerhard/Documents/Albert/CShell%20172%20(Pty)%20Ltd/2017/CShell%20172%20(Pty)%20Ltd%202013%20Final%20SARS.xls"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Users/Gerhard/Documents/Albert/Scarlet%20Moon%20Investments%20CC/2018/Scarlet%20Moon%20Investments%20CC%20-%202018%20-%20SARS%20Final.xlsx" TargetMode="External"/><Relationship Id="rId1" Type="http://schemas.openxmlformats.org/officeDocument/2006/relationships/externalLinkPath" Target="/Users/Gerhard/Documents/Albert/Scarlet%20Moon%20Investments%20CC/2018/Scarlet%20Moon%20Investments%20CC%20-%202018%20-%20SARS%20Fin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ail\gra\GRA\Clients\Sedgefield%20Classic%20Cars%20CC\2007\Sedgefield%20Classic%20Cars%20CC%20(20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ail\gra\GRA%20Clients\Clients\KIT01\2008\Handz%20On%20Car%20Wash%2020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
      <sheetName val="FS"/>
      <sheetName val="SARS"/>
      <sheetName val="FS2"/>
      <sheetName val="Criteria"/>
      <sheetName val="TrialBalance"/>
      <sheetName val="Journals"/>
      <sheetName val="TBClient"/>
      <sheetName val="GLClient"/>
      <sheetName val="FARegister"/>
      <sheetName val="TARegister"/>
      <sheetName val="VAT"/>
      <sheetName val="ILoans"/>
      <sheetName val="IFree"/>
      <sheetName val="DTax"/>
      <sheetName val="NC Receivables"/>
      <sheetName val="Stock"/>
      <sheetName val="Debtors"/>
      <sheetName val="Bank"/>
      <sheetName val="Creditors"/>
      <sheetName val="Expenses"/>
      <sheetName val="Open"/>
      <sheetName val="Loan 1"/>
      <sheetName val="HP1"/>
      <sheetName val="TrialBalanceA"/>
      <sheetName val="JournalsA"/>
      <sheetName val="TrialBalanceB"/>
      <sheetName val="JournalsB"/>
      <sheetName val="TrialBalanceC"/>
      <sheetName val="JournalsC"/>
      <sheetName val="Analytical"/>
    </sheetNames>
    <sheetDataSet>
      <sheetData sheetId="0" refreshError="1"/>
      <sheetData sheetId="1" refreshError="1"/>
      <sheetData sheetId="2" refreshError="1"/>
      <sheetData sheetId="3" refreshError="1"/>
      <sheetData sheetId="4" refreshError="1"/>
      <sheetData sheetId="5">
        <row r="5">
          <cell r="P5" t="str">
            <v>1000/001Sales</v>
          </cell>
        </row>
        <row r="6">
          <cell r="P6" t="str">
            <v>1000/002Sales 2</v>
          </cell>
        </row>
        <row r="7">
          <cell r="P7" t="str">
            <v>1000/003Rent received</v>
          </cell>
        </row>
        <row r="8">
          <cell r="P8" t="str">
            <v>2000/000COST OF SALES</v>
          </cell>
        </row>
        <row r="9">
          <cell r="P9" t="str">
            <v>2000/001Opening stock - Raw materials</v>
          </cell>
        </row>
        <row r="10">
          <cell r="P10" t="str">
            <v>2000/002Opening stock - WIP</v>
          </cell>
        </row>
        <row r="11">
          <cell r="P11" t="str">
            <v>2000/003Opening stock - Finished goods</v>
          </cell>
        </row>
        <row r="12">
          <cell r="P12" t="str">
            <v>2000/004Opening stock - Trading stock</v>
          </cell>
        </row>
        <row r="13">
          <cell r="P13" t="str">
            <v>2000/010Purchases</v>
          </cell>
        </row>
        <row r="14">
          <cell r="P14" t="str">
            <v>2000/011</v>
          </cell>
        </row>
        <row r="15">
          <cell r="P15" t="str">
            <v>2000/012</v>
          </cell>
        </row>
        <row r="16">
          <cell r="P16" t="str">
            <v>2000/013</v>
          </cell>
        </row>
        <row r="17">
          <cell r="P17" t="str">
            <v>2000/014</v>
          </cell>
        </row>
        <row r="18">
          <cell r="P18" t="str">
            <v>2000/015</v>
          </cell>
        </row>
        <row r="19">
          <cell r="P19" t="str">
            <v>2000/050Closing stock - Raw materials</v>
          </cell>
        </row>
        <row r="20">
          <cell r="P20" t="str">
            <v>2000/051Closing stock - WIP</v>
          </cell>
        </row>
        <row r="21">
          <cell r="P21" t="str">
            <v>2000/052Closing stock - Finished goods</v>
          </cell>
        </row>
        <row r="22">
          <cell r="P22" t="str">
            <v>2000/053Closing stock - Trading stock</v>
          </cell>
        </row>
        <row r="23">
          <cell r="P23" t="str">
            <v>2050/000OTHER OPERATING INCOME</v>
          </cell>
        </row>
        <row r="24">
          <cell r="P24" t="str">
            <v>2050/001Insurance claims - Seafront Hotel</v>
          </cell>
        </row>
        <row r="25">
          <cell r="P25" t="str">
            <v>2050/002Government grants received</v>
          </cell>
        </row>
        <row r="26">
          <cell r="P26" t="str">
            <v>2050/003</v>
          </cell>
        </row>
        <row r="27">
          <cell r="P27" t="str">
            <v>2050/004</v>
          </cell>
        </row>
        <row r="28">
          <cell r="P28" t="str">
            <v>2050/005</v>
          </cell>
        </row>
        <row r="29">
          <cell r="P29" t="str">
            <v>2060/000NET (PROFIT)/LOSS OTHER</v>
          </cell>
        </row>
        <row r="30">
          <cell r="P30" t="str">
            <v>2060/001Net (profit)/loss - Seafront Restaurant</v>
          </cell>
        </row>
        <row r="31">
          <cell r="P31" t="str">
            <v>2060/002Net (profit)/loss - Rental Properties</v>
          </cell>
        </row>
        <row r="32">
          <cell r="P32" t="str">
            <v xml:space="preserve">2060/003Net (profit)/loss - </v>
          </cell>
        </row>
        <row r="33">
          <cell r="P33" t="str">
            <v>2060/004</v>
          </cell>
        </row>
        <row r="34">
          <cell r="P34" t="str">
            <v>2100/000OPERATING EXPENSES</v>
          </cell>
        </row>
        <row r="35">
          <cell r="P35" t="str">
            <v>2100/001Advertising</v>
          </cell>
        </row>
        <row r="36">
          <cell r="P36" t="str">
            <v>2100/010Assets less than R7,000</v>
          </cell>
        </row>
        <row r="37">
          <cell r="P37" t="str">
            <v>2100/020Consumables</v>
          </cell>
        </row>
        <row r="38">
          <cell r="P38" t="str">
            <v>2100/030Depreciation---------------------------------</v>
          </cell>
        </row>
        <row r="39">
          <cell r="P39" t="str">
            <v>2100/031Depr - Land and buildings</v>
          </cell>
        </row>
        <row r="40">
          <cell r="P40" t="str">
            <v>2100/032Depr - Plant and machinery</v>
          </cell>
        </row>
        <row r="41">
          <cell r="P41" t="str">
            <v>2100/033Depr - Motor vehicles</v>
          </cell>
        </row>
        <row r="42">
          <cell r="P42" t="str">
            <v>2100/040Discounts allowed</v>
          </cell>
        </row>
        <row r="43">
          <cell r="P43" t="str">
            <v>2100/050Electricity and water</v>
          </cell>
        </row>
        <row r="44">
          <cell r="P44" t="str">
            <v>2100/055Equipment lease</v>
          </cell>
        </row>
        <row r="45">
          <cell r="P45" t="str">
            <v>2100/060Insurance</v>
          </cell>
        </row>
        <row r="46">
          <cell r="P46" t="str">
            <v>2100/071Levies - SDL</v>
          </cell>
        </row>
        <row r="47">
          <cell r="P47" t="str">
            <v>2100/072Levies - other</v>
          </cell>
        </row>
        <row r="48">
          <cell r="P48" t="str">
            <v>2100/080Trade licenses</v>
          </cell>
        </row>
        <row r="49">
          <cell r="P49" t="str">
            <v>2100/090Motor vehicle expenses------------------</v>
          </cell>
        </row>
        <row r="50">
          <cell r="P50" t="str">
            <v>2100/091Motor vehicle expenses - Petrol and oil</v>
          </cell>
        </row>
        <row r="51">
          <cell r="P51" t="str">
            <v>2100/092Motor vehicle expenses - R&amp;M</v>
          </cell>
        </row>
        <row r="52">
          <cell r="P52" t="str">
            <v>2100/093Motor vehicle expenses - Insurance</v>
          </cell>
        </row>
        <row r="53">
          <cell r="P53" t="str">
            <v>2100/094Motor vehicle expenses - Licenses</v>
          </cell>
        </row>
        <row r="54">
          <cell r="P54" t="str">
            <v>2100/095Motor vehicle expenses - General</v>
          </cell>
        </row>
        <row r="55">
          <cell r="P55" t="str">
            <v>2100/100Rent paid-------------------------------------</v>
          </cell>
        </row>
        <row r="56">
          <cell r="P56" t="str">
            <v>2100/101Premises</v>
          </cell>
        </row>
        <row r="57">
          <cell r="P57" t="str">
            <v>2100/102</v>
          </cell>
        </row>
        <row r="58">
          <cell r="P58" t="str">
            <v>2100/103</v>
          </cell>
        </row>
        <row r="59">
          <cell r="P59" t="str">
            <v>2100/110Repairs and maintenance</v>
          </cell>
        </row>
        <row r="60">
          <cell r="P60" t="str">
            <v>2100/120Salaries</v>
          </cell>
        </row>
        <row r="61">
          <cell r="P61" t="str">
            <v>2100/121UIF - Employer</v>
          </cell>
        </row>
        <row r="62">
          <cell r="P62" t="str">
            <v>2100/122Casual wages</v>
          </cell>
        </row>
        <row r="63">
          <cell r="P63" t="str">
            <v>2100/130Telephone</v>
          </cell>
        </row>
        <row r="64">
          <cell r="P64" t="str">
            <v>2100/135Postage and courier</v>
          </cell>
        </row>
        <row r="65">
          <cell r="P65" t="str">
            <v>2100/140Training</v>
          </cell>
        </row>
        <row r="66">
          <cell r="P66" t="str">
            <v>2100/150Traveling and accommodation</v>
          </cell>
        </row>
        <row r="67">
          <cell r="P67" t="str">
            <v>2150/001</v>
          </cell>
        </row>
        <row r="68">
          <cell r="P68" t="str">
            <v>2150/002</v>
          </cell>
        </row>
        <row r="69">
          <cell r="P69" t="str">
            <v>2150/003</v>
          </cell>
        </row>
        <row r="70">
          <cell r="P70" t="str">
            <v>2150/004</v>
          </cell>
        </row>
        <row r="71">
          <cell r="P71" t="str">
            <v>2150/005</v>
          </cell>
        </row>
        <row r="72">
          <cell r="P72" t="str">
            <v>2150/006</v>
          </cell>
        </row>
        <row r="73">
          <cell r="P73" t="str">
            <v>2150/007</v>
          </cell>
        </row>
        <row r="74">
          <cell r="P74" t="str">
            <v>2150/008</v>
          </cell>
        </row>
        <row r="75">
          <cell r="P75" t="str">
            <v>2150/009</v>
          </cell>
        </row>
        <row r="76">
          <cell r="P76" t="str">
            <v>2150/010</v>
          </cell>
        </row>
        <row r="77">
          <cell r="P77" t="str">
            <v>2500/000OTHER INCOME</v>
          </cell>
        </row>
        <row r="78">
          <cell r="P78" t="str">
            <v>2710/000Rent received (not main income)</v>
          </cell>
        </row>
        <row r="79">
          <cell r="P79" t="str">
            <v>2750/000Interest received--------------------------</v>
          </cell>
        </row>
        <row r="80">
          <cell r="P80" t="str">
            <v>2750/001</v>
          </cell>
        </row>
        <row r="81">
          <cell r="P81" t="str">
            <v>2750/002</v>
          </cell>
        </row>
        <row r="82">
          <cell r="P82" t="str">
            <v>2750/003</v>
          </cell>
        </row>
        <row r="83">
          <cell r="P83" t="str">
            <v>2750/004</v>
          </cell>
        </row>
        <row r="84">
          <cell r="P84" t="str">
            <v>2800/000Dividends received------------------------</v>
          </cell>
        </row>
        <row r="85">
          <cell r="P85" t="str">
            <v>2800/001Div.'s received - SA sources</v>
          </cell>
        </row>
        <row r="86">
          <cell r="P86" t="str">
            <v>2800/002Div.'s received - Foreign div.'s</v>
          </cell>
        </row>
        <row r="87">
          <cell r="P87" t="str">
            <v>2810/000(Profit)/Loss on sale of fixed assets</v>
          </cell>
        </row>
        <row r="88">
          <cell r="P88" t="str">
            <v>2820/000Bad debts recovered</v>
          </cell>
        </row>
        <row r="89">
          <cell r="P89" t="str">
            <v>2830/000Other income</v>
          </cell>
        </row>
        <row r="90">
          <cell r="P90" t="str">
            <v>3000/000ADMINISTRATION EXPENSES</v>
          </cell>
        </row>
        <row r="91">
          <cell r="P91" t="str">
            <v>3000/011Audit fees for current year</v>
          </cell>
        </row>
        <row r="92">
          <cell r="P92" t="str">
            <v>3000/012Under provision previous year</v>
          </cell>
        </row>
        <row r="93">
          <cell r="P93" t="str">
            <v>3000/013Overprovision previous year</v>
          </cell>
        </row>
        <row r="94">
          <cell r="P94" t="str">
            <v>3000/014Accounting fees</v>
          </cell>
        </row>
        <row r="95">
          <cell r="P95" t="str">
            <v>3000/020Bank charges</v>
          </cell>
        </row>
        <row r="96">
          <cell r="P96" t="str">
            <v>3000/030Bad debts</v>
          </cell>
        </row>
        <row r="97">
          <cell r="P97" t="str">
            <v>3000/040Cleaning</v>
          </cell>
        </row>
        <row r="98">
          <cell r="P98" t="str">
            <v>3000/050Computer expenses</v>
          </cell>
        </row>
        <row r="99">
          <cell r="P99" t="str">
            <v>3000/055Consulting and professional fees</v>
          </cell>
        </row>
        <row r="100">
          <cell r="P100" t="str">
            <v>3000/060Depreciation---------------------------------</v>
          </cell>
        </row>
        <row r="101">
          <cell r="P101" t="str">
            <v>3000/061Depr - Electronic equipment</v>
          </cell>
        </row>
        <row r="102">
          <cell r="P102" t="str">
            <v>3000/063Depr - Furniture and fittings</v>
          </cell>
        </row>
        <row r="103">
          <cell r="P103" t="str">
            <v>3000/070Members' remuneration----------------</v>
          </cell>
        </row>
        <row r="104">
          <cell r="P104" t="str">
            <v>3000/071A Member</v>
          </cell>
        </row>
        <row r="105">
          <cell r="P105" t="str">
            <v>3000/072B Member</v>
          </cell>
        </row>
        <row r="106">
          <cell r="P106" t="str">
            <v>3000/0730</v>
          </cell>
        </row>
        <row r="107">
          <cell r="P107" t="str">
            <v>3000/0740</v>
          </cell>
        </row>
        <row r="108">
          <cell r="P108" t="str">
            <v>3000/075</v>
          </cell>
        </row>
        <row r="109">
          <cell r="P109" t="str">
            <v>3000/080Donations</v>
          </cell>
        </row>
        <row r="110">
          <cell r="P110" t="str">
            <v>3000/090Entertainment expenses</v>
          </cell>
        </row>
        <row r="111">
          <cell r="P111" t="str">
            <v>3000/095Fines</v>
          </cell>
        </row>
        <row r="112">
          <cell r="P112" t="str">
            <v>3000/100General expenses</v>
          </cell>
        </row>
        <row r="113">
          <cell r="P113" t="str">
            <v>3000/110Legal expenses - tax deductible</v>
          </cell>
        </row>
        <row r="114">
          <cell r="P114" t="str">
            <v>3000/111Legal expenses - non deductible</v>
          </cell>
        </row>
        <row r="115">
          <cell r="P115" t="str">
            <v>3000/120Printing and stationary</v>
          </cell>
        </row>
        <row r="116">
          <cell r="P116" t="str">
            <v>3000/130Refreshments</v>
          </cell>
        </row>
        <row r="117">
          <cell r="P117" t="str">
            <v>3000/140Salaries</v>
          </cell>
        </row>
        <row r="118">
          <cell r="P118" t="str">
            <v>3000/141Casual wages</v>
          </cell>
        </row>
        <row r="119">
          <cell r="P119" t="str">
            <v>3000/150Security</v>
          </cell>
        </row>
        <row r="120">
          <cell r="P120" t="str">
            <v>3000/160Subscriptions and membership fees</v>
          </cell>
        </row>
        <row r="121">
          <cell r="P121" t="str">
            <v>3000/170Penalties and interest - SARS</v>
          </cell>
        </row>
        <row r="122">
          <cell r="P122" t="str">
            <v>3000/180</v>
          </cell>
        </row>
        <row r="123">
          <cell r="P123" t="str">
            <v>3000/190</v>
          </cell>
        </row>
        <row r="124">
          <cell r="P124" t="str">
            <v>3000/200</v>
          </cell>
        </row>
        <row r="125">
          <cell r="P125" t="str">
            <v>3000/210</v>
          </cell>
        </row>
        <row r="126">
          <cell r="P126" t="str">
            <v>3000/220</v>
          </cell>
        </row>
        <row r="127">
          <cell r="P127" t="str">
            <v>3000/230</v>
          </cell>
        </row>
        <row r="128">
          <cell r="P128" t="str">
            <v>3000/240</v>
          </cell>
        </row>
        <row r="129">
          <cell r="P129" t="str">
            <v>3000/250</v>
          </cell>
        </row>
        <row r="130">
          <cell r="P130" t="str">
            <v>3000/260</v>
          </cell>
        </row>
        <row r="131">
          <cell r="P131" t="str">
            <v>3000/270Amortization of prepaid lease agreement</v>
          </cell>
        </row>
        <row r="132">
          <cell r="P132" t="str">
            <v>4700/000FINANCE COSTS</v>
          </cell>
        </row>
        <row r="133">
          <cell r="P133" t="str">
            <v>4700/010Interest paid--------------------------------</v>
          </cell>
        </row>
        <row r="134">
          <cell r="P134" t="str">
            <v>4700/011</v>
          </cell>
        </row>
        <row r="135">
          <cell r="P135" t="str">
            <v>4700/012</v>
          </cell>
        </row>
        <row r="136">
          <cell r="P136" t="str">
            <v>4700/013</v>
          </cell>
        </row>
        <row r="137">
          <cell r="P137" t="str">
            <v>4700/014</v>
          </cell>
        </row>
        <row r="138">
          <cell r="P138" t="str">
            <v>4700/015</v>
          </cell>
        </row>
        <row r="139">
          <cell r="P139" t="str">
            <v>4700/016</v>
          </cell>
        </row>
        <row r="140">
          <cell r="P140" t="str">
            <v>4700/017</v>
          </cell>
        </row>
        <row r="141">
          <cell r="P141" t="str">
            <v>4700/018</v>
          </cell>
        </row>
        <row r="142">
          <cell r="P142" t="str">
            <v>4700/019</v>
          </cell>
        </row>
        <row r="143">
          <cell r="P143" t="str">
            <v>4700/020</v>
          </cell>
        </row>
        <row r="144">
          <cell r="P144" t="str">
            <v>4700/021Hire purchase interest - Seafront Hotel</v>
          </cell>
        </row>
        <row r="145">
          <cell r="P145" t="str">
            <v>4750/000OTHER</v>
          </cell>
        </row>
        <row r="146">
          <cell r="P146" t="str">
            <v>4750/010Loss on revaluation of investments</v>
          </cell>
        </row>
        <row r="147">
          <cell r="P147" t="str">
            <v>4800/000NORMAL TAXATION</v>
          </cell>
        </row>
        <row r="148">
          <cell r="P148" t="str">
            <v>4800/001Tax provided this year</v>
          </cell>
        </row>
        <row r="149">
          <cell r="P149" t="str">
            <v>4800/002Tax adjustment previous year</v>
          </cell>
        </row>
        <row r="150">
          <cell r="P150" t="str">
            <v>4820/000DEFERRED TAX</v>
          </cell>
        </row>
        <row r="151">
          <cell r="P151" t="str">
            <v>4820/001Deferred tax this year</v>
          </cell>
        </row>
        <row r="152">
          <cell r="P152" t="str">
            <v>4820/002Deferred tax adjustment previous year</v>
          </cell>
        </row>
        <row r="153">
          <cell r="P153" t="str">
            <v>4850/000Dividends declared</v>
          </cell>
        </row>
        <row r="154">
          <cell r="P154" t="str">
            <v>4860/000Dividends paid</v>
          </cell>
        </row>
        <row r="157">
          <cell r="P157">
            <v>0</v>
          </cell>
        </row>
        <row r="158">
          <cell r="P158" t="str">
            <v>5105/000MEMBERS' CONTRIBUTIONS</v>
          </cell>
        </row>
        <row r="159">
          <cell r="P159" t="str">
            <v>5105/001A Member</v>
          </cell>
        </row>
        <row r="160">
          <cell r="P160" t="str">
            <v>5105/002B Member</v>
          </cell>
        </row>
        <row r="161">
          <cell r="P161" t="str">
            <v>5105/0030</v>
          </cell>
        </row>
        <row r="162">
          <cell r="P162" t="str">
            <v>5105/0040</v>
          </cell>
        </row>
        <row r="163">
          <cell r="P163" t="str">
            <v>5120/000VALUATION RESERVE</v>
          </cell>
        </row>
        <row r="164">
          <cell r="P164" t="str">
            <v>5120/001Valuation reserve - balance b/fwd</v>
          </cell>
        </row>
        <row r="165">
          <cell r="P165" t="str">
            <v>5120/002Valuation reserve - additions</v>
          </cell>
        </row>
        <row r="166">
          <cell r="P166" t="str">
            <v>5120/003Valuation reserve - transfer</v>
          </cell>
        </row>
        <row r="167">
          <cell r="P167" t="str">
            <v>5130/000OTHER RESERVES</v>
          </cell>
        </row>
        <row r="168">
          <cell r="P168" t="str">
            <v>5130/001Other reserves - balance B/fwd</v>
          </cell>
        </row>
        <row r="169">
          <cell r="P169" t="str">
            <v>5130/002Other reserves - additions</v>
          </cell>
        </row>
        <row r="170">
          <cell r="P170" t="str">
            <v>5130/003Other reserves - transfer</v>
          </cell>
        </row>
        <row r="171">
          <cell r="P171" t="str">
            <v>5200/000(Retained income) / Accumulated loss</v>
          </cell>
        </row>
        <row r="172">
          <cell r="P172" t="str">
            <v>5420/000MEMBERS' LOANS</v>
          </cell>
        </row>
        <row r="173">
          <cell r="P173" t="str">
            <v>5420/010A Member - balance b/fwd</v>
          </cell>
        </row>
        <row r="174">
          <cell r="P174" t="str">
            <v>5420/011A Member - (Advance from)/Repayment to in year</v>
          </cell>
        </row>
        <row r="175">
          <cell r="P175" t="str">
            <v>5420/020B Member - balance b/fwd</v>
          </cell>
        </row>
        <row r="176">
          <cell r="P176" t="str">
            <v>5420/021B Member - (Advance from)/Repayment to in year</v>
          </cell>
        </row>
        <row r="177">
          <cell r="P177" t="str">
            <v>5420/030 - balance b/fwd</v>
          </cell>
        </row>
        <row r="178">
          <cell r="P178" t="str">
            <v>5420/031 - (Advance from)/Repayment to in year</v>
          </cell>
        </row>
        <row r="179">
          <cell r="P179" t="str">
            <v>5420/040 - balance b/fwd</v>
          </cell>
        </row>
        <row r="180">
          <cell r="P180" t="str">
            <v>5420/041 - (Advance from)/Repayment to in year</v>
          </cell>
        </row>
        <row r="181">
          <cell r="P181" t="str">
            <v>5500/000LONG TERM  INTEREST LIABILITIES</v>
          </cell>
        </row>
        <row r="182">
          <cell r="P182" t="str">
            <v>5500/001</v>
          </cell>
        </row>
        <row r="183">
          <cell r="P183" t="str">
            <v>5500/002</v>
          </cell>
        </row>
        <row r="184">
          <cell r="P184" t="str">
            <v>5500/003</v>
          </cell>
        </row>
        <row r="185">
          <cell r="P185" t="str">
            <v>5500/004</v>
          </cell>
        </row>
        <row r="186">
          <cell r="P186" t="str">
            <v>5500/005</v>
          </cell>
        </row>
        <row r="187">
          <cell r="P187" t="str">
            <v>5500/006</v>
          </cell>
        </row>
        <row r="188">
          <cell r="P188" t="str">
            <v>5500/007</v>
          </cell>
        </row>
        <row r="189">
          <cell r="P189" t="str">
            <v>5500/008</v>
          </cell>
        </row>
        <row r="190">
          <cell r="P190" t="str">
            <v>5500/009</v>
          </cell>
        </row>
        <row r="191">
          <cell r="P191" t="str">
            <v>5500/010</v>
          </cell>
        </row>
        <row r="192">
          <cell r="P192" t="str">
            <v>5500/011</v>
          </cell>
        </row>
        <row r="193">
          <cell r="P193" t="str">
            <v>5500/012</v>
          </cell>
        </row>
        <row r="194">
          <cell r="P194" t="str">
            <v>5500/013</v>
          </cell>
        </row>
        <row r="195">
          <cell r="P195" t="str">
            <v>5500/014</v>
          </cell>
        </row>
        <row r="196">
          <cell r="P196" t="str">
            <v>5500/015</v>
          </cell>
        </row>
        <row r="197">
          <cell r="P197" t="str">
            <v>5520/000Short term portion of long term loans</v>
          </cell>
        </row>
        <row r="198">
          <cell r="P198" t="str">
            <v>5550/000LONG TERM INTEREST FREE LOANS</v>
          </cell>
        </row>
        <row r="199">
          <cell r="P199" t="str">
            <v>5550/001</v>
          </cell>
        </row>
        <row r="200">
          <cell r="P200" t="str">
            <v>5550/002</v>
          </cell>
        </row>
        <row r="201">
          <cell r="P201" t="str">
            <v>5550/003</v>
          </cell>
        </row>
        <row r="202">
          <cell r="P202" t="str">
            <v>5550/004</v>
          </cell>
        </row>
        <row r="203">
          <cell r="P203" t="str">
            <v>5550/005</v>
          </cell>
        </row>
        <row r="204">
          <cell r="P204" t="str">
            <v>5550/006</v>
          </cell>
        </row>
        <row r="205">
          <cell r="P205" t="str">
            <v>5550/007</v>
          </cell>
        </row>
        <row r="206">
          <cell r="P206" t="str">
            <v>5550/008</v>
          </cell>
        </row>
        <row r="207">
          <cell r="P207" t="str">
            <v>5550/009</v>
          </cell>
        </row>
        <row r="208">
          <cell r="P208" t="str">
            <v>5550/010</v>
          </cell>
        </row>
        <row r="209">
          <cell r="P209" t="str">
            <v>5550/011</v>
          </cell>
        </row>
        <row r="210">
          <cell r="P210" t="str">
            <v>5550/012</v>
          </cell>
        </row>
        <row r="211">
          <cell r="P211" t="str">
            <v>5550/013</v>
          </cell>
        </row>
        <row r="212">
          <cell r="P212" t="str">
            <v>5550/014</v>
          </cell>
        </row>
        <row r="213">
          <cell r="P213" t="str">
            <v>5550/015</v>
          </cell>
        </row>
        <row r="214">
          <cell r="P214" t="str">
            <v>5550/016</v>
          </cell>
        </row>
        <row r="215">
          <cell r="P215" t="str">
            <v>5550/017</v>
          </cell>
        </row>
        <row r="216">
          <cell r="P216" t="str">
            <v>5700/000DEFERRED TAX</v>
          </cell>
        </row>
        <row r="217">
          <cell r="P217" t="str">
            <v>5700/010Deferred tax balance  depreciation b/fwd</v>
          </cell>
        </row>
        <row r="218">
          <cell r="P218" t="str">
            <v>5700/020Deferred tax balance  tax loss b/fwd</v>
          </cell>
        </row>
        <row r="219">
          <cell r="P219" t="str">
            <v>5700/030Deferred tax on depreciation for year</v>
          </cell>
        </row>
        <row r="220">
          <cell r="P220" t="str">
            <v>5700/040Deferred tax on tax loss for year</v>
          </cell>
        </row>
        <row r="221">
          <cell r="P221" t="str">
            <v>5700/050Def tax adj  depreciation previous year</v>
          </cell>
        </row>
        <row r="222">
          <cell r="P222" t="str">
            <v>5700/060Def tax adj tax loss previous year</v>
          </cell>
        </row>
        <row r="223">
          <cell r="P223" t="str">
            <v>6100/000LAND AND BUILDINGS - COST</v>
          </cell>
        </row>
        <row r="224">
          <cell r="P224" t="str">
            <v>6100/001Land and buildings - cost b/fwd</v>
          </cell>
        </row>
        <row r="225">
          <cell r="P225" t="str">
            <v>6100/002Land and buildings - additions</v>
          </cell>
        </row>
        <row r="226">
          <cell r="P226" t="str">
            <v>6100/003Land and buildings - cost of sales</v>
          </cell>
        </row>
        <row r="227">
          <cell r="P227" t="str">
            <v>6100/020LAND AND BUILDINGS - ACC DEPR</v>
          </cell>
        </row>
        <row r="228">
          <cell r="P228" t="str">
            <v>6100/021Land and buildings - acc depr b/fwd</v>
          </cell>
        </row>
        <row r="229">
          <cell r="P229" t="str">
            <v>6100/022Land and buildings - depr this year</v>
          </cell>
        </row>
        <row r="230">
          <cell r="P230" t="str">
            <v>6100/023Land and buildings - acc depr on sales</v>
          </cell>
        </row>
        <row r="231">
          <cell r="P231" t="str">
            <v>6100/030LAND AND BUILDINGS - VALUATION</v>
          </cell>
        </row>
        <row r="232">
          <cell r="P232" t="str">
            <v>6100/031Land and buildings - valuation b/fwd</v>
          </cell>
        </row>
        <row r="233">
          <cell r="P233" t="str">
            <v>6100/032Land and buildings - valuation additions</v>
          </cell>
        </row>
        <row r="234">
          <cell r="P234" t="str">
            <v>6100/033Land and buildings - valuation reduction</v>
          </cell>
        </row>
        <row r="235">
          <cell r="P235" t="str">
            <v>6150/000PLANT AND MACHINERY - COST</v>
          </cell>
        </row>
        <row r="236">
          <cell r="P236" t="str">
            <v>6150/001Plant and machinery - cost b/fwd</v>
          </cell>
        </row>
        <row r="237">
          <cell r="P237" t="str">
            <v>6150/002Plant and machinery - additions</v>
          </cell>
        </row>
        <row r="238">
          <cell r="P238" t="str">
            <v>6150/003Plant and machinery - cost of sales</v>
          </cell>
        </row>
        <row r="239">
          <cell r="P239" t="str">
            <v>6150/020PLANT AND MACHINERY - ACC DEPR</v>
          </cell>
        </row>
        <row r="240">
          <cell r="P240" t="str">
            <v>6150/021Plant and machinery - acc depr b/fwd</v>
          </cell>
        </row>
        <row r="241">
          <cell r="P241" t="str">
            <v>6150/022Plant and machinery - depr this year</v>
          </cell>
        </row>
        <row r="242">
          <cell r="P242" t="str">
            <v>6150/023Plant and machinery - acc depr on sales</v>
          </cell>
        </row>
        <row r="243">
          <cell r="P243" t="str">
            <v>6200/000MOTOR VEHICLES - COST</v>
          </cell>
        </row>
        <row r="244">
          <cell r="P244" t="str">
            <v>6200/001Motor vehicles - cost b/fwd</v>
          </cell>
        </row>
        <row r="245">
          <cell r="P245" t="str">
            <v>6200/002Motor vehicles - additions</v>
          </cell>
        </row>
        <row r="246">
          <cell r="P246" t="str">
            <v>6200/003Motor vehicles - cost of sales</v>
          </cell>
        </row>
        <row r="247">
          <cell r="P247" t="str">
            <v>6200/020MOTOR VEHICLES - ACC DEPR</v>
          </cell>
        </row>
        <row r="248">
          <cell r="P248" t="str">
            <v>6200/021Motor vehicles - acc depr b/fwd</v>
          </cell>
        </row>
        <row r="249">
          <cell r="P249" t="str">
            <v>6200/022Motor vehicles - depr this year</v>
          </cell>
        </row>
        <row r="250">
          <cell r="P250" t="str">
            <v>6200/023Motor vehicles - acc depr on sales</v>
          </cell>
        </row>
        <row r="251">
          <cell r="P251" t="str">
            <v>6250/000ELECTRONIC EQUIPMENT - COST</v>
          </cell>
        </row>
        <row r="252">
          <cell r="P252" t="str">
            <v>6250/001Electronic equipment - cost b/fwd</v>
          </cell>
        </row>
        <row r="253">
          <cell r="P253" t="str">
            <v>6250/002Electronic equipment - additions</v>
          </cell>
        </row>
        <row r="254">
          <cell r="P254" t="str">
            <v>6250/003Electronic equipment - cost of sales</v>
          </cell>
        </row>
        <row r="255">
          <cell r="P255" t="str">
            <v>6250/020ELECTRONIC EQUIPMENT - ACC DEPR</v>
          </cell>
        </row>
        <row r="256">
          <cell r="P256" t="str">
            <v>6250/021Electronic equipment - acc depr b/fwd</v>
          </cell>
        </row>
        <row r="257">
          <cell r="P257" t="str">
            <v>6250/022Electronic equipment - depr this year</v>
          </cell>
        </row>
        <row r="258">
          <cell r="P258" t="str">
            <v>6250/023Electronic equipment - acc depr on sales</v>
          </cell>
        </row>
        <row r="259">
          <cell r="P259" t="str">
            <v>6350/000FURNITURE AND FITTINGS - COST</v>
          </cell>
        </row>
        <row r="260">
          <cell r="P260" t="str">
            <v>6350/001Furniture and fittings - cost b/fwd</v>
          </cell>
        </row>
        <row r="261">
          <cell r="P261" t="str">
            <v>6350/002Furniture and fittings - additions</v>
          </cell>
        </row>
        <row r="262">
          <cell r="P262" t="str">
            <v>6350/003Furniture and fittings - cost of sales</v>
          </cell>
        </row>
        <row r="263">
          <cell r="P263" t="str">
            <v>6350/020FURNITURE AND FITTINGS - ACC DEPR</v>
          </cell>
        </row>
        <row r="264">
          <cell r="P264" t="str">
            <v>6350/021Furniture and fittings - acc depr b/fwd</v>
          </cell>
        </row>
        <row r="265">
          <cell r="P265" t="str">
            <v>6350/022Furniture and fittings - depr this year</v>
          </cell>
        </row>
        <row r="266">
          <cell r="P266" t="str">
            <v>6350/023Furniture and fittings - acc depr on sales</v>
          </cell>
        </row>
        <row r="267">
          <cell r="P267" t="str">
            <v>7000/000GOODWILL/INTANGIBLE ASSETS</v>
          </cell>
        </row>
        <row r="268">
          <cell r="P268" t="str">
            <v>7000/010Goodwill cost</v>
          </cell>
        </row>
        <row r="269">
          <cell r="P269" t="str">
            <v>7000/011Prepaid lease agreement - cost</v>
          </cell>
        </row>
        <row r="270">
          <cell r="P270" t="str">
            <v>7000/015PLA - surplus on revaluation</v>
          </cell>
        </row>
        <row r="271">
          <cell r="P271" t="str">
            <v>7000/020PLA - write down this year</v>
          </cell>
        </row>
        <row r="272">
          <cell r="P272" t="str">
            <v>7000/025PLA - write down previous years</v>
          </cell>
        </row>
        <row r="273">
          <cell r="P273" t="str">
            <v>7100/000INVESTMENTS</v>
          </cell>
        </row>
        <row r="274">
          <cell r="P274" t="str">
            <v>7100/100LISTED INVESTMENTS</v>
          </cell>
        </row>
        <row r="275">
          <cell r="P275" t="str">
            <v>7100/101</v>
          </cell>
        </row>
        <row r="276">
          <cell r="P276" t="str">
            <v>7100/102</v>
          </cell>
        </row>
        <row r="277">
          <cell r="P277" t="str">
            <v>7100/103</v>
          </cell>
        </row>
        <row r="278">
          <cell r="P278" t="str">
            <v>7100/104</v>
          </cell>
        </row>
        <row r="279">
          <cell r="P279" t="str">
            <v>7100/105</v>
          </cell>
        </row>
        <row r="280">
          <cell r="P280" t="str">
            <v>7100/200OTHER INVESTMENTS</v>
          </cell>
        </row>
        <row r="281">
          <cell r="P281" t="str">
            <v>7100/201</v>
          </cell>
        </row>
        <row r="282">
          <cell r="P282" t="str">
            <v>7100/202</v>
          </cell>
        </row>
        <row r="283">
          <cell r="P283" t="str">
            <v>7100/203</v>
          </cell>
        </row>
        <row r="284">
          <cell r="P284" t="str">
            <v>7100/204</v>
          </cell>
        </row>
        <row r="285">
          <cell r="P285" t="str">
            <v>7100/205</v>
          </cell>
        </row>
        <row r="286">
          <cell r="P286" t="str">
            <v>7450/000CONNECTED ENTITIES LOANS</v>
          </cell>
        </row>
        <row r="287">
          <cell r="P287" t="str">
            <v>7450/000Interest bearing</v>
          </cell>
        </row>
        <row r="288">
          <cell r="P288" t="str">
            <v>7450/001</v>
          </cell>
        </row>
        <row r="289">
          <cell r="P289" t="str">
            <v>7450/002</v>
          </cell>
        </row>
        <row r="290">
          <cell r="P290" t="str">
            <v>7450/003</v>
          </cell>
        </row>
        <row r="291">
          <cell r="P291" t="str">
            <v>7450/004</v>
          </cell>
        </row>
        <row r="292">
          <cell r="P292" t="str">
            <v>7450/005</v>
          </cell>
        </row>
        <row r="293">
          <cell r="P293" t="str">
            <v>7450/006</v>
          </cell>
        </row>
        <row r="294">
          <cell r="P294" t="str">
            <v>7450/007</v>
          </cell>
        </row>
        <row r="295">
          <cell r="P295" t="str">
            <v>7450/008</v>
          </cell>
        </row>
        <row r="296">
          <cell r="P296" t="str">
            <v>7450/009</v>
          </cell>
        </row>
        <row r="297">
          <cell r="P297" t="str">
            <v>7450/010</v>
          </cell>
        </row>
        <row r="298">
          <cell r="P298" t="str">
            <v>7455/000Interest free</v>
          </cell>
        </row>
        <row r="299">
          <cell r="P299" t="str">
            <v>7455/001</v>
          </cell>
        </row>
        <row r="300">
          <cell r="P300" t="str">
            <v>7455/002</v>
          </cell>
        </row>
        <row r="301">
          <cell r="P301" t="str">
            <v>7455/003</v>
          </cell>
        </row>
        <row r="302">
          <cell r="P302" t="str">
            <v>7455/004</v>
          </cell>
        </row>
        <row r="303">
          <cell r="P303" t="str">
            <v>7455/005</v>
          </cell>
        </row>
        <row r="304">
          <cell r="P304" t="str">
            <v>7455/006</v>
          </cell>
        </row>
        <row r="305">
          <cell r="P305" t="str">
            <v>7455/007</v>
          </cell>
        </row>
        <row r="306">
          <cell r="P306" t="str">
            <v>7455/008</v>
          </cell>
        </row>
        <row r="307">
          <cell r="P307" t="str">
            <v>7455/009</v>
          </cell>
        </row>
        <row r="308">
          <cell r="P308" t="str">
            <v>7455/010</v>
          </cell>
        </row>
        <row r="309">
          <cell r="P309" t="str">
            <v>7460/000OTHER NON - CURRENT RECEIVABLES</v>
          </cell>
        </row>
        <row r="310">
          <cell r="P310" t="str">
            <v>7460/000Interest bearing</v>
          </cell>
        </row>
        <row r="311">
          <cell r="P311" t="str">
            <v>7460/001</v>
          </cell>
        </row>
        <row r="312">
          <cell r="P312" t="str">
            <v>7460/002</v>
          </cell>
        </row>
        <row r="313">
          <cell r="P313" t="str">
            <v>7460/003</v>
          </cell>
        </row>
        <row r="314">
          <cell r="P314" t="str">
            <v>7460/004</v>
          </cell>
        </row>
        <row r="315">
          <cell r="P315" t="str">
            <v>7460/000Interest free</v>
          </cell>
        </row>
        <row r="316">
          <cell r="P316" t="str">
            <v>7460/004</v>
          </cell>
        </row>
        <row r="317">
          <cell r="P317" t="str">
            <v>7460/005</v>
          </cell>
        </row>
        <row r="318">
          <cell r="P318" t="str">
            <v>7460/006</v>
          </cell>
        </row>
        <row r="319">
          <cell r="P319" t="str">
            <v>7460/007</v>
          </cell>
        </row>
        <row r="320">
          <cell r="P320" t="str">
            <v>7460/008</v>
          </cell>
        </row>
        <row r="321">
          <cell r="P321" t="str">
            <v>7500/000INVENTORY</v>
          </cell>
        </row>
        <row r="322">
          <cell r="P322" t="str">
            <v>7500/001Raw materials</v>
          </cell>
        </row>
        <row r="323">
          <cell r="P323" t="str">
            <v>7500/002Work in progress</v>
          </cell>
        </row>
        <row r="324">
          <cell r="P324" t="str">
            <v>7500/003Finished goods</v>
          </cell>
        </row>
        <row r="325">
          <cell r="P325" t="str">
            <v>7500/004Trading stock</v>
          </cell>
        </row>
        <row r="326">
          <cell r="P326" t="str">
            <v>8000/000DEBTORS</v>
          </cell>
        </row>
        <row r="327">
          <cell r="P327" t="str">
            <v>8010/000Trade debtors</v>
          </cell>
        </row>
        <row r="328">
          <cell r="P328" t="str">
            <v>8020/000Less: Provision for doubtful debts</v>
          </cell>
        </row>
        <row r="329">
          <cell r="P329" t="str">
            <v>8030/000Service deposits</v>
          </cell>
        </row>
        <row r="330">
          <cell r="P330" t="str">
            <v>8200/000Sundry customers</v>
          </cell>
        </row>
        <row r="331">
          <cell r="P331" t="str">
            <v>8200/010Prepayments</v>
          </cell>
        </row>
        <row r="332">
          <cell r="P332" t="str">
            <v>8200/020Staff loans</v>
          </cell>
        </row>
        <row r="333">
          <cell r="P333" t="str">
            <v>8400/000BANK ACCOUNTS</v>
          </cell>
        </row>
        <row r="334">
          <cell r="P334" t="str">
            <v>8410/000</v>
          </cell>
        </row>
        <row r="335">
          <cell r="P335" t="str">
            <v>8420/000</v>
          </cell>
        </row>
        <row r="336">
          <cell r="P336" t="str">
            <v>8430/000</v>
          </cell>
        </row>
        <row r="337">
          <cell r="P337" t="str">
            <v>8440/000</v>
          </cell>
        </row>
        <row r="338">
          <cell r="P338" t="str">
            <v>8450/000</v>
          </cell>
        </row>
        <row r="339">
          <cell r="P339" t="str">
            <v>8460/000</v>
          </cell>
        </row>
        <row r="340">
          <cell r="P340" t="str">
            <v>8500/000Cash on hand</v>
          </cell>
        </row>
        <row r="341">
          <cell r="P341" t="str">
            <v>8900/000SHORT TERM LOANS</v>
          </cell>
        </row>
        <row r="342">
          <cell r="P342" t="str">
            <v>8900/001</v>
          </cell>
        </row>
        <row r="343">
          <cell r="P343" t="str">
            <v>8900/002</v>
          </cell>
        </row>
        <row r="344">
          <cell r="P344" t="str">
            <v>8900/003</v>
          </cell>
        </row>
        <row r="345">
          <cell r="P345" t="str">
            <v>8900/004Short term portion of long term loans</v>
          </cell>
        </row>
        <row r="346">
          <cell r="P346" t="str">
            <v>9000/000CREDITORS</v>
          </cell>
        </row>
        <row r="347">
          <cell r="P347" t="str">
            <v>9010/000Trade creditors</v>
          </cell>
        </row>
        <row r="348">
          <cell r="P348" t="str">
            <v>9200/000Sundry suppliers</v>
          </cell>
        </row>
        <row r="349">
          <cell r="P349" t="str">
            <v>9200/010Audit and accounting fee accrual</v>
          </cell>
        </row>
        <row r="350">
          <cell r="P350" t="str">
            <v>9200/020Other accruals</v>
          </cell>
        </row>
        <row r="351">
          <cell r="P351" t="str">
            <v>9250/000Salary and wages control</v>
          </cell>
        </row>
        <row r="352">
          <cell r="P352" t="str">
            <v>9300/000TAXATION</v>
          </cell>
        </row>
        <row r="353">
          <cell r="P353" t="str">
            <v>9300/010Balance b/fwd</v>
          </cell>
        </row>
        <row r="354">
          <cell r="P354" t="str">
            <v>9300/020Tax provision this year</v>
          </cell>
        </row>
        <row r="355">
          <cell r="P355" t="str">
            <v>9300/030Over-/(Under) provision previous year</v>
          </cell>
        </row>
        <row r="356">
          <cell r="P356" t="str">
            <v>9300/040Tax paid/(refund) for previous year provisions</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 - Seafront Restaurant</v>
          </cell>
        </row>
        <row r="25">
          <cell r="M25" t="str">
            <v>2050/002Government grants received</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R7,000</v>
          </cell>
        </row>
        <row r="37">
          <cell r="M37" t="str">
            <v>2100/020Consumables</v>
          </cell>
        </row>
        <row r="38">
          <cell r="M38" t="str">
            <v>2100/030Depreciation---------------------------------</v>
          </cell>
        </row>
        <row r="39">
          <cell r="M39" t="str">
            <v>2100/031Depr - Land &amp; buildings</v>
          </cell>
        </row>
        <row r="40">
          <cell r="M40" t="str">
            <v>2100/032Depr - Plant &amp;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 and accommodation</v>
          </cell>
        </row>
        <row r="67">
          <cell r="M67" t="str">
            <v>2150/001</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3000/055Consulting and professional fees</v>
          </cell>
        </row>
        <row r="100">
          <cell r="M100" t="str">
            <v>3000/060Depreciation---------------------------------</v>
          </cell>
        </row>
        <row r="101">
          <cell r="M101" t="str">
            <v>3000/061Depr - Electronic equipment</v>
          </cell>
        </row>
        <row r="102">
          <cell r="M102" t="str">
            <v>3000/063Depr - Furniture and fittings</v>
          </cell>
        </row>
        <row r="103">
          <cell r="M103" t="str">
            <v>3000/070Members' remuneration----------------</v>
          </cell>
        </row>
        <row r="104">
          <cell r="M104" t="str">
            <v>3000/071A Member</v>
          </cell>
        </row>
        <row r="105">
          <cell r="M105" t="str">
            <v>3000/072B Member</v>
          </cell>
        </row>
        <row r="106">
          <cell r="M106" t="str">
            <v>3000/0730</v>
          </cell>
        </row>
        <row r="107">
          <cell r="M107" t="str">
            <v>3000/0740</v>
          </cell>
        </row>
        <row r="108">
          <cell r="M108" t="str">
            <v>3000/075</v>
          </cell>
        </row>
        <row r="109">
          <cell r="M109" t="str">
            <v>3000/080Donations</v>
          </cell>
        </row>
        <row r="110">
          <cell r="M110" t="str">
            <v>3000/090Entertainment expenses</v>
          </cell>
        </row>
        <row r="111">
          <cell r="M111" t="str">
            <v>3000/095Fines</v>
          </cell>
        </row>
        <row r="112">
          <cell r="M112" t="str">
            <v>3000/100General expenses</v>
          </cell>
        </row>
        <row r="113">
          <cell r="M113" t="str">
            <v>3000/110Legal expenses - tax deductible</v>
          </cell>
        </row>
        <row r="114">
          <cell r="M114" t="str">
            <v>3000/111Legal expenses - non deductible</v>
          </cell>
        </row>
        <row r="115">
          <cell r="M115" t="str">
            <v>3000/120Printing and stationary</v>
          </cell>
        </row>
        <row r="116">
          <cell r="M116" t="str">
            <v>3000/130Refreshments</v>
          </cell>
        </row>
        <row r="117">
          <cell r="M117" t="str">
            <v>3000/140Salaries</v>
          </cell>
        </row>
        <row r="118">
          <cell r="M118" t="str">
            <v>3000/141Casual wages</v>
          </cell>
        </row>
        <row r="119">
          <cell r="M119" t="str">
            <v>3000/150Security</v>
          </cell>
        </row>
        <row r="120">
          <cell r="M120" t="str">
            <v>3000/160Subscriptions and membership fees</v>
          </cell>
        </row>
        <row r="121">
          <cell r="M121" t="str">
            <v>3000/170Penalties and interest - SARS</v>
          </cell>
        </row>
        <row r="122">
          <cell r="M122" t="str">
            <v>3000/180</v>
          </cell>
        </row>
        <row r="123">
          <cell r="M123" t="str">
            <v>3000/190</v>
          </cell>
        </row>
        <row r="124">
          <cell r="M124" t="str">
            <v>3000/200</v>
          </cell>
        </row>
        <row r="125">
          <cell r="M125" t="str">
            <v>3000/210</v>
          </cell>
        </row>
        <row r="126">
          <cell r="M126" t="str">
            <v>3000/220</v>
          </cell>
        </row>
        <row r="127">
          <cell r="M127" t="str">
            <v>3000/230</v>
          </cell>
        </row>
        <row r="128">
          <cell r="M128" t="str">
            <v>3000/240</v>
          </cell>
        </row>
        <row r="129">
          <cell r="M129" t="str">
            <v>3000/250</v>
          </cell>
        </row>
        <row r="130">
          <cell r="M130" t="str">
            <v>3000/260</v>
          </cell>
        </row>
        <row r="131">
          <cell r="M131" t="str">
            <v>3000/270Amortization of prepaid lease agreement</v>
          </cell>
        </row>
        <row r="132">
          <cell r="M132" t="str">
            <v>4700/000FINANCE COSTS</v>
          </cell>
        </row>
        <row r="133">
          <cell r="M133" t="str">
            <v>4700/010Interest paid--------------------------------</v>
          </cell>
        </row>
        <row r="134">
          <cell r="M134" t="str">
            <v>4700/011</v>
          </cell>
        </row>
        <row r="135">
          <cell r="M135" t="str">
            <v>4700/012</v>
          </cell>
        </row>
        <row r="136">
          <cell r="M136" t="str">
            <v>4700/013</v>
          </cell>
        </row>
        <row r="137">
          <cell r="M137" t="str">
            <v>4700/014</v>
          </cell>
        </row>
        <row r="138">
          <cell r="M138" t="str">
            <v>4700/015</v>
          </cell>
        </row>
        <row r="139">
          <cell r="M139" t="str">
            <v>4700/016</v>
          </cell>
        </row>
        <row r="140">
          <cell r="M140" t="str">
            <v>4700/017</v>
          </cell>
        </row>
        <row r="141">
          <cell r="M141" t="str">
            <v>4700/018</v>
          </cell>
        </row>
        <row r="142">
          <cell r="M142" t="str">
            <v>4700/019</v>
          </cell>
        </row>
        <row r="143">
          <cell r="M143" t="str">
            <v>4700/020</v>
          </cell>
        </row>
        <row r="144">
          <cell r="M144" t="str">
            <v>4700/021Hire purchase interest - Seafront Restaurant</v>
          </cell>
        </row>
        <row r="145">
          <cell r="M145" t="str">
            <v>4750/000OTHER</v>
          </cell>
        </row>
        <row r="146">
          <cell r="M146" t="str">
            <v>4750/010Loss on revaluation of investments</v>
          </cell>
        </row>
        <row r="147">
          <cell r="M147" t="str">
            <v>4800/000NORMAL TAXATION</v>
          </cell>
        </row>
        <row r="148">
          <cell r="M148" t="str">
            <v>4800/001Tax provided this year</v>
          </cell>
        </row>
        <row r="149">
          <cell r="M149" t="str">
            <v>4800/002Tax adjustment previous year</v>
          </cell>
        </row>
        <row r="150">
          <cell r="M150" t="str">
            <v>4820/000DEFERRED TAX</v>
          </cell>
        </row>
        <row r="151">
          <cell r="M151" t="str">
            <v>4820/001Deferred tax this year</v>
          </cell>
        </row>
        <row r="152">
          <cell r="M152" t="str">
            <v>4820/002Deferred tax adjustment previous year</v>
          </cell>
        </row>
        <row r="153">
          <cell r="M153" t="str">
            <v>4850/000Dividends declared</v>
          </cell>
        </row>
        <row r="154">
          <cell r="M154" t="str">
            <v>4860/000Dividends paid</v>
          </cell>
        </row>
        <row r="158">
          <cell r="M158" t="str">
            <v>5105/000MEMBERS' CONTRIBUTIONS</v>
          </cell>
        </row>
        <row r="159">
          <cell r="M159" t="str">
            <v>5105/001</v>
          </cell>
        </row>
        <row r="160">
          <cell r="M160" t="str">
            <v>5105/002</v>
          </cell>
        </row>
        <row r="161">
          <cell r="M161" t="str">
            <v>5105/003</v>
          </cell>
        </row>
        <row r="162">
          <cell r="M162" t="str">
            <v>5105/004</v>
          </cell>
        </row>
        <row r="163">
          <cell r="M163" t="str">
            <v>5120/000VALUATION RESERVE</v>
          </cell>
        </row>
        <row r="164">
          <cell r="M164" t="str">
            <v>5120/001Valuation reserve - balance b/fwd</v>
          </cell>
        </row>
        <row r="165">
          <cell r="M165" t="str">
            <v>5120/002Valuation reserve - additions</v>
          </cell>
        </row>
        <row r="166">
          <cell r="M166" t="str">
            <v>5120/003Valuation reserve - transfer</v>
          </cell>
        </row>
        <row r="167">
          <cell r="M167" t="str">
            <v>5130/000OTHER RESERVES</v>
          </cell>
        </row>
        <row r="168">
          <cell r="M168" t="str">
            <v>5130/001Other reserves - Balance b/fwd</v>
          </cell>
        </row>
        <row r="169">
          <cell r="M169" t="str">
            <v>5130/002Other reserves - additions</v>
          </cell>
        </row>
        <row r="170">
          <cell r="M170" t="str">
            <v>5130/003Other reserves - transfer</v>
          </cell>
        </row>
        <row r="171">
          <cell r="M171" t="str">
            <v>5200/000(Retained income) / Accumulated loss</v>
          </cell>
        </row>
        <row r="172">
          <cell r="M172" t="str">
            <v>5420/000MEMBERS' LOANS</v>
          </cell>
        </row>
        <row r="173">
          <cell r="M173" t="str">
            <v>5420/010A Member - balance b/fwd</v>
          </cell>
        </row>
        <row r="174">
          <cell r="M174" t="str">
            <v>5420/011A Member - (Advance from)/Repayment to in year</v>
          </cell>
        </row>
        <row r="175">
          <cell r="M175" t="str">
            <v>5420/020B Member - balance b/fwd</v>
          </cell>
        </row>
        <row r="176">
          <cell r="M176" t="str">
            <v>5420/021B Member - (Advance from)/Repayment to in year</v>
          </cell>
        </row>
        <row r="177">
          <cell r="M177" t="str">
            <v>5420/030 - balance b/fwd</v>
          </cell>
        </row>
        <row r="178">
          <cell r="M178" t="str">
            <v>5420/031 - (Advance from)/Repayment to in year</v>
          </cell>
        </row>
        <row r="179">
          <cell r="M179" t="str">
            <v>5420/040 - balance b/fwd</v>
          </cell>
        </row>
        <row r="180">
          <cell r="M180" t="str">
            <v>5420/041 - (Advance from)/Repayment to in year</v>
          </cell>
        </row>
        <row r="181">
          <cell r="M181" t="str">
            <v>5500/000LONG TERM  INTEREST LIABILITIES</v>
          </cell>
        </row>
        <row r="182">
          <cell r="M182" t="str">
            <v>5500/0010</v>
          </cell>
        </row>
        <row r="183">
          <cell r="M183" t="str">
            <v>5500/0020</v>
          </cell>
        </row>
        <row r="184">
          <cell r="M184" t="str">
            <v>5500/0030</v>
          </cell>
        </row>
        <row r="185">
          <cell r="M185" t="str">
            <v>5500/0040</v>
          </cell>
        </row>
        <row r="186">
          <cell r="M186" t="str">
            <v>5500/0050</v>
          </cell>
        </row>
        <row r="187">
          <cell r="M187" t="str">
            <v>5500/0060</v>
          </cell>
        </row>
        <row r="188">
          <cell r="M188" t="str">
            <v>5500/0070</v>
          </cell>
        </row>
        <row r="189">
          <cell r="M189" t="str">
            <v>5500/0080</v>
          </cell>
        </row>
        <row r="190">
          <cell r="M190" t="str">
            <v>5500/0090</v>
          </cell>
        </row>
        <row r="191">
          <cell r="M191" t="str">
            <v>5500/0100</v>
          </cell>
        </row>
        <row r="192">
          <cell r="M192" t="str">
            <v>5500/0110</v>
          </cell>
        </row>
        <row r="193">
          <cell r="M193" t="str">
            <v>5500/0120</v>
          </cell>
        </row>
        <row r="194">
          <cell r="M194" t="str">
            <v>5500/0130</v>
          </cell>
        </row>
        <row r="195">
          <cell r="M195" t="str">
            <v>5500/0140</v>
          </cell>
        </row>
        <row r="196">
          <cell r="M196" t="str">
            <v>5500/0150</v>
          </cell>
        </row>
        <row r="197">
          <cell r="M197" t="str">
            <v>5520/000Short term portion of long term loans</v>
          </cell>
        </row>
        <row r="198">
          <cell r="M198" t="str">
            <v>5550/000LONG TERM INTEREST FREE LOANS</v>
          </cell>
        </row>
        <row r="199">
          <cell r="M199" t="str">
            <v>5550/0010</v>
          </cell>
        </row>
        <row r="200">
          <cell r="M200" t="str">
            <v>5550/0020</v>
          </cell>
        </row>
        <row r="201">
          <cell r="M201" t="str">
            <v>5550/0030</v>
          </cell>
        </row>
        <row r="202">
          <cell r="M202" t="str">
            <v>5550/0040</v>
          </cell>
        </row>
        <row r="203">
          <cell r="M203" t="str">
            <v>5550/0050</v>
          </cell>
        </row>
        <row r="204">
          <cell r="M204" t="str">
            <v>5550/0060</v>
          </cell>
        </row>
        <row r="205">
          <cell r="M205" t="str">
            <v>5550/0070</v>
          </cell>
        </row>
        <row r="206">
          <cell r="M206" t="str">
            <v>5550/0080</v>
          </cell>
        </row>
        <row r="207">
          <cell r="M207" t="str">
            <v>5550/0090</v>
          </cell>
        </row>
        <row r="208">
          <cell r="M208" t="str">
            <v>5550/0100</v>
          </cell>
        </row>
        <row r="209">
          <cell r="M209" t="str">
            <v>5550/0110</v>
          </cell>
        </row>
        <row r="210">
          <cell r="M210" t="str">
            <v>5550/0120</v>
          </cell>
        </row>
        <row r="211">
          <cell r="M211" t="str">
            <v>5550/0130</v>
          </cell>
        </row>
        <row r="212">
          <cell r="M212" t="str">
            <v>5550/0140</v>
          </cell>
        </row>
        <row r="213">
          <cell r="M213" t="str">
            <v>5550/0150</v>
          </cell>
        </row>
        <row r="214">
          <cell r="M214" t="str">
            <v>5550/0160</v>
          </cell>
        </row>
        <row r="215">
          <cell r="M215" t="str">
            <v>5550/0170</v>
          </cell>
        </row>
        <row r="216">
          <cell r="M216" t="str">
            <v>5700/000DEFERRED TAX</v>
          </cell>
        </row>
        <row r="217">
          <cell r="M217" t="str">
            <v>5700/010Deferred tax balance  depreciation b/fwd</v>
          </cell>
        </row>
        <row r="218">
          <cell r="M218" t="str">
            <v>5700/020Deferred tax balance  tax loss b/fwd</v>
          </cell>
        </row>
        <row r="219">
          <cell r="M219" t="str">
            <v>5700/030Deferred tax on depreciation for year</v>
          </cell>
        </row>
        <row r="220">
          <cell r="M220" t="str">
            <v>5700/040Deferred tax on tax loss for year</v>
          </cell>
        </row>
        <row r="221">
          <cell r="M221" t="str">
            <v>5700/050Def tax adj  depreciation previous year</v>
          </cell>
        </row>
        <row r="222">
          <cell r="M222" t="str">
            <v>5700/060Def tax adj tax loss previous year</v>
          </cell>
        </row>
        <row r="223">
          <cell r="M223" t="str">
            <v>6100/000LAND AND BUILDINGS - COST</v>
          </cell>
        </row>
        <row r="224">
          <cell r="M224" t="str">
            <v>6100/001Land and buildings - cost b/fwd</v>
          </cell>
        </row>
        <row r="225">
          <cell r="M225" t="str">
            <v>6100/002Land and buildings - additions</v>
          </cell>
        </row>
        <row r="226">
          <cell r="M226" t="str">
            <v>6100/003Land and buildings - cost of sales</v>
          </cell>
        </row>
        <row r="227">
          <cell r="M227" t="str">
            <v>6100/020LAND AND BUILDINGS - ACC DEPR</v>
          </cell>
        </row>
        <row r="228">
          <cell r="M228" t="str">
            <v>6100/021Land and buildings - acc depr b/fwd</v>
          </cell>
        </row>
        <row r="229">
          <cell r="M229" t="str">
            <v>6100/022Land and buildings - depr this year</v>
          </cell>
        </row>
        <row r="230">
          <cell r="M230" t="str">
            <v>6100/023Land and buildings - acc depr on sales</v>
          </cell>
        </row>
        <row r="231">
          <cell r="M231" t="str">
            <v>6100/030LAND AND BUILDINGS - VALUATION</v>
          </cell>
        </row>
        <row r="232">
          <cell r="M232" t="str">
            <v>6100/031Land and buildings - valuation b/fwd</v>
          </cell>
        </row>
        <row r="233">
          <cell r="M233" t="str">
            <v>6100/032Land and buildings - valuation additions</v>
          </cell>
        </row>
        <row r="234">
          <cell r="M234" t="str">
            <v>6100/033Land and buildings - valuation reduction</v>
          </cell>
        </row>
        <row r="235">
          <cell r="M235" t="str">
            <v>6150/000PLANT AND MACHINERY - COST</v>
          </cell>
        </row>
        <row r="236">
          <cell r="M236" t="str">
            <v>6150/001Plant and machinery - cost b/fwd</v>
          </cell>
        </row>
        <row r="237">
          <cell r="M237" t="str">
            <v>6150/002Plant and machinery - additions</v>
          </cell>
        </row>
        <row r="238">
          <cell r="M238" t="str">
            <v>6150/003Plant and machinery - cost of sales</v>
          </cell>
        </row>
        <row r="239">
          <cell r="M239" t="str">
            <v>6150/020PLANT AND MACHINERY - ACC DEPR</v>
          </cell>
        </row>
        <row r="240">
          <cell r="M240" t="str">
            <v>6150/021Plant and machinery - acc depr b/fwd</v>
          </cell>
        </row>
        <row r="241">
          <cell r="M241" t="str">
            <v>6150/022Plant and machinery - depr this year</v>
          </cell>
        </row>
        <row r="242">
          <cell r="M242" t="str">
            <v>6150/023Plant and machinery - acc depr on sales</v>
          </cell>
        </row>
        <row r="243">
          <cell r="M243" t="str">
            <v>6200/000MOTOR VEHICLES - COST</v>
          </cell>
        </row>
        <row r="244">
          <cell r="M244" t="str">
            <v>6200/001Motor vehicles - cost b/fwd</v>
          </cell>
        </row>
        <row r="245">
          <cell r="M245" t="str">
            <v>6200/002Motor vehicles - additions</v>
          </cell>
        </row>
        <row r="246">
          <cell r="M246" t="str">
            <v>6200/003Motor vehicles - cost of sales</v>
          </cell>
        </row>
        <row r="247">
          <cell r="M247" t="str">
            <v>6200/020MOTOR VEHICLES - ACC DEPR</v>
          </cell>
        </row>
        <row r="248">
          <cell r="M248" t="str">
            <v>6200/021Motor vehicles - acc depr b/fwd</v>
          </cell>
        </row>
        <row r="249">
          <cell r="M249" t="str">
            <v>6200/022Motor vehicles - depr this year</v>
          </cell>
        </row>
        <row r="250">
          <cell r="M250" t="str">
            <v>6200/023Motor vehicles - acc depr on sales</v>
          </cell>
        </row>
        <row r="251">
          <cell r="M251" t="str">
            <v>6250/000ELECTRONIC EQUIPMENT - COST</v>
          </cell>
        </row>
        <row r="252">
          <cell r="M252" t="str">
            <v>6250/001Electronic equipment - cost b/fwd</v>
          </cell>
        </row>
        <row r="253">
          <cell r="M253" t="str">
            <v>6250/002Electronic equipment - additions</v>
          </cell>
        </row>
        <row r="254">
          <cell r="M254" t="str">
            <v>6250/003Electronic equipment - cost of sales</v>
          </cell>
        </row>
        <row r="255">
          <cell r="M255" t="str">
            <v>6250/020ELECTRONIC EQUIPMENT - ACC DEPR</v>
          </cell>
        </row>
        <row r="256">
          <cell r="M256" t="str">
            <v>6250/021Electronic equipment - acc depr b/fwd</v>
          </cell>
        </row>
        <row r="257">
          <cell r="M257" t="str">
            <v>6250/022Electronic equipment - depr this year</v>
          </cell>
        </row>
        <row r="258">
          <cell r="M258" t="str">
            <v>6250/023Electronic equipment - acc depr on sales</v>
          </cell>
        </row>
        <row r="259">
          <cell r="M259" t="str">
            <v>6350/000FURNITURE AND FITTINGS - COST</v>
          </cell>
        </row>
        <row r="260">
          <cell r="M260" t="str">
            <v>6350/001Furniture and fittings - cost b/fwd</v>
          </cell>
        </row>
        <row r="261">
          <cell r="M261" t="str">
            <v>6350/002Furniture and fittings - additions</v>
          </cell>
        </row>
        <row r="262">
          <cell r="M262" t="str">
            <v>6350/003Furniture and fittings - cost of sales</v>
          </cell>
        </row>
        <row r="263">
          <cell r="M263" t="str">
            <v>6350/020FURNITURE AND FITTINGS - ACC DEPR</v>
          </cell>
        </row>
        <row r="264">
          <cell r="M264" t="str">
            <v>6350/021Furniture and fittings - acc depr b/fwd</v>
          </cell>
        </row>
        <row r="265">
          <cell r="M265" t="str">
            <v>6350/022Furniture and fittings - depr this year</v>
          </cell>
        </row>
        <row r="266">
          <cell r="M266" t="str">
            <v>6350/023Furniture and fittings - acc depr on sales</v>
          </cell>
        </row>
        <row r="267">
          <cell r="M267" t="str">
            <v>7000/000GOODWILL/INTANGIBLE ASSETS</v>
          </cell>
        </row>
        <row r="268">
          <cell r="M268" t="str">
            <v>7000/010Goodwill cost</v>
          </cell>
        </row>
        <row r="269">
          <cell r="M269" t="str">
            <v>7000/011Prepaid lease agreement - cost</v>
          </cell>
        </row>
        <row r="270">
          <cell r="M270" t="str">
            <v>7000/015PLA - surplus on revaluation</v>
          </cell>
        </row>
        <row r="271">
          <cell r="M271" t="str">
            <v>7000/020PLA - write down this year</v>
          </cell>
        </row>
        <row r="272">
          <cell r="M272" t="str">
            <v>7000/025PLA - write down previous years</v>
          </cell>
        </row>
        <row r="273">
          <cell r="M273" t="str">
            <v>7100/000INVESTMENTS</v>
          </cell>
        </row>
        <row r="274">
          <cell r="M274" t="str">
            <v>7100/100LISTED INVESTMENTS</v>
          </cell>
        </row>
        <row r="275">
          <cell r="M275" t="str">
            <v>7100/1010</v>
          </cell>
        </row>
        <row r="276">
          <cell r="M276" t="str">
            <v>7100/1020</v>
          </cell>
        </row>
        <row r="277">
          <cell r="M277" t="str">
            <v>7100/1030</v>
          </cell>
        </row>
        <row r="278">
          <cell r="M278" t="str">
            <v>7100/1040</v>
          </cell>
        </row>
        <row r="279">
          <cell r="M279" t="str">
            <v>7100/1050</v>
          </cell>
        </row>
        <row r="280">
          <cell r="M280" t="str">
            <v>7100/200OTHER INVESTMENTS</v>
          </cell>
        </row>
        <row r="281">
          <cell r="M281" t="str">
            <v>7100/2010</v>
          </cell>
        </row>
        <row r="282">
          <cell r="M282" t="str">
            <v>7100/2020</v>
          </cell>
        </row>
        <row r="283">
          <cell r="M283" t="str">
            <v>7100/2030</v>
          </cell>
        </row>
        <row r="284">
          <cell r="M284" t="str">
            <v>7100/2040</v>
          </cell>
        </row>
        <row r="285">
          <cell r="M285" t="str">
            <v>7100/2050</v>
          </cell>
        </row>
        <row r="286">
          <cell r="M286" t="str">
            <v>7450/000CONNECTED ENTITIES LOANS</v>
          </cell>
        </row>
        <row r="287">
          <cell r="M287" t="str">
            <v>7450/000Interest bearing</v>
          </cell>
        </row>
        <row r="288">
          <cell r="M288" t="str">
            <v>7450/0010</v>
          </cell>
        </row>
        <row r="289">
          <cell r="M289" t="str">
            <v>7450/0020</v>
          </cell>
        </row>
        <row r="290">
          <cell r="M290" t="str">
            <v>7450/0030</v>
          </cell>
        </row>
        <row r="291">
          <cell r="M291" t="str">
            <v>7450/0040</v>
          </cell>
        </row>
        <row r="292">
          <cell r="M292" t="str">
            <v>7450/0050</v>
          </cell>
        </row>
        <row r="293">
          <cell r="M293" t="str">
            <v>7450/0060</v>
          </cell>
        </row>
        <row r="294">
          <cell r="M294" t="str">
            <v>7450/0070</v>
          </cell>
        </row>
        <row r="295">
          <cell r="M295" t="str">
            <v>7450/0080</v>
          </cell>
        </row>
        <row r="296">
          <cell r="M296" t="str">
            <v>7450/0090</v>
          </cell>
        </row>
        <row r="297">
          <cell r="M297" t="str">
            <v>7450/0100</v>
          </cell>
        </row>
        <row r="298">
          <cell r="M298" t="str">
            <v>7455/000Interest free</v>
          </cell>
        </row>
        <row r="299">
          <cell r="M299" t="str">
            <v>7455/0010</v>
          </cell>
        </row>
        <row r="300">
          <cell r="M300" t="str">
            <v>7455/0020</v>
          </cell>
        </row>
        <row r="301">
          <cell r="M301" t="str">
            <v>7455/0030</v>
          </cell>
        </row>
        <row r="302">
          <cell r="M302" t="str">
            <v>7455/0040</v>
          </cell>
        </row>
        <row r="303">
          <cell r="M303" t="str">
            <v>7455/0050</v>
          </cell>
        </row>
        <row r="304">
          <cell r="M304" t="str">
            <v>7455/0060</v>
          </cell>
        </row>
        <row r="305">
          <cell r="M305" t="str">
            <v>7455/0070</v>
          </cell>
        </row>
        <row r="306">
          <cell r="M306" t="str">
            <v>7455/0080</v>
          </cell>
        </row>
        <row r="307">
          <cell r="M307" t="str">
            <v>7455/0090</v>
          </cell>
        </row>
        <row r="308">
          <cell r="M308" t="str">
            <v>7455/0100</v>
          </cell>
        </row>
        <row r="309">
          <cell r="M309" t="str">
            <v>7460/000OTHER NON - CURRENT RECEIVABLES</v>
          </cell>
        </row>
        <row r="310">
          <cell r="M310" t="str">
            <v>7460/000Interest bearing</v>
          </cell>
        </row>
        <row r="311">
          <cell r="M311" t="str">
            <v>7460/0010</v>
          </cell>
        </row>
        <row r="312">
          <cell r="M312" t="str">
            <v>7460/0020</v>
          </cell>
        </row>
        <row r="313">
          <cell r="M313" t="str">
            <v>7460/0030</v>
          </cell>
        </row>
        <row r="314">
          <cell r="M314" t="str">
            <v>7460/0040</v>
          </cell>
        </row>
        <row r="315">
          <cell r="M315" t="str">
            <v>7460/000Interest free</v>
          </cell>
        </row>
        <row r="316">
          <cell r="M316" t="str">
            <v>7460/0040</v>
          </cell>
        </row>
        <row r="317">
          <cell r="M317" t="str">
            <v>7460/0050</v>
          </cell>
        </row>
        <row r="318">
          <cell r="M318" t="str">
            <v>7460/0060</v>
          </cell>
        </row>
        <row r="319">
          <cell r="M319" t="str">
            <v>7460/0070</v>
          </cell>
        </row>
        <row r="320">
          <cell r="M320" t="str">
            <v>7460/0080</v>
          </cell>
        </row>
        <row r="321">
          <cell r="M321" t="str">
            <v>7500/000INVENTORY</v>
          </cell>
        </row>
        <row r="322">
          <cell r="M322" t="str">
            <v>7500/001Raw materials</v>
          </cell>
        </row>
        <row r="323">
          <cell r="M323" t="str">
            <v>7500/002Work in progress</v>
          </cell>
        </row>
        <row r="324">
          <cell r="M324" t="str">
            <v>7500/003Finished goods</v>
          </cell>
        </row>
        <row r="325">
          <cell r="M325" t="str">
            <v>7500/004Trading stock</v>
          </cell>
        </row>
        <row r="326">
          <cell r="M326" t="str">
            <v>8000/000DEBTORS</v>
          </cell>
        </row>
        <row r="327">
          <cell r="M327" t="str">
            <v>8010/000Trade debtors</v>
          </cell>
        </row>
        <row r="328">
          <cell r="M328" t="str">
            <v>8020/000Less: Provision for doubtful debts</v>
          </cell>
        </row>
        <row r="329">
          <cell r="M329" t="str">
            <v>8030/000Service deposits</v>
          </cell>
        </row>
        <row r="330">
          <cell r="M330" t="str">
            <v>8200/000Sundry customers</v>
          </cell>
        </row>
        <row r="331">
          <cell r="M331" t="str">
            <v>8200/010Prepayments</v>
          </cell>
        </row>
        <row r="332">
          <cell r="M332" t="str">
            <v>8200/020Staff loans</v>
          </cell>
        </row>
        <row r="333">
          <cell r="M333" t="str">
            <v>8400/000BANK ACCOUNTS</v>
          </cell>
        </row>
        <row r="334">
          <cell r="M334" t="str">
            <v>8410/0000</v>
          </cell>
        </row>
        <row r="335">
          <cell r="M335" t="str">
            <v>8420/0000</v>
          </cell>
        </row>
        <row r="336">
          <cell r="M336" t="str">
            <v>8430/0000</v>
          </cell>
        </row>
        <row r="337">
          <cell r="M337" t="str">
            <v>8440/0000</v>
          </cell>
        </row>
        <row r="338">
          <cell r="M338" t="str">
            <v>8450/0000</v>
          </cell>
        </row>
        <row r="339">
          <cell r="M339" t="str">
            <v>8460/0000</v>
          </cell>
        </row>
        <row r="340">
          <cell r="M340" t="str">
            <v>8500/000Cash on hand</v>
          </cell>
        </row>
        <row r="341">
          <cell r="M341" t="str">
            <v>8900/000SHORT TERM LOANS</v>
          </cell>
        </row>
        <row r="342">
          <cell r="M342" t="str">
            <v>8900/0010</v>
          </cell>
        </row>
        <row r="343">
          <cell r="M343" t="str">
            <v>8900/0020</v>
          </cell>
        </row>
        <row r="344">
          <cell r="M344" t="str">
            <v>8900/0030</v>
          </cell>
        </row>
        <row r="345">
          <cell r="M345" t="str">
            <v>8900/004Short term portion of long term loans</v>
          </cell>
        </row>
        <row r="346">
          <cell r="M346" t="str">
            <v>9000/000CREDITORS</v>
          </cell>
        </row>
        <row r="347">
          <cell r="M347" t="str">
            <v>9010/000Trade creditors</v>
          </cell>
        </row>
        <row r="348">
          <cell r="M348" t="str">
            <v>9200/000Sundry suppliers</v>
          </cell>
        </row>
        <row r="349">
          <cell r="M349" t="str">
            <v>9200/010Audit and accounting fee accrual</v>
          </cell>
        </row>
        <row r="350">
          <cell r="M350" t="str">
            <v>9200/020Other accruals</v>
          </cell>
        </row>
        <row r="351">
          <cell r="M351" t="str">
            <v>9250/000Salary and wages control</v>
          </cell>
        </row>
        <row r="352">
          <cell r="M352" t="str">
            <v>9300/000TAXATION</v>
          </cell>
        </row>
        <row r="353">
          <cell r="M353" t="str">
            <v>9300/010Balance b/fwd</v>
          </cell>
        </row>
        <row r="354">
          <cell r="M354" t="str">
            <v>9300/020Tax provision this year</v>
          </cell>
        </row>
        <row r="355">
          <cell r="M355" t="str">
            <v>9300/030Over-/(Under) provision previous year</v>
          </cell>
        </row>
        <row r="356">
          <cell r="M356" t="str">
            <v>9300/040Tax paid/(refund) for previous year provisions</v>
          </cell>
        </row>
      </sheetData>
      <sheetData sheetId="25" refreshError="1"/>
      <sheetData sheetId="26">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 - Rental Properties</v>
          </cell>
        </row>
        <row r="25">
          <cell r="M25" t="str">
            <v>2050/002Government grants received</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R7,000</v>
          </cell>
        </row>
        <row r="37">
          <cell r="M37" t="str">
            <v>2100/020Consumables</v>
          </cell>
        </row>
        <row r="38">
          <cell r="M38" t="str">
            <v>2100/030Depreciation---------------------------------</v>
          </cell>
        </row>
        <row r="39">
          <cell r="M39" t="str">
            <v>2100/031Depr - Land and buildings</v>
          </cell>
        </row>
        <row r="40">
          <cell r="M40" t="str">
            <v>2100/032Depr - Plant and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 and accommodation</v>
          </cell>
        </row>
        <row r="67">
          <cell r="M67" t="str">
            <v>2150/001</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3000/055Consulting and professional fees</v>
          </cell>
        </row>
        <row r="100">
          <cell r="M100" t="str">
            <v>3000/060Depreciation---------------------------------</v>
          </cell>
        </row>
        <row r="101">
          <cell r="M101" t="str">
            <v>3000/061Depr - Electronic equipment</v>
          </cell>
        </row>
        <row r="102">
          <cell r="M102" t="str">
            <v>3000/063Depr - Furniture and fittings</v>
          </cell>
        </row>
        <row r="103">
          <cell r="M103" t="str">
            <v>3000/070Members' remuneration----------------</v>
          </cell>
        </row>
        <row r="104">
          <cell r="M104" t="str">
            <v>3000/071A Member</v>
          </cell>
        </row>
        <row r="105">
          <cell r="M105" t="str">
            <v>3000/072B Member</v>
          </cell>
        </row>
        <row r="106">
          <cell r="M106" t="str">
            <v>3000/0730</v>
          </cell>
        </row>
        <row r="107">
          <cell r="M107" t="str">
            <v>3000/0740</v>
          </cell>
        </row>
        <row r="108">
          <cell r="M108" t="str">
            <v>3000/075</v>
          </cell>
        </row>
        <row r="109">
          <cell r="M109" t="str">
            <v>3000/080Donations</v>
          </cell>
        </row>
        <row r="110">
          <cell r="M110" t="str">
            <v>3000/090Entertainment expenses</v>
          </cell>
        </row>
        <row r="111">
          <cell r="M111" t="str">
            <v>3000/095Fines</v>
          </cell>
        </row>
        <row r="112">
          <cell r="M112" t="str">
            <v>3000/100General expenses</v>
          </cell>
        </row>
        <row r="113">
          <cell r="M113" t="str">
            <v>3000/110Legal expenses - tax deductible</v>
          </cell>
        </row>
        <row r="114">
          <cell r="M114" t="str">
            <v>3000/111Legal expenses - non deductible</v>
          </cell>
        </row>
        <row r="115">
          <cell r="M115" t="str">
            <v>3000/120Printing and stationary</v>
          </cell>
        </row>
        <row r="116">
          <cell r="M116" t="str">
            <v>3000/130Refreshments</v>
          </cell>
        </row>
        <row r="117">
          <cell r="M117" t="str">
            <v>3000/140Salaries</v>
          </cell>
        </row>
        <row r="118">
          <cell r="M118" t="str">
            <v>3000/141Casual wages</v>
          </cell>
        </row>
        <row r="119">
          <cell r="M119" t="str">
            <v>3000/150Security</v>
          </cell>
        </row>
        <row r="120">
          <cell r="M120" t="str">
            <v>3000/160Subscriptions and membership fees</v>
          </cell>
        </row>
        <row r="121">
          <cell r="M121" t="str">
            <v>3000/170Penalties and interest - SARS</v>
          </cell>
        </row>
        <row r="122">
          <cell r="M122" t="str">
            <v>3000/180</v>
          </cell>
        </row>
        <row r="123">
          <cell r="M123" t="str">
            <v>3000/190</v>
          </cell>
        </row>
        <row r="124">
          <cell r="M124" t="str">
            <v>3000/200</v>
          </cell>
        </row>
        <row r="125">
          <cell r="M125" t="str">
            <v>3000/210</v>
          </cell>
        </row>
        <row r="126">
          <cell r="M126" t="str">
            <v>3000/220</v>
          </cell>
        </row>
        <row r="127">
          <cell r="M127" t="str">
            <v>3000/230</v>
          </cell>
        </row>
        <row r="128">
          <cell r="M128" t="str">
            <v>3000/240</v>
          </cell>
        </row>
        <row r="129">
          <cell r="M129" t="str">
            <v>3000/250</v>
          </cell>
        </row>
        <row r="130">
          <cell r="M130" t="str">
            <v>3000/260</v>
          </cell>
        </row>
        <row r="131">
          <cell r="M131" t="str">
            <v>3000/270Amortisation of prepaid lease agreement</v>
          </cell>
        </row>
        <row r="132">
          <cell r="M132" t="str">
            <v>4700/000FINANCE COSTS</v>
          </cell>
        </row>
        <row r="133">
          <cell r="M133" t="str">
            <v>4700/010Interest paid--------------------------------</v>
          </cell>
        </row>
        <row r="134">
          <cell r="M134" t="str">
            <v>4700/011</v>
          </cell>
        </row>
        <row r="135">
          <cell r="M135" t="str">
            <v>4700/012</v>
          </cell>
        </row>
        <row r="136">
          <cell r="M136" t="str">
            <v>4700/013</v>
          </cell>
        </row>
        <row r="137">
          <cell r="M137" t="str">
            <v>4700/014</v>
          </cell>
        </row>
        <row r="138">
          <cell r="M138" t="str">
            <v>4700/015</v>
          </cell>
        </row>
        <row r="139">
          <cell r="M139" t="str">
            <v>4700/016</v>
          </cell>
        </row>
        <row r="140">
          <cell r="M140" t="str">
            <v>4700/017</v>
          </cell>
        </row>
        <row r="141">
          <cell r="M141" t="str">
            <v>4700/018</v>
          </cell>
        </row>
        <row r="142">
          <cell r="M142" t="str">
            <v>4700/019</v>
          </cell>
        </row>
        <row r="143">
          <cell r="M143" t="str">
            <v>4700/020</v>
          </cell>
        </row>
        <row r="144">
          <cell r="M144" t="str">
            <v>4700/021Hire purchase interest - Rental Properties</v>
          </cell>
        </row>
        <row r="145">
          <cell r="M145" t="str">
            <v>4750/000OTHER</v>
          </cell>
        </row>
        <row r="146">
          <cell r="M146" t="str">
            <v>4750/010Loss on revaluation of investments</v>
          </cell>
        </row>
        <row r="147">
          <cell r="M147" t="str">
            <v>4800/000NORMAL TAXATION</v>
          </cell>
        </row>
        <row r="148">
          <cell r="M148" t="str">
            <v>4800/001Tax provided this year</v>
          </cell>
        </row>
        <row r="149">
          <cell r="M149" t="str">
            <v>4800/002Tax adjustment previous year</v>
          </cell>
        </row>
        <row r="150">
          <cell r="M150" t="str">
            <v>4820/000DEFERRED TAX</v>
          </cell>
        </row>
        <row r="151">
          <cell r="M151" t="str">
            <v>4820/001Deferred tax this year</v>
          </cell>
        </row>
        <row r="152">
          <cell r="M152" t="str">
            <v>4820/002Deferred tax adjustment previous year</v>
          </cell>
        </row>
        <row r="153">
          <cell r="M153" t="str">
            <v>4850/000Dividends declared</v>
          </cell>
        </row>
        <row r="154">
          <cell r="M154" t="str">
            <v>4860/000Dividends paid</v>
          </cell>
        </row>
        <row r="158">
          <cell r="M158" t="str">
            <v>5105/000MEMBERS' CONTRIBUTIONS</v>
          </cell>
        </row>
        <row r="159">
          <cell r="M159" t="str">
            <v>5105/001</v>
          </cell>
        </row>
        <row r="160">
          <cell r="M160" t="str">
            <v>5105/002</v>
          </cell>
        </row>
        <row r="161">
          <cell r="M161" t="str">
            <v>5105/003</v>
          </cell>
        </row>
        <row r="162">
          <cell r="M162" t="str">
            <v>5105/004</v>
          </cell>
        </row>
        <row r="163">
          <cell r="M163" t="str">
            <v>5120/000VALUATION RESERVE</v>
          </cell>
        </row>
        <row r="164">
          <cell r="M164" t="str">
            <v>5120/001Valuation reserve - balance b/fwd</v>
          </cell>
        </row>
        <row r="165">
          <cell r="M165" t="str">
            <v>5120/002Valuation reserve - additions</v>
          </cell>
        </row>
        <row r="166">
          <cell r="M166" t="str">
            <v>5120/003Valuation reserve - transfer</v>
          </cell>
        </row>
        <row r="167">
          <cell r="M167" t="str">
            <v>5130/000OTHER RESERVES</v>
          </cell>
        </row>
        <row r="168">
          <cell r="M168" t="str">
            <v>5130/001Other reserves - Balance b/fwd</v>
          </cell>
        </row>
        <row r="169">
          <cell r="M169" t="str">
            <v>5130/002Other reserves - additions</v>
          </cell>
        </row>
        <row r="170">
          <cell r="M170" t="str">
            <v>5130/003Other reserves - transfer</v>
          </cell>
        </row>
        <row r="171">
          <cell r="M171" t="str">
            <v>5200/000(Retained income) / Accumulated loss</v>
          </cell>
        </row>
        <row r="172">
          <cell r="M172" t="str">
            <v>5420/000MEMBERS' LOANS</v>
          </cell>
        </row>
        <row r="173">
          <cell r="M173" t="str">
            <v>5420/010A Member - balance b/fwd</v>
          </cell>
        </row>
        <row r="174">
          <cell r="M174" t="str">
            <v>5420/011A Member - (Advance from)/Repayment to in year</v>
          </cell>
        </row>
        <row r="175">
          <cell r="M175" t="str">
            <v>5420/020B Member - balance b/fwd</v>
          </cell>
        </row>
        <row r="176">
          <cell r="M176" t="str">
            <v>5420/021B Member - (Advance from)/Repayment to in year</v>
          </cell>
        </row>
        <row r="177">
          <cell r="M177" t="str">
            <v>5420/030 - balance b/fwd</v>
          </cell>
        </row>
        <row r="178">
          <cell r="M178" t="str">
            <v>5420/031 - (Advance from)/Repayment to in year</v>
          </cell>
        </row>
        <row r="179">
          <cell r="M179" t="str">
            <v>5420/040 - balance b/fwd</v>
          </cell>
        </row>
        <row r="180">
          <cell r="M180" t="str">
            <v>5420/041 - (Advance from)/Repayment to in year</v>
          </cell>
        </row>
        <row r="181">
          <cell r="M181" t="str">
            <v>5500/000LONG TERM  INTEREST LIABILITIES</v>
          </cell>
        </row>
        <row r="182">
          <cell r="M182" t="str">
            <v>5500/0010</v>
          </cell>
        </row>
        <row r="183">
          <cell r="M183" t="str">
            <v>5500/0020</v>
          </cell>
        </row>
        <row r="184">
          <cell r="M184" t="str">
            <v>5500/0030</v>
          </cell>
        </row>
        <row r="185">
          <cell r="M185" t="str">
            <v>5500/0040</v>
          </cell>
        </row>
        <row r="186">
          <cell r="M186" t="str">
            <v>5500/0050</v>
          </cell>
        </row>
        <row r="187">
          <cell r="M187" t="str">
            <v>5500/0060</v>
          </cell>
        </row>
        <row r="188">
          <cell r="M188" t="str">
            <v>5500/0070</v>
          </cell>
        </row>
        <row r="189">
          <cell r="M189" t="str">
            <v>5500/0080</v>
          </cell>
        </row>
        <row r="190">
          <cell r="M190" t="str">
            <v>5500/0090</v>
          </cell>
        </row>
        <row r="191">
          <cell r="M191" t="str">
            <v>5500/0100</v>
          </cell>
        </row>
        <row r="192">
          <cell r="M192" t="str">
            <v>5500/0110</v>
          </cell>
        </row>
        <row r="193">
          <cell r="M193" t="str">
            <v>5500/0120</v>
          </cell>
        </row>
        <row r="194">
          <cell r="M194" t="str">
            <v>5500/0130</v>
          </cell>
        </row>
        <row r="195">
          <cell r="M195" t="str">
            <v>5500/0140</v>
          </cell>
        </row>
        <row r="196">
          <cell r="M196" t="str">
            <v>5500/0150</v>
          </cell>
        </row>
        <row r="197">
          <cell r="M197" t="str">
            <v>5520/000Short term portion of long term loans</v>
          </cell>
        </row>
        <row r="198">
          <cell r="M198" t="str">
            <v>5550/000LONG TERM INTEREST FREE LOANS</v>
          </cell>
        </row>
        <row r="199">
          <cell r="M199" t="str">
            <v>5550/0010</v>
          </cell>
        </row>
        <row r="200">
          <cell r="M200" t="str">
            <v>5550/0020</v>
          </cell>
        </row>
        <row r="201">
          <cell r="M201" t="str">
            <v>5550/0030</v>
          </cell>
        </row>
        <row r="202">
          <cell r="M202" t="str">
            <v>5550/0040</v>
          </cell>
        </row>
        <row r="203">
          <cell r="M203" t="str">
            <v>5550/0050</v>
          </cell>
        </row>
        <row r="204">
          <cell r="M204" t="str">
            <v>5550/0060</v>
          </cell>
        </row>
        <row r="205">
          <cell r="M205" t="str">
            <v>5550/0070</v>
          </cell>
        </row>
        <row r="206">
          <cell r="M206" t="str">
            <v>5550/0080</v>
          </cell>
        </row>
        <row r="207">
          <cell r="M207" t="str">
            <v>5550/0090</v>
          </cell>
        </row>
        <row r="208">
          <cell r="M208" t="str">
            <v>5550/0100</v>
          </cell>
        </row>
        <row r="209">
          <cell r="M209" t="str">
            <v>5550/0110</v>
          </cell>
        </row>
        <row r="210">
          <cell r="M210" t="str">
            <v>5550/0120</v>
          </cell>
        </row>
        <row r="211">
          <cell r="M211" t="str">
            <v>5550/0130</v>
          </cell>
        </row>
        <row r="212">
          <cell r="M212" t="str">
            <v>5550/0140</v>
          </cell>
        </row>
        <row r="213">
          <cell r="M213" t="str">
            <v>5550/0150</v>
          </cell>
        </row>
        <row r="214">
          <cell r="M214" t="str">
            <v>5550/0160</v>
          </cell>
        </row>
        <row r="215">
          <cell r="M215" t="str">
            <v>5550/0170</v>
          </cell>
        </row>
        <row r="216">
          <cell r="M216" t="str">
            <v>5700/000DEFERRED TAX</v>
          </cell>
        </row>
        <row r="217">
          <cell r="M217" t="str">
            <v>5700/010Deferred tax balance  depreciation b/fwd</v>
          </cell>
        </row>
        <row r="218">
          <cell r="M218" t="str">
            <v>5700/020Deferred tax balance  tax loss b/fwd</v>
          </cell>
        </row>
        <row r="219">
          <cell r="M219" t="str">
            <v>5700/030Deferred tax on depreciation for year</v>
          </cell>
        </row>
        <row r="220">
          <cell r="M220" t="str">
            <v>5700/040Deferred tax on tax loss for year</v>
          </cell>
        </row>
        <row r="221">
          <cell r="M221" t="str">
            <v>5700/050Def tax adj  depreciation previous year</v>
          </cell>
        </row>
        <row r="222">
          <cell r="M222" t="str">
            <v>5700/060Def tax adj tax loss previous year</v>
          </cell>
        </row>
        <row r="223">
          <cell r="M223" t="str">
            <v>6100/000LAND AND BUILDINGS - COST</v>
          </cell>
        </row>
        <row r="224">
          <cell r="M224" t="str">
            <v>6100/001Land and buildings - cost b/fwd</v>
          </cell>
        </row>
        <row r="225">
          <cell r="M225" t="str">
            <v>6100/002Land and buildings - additions</v>
          </cell>
        </row>
        <row r="226">
          <cell r="M226" t="str">
            <v>6100/003Land and buildings - cost of sales</v>
          </cell>
        </row>
        <row r="227">
          <cell r="M227" t="str">
            <v>6100/020LAND AND BUILDINGS - ACC DEPR</v>
          </cell>
        </row>
        <row r="228">
          <cell r="M228" t="str">
            <v>6100/021Land and buildings - acc depr b/fwd</v>
          </cell>
        </row>
        <row r="229">
          <cell r="M229" t="str">
            <v>6100/022Land and buildings - depr this year</v>
          </cell>
        </row>
        <row r="230">
          <cell r="M230" t="str">
            <v>6100/023Land and buildings - acc depr on sales</v>
          </cell>
        </row>
        <row r="231">
          <cell r="M231" t="str">
            <v>6100/030LAND AND BUILDINGS - VALUATION</v>
          </cell>
        </row>
        <row r="232">
          <cell r="M232" t="str">
            <v>6100/031Land and buildings - valuation b/fwd</v>
          </cell>
        </row>
        <row r="233">
          <cell r="M233" t="str">
            <v>6100/032Land and buildings - valuation additions</v>
          </cell>
        </row>
        <row r="234">
          <cell r="M234" t="str">
            <v>6100/033Land and buildings - valuation reduction</v>
          </cell>
        </row>
        <row r="235">
          <cell r="M235" t="str">
            <v>6150/000PLANT AND MACHINERY - COST</v>
          </cell>
        </row>
        <row r="236">
          <cell r="M236" t="str">
            <v>6150/001Plant and machinery - cost b/fwd</v>
          </cell>
        </row>
        <row r="237">
          <cell r="M237" t="str">
            <v>6150/002Plant and machinery - additions</v>
          </cell>
        </row>
        <row r="238">
          <cell r="M238" t="str">
            <v>6150/003Plant and machinery - cost of sales</v>
          </cell>
        </row>
        <row r="239">
          <cell r="M239" t="str">
            <v>6150/020PLANT AND MACHINERY - ACC DEPR</v>
          </cell>
        </row>
        <row r="240">
          <cell r="M240" t="str">
            <v>6150/021Plant and machinery - acc depr b/fwd</v>
          </cell>
        </row>
        <row r="241">
          <cell r="M241" t="str">
            <v>6150/022Plant and machinery - depr this year</v>
          </cell>
        </row>
        <row r="242">
          <cell r="M242" t="str">
            <v>6150/023Plant and machinery - acc depr on sales</v>
          </cell>
        </row>
        <row r="243">
          <cell r="M243" t="str">
            <v>6200/000MOTOR VEHICLES - COST</v>
          </cell>
        </row>
        <row r="244">
          <cell r="M244" t="str">
            <v>6200/001Motor vehicles - cost b/fwd</v>
          </cell>
        </row>
        <row r="245">
          <cell r="M245" t="str">
            <v>6200/002Motor vehicles - additions</v>
          </cell>
        </row>
        <row r="246">
          <cell r="M246" t="str">
            <v>6200/003Motor vehicles - cost of sales</v>
          </cell>
        </row>
        <row r="247">
          <cell r="M247" t="str">
            <v>6200/020MOTOR VEHICLES - ACC DEPR</v>
          </cell>
        </row>
        <row r="248">
          <cell r="M248" t="str">
            <v>6200/021Motor vehicles - acc depr b/fwd</v>
          </cell>
        </row>
        <row r="249">
          <cell r="M249" t="str">
            <v>6200/022Motor vehicles - depr this year</v>
          </cell>
        </row>
        <row r="250">
          <cell r="M250" t="str">
            <v>6200/023Motor vehicles - acc depr on sales</v>
          </cell>
        </row>
        <row r="251">
          <cell r="M251" t="str">
            <v>6250/000ELECTRONIC EQUIPMENT - COST</v>
          </cell>
        </row>
        <row r="252">
          <cell r="M252" t="str">
            <v>6250/001Electronic equipment - cost b/fwd</v>
          </cell>
        </row>
        <row r="253">
          <cell r="M253" t="str">
            <v>6250/002Electronic equipment - additions</v>
          </cell>
        </row>
        <row r="254">
          <cell r="M254" t="str">
            <v>6250/003Electronic equipment - cost of sales</v>
          </cell>
        </row>
        <row r="255">
          <cell r="M255" t="str">
            <v>6250/020ELECTRONIC EQUIPMENT - ACC DEPR</v>
          </cell>
        </row>
        <row r="256">
          <cell r="M256" t="str">
            <v>6250/021Electronic equipment - acc depr b/fwd</v>
          </cell>
        </row>
        <row r="257">
          <cell r="M257" t="str">
            <v>6250/022Electronic equipment - depr this year</v>
          </cell>
        </row>
        <row r="258">
          <cell r="M258" t="str">
            <v>6250/023Electronic equipment - acc depr on sales</v>
          </cell>
        </row>
        <row r="259">
          <cell r="M259" t="str">
            <v>6350/000FURNITURE AND FITTINGS - COST</v>
          </cell>
        </row>
        <row r="260">
          <cell r="M260" t="str">
            <v>6350/001Furniture and fittings - cost b/fwd</v>
          </cell>
        </row>
        <row r="261">
          <cell r="M261" t="str">
            <v>6350/002Furniture and fittings - additions</v>
          </cell>
        </row>
        <row r="262">
          <cell r="M262" t="str">
            <v>6350/003Furniture and fittings - cost of sales</v>
          </cell>
        </row>
        <row r="263">
          <cell r="M263" t="str">
            <v>6350/020FURNITURE AND FITTINGS - ACC DEPR</v>
          </cell>
        </row>
        <row r="264">
          <cell r="M264" t="str">
            <v>6350/021Furniture and fittings - acc depr b/fwd</v>
          </cell>
        </row>
        <row r="265">
          <cell r="M265" t="str">
            <v>6350/022Furniture and fittings - depr this year</v>
          </cell>
        </row>
        <row r="266">
          <cell r="M266" t="str">
            <v>6350/023Furniture and fittings - acc depr on sales</v>
          </cell>
        </row>
        <row r="267">
          <cell r="M267" t="str">
            <v>7000/000GOODWILL/INTANGIBLE ASSETS</v>
          </cell>
        </row>
        <row r="268">
          <cell r="M268" t="str">
            <v>7000/010Goodwill cost</v>
          </cell>
        </row>
        <row r="269">
          <cell r="M269" t="str">
            <v>7000/011Prepaid lease agreement - cost</v>
          </cell>
        </row>
        <row r="270">
          <cell r="M270" t="str">
            <v>7000/015PLA - surplus on revaluation</v>
          </cell>
        </row>
        <row r="271">
          <cell r="M271" t="str">
            <v>7000/020PLA - write down this year</v>
          </cell>
        </row>
        <row r="272">
          <cell r="M272" t="str">
            <v>7000/025PLA - write down previous years</v>
          </cell>
        </row>
        <row r="273">
          <cell r="M273" t="str">
            <v>7100/000INVESTMENTS</v>
          </cell>
        </row>
        <row r="274">
          <cell r="M274" t="str">
            <v>7100/100LISTED INVESTMENTS</v>
          </cell>
        </row>
        <row r="275">
          <cell r="M275" t="str">
            <v>7100/1010</v>
          </cell>
        </row>
        <row r="276">
          <cell r="M276" t="str">
            <v>7100/1020</v>
          </cell>
        </row>
        <row r="277">
          <cell r="M277" t="str">
            <v>7100/1030</v>
          </cell>
        </row>
        <row r="278">
          <cell r="M278" t="str">
            <v>7100/1040</v>
          </cell>
        </row>
        <row r="279">
          <cell r="M279" t="str">
            <v>7100/1050</v>
          </cell>
        </row>
        <row r="280">
          <cell r="M280" t="str">
            <v>7100/200OTHER INVESTMENTS</v>
          </cell>
        </row>
        <row r="281">
          <cell r="M281" t="str">
            <v>7100/2010</v>
          </cell>
        </row>
        <row r="282">
          <cell r="M282" t="str">
            <v>7100/2020</v>
          </cell>
        </row>
        <row r="283">
          <cell r="M283" t="str">
            <v>7100/2030</v>
          </cell>
        </row>
        <row r="284">
          <cell r="M284" t="str">
            <v>7100/2040</v>
          </cell>
        </row>
        <row r="285">
          <cell r="M285" t="str">
            <v>7100/2050</v>
          </cell>
        </row>
        <row r="286">
          <cell r="M286" t="str">
            <v>7450/000CONNECTED ENTITIES LOANS</v>
          </cell>
        </row>
        <row r="287">
          <cell r="M287" t="str">
            <v>7450/000Interest bearing</v>
          </cell>
        </row>
        <row r="288">
          <cell r="M288" t="str">
            <v>7450/0010</v>
          </cell>
        </row>
        <row r="289">
          <cell r="M289" t="str">
            <v>7450/0020</v>
          </cell>
        </row>
        <row r="290">
          <cell r="M290" t="str">
            <v>7450/0030</v>
          </cell>
        </row>
        <row r="291">
          <cell r="M291" t="str">
            <v>7450/0040</v>
          </cell>
        </row>
        <row r="292">
          <cell r="M292" t="str">
            <v>7450/0050</v>
          </cell>
        </row>
        <row r="293">
          <cell r="M293" t="str">
            <v>7450/0060</v>
          </cell>
        </row>
        <row r="294">
          <cell r="M294" t="str">
            <v>7450/0070</v>
          </cell>
        </row>
        <row r="295">
          <cell r="M295" t="str">
            <v>7450/0080</v>
          </cell>
        </row>
        <row r="296">
          <cell r="M296" t="str">
            <v>7450/0090</v>
          </cell>
        </row>
        <row r="297">
          <cell r="M297" t="str">
            <v>7450/0100</v>
          </cell>
        </row>
        <row r="298">
          <cell r="M298" t="str">
            <v>7455/000Interest free</v>
          </cell>
        </row>
        <row r="299">
          <cell r="M299" t="str">
            <v>7455/0010</v>
          </cell>
        </row>
        <row r="300">
          <cell r="M300" t="str">
            <v>7455/0020</v>
          </cell>
        </row>
        <row r="301">
          <cell r="M301" t="str">
            <v>7455/0030</v>
          </cell>
        </row>
        <row r="302">
          <cell r="M302" t="str">
            <v>7455/0040</v>
          </cell>
        </row>
        <row r="303">
          <cell r="M303" t="str">
            <v>7455/0050</v>
          </cell>
        </row>
        <row r="304">
          <cell r="M304" t="str">
            <v>7455/0060</v>
          </cell>
        </row>
        <row r="305">
          <cell r="M305" t="str">
            <v>7455/0070</v>
          </cell>
        </row>
        <row r="306">
          <cell r="M306" t="str">
            <v>7455/0080</v>
          </cell>
        </row>
        <row r="307">
          <cell r="M307" t="str">
            <v>7455/0090</v>
          </cell>
        </row>
        <row r="308">
          <cell r="M308" t="str">
            <v>7455/0100</v>
          </cell>
        </row>
        <row r="309">
          <cell r="M309" t="str">
            <v>7460/000OTHER NON - CURRENT RECEIVABLES</v>
          </cell>
        </row>
        <row r="310">
          <cell r="M310" t="str">
            <v>7460/000Interest bearing</v>
          </cell>
        </row>
        <row r="311">
          <cell r="M311" t="str">
            <v>7460/0010</v>
          </cell>
        </row>
        <row r="312">
          <cell r="M312" t="str">
            <v>7460/0020</v>
          </cell>
        </row>
        <row r="313">
          <cell r="M313" t="str">
            <v>7460/0030</v>
          </cell>
        </row>
        <row r="314">
          <cell r="M314" t="str">
            <v>7460/0040</v>
          </cell>
        </row>
        <row r="315">
          <cell r="M315" t="str">
            <v>7460/000Interest free</v>
          </cell>
        </row>
        <row r="316">
          <cell r="M316" t="str">
            <v>7460/0040</v>
          </cell>
        </row>
        <row r="317">
          <cell r="M317" t="str">
            <v>7460/0050</v>
          </cell>
        </row>
        <row r="318">
          <cell r="M318" t="str">
            <v>7460/0060</v>
          </cell>
        </row>
        <row r="319">
          <cell r="M319" t="str">
            <v>7460/0070</v>
          </cell>
        </row>
        <row r="320">
          <cell r="M320" t="str">
            <v>7460/0080</v>
          </cell>
        </row>
        <row r="321">
          <cell r="M321" t="str">
            <v>7500/000INVENTORY</v>
          </cell>
        </row>
        <row r="322">
          <cell r="M322" t="str">
            <v>7500/001Raw materials</v>
          </cell>
        </row>
        <row r="323">
          <cell r="M323" t="str">
            <v>7500/002Work in progress</v>
          </cell>
        </row>
        <row r="324">
          <cell r="M324" t="str">
            <v>7500/003Finished goods</v>
          </cell>
        </row>
        <row r="325">
          <cell r="M325" t="str">
            <v>7500/004Trading stock</v>
          </cell>
        </row>
        <row r="326">
          <cell r="M326" t="str">
            <v>8000/000DEBTORS</v>
          </cell>
        </row>
        <row r="327">
          <cell r="M327" t="str">
            <v>8010/000Trade debtors</v>
          </cell>
        </row>
        <row r="328">
          <cell r="M328" t="str">
            <v>8020/000Less: Provision for doubtful debts</v>
          </cell>
        </row>
        <row r="329">
          <cell r="M329" t="str">
            <v>8030/000Service deposits</v>
          </cell>
        </row>
        <row r="330">
          <cell r="M330" t="str">
            <v>8200/000Sundry customers</v>
          </cell>
        </row>
        <row r="331">
          <cell r="M331" t="str">
            <v>8200/010Prepayments</v>
          </cell>
        </row>
        <row r="332">
          <cell r="M332" t="str">
            <v>8200/020Staff loans</v>
          </cell>
        </row>
        <row r="333">
          <cell r="M333" t="str">
            <v>8400/000BANK ACCOUNTS</v>
          </cell>
        </row>
        <row r="334">
          <cell r="M334" t="str">
            <v>8410/0000</v>
          </cell>
        </row>
        <row r="335">
          <cell r="M335" t="str">
            <v>8420/0000</v>
          </cell>
        </row>
        <row r="336">
          <cell r="M336" t="str">
            <v>8430/0000</v>
          </cell>
        </row>
        <row r="337">
          <cell r="M337" t="str">
            <v>8440/0000</v>
          </cell>
        </row>
        <row r="338">
          <cell r="M338" t="str">
            <v>8450/0000</v>
          </cell>
        </row>
        <row r="339">
          <cell r="M339" t="str">
            <v>8460/0000</v>
          </cell>
        </row>
        <row r="340">
          <cell r="M340" t="str">
            <v>8500/000Cash on hand</v>
          </cell>
        </row>
        <row r="341">
          <cell r="M341" t="str">
            <v>8900/000SHORT TERM LOANS</v>
          </cell>
        </row>
        <row r="342">
          <cell r="M342" t="str">
            <v>8900/0010</v>
          </cell>
        </row>
        <row r="343">
          <cell r="M343" t="str">
            <v>8900/0020</v>
          </cell>
        </row>
        <row r="344">
          <cell r="M344" t="str">
            <v>8900/0030</v>
          </cell>
        </row>
        <row r="345">
          <cell r="M345" t="str">
            <v>8900/004Short term portion of long term loans</v>
          </cell>
        </row>
        <row r="346">
          <cell r="M346" t="str">
            <v>9000/000CREDITORS</v>
          </cell>
        </row>
        <row r="347">
          <cell r="M347" t="str">
            <v>9010/000Trade creditors</v>
          </cell>
        </row>
        <row r="348">
          <cell r="M348" t="str">
            <v>9200/000Sundry suppliers</v>
          </cell>
        </row>
        <row r="349">
          <cell r="M349" t="str">
            <v>9200/010Audit and accounting fee accrual</v>
          </cell>
        </row>
        <row r="350">
          <cell r="M350" t="str">
            <v>9200/020Other accruals</v>
          </cell>
        </row>
        <row r="351">
          <cell r="M351" t="str">
            <v>9250/000Salary and wages control</v>
          </cell>
        </row>
        <row r="352">
          <cell r="M352" t="str">
            <v>9300/000TAXATION</v>
          </cell>
        </row>
        <row r="353">
          <cell r="M353" t="str">
            <v>9300/010Balance b/fwd</v>
          </cell>
        </row>
        <row r="354">
          <cell r="M354" t="str">
            <v>9300/020Tax provision this year</v>
          </cell>
        </row>
        <row r="355">
          <cell r="M355" t="str">
            <v>9300/030Over-/(Under) provision previous year</v>
          </cell>
        </row>
        <row r="356">
          <cell r="M356" t="str">
            <v>9300/040Tax paid/(refund) for previous year provisions</v>
          </cell>
        </row>
      </sheetData>
      <sheetData sheetId="27" refreshError="1"/>
      <sheetData sheetId="28">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 xml:space="preserve">2050/001Insurance claims - </v>
          </cell>
        </row>
        <row r="25">
          <cell r="M25" t="str">
            <v>2050/002Government grants received</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R7,000</v>
          </cell>
        </row>
        <row r="37">
          <cell r="M37" t="str">
            <v>2100/020Consumables</v>
          </cell>
        </row>
        <row r="38">
          <cell r="M38" t="str">
            <v>2100/030Depreciation---------------------------------</v>
          </cell>
        </row>
        <row r="39">
          <cell r="M39" t="str">
            <v>2100/031Depr - Land and buildings</v>
          </cell>
        </row>
        <row r="40">
          <cell r="M40" t="str">
            <v>2100/032Depr - Plant and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 and accommodation</v>
          </cell>
        </row>
        <row r="67">
          <cell r="M67" t="str">
            <v>2150/001</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3000/055Consulting and professional fees</v>
          </cell>
        </row>
        <row r="100">
          <cell r="M100" t="str">
            <v>3000/060Depreciation---------------------------------</v>
          </cell>
        </row>
        <row r="101">
          <cell r="M101" t="str">
            <v>3000/061Depr - Electronic equipment</v>
          </cell>
        </row>
        <row r="102">
          <cell r="M102" t="str">
            <v>3000/063Depr - Furniture and fittings</v>
          </cell>
        </row>
        <row r="103">
          <cell r="M103" t="str">
            <v>3000/070Members' remuneration----------------</v>
          </cell>
        </row>
        <row r="104">
          <cell r="M104" t="str">
            <v>3000/071A Member</v>
          </cell>
        </row>
        <row r="105">
          <cell r="M105" t="str">
            <v>3000/072B Member</v>
          </cell>
        </row>
        <row r="106">
          <cell r="M106" t="str">
            <v>3000/0730</v>
          </cell>
        </row>
        <row r="107">
          <cell r="M107" t="str">
            <v>3000/0740</v>
          </cell>
        </row>
        <row r="108">
          <cell r="M108" t="str">
            <v>3000/075</v>
          </cell>
        </row>
        <row r="109">
          <cell r="M109" t="str">
            <v>3000/080Donations</v>
          </cell>
        </row>
        <row r="110">
          <cell r="M110" t="str">
            <v>3000/090Entertainment expenses</v>
          </cell>
        </row>
        <row r="111">
          <cell r="M111" t="str">
            <v>3000/095Fines</v>
          </cell>
        </row>
        <row r="112">
          <cell r="M112" t="str">
            <v>3000/100General expenses</v>
          </cell>
        </row>
        <row r="113">
          <cell r="M113" t="str">
            <v>3000/110Legal expenses - tax deductible</v>
          </cell>
        </row>
        <row r="114">
          <cell r="M114" t="str">
            <v>3000/111Legal expenses - non deductible</v>
          </cell>
        </row>
        <row r="115">
          <cell r="M115" t="str">
            <v>3000/120Printing and stationary</v>
          </cell>
        </row>
        <row r="116">
          <cell r="M116" t="str">
            <v>3000/130Refreshments</v>
          </cell>
        </row>
        <row r="117">
          <cell r="M117" t="str">
            <v>3000/140Salaries</v>
          </cell>
        </row>
        <row r="118">
          <cell r="M118" t="str">
            <v>3000/141Casual wages</v>
          </cell>
        </row>
        <row r="119">
          <cell r="M119" t="str">
            <v>3000/150Security</v>
          </cell>
        </row>
        <row r="120">
          <cell r="M120" t="str">
            <v>3000/160Subscriptions and membership fees</v>
          </cell>
        </row>
        <row r="121">
          <cell r="M121" t="str">
            <v>3000/170Penalties and interest - SARS</v>
          </cell>
        </row>
        <row r="122">
          <cell r="M122" t="str">
            <v>3000/180</v>
          </cell>
        </row>
        <row r="123">
          <cell r="M123" t="str">
            <v>3000/190</v>
          </cell>
        </row>
        <row r="124">
          <cell r="M124" t="str">
            <v>3000/200</v>
          </cell>
        </row>
        <row r="125">
          <cell r="M125" t="str">
            <v>3000/210</v>
          </cell>
        </row>
        <row r="126">
          <cell r="M126" t="str">
            <v>3000/220</v>
          </cell>
        </row>
        <row r="127">
          <cell r="M127" t="str">
            <v>3000/230</v>
          </cell>
        </row>
        <row r="128">
          <cell r="M128" t="str">
            <v>3000/240</v>
          </cell>
        </row>
        <row r="129">
          <cell r="M129" t="str">
            <v>3000/250</v>
          </cell>
        </row>
        <row r="130">
          <cell r="M130" t="str">
            <v>3000/260</v>
          </cell>
        </row>
        <row r="131">
          <cell r="M131" t="str">
            <v>3000/270Amortization of prepaid lease agreement</v>
          </cell>
        </row>
        <row r="132">
          <cell r="M132" t="str">
            <v>4700/000FINANCE COSTS</v>
          </cell>
        </row>
        <row r="133">
          <cell r="M133" t="str">
            <v>4700/010Interest paid--------------------------------</v>
          </cell>
        </row>
        <row r="134">
          <cell r="M134" t="str">
            <v>4700/011</v>
          </cell>
        </row>
        <row r="135">
          <cell r="M135" t="str">
            <v>4700/012</v>
          </cell>
        </row>
        <row r="136">
          <cell r="M136" t="str">
            <v>4700/013</v>
          </cell>
        </row>
        <row r="137">
          <cell r="M137" t="str">
            <v>4700/014</v>
          </cell>
        </row>
        <row r="138">
          <cell r="M138" t="str">
            <v>4700/015</v>
          </cell>
        </row>
        <row r="139">
          <cell r="M139" t="str">
            <v>4700/016</v>
          </cell>
        </row>
        <row r="140">
          <cell r="M140" t="str">
            <v>4700/017</v>
          </cell>
        </row>
        <row r="141">
          <cell r="M141" t="str">
            <v>4700/018</v>
          </cell>
        </row>
        <row r="142">
          <cell r="M142" t="str">
            <v>4700/019</v>
          </cell>
        </row>
        <row r="143">
          <cell r="M143" t="str">
            <v>4700/020</v>
          </cell>
        </row>
        <row r="144">
          <cell r="M144" t="str">
            <v xml:space="preserve">4700/021Hire purchase interest - </v>
          </cell>
        </row>
        <row r="145">
          <cell r="M145" t="str">
            <v>4750/000OTHER</v>
          </cell>
        </row>
        <row r="146">
          <cell r="M146" t="str">
            <v>4750/010Loss on revaluation of investments</v>
          </cell>
        </row>
        <row r="147">
          <cell r="M147" t="str">
            <v>4800/000NORMAL TAXATION</v>
          </cell>
        </row>
        <row r="148">
          <cell r="M148" t="str">
            <v>4800/001Tax provided this year</v>
          </cell>
        </row>
        <row r="149">
          <cell r="M149" t="str">
            <v>4800/002Tax adjustment previous year</v>
          </cell>
        </row>
        <row r="150">
          <cell r="M150" t="str">
            <v>4820/000DEFERRED TAX</v>
          </cell>
        </row>
        <row r="151">
          <cell r="M151" t="str">
            <v>4820/001Deferred tax this year</v>
          </cell>
        </row>
        <row r="152">
          <cell r="M152" t="str">
            <v>4820/002Deferred tax adjustment previous year</v>
          </cell>
        </row>
        <row r="153">
          <cell r="M153" t="str">
            <v>4850/000Dividends declared</v>
          </cell>
        </row>
        <row r="154">
          <cell r="M154" t="str">
            <v>4860/000Dividends paid</v>
          </cell>
        </row>
        <row r="158">
          <cell r="M158" t="str">
            <v>5105/000MEMBERS' CONTRIBUTIONS</v>
          </cell>
        </row>
        <row r="159">
          <cell r="M159" t="str">
            <v>5105/001</v>
          </cell>
        </row>
        <row r="160">
          <cell r="M160" t="str">
            <v>5105/002</v>
          </cell>
        </row>
        <row r="161">
          <cell r="M161" t="str">
            <v>5105/003</v>
          </cell>
        </row>
        <row r="162">
          <cell r="M162" t="str">
            <v>5105/004</v>
          </cell>
        </row>
        <row r="163">
          <cell r="M163" t="str">
            <v>5120/000VALUATION RESERVE</v>
          </cell>
        </row>
        <row r="164">
          <cell r="M164" t="str">
            <v>5120/001Valuation reserve - balance b/fwd</v>
          </cell>
        </row>
        <row r="165">
          <cell r="M165" t="str">
            <v>5120/002Valuation reserve - additions</v>
          </cell>
        </row>
        <row r="166">
          <cell r="M166" t="str">
            <v>5120/003Valuation reserve - transfer</v>
          </cell>
        </row>
        <row r="167">
          <cell r="M167" t="str">
            <v>5130/000OTHER RESERVES</v>
          </cell>
        </row>
        <row r="168">
          <cell r="M168" t="str">
            <v>5130/001Other reserves - balance b/fwd</v>
          </cell>
        </row>
        <row r="169">
          <cell r="M169" t="str">
            <v>5130/002Other reserves - additions</v>
          </cell>
        </row>
        <row r="170">
          <cell r="M170" t="str">
            <v>5130/003Other reserves - transfer</v>
          </cell>
        </row>
        <row r="171">
          <cell r="M171" t="str">
            <v>5200/000(Retained income) / Accumulated loss</v>
          </cell>
        </row>
        <row r="172">
          <cell r="M172" t="str">
            <v>5420/000MEMBERS' LOANS</v>
          </cell>
        </row>
        <row r="173">
          <cell r="M173" t="str">
            <v>5420/010A Member - balance b/fwd</v>
          </cell>
        </row>
        <row r="174">
          <cell r="M174" t="str">
            <v>5420/011A Member - (Advance from)/Repayment to in year</v>
          </cell>
        </row>
        <row r="175">
          <cell r="M175" t="str">
            <v>5420/020B Member - balance b/fwd</v>
          </cell>
        </row>
        <row r="176">
          <cell r="M176" t="str">
            <v>5420/021B Member - (Advance from)/Repayment to in year</v>
          </cell>
        </row>
        <row r="177">
          <cell r="M177" t="str">
            <v>5420/030 - balance b/fwd</v>
          </cell>
        </row>
        <row r="178">
          <cell r="M178" t="str">
            <v>5420/031 - (Advance from)/Repayment to in year</v>
          </cell>
        </row>
        <row r="179">
          <cell r="M179" t="str">
            <v>5420/040 - balance b/fwd</v>
          </cell>
        </row>
        <row r="180">
          <cell r="M180" t="str">
            <v>5420/041 - (Advance from)/Repayment to in year</v>
          </cell>
        </row>
        <row r="181">
          <cell r="M181" t="str">
            <v>5500/000LONG TERM  INTEREST LIABILITIES</v>
          </cell>
        </row>
        <row r="182">
          <cell r="M182" t="str">
            <v>5500/0010</v>
          </cell>
        </row>
        <row r="183">
          <cell r="M183" t="str">
            <v>5500/0020</v>
          </cell>
        </row>
        <row r="184">
          <cell r="M184" t="str">
            <v>5500/0030</v>
          </cell>
        </row>
        <row r="185">
          <cell r="M185" t="str">
            <v>5500/0040</v>
          </cell>
        </row>
        <row r="186">
          <cell r="M186" t="str">
            <v>5500/0050</v>
          </cell>
        </row>
        <row r="187">
          <cell r="M187" t="str">
            <v>5500/0060</v>
          </cell>
        </row>
        <row r="188">
          <cell r="M188" t="str">
            <v>5500/0070</v>
          </cell>
        </row>
        <row r="189">
          <cell r="M189" t="str">
            <v>5500/0080</v>
          </cell>
        </row>
        <row r="190">
          <cell r="M190" t="str">
            <v>5500/0090</v>
          </cell>
        </row>
        <row r="191">
          <cell r="M191" t="str">
            <v>5500/0100</v>
          </cell>
        </row>
        <row r="192">
          <cell r="M192" t="str">
            <v>5500/0110</v>
          </cell>
        </row>
        <row r="193">
          <cell r="M193" t="str">
            <v>5500/0120</v>
          </cell>
        </row>
        <row r="194">
          <cell r="M194" t="str">
            <v>5500/0130</v>
          </cell>
        </row>
        <row r="195">
          <cell r="M195" t="str">
            <v>5500/0140</v>
          </cell>
        </row>
        <row r="196">
          <cell r="M196" t="str">
            <v>5500/0150</v>
          </cell>
        </row>
        <row r="197">
          <cell r="M197" t="str">
            <v>5520/000Short term portion of long term loans</v>
          </cell>
        </row>
        <row r="198">
          <cell r="M198" t="str">
            <v>5550/000LONG TERM INTEREST FREE LOANS</v>
          </cell>
        </row>
        <row r="199">
          <cell r="M199" t="str">
            <v>5550/0010</v>
          </cell>
        </row>
        <row r="200">
          <cell r="M200" t="str">
            <v>5550/0020</v>
          </cell>
        </row>
        <row r="201">
          <cell r="M201" t="str">
            <v>5550/0030</v>
          </cell>
        </row>
        <row r="202">
          <cell r="M202" t="str">
            <v>5550/0040</v>
          </cell>
        </row>
        <row r="203">
          <cell r="M203" t="str">
            <v>5550/0050</v>
          </cell>
        </row>
        <row r="204">
          <cell r="M204" t="str">
            <v>5550/0060</v>
          </cell>
        </row>
        <row r="205">
          <cell r="M205" t="str">
            <v>5550/0070</v>
          </cell>
        </row>
        <row r="206">
          <cell r="M206" t="str">
            <v>5550/0080</v>
          </cell>
        </row>
        <row r="207">
          <cell r="M207" t="str">
            <v>5550/0090</v>
          </cell>
        </row>
        <row r="208">
          <cell r="M208" t="str">
            <v>5550/0100</v>
          </cell>
        </row>
        <row r="209">
          <cell r="M209" t="str">
            <v>5550/0110</v>
          </cell>
        </row>
        <row r="210">
          <cell r="M210" t="str">
            <v>5550/0120</v>
          </cell>
        </row>
        <row r="211">
          <cell r="M211" t="str">
            <v>5550/0130</v>
          </cell>
        </row>
        <row r="212">
          <cell r="M212" t="str">
            <v>5550/0140</v>
          </cell>
        </row>
        <row r="213">
          <cell r="M213" t="str">
            <v>5550/0150</v>
          </cell>
        </row>
        <row r="214">
          <cell r="M214" t="str">
            <v>5550/0160</v>
          </cell>
        </row>
        <row r="215">
          <cell r="M215" t="str">
            <v>5550/0170</v>
          </cell>
        </row>
        <row r="216">
          <cell r="M216" t="str">
            <v>5700/000DEFERRED TAX</v>
          </cell>
        </row>
        <row r="217">
          <cell r="M217" t="str">
            <v>5700/010Deferred tax balance  depreciation b/fwd</v>
          </cell>
        </row>
        <row r="218">
          <cell r="M218" t="str">
            <v>5700/020Deferred tax balance  tax loss b/fwd</v>
          </cell>
        </row>
        <row r="219">
          <cell r="M219" t="str">
            <v>5700/030Deferred tax on depreciation for year</v>
          </cell>
        </row>
        <row r="220">
          <cell r="M220" t="str">
            <v>5700/040Deferred tax on tax loss for year</v>
          </cell>
        </row>
        <row r="221">
          <cell r="M221" t="str">
            <v>5700/050Def tax adj  depreciation previous year</v>
          </cell>
        </row>
        <row r="222">
          <cell r="M222" t="str">
            <v>5700/060Def tax adj tax loss previous year</v>
          </cell>
        </row>
        <row r="223">
          <cell r="M223" t="str">
            <v>6100/000LAND AND BUILDINGS - COST</v>
          </cell>
        </row>
        <row r="224">
          <cell r="M224" t="str">
            <v>6100/001Land and buildings - cost b/fwd</v>
          </cell>
        </row>
        <row r="225">
          <cell r="M225" t="str">
            <v>6100/002Land and buildings - additions</v>
          </cell>
        </row>
        <row r="226">
          <cell r="M226" t="str">
            <v>6100/003Land and buildings - cost of sales</v>
          </cell>
        </row>
        <row r="227">
          <cell r="M227" t="str">
            <v>6100/020LAND AND BUILDINGS - ACC DEPR</v>
          </cell>
        </row>
        <row r="228">
          <cell r="M228" t="str">
            <v>6100/021Land and buildings - acc depr b/fwd</v>
          </cell>
        </row>
        <row r="229">
          <cell r="M229" t="str">
            <v>6100/022Land and buildings - depr this year</v>
          </cell>
        </row>
        <row r="230">
          <cell r="M230" t="str">
            <v>6100/023Land and buildings - acc depr on sales</v>
          </cell>
        </row>
        <row r="231">
          <cell r="M231" t="str">
            <v>6100/030LAND AND BUILDINGS - VALUATION</v>
          </cell>
        </row>
        <row r="232">
          <cell r="M232" t="str">
            <v>6100/031Land and buildings - valuation b/fwd</v>
          </cell>
        </row>
        <row r="233">
          <cell r="M233" t="str">
            <v>6100/032Land and buildings - valuation additions</v>
          </cell>
        </row>
        <row r="234">
          <cell r="M234" t="str">
            <v>6100/033Land and buildings - valuation reduction</v>
          </cell>
        </row>
        <row r="235">
          <cell r="M235" t="str">
            <v>6150/000PLANT AND MACHINERY - COST</v>
          </cell>
        </row>
        <row r="236">
          <cell r="M236" t="str">
            <v>6150/001Plant and machinery - cost b/fwd</v>
          </cell>
        </row>
        <row r="237">
          <cell r="M237" t="str">
            <v>6150/002Plant and machinery - additions</v>
          </cell>
        </row>
        <row r="238">
          <cell r="M238" t="str">
            <v>6150/003Plant and machinery - cost of sales</v>
          </cell>
        </row>
        <row r="239">
          <cell r="M239" t="str">
            <v>6150/020PLANT AND MACHINERY - ACC DEPR</v>
          </cell>
        </row>
        <row r="240">
          <cell r="M240" t="str">
            <v>6150/021Plant and machinery - acc depr b/fwd</v>
          </cell>
        </row>
        <row r="241">
          <cell r="M241" t="str">
            <v>6150/022Plant and machinery - depr this year</v>
          </cell>
        </row>
        <row r="242">
          <cell r="M242" t="str">
            <v>6150/023Plant and machinery - acc depr on sales</v>
          </cell>
        </row>
        <row r="243">
          <cell r="M243" t="str">
            <v>6200/000MOTOR VEHICLES - COST</v>
          </cell>
        </row>
        <row r="244">
          <cell r="M244" t="str">
            <v>6200/001Motor vehicles - cost b/fwd</v>
          </cell>
        </row>
        <row r="245">
          <cell r="M245" t="str">
            <v>6200/002Motor vehicles - additions</v>
          </cell>
        </row>
        <row r="246">
          <cell r="M246" t="str">
            <v>6200/003Motor vehicles - cost of sales</v>
          </cell>
        </row>
        <row r="247">
          <cell r="M247" t="str">
            <v>6200/020MOTOR VEHICLES - ACC DEPR</v>
          </cell>
        </row>
        <row r="248">
          <cell r="M248" t="str">
            <v>6200/021Motor vehicles - acc depr b/fwd</v>
          </cell>
        </row>
        <row r="249">
          <cell r="M249" t="str">
            <v>6200/022Motor vehicles - depr this year</v>
          </cell>
        </row>
        <row r="250">
          <cell r="M250" t="str">
            <v>6200/023Motor vehicles - acc depr on sales</v>
          </cell>
        </row>
        <row r="251">
          <cell r="M251" t="str">
            <v>6250/000ELECTRONIC EQUIPMENT - COST</v>
          </cell>
        </row>
        <row r="252">
          <cell r="M252" t="str">
            <v>6250/001Electronic equipment - cost b/fwd</v>
          </cell>
        </row>
        <row r="253">
          <cell r="M253" t="str">
            <v>6250/002Electronic equipment - additions</v>
          </cell>
        </row>
        <row r="254">
          <cell r="M254" t="str">
            <v>6250/003Electronic equipment - cost of sales</v>
          </cell>
        </row>
        <row r="255">
          <cell r="M255" t="str">
            <v>6250/020ELECTRONIC EQUIPMENT - ACC DEPR</v>
          </cell>
        </row>
        <row r="256">
          <cell r="M256" t="str">
            <v>6250/021Electronic equipment - acc depr b/fwd</v>
          </cell>
        </row>
        <row r="257">
          <cell r="M257" t="str">
            <v>6250/022Electronic equipment - depr this year</v>
          </cell>
        </row>
        <row r="258">
          <cell r="M258" t="str">
            <v>6250/023Electronic equipment - acc depr on sales</v>
          </cell>
        </row>
        <row r="259">
          <cell r="M259" t="str">
            <v>6350/000FURNITURE AND FITTINGS - COST</v>
          </cell>
        </row>
        <row r="260">
          <cell r="M260" t="str">
            <v>6350/001Furniture and fittings - cost b/fwd</v>
          </cell>
        </row>
        <row r="261">
          <cell r="M261" t="str">
            <v>6350/002Furniture and fittings - additions</v>
          </cell>
        </row>
        <row r="262">
          <cell r="M262" t="str">
            <v>6350/003Furniture and fittings - cost of sales</v>
          </cell>
        </row>
        <row r="263">
          <cell r="M263" t="str">
            <v>6350/020FURNITURE AND FITTINGS - ACC DEPR</v>
          </cell>
        </row>
        <row r="264">
          <cell r="M264" t="str">
            <v>6350/021Furniture and fittings - acc depr b/fwd</v>
          </cell>
        </row>
        <row r="265">
          <cell r="M265" t="str">
            <v>6350/022Furniture and fittings - depr this year</v>
          </cell>
        </row>
        <row r="266">
          <cell r="M266" t="str">
            <v>6350/023Furniture and fittings - acc depr on sales</v>
          </cell>
        </row>
        <row r="267">
          <cell r="M267" t="str">
            <v>7000/000GOODWILL/INTANGIBLE ASSETS</v>
          </cell>
        </row>
        <row r="268">
          <cell r="M268" t="str">
            <v>7000/010Goodwill cost</v>
          </cell>
        </row>
        <row r="269">
          <cell r="M269" t="str">
            <v>7000/011Prepaid lease agreement - cost</v>
          </cell>
        </row>
        <row r="270">
          <cell r="M270" t="str">
            <v>7000/015PLA - surplus on revaluation</v>
          </cell>
        </row>
        <row r="271">
          <cell r="M271" t="str">
            <v>7000/020PLA - write down this year</v>
          </cell>
        </row>
        <row r="272">
          <cell r="M272" t="str">
            <v>7000/025PLA - write down previous years</v>
          </cell>
        </row>
        <row r="273">
          <cell r="M273" t="str">
            <v>7100/000INVESTMENTS</v>
          </cell>
        </row>
        <row r="274">
          <cell r="M274" t="str">
            <v>7100/100LISTED INVESTMENTS</v>
          </cell>
        </row>
        <row r="275">
          <cell r="M275" t="str">
            <v>7100/1010</v>
          </cell>
        </row>
        <row r="276">
          <cell r="M276" t="str">
            <v>7100/1020</v>
          </cell>
        </row>
        <row r="277">
          <cell r="M277" t="str">
            <v>7100/1030</v>
          </cell>
        </row>
        <row r="278">
          <cell r="M278" t="str">
            <v>7100/1040</v>
          </cell>
        </row>
        <row r="279">
          <cell r="M279" t="str">
            <v>7100/1050</v>
          </cell>
        </row>
        <row r="280">
          <cell r="M280" t="str">
            <v>7100/200OTHER INVESTMENTS</v>
          </cell>
        </row>
        <row r="281">
          <cell r="M281" t="str">
            <v>7100/2010</v>
          </cell>
        </row>
        <row r="282">
          <cell r="M282" t="str">
            <v>7100/2020</v>
          </cell>
        </row>
        <row r="283">
          <cell r="M283" t="str">
            <v>7100/2030</v>
          </cell>
        </row>
        <row r="284">
          <cell r="M284" t="str">
            <v>7100/2040</v>
          </cell>
        </row>
        <row r="285">
          <cell r="M285" t="str">
            <v>7100/2050</v>
          </cell>
        </row>
        <row r="286">
          <cell r="M286" t="str">
            <v>7450/000CONNECTED ENTITIES LOANS</v>
          </cell>
        </row>
        <row r="287">
          <cell r="M287" t="str">
            <v>7450/000Interest bearing</v>
          </cell>
        </row>
        <row r="288">
          <cell r="M288" t="str">
            <v>7450/0010</v>
          </cell>
        </row>
        <row r="289">
          <cell r="M289" t="str">
            <v>7450/0020</v>
          </cell>
        </row>
        <row r="290">
          <cell r="M290" t="str">
            <v>7450/0030</v>
          </cell>
        </row>
        <row r="291">
          <cell r="M291" t="str">
            <v>7450/0040</v>
          </cell>
        </row>
        <row r="292">
          <cell r="M292" t="str">
            <v>7450/0050</v>
          </cell>
        </row>
        <row r="293">
          <cell r="M293" t="str">
            <v>7450/0060</v>
          </cell>
        </row>
        <row r="294">
          <cell r="M294" t="str">
            <v>7450/0070</v>
          </cell>
        </row>
        <row r="295">
          <cell r="M295" t="str">
            <v>7450/0080</v>
          </cell>
        </row>
        <row r="296">
          <cell r="M296" t="str">
            <v>7450/0090</v>
          </cell>
        </row>
        <row r="297">
          <cell r="M297" t="str">
            <v>7450/0100</v>
          </cell>
        </row>
        <row r="298">
          <cell r="M298" t="str">
            <v>7455/000Interest free</v>
          </cell>
        </row>
        <row r="299">
          <cell r="M299" t="str">
            <v>7455/0010</v>
          </cell>
        </row>
        <row r="300">
          <cell r="M300" t="str">
            <v>7455/0020</v>
          </cell>
        </row>
        <row r="301">
          <cell r="M301" t="str">
            <v>7455/0030</v>
          </cell>
        </row>
        <row r="302">
          <cell r="M302" t="str">
            <v>7455/0040</v>
          </cell>
        </row>
        <row r="303">
          <cell r="M303" t="str">
            <v>7455/0050</v>
          </cell>
        </row>
        <row r="304">
          <cell r="M304" t="str">
            <v>7455/0060</v>
          </cell>
        </row>
        <row r="305">
          <cell r="M305" t="str">
            <v>7455/0070</v>
          </cell>
        </row>
        <row r="306">
          <cell r="M306" t="str">
            <v>7455/0080</v>
          </cell>
        </row>
        <row r="307">
          <cell r="M307" t="str">
            <v>7455/0090</v>
          </cell>
        </row>
        <row r="308">
          <cell r="M308" t="str">
            <v>7455/0100</v>
          </cell>
        </row>
        <row r="309">
          <cell r="M309" t="str">
            <v>7460/000OTHER NON - CURRENT RECEIVABLES</v>
          </cell>
        </row>
        <row r="310">
          <cell r="M310" t="str">
            <v>7460/000Interest bearing</v>
          </cell>
        </row>
        <row r="311">
          <cell r="M311" t="str">
            <v>7460/0010</v>
          </cell>
        </row>
        <row r="312">
          <cell r="M312" t="str">
            <v>7460/0020</v>
          </cell>
        </row>
        <row r="313">
          <cell r="M313" t="str">
            <v>7460/0030</v>
          </cell>
        </row>
        <row r="314">
          <cell r="M314" t="str">
            <v>7460/0040</v>
          </cell>
        </row>
        <row r="315">
          <cell r="M315" t="str">
            <v>7460/000Interest free</v>
          </cell>
        </row>
        <row r="316">
          <cell r="M316" t="str">
            <v>7460/0040</v>
          </cell>
        </row>
        <row r="317">
          <cell r="M317" t="str">
            <v>7460/0050</v>
          </cell>
        </row>
        <row r="318">
          <cell r="M318" t="str">
            <v>7460/0060</v>
          </cell>
        </row>
        <row r="319">
          <cell r="M319" t="str">
            <v>7460/0070</v>
          </cell>
        </row>
        <row r="320">
          <cell r="M320" t="str">
            <v>7460/0080</v>
          </cell>
        </row>
        <row r="321">
          <cell r="M321" t="str">
            <v>7500/000INVENTORY</v>
          </cell>
        </row>
        <row r="322">
          <cell r="M322" t="str">
            <v>7500/001Raw materials</v>
          </cell>
        </row>
        <row r="323">
          <cell r="M323" t="str">
            <v>7500/002Work in progress</v>
          </cell>
        </row>
        <row r="324">
          <cell r="M324" t="str">
            <v>7500/003Finished goods</v>
          </cell>
        </row>
        <row r="325">
          <cell r="M325" t="str">
            <v>7500/004Trading stock</v>
          </cell>
        </row>
        <row r="326">
          <cell r="M326" t="str">
            <v>8000/000DEBTORS</v>
          </cell>
        </row>
        <row r="327">
          <cell r="M327" t="str">
            <v>8010/000Trade debtors</v>
          </cell>
        </row>
        <row r="328">
          <cell r="M328" t="str">
            <v>8020/000Less: Provision for doubtful debts</v>
          </cell>
        </row>
        <row r="329">
          <cell r="M329" t="str">
            <v>8030/000Service deposits</v>
          </cell>
        </row>
        <row r="330">
          <cell r="M330" t="str">
            <v>8200/000Sundry customers</v>
          </cell>
        </row>
        <row r="331">
          <cell r="M331" t="str">
            <v>8200/010Prepayments</v>
          </cell>
        </row>
        <row r="332">
          <cell r="M332" t="str">
            <v>8200/020Staff loans</v>
          </cell>
        </row>
        <row r="333">
          <cell r="M333" t="str">
            <v>8400/000BANK ACCOUNTS</v>
          </cell>
        </row>
        <row r="334">
          <cell r="M334" t="str">
            <v>8410/0000</v>
          </cell>
        </row>
        <row r="335">
          <cell r="M335" t="str">
            <v>8420/0000</v>
          </cell>
        </row>
        <row r="336">
          <cell r="M336" t="str">
            <v>8430/0000</v>
          </cell>
        </row>
        <row r="337">
          <cell r="M337" t="str">
            <v>8440/0000</v>
          </cell>
        </row>
        <row r="338">
          <cell r="M338" t="str">
            <v>8450/0000</v>
          </cell>
        </row>
        <row r="339">
          <cell r="M339" t="str">
            <v>8460/0000</v>
          </cell>
        </row>
        <row r="340">
          <cell r="M340" t="str">
            <v>8500/000Cash on hand</v>
          </cell>
        </row>
        <row r="341">
          <cell r="M341" t="str">
            <v>8900/000SHORT TERM LOANS</v>
          </cell>
        </row>
        <row r="342">
          <cell r="M342" t="str">
            <v>8900/0010</v>
          </cell>
        </row>
        <row r="343">
          <cell r="M343" t="str">
            <v>8900/0020</v>
          </cell>
        </row>
        <row r="344">
          <cell r="M344" t="str">
            <v>8900/0030</v>
          </cell>
        </row>
        <row r="345">
          <cell r="M345" t="str">
            <v>8900/004Short term portion of long term loans</v>
          </cell>
        </row>
        <row r="346">
          <cell r="M346" t="str">
            <v>9000/000CREDITORS</v>
          </cell>
        </row>
        <row r="347">
          <cell r="M347" t="str">
            <v>9010/000Trade creditors</v>
          </cell>
        </row>
        <row r="348">
          <cell r="M348" t="str">
            <v>9200/000Sundry suppliers</v>
          </cell>
        </row>
        <row r="349">
          <cell r="M349" t="str">
            <v>9200/010Audit and accounting fee accrual</v>
          </cell>
        </row>
        <row r="350">
          <cell r="M350" t="str">
            <v>9200/020Other accruals</v>
          </cell>
        </row>
        <row r="351">
          <cell r="M351" t="str">
            <v>9250/000Salary and wages control</v>
          </cell>
        </row>
        <row r="352">
          <cell r="M352" t="str">
            <v>9300/000TAXATION</v>
          </cell>
        </row>
        <row r="353">
          <cell r="M353" t="str">
            <v>9300/010Balance b/fwd</v>
          </cell>
        </row>
        <row r="354">
          <cell r="M354" t="str">
            <v>9300/020Tax provision this year</v>
          </cell>
        </row>
        <row r="355">
          <cell r="M355" t="str">
            <v>9300/030Over-/(Under) provision previous year</v>
          </cell>
        </row>
        <row r="356">
          <cell r="M356" t="str">
            <v>9300/040Tax paid/(refund) for previous year provisions</v>
          </cell>
        </row>
      </sheetData>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TrialBalance"/>
      <sheetName val="Criteria"/>
      <sheetName val="StateENG"/>
      <sheetName val="HPLead"/>
      <sheetName val="HP1 (2)"/>
      <sheetName val="HP1 (3)"/>
      <sheetName val="HP1 (4)"/>
      <sheetName val="FixAssetsRegister"/>
      <sheetName val="TaxFixAssetsRegister"/>
      <sheetName val="Notas1"/>
      <sheetName val="Journals"/>
      <sheetName val="DefTax"/>
      <sheetName val="Bankrecon"/>
      <sheetName val="StateAFR"/>
      <sheetName val="NotulesAFR"/>
      <sheetName val="NotulesENG"/>
      <sheetName val="ExceptionReport"/>
      <sheetName val="Notas2"/>
      <sheetName val="Notas3"/>
      <sheetName val="OBalanse"/>
      <sheetName val="Ouditverskille"/>
      <sheetName val="Analities1"/>
      <sheetName val="Analities2"/>
      <sheetName val="FixAssets"/>
      <sheetName val="Goodwill"/>
      <sheetName val="Investments"/>
      <sheetName val="NonCurR"/>
      <sheetName val="Inventory"/>
      <sheetName val="Receivables"/>
      <sheetName val="CashBank"/>
      <sheetName val="bank2"/>
      <sheetName val="ShareCap"/>
      <sheetName val="Shareprem"/>
      <sheetName val="Reserves"/>
      <sheetName val="InterestBor"/>
      <sheetName val="HP1"/>
      <sheetName val="HP2 (2)"/>
      <sheetName val="HP2"/>
      <sheetName val="InterestFree"/>
      <sheetName val="Creditors"/>
      <sheetName val="ShortLOans"/>
      <sheetName val="VAT"/>
      <sheetName val="Tax"/>
      <sheetName val="Index"/>
      <sheetName val="Sales"/>
      <sheetName val="Salesrecon"/>
      <sheetName val="Rent"/>
      <sheetName val="DirRem"/>
      <sheetName val="HP1_(2)"/>
      <sheetName val="HP1_(3)"/>
      <sheetName val="HP1_(4)"/>
      <sheetName val="HP2_(2)"/>
    </sheetNames>
    <sheetDataSet>
      <sheetData sheetId="0"/>
      <sheetData sheetId="1">
        <row r="5">
          <cell r="K5" t="str">
            <v>1000/001Sales</v>
          </cell>
        </row>
        <row r="6">
          <cell r="K6" t="str">
            <v>1000/002Sales 2</v>
          </cell>
        </row>
        <row r="7">
          <cell r="K7" t="str">
            <v>1000/003Rent Received</v>
          </cell>
        </row>
        <row r="8">
          <cell r="K8" t="str">
            <v>2000/000COST OF SALES</v>
          </cell>
        </row>
        <row r="9">
          <cell r="K9" t="str">
            <v>2000/001Opening stock - Raw material</v>
          </cell>
        </row>
        <row r="10">
          <cell r="K10" t="str">
            <v>2000/002Opening stock - WIP</v>
          </cell>
        </row>
        <row r="11">
          <cell r="K11" t="str">
            <v>2000/003Opening stock - Finished goods</v>
          </cell>
        </row>
        <row r="12">
          <cell r="K12" t="str">
            <v>2000/004Opening stock - Trading stock</v>
          </cell>
        </row>
        <row r="13">
          <cell r="K13" t="str">
            <v>2000/010Purchases</v>
          </cell>
        </row>
        <row r="14">
          <cell r="K14" t="str">
            <v xml:space="preserve">2000/011Transport </v>
          </cell>
        </row>
        <row r="15">
          <cell r="K15" t="str">
            <v>2000/012Spares and tyres</v>
          </cell>
        </row>
        <row r="16">
          <cell r="K16" t="str">
            <v>2000/013Open</v>
          </cell>
        </row>
        <row r="17">
          <cell r="K17" t="str">
            <v>2000/014Open</v>
          </cell>
        </row>
        <row r="18">
          <cell r="K18" t="str">
            <v>2000/015Open</v>
          </cell>
        </row>
        <row r="19">
          <cell r="K19" t="str">
            <v>2000/050Closing stock - Raw materials</v>
          </cell>
        </row>
        <row r="20">
          <cell r="K20" t="str">
            <v>2000/051Closing stock - WIP</v>
          </cell>
        </row>
        <row r="21">
          <cell r="K21" t="str">
            <v>2000/052Closing stock - Finished goods</v>
          </cell>
        </row>
        <row r="22">
          <cell r="K22" t="str">
            <v>2000/053Closing stock - Trading stock</v>
          </cell>
        </row>
        <row r="23">
          <cell r="K23" t="str">
            <v>2050/000OTHER OPERATING INCOME</v>
          </cell>
        </row>
        <row r="24">
          <cell r="K24" t="str">
            <v>2050/001</v>
          </cell>
        </row>
        <row r="25">
          <cell r="K25" t="str">
            <v>2050/002</v>
          </cell>
        </row>
        <row r="26">
          <cell r="K26" t="str">
            <v>2050/003</v>
          </cell>
        </row>
        <row r="27">
          <cell r="K27" t="str">
            <v>2050/004</v>
          </cell>
        </row>
        <row r="28">
          <cell r="K28" t="str">
            <v>2050/005</v>
          </cell>
        </row>
        <row r="29">
          <cell r="K29" t="str">
            <v>2100/000OPERATING EXPENSES</v>
          </cell>
        </row>
        <row r="30">
          <cell r="K30" t="str">
            <v>2100/001Advertising</v>
          </cell>
        </row>
        <row r="31">
          <cell r="K31" t="str">
            <v>2100/010Assets written off</v>
          </cell>
        </row>
        <row r="32">
          <cell r="K32" t="str">
            <v>2100/020Consumables</v>
          </cell>
        </row>
        <row r="33">
          <cell r="K33" t="str">
            <v>2100/030Depreciation----------------------------</v>
          </cell>
        </row>
        <row r="34">
          <cell r="K34" t="str">
            <v>2100/031Depr - Land &amp; buildings</v>
          </cell>
        </row>
        <row r="35">
          <cell r="K35" t="str">
            <v>2100/032Depr - Plant &amp; Machinery</v>
          </cell>
        </row>
        <row r="36">
          <cell r="K36" t="str">
            <v>2100/033Depr - Motor vehicles</v>
          </cell>
        </row>
        <row r="37">
          <cell r="K37" t="str">
            <v>2100/034Depr - Electronic equipment</v>
          </cell>
        </row>
        <row r="38">
          <cell r="K38" t="str">
            <v>2100/040Discounts allowed</v>
          </cell>
        </row>
        <row r="39">
          <cell r="K39" t="str">
            <v>2100/050Electricity and Water</v>
          </cell>
        </row>
        <row r="40">
          <cell r="K40" t="str">
            <v>2100/055Equipment lease</v>
          </cell>
        </row>
        <row r="41">
          <cell r="K41" t="str">
            <v>2100/060Insurance</v>
          </cell>
        </row>
        <row r="42">
          <cell r="K42" t="str">
            <v>2100/070Levies - District Municipality</v>
          </cell>
        </row>
        <row r="43">
          <cell r="K43" t="str">
            <v>2100/071Levies - SDL</v>
          </cell>
        </row>
        <row r="44">
          <cell r="K44" t="str">
            <v>2100/072Levies - other</v>
          </cell>
        </row>
        <row r="45">
          <cell r="K45" t="str">
            <v>2100/080Trade licenses</v>
          </cell>
        </row>
        <row r="46">
          <cell r="K46" t="str">
            <v>2100/090Motor vehicle expenses------------------</v>
          </cell>
        </row>
        <row r="47">
          <cell r="K47" t="str">
            <v>2100/091Motor vehicle expenses - Petrol and oil</v>
          </cell>
        </row>
        <row r="48">
          <cell r="K48" t="str">
            <v>2100/092Motor vehicle expenses - R&amp;M</v>
          </cell>
        </row>
        <row r="49">
          <cell r="K49" t="str">
            <v>2100/093Motor vehicle expenses - Insurance</v>
          </cell>
        </row>
        <row r="50">
          <cell r="K50" t="str">
            <v>2100/094Motor vehicle expenses - licenses</v>
          </cell>
        </row>
        <row r="51">
          <cell r="K51" t="str">
            <v>2100/095Motor vehicle expenses - general</v>
          </cell>
        </row>
        <row r="52">
          <cell r="K52" t="str">
            <v>2100/100Rent paid-------------------------------</v>
          </cell>
        </row>
        <row r="53">
          <cell r="K53" t="str">
            <v>2100/101Premises</v>
          </cell>
        </row>
        <row r="54">
          <cell r="K54" t="str">
            <v>2100/102</v>
          </cell>
        </row>
        <row r="55">
          <cell r="K55" t="str">
            <v>2100/103</v>
          </cell>
        </row>
        <row r="56">
          <cell r="K56" t="str">
            <v>2100/110Repairs and maintenance</v>
          </cell>
        </row>
        <row r="57">
          <cell r="K57" t="str">
            <v>2100/120Salaries</v>
          </cell>
        </row>
        <row r="58">
          <cell r="K58" t="str">
            <v>2100/121UIF - Employer</v>
          </cell>
        </row>
        <row r="59">
          <cell r="K59" t="str">
            <v>2100/122Casual wages</v>
          </cell>
        </row>
        <row r="60">
          <cell r="K60" t="str">
            <v>2100/130Telephone</v>
          </cell>
        </row>
        <row r="61">
          <cell r="K61" t="str">
            <v>2100/135Postage</v>
          </cell>
        </row>
        <row r="62">
          <cell r="K62" t="str">
            <v>2100/140Training</v>
          </cell>
        </row>
        <row r="63">
          <cell r="K63" t="str">
            <v>2100/150Traveling</v>
          </cell>
        </row>
        <row r="64">
          <cell r="K64" t="str">
            <v>2150/000Accommodation</v>
          </cell>
        </row>
        <row r="65">
          <cell r="K65" t="str">
            <v>2200/000Car Rental</v>
          </cell>
        </row>
        <row r="66">
          <cell r="K66" t="str">
            <v>2400/000Couriers</v>
          </cell>
        </row>
        <row r="67">
          <cell r="K67" t="str">
            <v>2400/010Food, Drinks and Cleaning</v>
          </cell>
        </row>
        <row r="68">
          <cell r="K68" t="str">
            <v>2400/020Garden and Pool Maintenance</v>
          </cell>
        </row>
        <row r="69">
          <cell r="K69" t="str">
            <v>2400/030Open</v>
          </cell>
        </row>
        <row r="70">
          <cell r="K70" t="str">
            <v>2500/000OTHER INCOME</v>
          </cell>
        </row>
        <row r="71">
          <cell r="K71" t="str">
            <v>2700/000Blocked</v>
          </cell>
        </row>
        <row r="72">
          <cell r="K72" t="str">
            <v>2710/000Rent Received (Not Main income)</v>
          </cell>
        </row>
        <row r="73">
          <cell r="K73" t="str">
            <v>2750/000Interest Received-----------------------</v>
          </cell>
        </row>
        <row r="74">
          <cell r="K74" t="str">
            <v xml:space="preserve">2750/001ABSA Bank </v>
          </cell>
        </row>
        <row r="75">
          <cell r="K75" t="str">
            <v>2750/002</v>
          </cell>
        </row>
        <row r="76">
          <cell r="K76" t="str">
            <v>2750/003</v>
          </cell>
        </row>
        <row r="77">
          <cell r="K77" t="str">
            <v>2750/004</v>
          </cell>
        </row>
        <row r="78">
          <cell r="K78" t="str">
            <v>2800/000Dividends received----------------------</v>
          </cell>
        </row>
        <row r="79">
          <cell r="K79" t="str">
            <v>2800/001Div's received - SA sources</v>
          </cell>
        </row>
        <row r="80">
          <cell r="K80" t="str">
            <v>2800/002Div's received - Foreign div's</v>
          </cell>
        </row>
        <row r="81">
          <cell r="K81" t="str">
            <v>2810/000Profit/Loss on sale of fixed assets</v>
          </cell>
        </row>
        <row r="82">
          <cell r="K82" t="str">
            <v>2820/000Bad debts recovered</v>
          </cell>
        </row>
        <row r="83">
          <cell r="K83" t="str">
            <v>2830/000Other income</v>
          </cell>
        </row>
        <row r="84">
          <cell r="K84" t="str">
            <v>3000/000ADMINISTRATION EXPENSES</v>
          </cell>
        </row>
        <row r="85">
          <cell r="K85" t="str">
            <v>3000/010Auditor's remuneration------------------</v>
          </cell>
        </row>
        <row r="86">
          <cell r="K86" t="str">
            <v>3000/011Audit fees for current year</v>
          </cell>
        </row>
        <row r="87">
          <cell r="K87" t="str">
            <v>3000/012Under provision previous year</v>
          </cell>
        </row>
        <row r="88">
          <cell r="K88" t="str">
            <v>3000/013Overprovision previous year</v>
          </cell>
        </row>
        <row r="89">
          <cell r="K89" t="str">
            <v>3000/014Accounting fees</v>
          </cell>
        </row>
        <row r="90">
          <cell r="K90" t="str">
            <v>3000/020Bank charges</v>
          </cell>
        </row>
        <row r="91">
          <cell r="K91" t="str">
            <v>3000/030Bad debts</v>
          </cell>
        </row>
        <row r="92">
          <cell r="K92" t="str">
            <v>3000/040Cleaning</v>
          </cell>
        </row>
        <row r="93">
          <cell r="K93" t="str">
            <v>3000/050Computer expenses</v>
          </cell>
        </row>
        <row r="94">
          <cell r="K94" t="str">
            <v>3000/060Depreciation----------------------------</v>
          </cell>
        </row>
        <row r="95">
          <cell r="K95" t="str">
            <v>3000/061Depr - Land &amp; buildings</v>
          </cell>
        </row>
        <row r="96">
          <cell r="K96" t="str">
            <v>3000/062Depr - Motor vehicles</v>
          </cell>
        </row>
        <row r="97">
          <cell r="K97" t="str">
            <v>3000/063Depr - Computer equipment</v>
          </cell>
        </row>
        <row r="98">
          <cell r="K98" t="str">
            <v>3000/064Depr - Office equipment</v>
          </cell>
        </row>
        <row r="99">
          <cell r="K99" t="str">
            <v>3000/065Depr - Furniture &amp; Fittings</v>
          </cell>
        </row>
        <row r="100">
          <cell r="K100" t="str">
            <v>3000/066Depr - Other</v>
          </cell>
        </row>
        <row r="101">
          <cell r="K101" t="str">
            <v>3000/070Directors'/Members' remuneration-----------------</v>
          </cell>
        </row>
        <row r="102">
          <cell r="K102" t="str">
            <v>3000/071M Brunsdon</v>
          </cell>
        </row>
        <row r="103">
          <cell r="K103" t="str">
            <v>3000/072</v>
          </cell>
        </row>
        <row r="104">
          <cell r="K104" t="str">
            <v>3000/073</v>
          </cell>
        </row>
        <row r="105">
          <cell r="K105" t="str">
            <v>3000/074</v>
          </cell>
        </row>
        <row r="106">
          <cell r="K106" t="str">
            <v>3000/075</v>
          </cell>
        </row>
        <row r="107">
          <cell r="K107" t="str">
            <v>3000/080Donations</v>
          </cell>
        </row>
        <row r="108">
          <cell r="K108" t="str">
            <v>3000/090Entertainment expenses</v>
          </cell>
        </row>
        <row r="109">
          <cell r="K109" t="str">
            <v>3000/095Fines</v>
          </cell>
        </row>
        <row r="110">
          <cell r="K110" t="str">
            <v>3000/100General expenses</v>
          </cell>
        </row>
        <row r="111">
          <cell r="K111" t="str">
            <v>3000/110Legal expenses - Tax deductible</v>
          </cell>
        </row>
        <row r="112">
          <cell r="K112" t="str">
            <v>3000/111Legal expenses - Non deductible</v>
          </cell>
        </row>
        <row r="113">
          <cell r="K113" t="str">
            <v>3000/120Printing and stationary</v>
          </cell>
        </row>
        <row r="114">
          <cell r="K114" t="str">
            <v>3000/130Refreshments</v>
          </cell>
        </row>
        <row r="115">
          <cell r="K115" t="str">
            <v>3000/140Salaries</v>
          </cell>
        </row>
        <row r="116">
          <cell r="K116" t="str">
            <v>3000/141UIF - Employer</v>
          </cell>
        </row>
        <row r="117">
          <cell r="K117" t="str">
            <v>3000/142Casual wages</v>
          </cell>
        </row>
        <row r="118">
          <cell r="K118" t="str">
            <v>3000/150Security</v>
          </cell>
        </row>
        <row r="119">
          <cell r="K119" t="str">
            <v>3000/160Subscriptions</v>
          </cell>
        </row>
        <row r="120">
          <cell r="K120" t="str">
            <v>3000/170Penalties &amp; Interest - SARS</v>
          </cell>
        </row>
        <row r="121">
          <cell r="K121" t="str">
            <v>3000/180Commission paid</v>
          </cell>
        </row>
        <row r="122">
          <cell r="K122" t="str">
            <v>3000/190Staff welfare</v>
          </cell>
        </row>
        <row r="123">
          <cell r="K123" t="str">
            <v>3000/200Membership Fees</v>
          </cell>
        </row>
        <row r="124">
          <cell r="K124" t="str">
            <v>3000/210Rates and Taxes</v>
          </cell>
        </row>
        <row r="125">
          <cell r="K125" t="str">
            <v>3000/220Uniforms</v>
          </cell>
        </row>
        <row r="126">
          <cell r="K126" t="str">
            <v>4210/000Pft/Loss on foreign exchange</v>
          </cell>
        </row>
        <row r="127">
          <cell r="K127" t="str">
            <v>4700/000FINANCE COSTS</v>
          </cell>
        </row>
        <row r="128">
          <cell r="K128" t="str">
            <v>4700/010Interest paid---------------------------</v>
          </cell>
        </row>
        <row r="129">
          <cell r="K129" t="str">
            <v xml:space="preserve">4700/011ABSA Bank </v>
          </cell>
        </row>
        <row r="130">
          <cell r="K130" t="str">
            <v>4700/012</v>
          </cell>
        </row>
        <row r="131">
          <cell r="K131" t="str">
            <v>4700/013</v>
          </cell>
        </row>
        <row r="132">
          <cell r="K132" t="str">
            <v>4700/014Revenue Service</v>
          </cell>
        </row>
        <row r="133">
          <cell r="K133" t="str">
            <v>4700/020Hire purchase interest</v>
          </cell>
        </row>
        <row r="134">
          <cell r="K134" t="str">
            <v>4750/000OTHER</v>
          </cell>
        </row>
        <row r="135">
          <cell r="K135" t="str">
            <v>4750/010Loss on Revaluation of Investments</v>
          </cell>
        </row>
        <row r="136">
          <cell r="K136" t="str">
            <v>4800/000NORMAL TAXATION</v>
          </cell>
        </row>
        <row r="137">
          <cell r="K137" t="str">
            <v>4800/001Tax provided this year</v>
          </cell>
        </row>
        <row r="138">
          <cell r="K138" t="str">
            <v>4800/002Tax adjustment previous year</v>
          </cell>
        </row>
        <row r="139">
          <cell r="K139" t="str">
            <v>4800/010Secondary tax on companies</v>
          </cell>
        </row>
        <row r="140">
          <cell r="K140" t="str">
            <v>4820/000DEFERRED TAX</v>
          </cell>
        </row>
        <row r="141">
          <cell r="K141" t="str">
            <v>4820/001Deferred tax this year</v>
          </cell>
        </row>
        <row r="142">
          <cell r="K142" t="str">
            <v>4820/002Deferred tax adjustment previous year</v>
          </cell>
        </row>
        <row r="143">
          <cell r="K143" t="str">
            <v>4850/000Dividends Declared</v>
          </cell>
        </row>
        <row r="144">
          <cell r="K144" t="str">
            <v>4860/000Dividends paid</v>
          </cell>
        </row>
        <row r="147">
          <cell r="K147">
            <v>0</v>
          </cell>
        </row>
        <row r="148">
          <cell r="C148" t="str">
            <v>SHARE CAPITAL</v>
          </cell>
          <cell r="K148" t="str">
            <v>5100/000SHARE CAPITAL</v>
          </cell>
        </row>
        <row r="149">
          <cell r="C149" t="str">
            <v>Share Capital - Balance b/fwd</v>
          </cell>
          <cell r="K149" t="str">
            <v>5100/001Share Capital - Balance b/fwd</v>
          </cell>
        </row>
        <row r="150">
          <cell r="C150" t="str">
            <v>Share Capital - Additions</v>
          </cell>
          <cell r="K150" t="str">
            <v>5100/002Share Capital - Additions</v>
          </cell>
        </row>
        <row r="151">
          <cell r="C151" t="str">
            <v>MEMBERS' CONTRIBUTIONS</v>
          </cell>
          <cell r="K151" t="str">
            <v>5105/000MEMBERS' CONTRIBUTIONS</v>
          </cell>
        </row>
        <row r="152">
          <cell r="C152" t="str">
            <v>H J Van Gerven</v>
          </cell>
          <cell r="K152" t="str">
            <v>5105/001H J Van Gerven</v>
          </cell>
        </row>
        <row r="153">
          <cell r="C153" t="str">
            <v>L M Van Gerven</v>
          </cell>
          <cell r="K153" t="str">
            <v>5105/002L M Van Gerven</v>
          </cell>
        </row>
        <row r="154">
          <cell r="C154" t="str">
            <v>M Van Gerven</v>
          </cell>
          <cell r="K154" t="str">
            <v>5105/003M Van Gerven</v>
          </cell>
        </row>
        <row r="155">
          <cell r="C155" t="str">
            <v>Member 4*******</v>
          </cell>
          <cell r="K155" t="str">
            <v>5105/004Member 4*******</v>
          </cell>
        </row>
        <row r="156">
          <cell r="C156" t="str">
            <v>SHARE PREMIUM</v>
          </cell>
          <cell r="K156" t="str">
            <v>5110/000SHARE PREMIUM</v>
          </cell>
        </row>
        <row r="157">
          <cell r="C157" t="str">
            <v>Share premium - Balance b/fwd</v>
          </cell>
          <cell r="K157" t="str">
            <v>5110/001Share premium - Balance b/fwd</v>
          </cell>
        </row>
        <row r="158">
          <cell r="C158" t="str">
            <v>Share premium - Additions</v>
          </cell>
          <cell r="K158" t="str">
            <v>5110/002Share premium - Additions</v>
          </cell>
        </row>
        <row r="159">
          <cell r="C159" t="str">
            <v>Share premium - transfer</v>
          </cell>
          <cell r="K159" t="str">
            <v>5110/003Share premium - transfer</v>
          </cell>
        </row>
        <row r="160">
          <cell r="C160" t="str">
            <v>VALUATION RESERVE</v>
          </cell>
          <cell r="K160" t="str">
            <v>5120/000VALUATION RESERVE</v>
          </cell>
        </row>
        <row r="161">
          <cell r="C161" t="str">
            <v>Valuation reserve - Balance b/fwd</v>
          </cell>
          <cell r="K161" t="str">
            <v>5120/001Valuation reserve - Balance b/fwd</v>
          </cell>
        </row>
        <row r="162">
          <cell r="C162" t="str">
            <v>Valuation reserve - Additions</v>
          </cell>
          <cell r="K162" t="str">
            <v>5120/002Valuation reserve - Additions</v>
          </cell>
        </row>
        <row r="163">
          <cell r="C163" t="str">
            <v>Valuation reserve - transfer to p/l</v>
          </cell>
          <cell r="K163" t="str">
            <v>5120/003Valuation reserve - transfer to p/l</v>
          </cell>
        </row>
        <row r="164">
          <cell r="C164" t="str">
            <v>OTHER RESERVES</v>
          </cell>
          <cell r="K164" t="str">
            <v>5130/000OTHER RESERVES</v>
          </cell>
        </row>
        <row r="165">
          <cell r="C165" t="str">
            <v>Other reserves - Balance B/fwd</v>
          </cell>
          <cell r="K165" t="str">
            <v>5130/001Other reserves - Balance B/fwd</v>
          </cell>
        </row>
        <row r="166">
          <cell r="C166" t="str">
            <v>Other reserves - Additions</v>
          </cell>
          <cell r="K166" t="str">
            <v>5130/002Other reserves - Additions</v>
          </cell>
        </row>
        <row r="167">
          <cell r="C167" t="str">
            <v>Other reserves - transfer</v>
          </cell>
          <cell r="K167" t="str">
            <v>5130/003Other reserves - transfer</v>
          </cell>
        </row>
        <row r="168">
          <cell r="C168" t="str">
            <v>Retained Income / (Accumulated Loss)</v>
          </cell>
          <cell r="K168" t="str">
            <v>5200/000Retained Income / (Accumulated Loss)</v>
          </cell>
        </row>
        <row r="169">
          <cell r="C169" t="str">
            <v>SHAREHOLDERS' LOANS</v>
          </cell>
          <cell r="K169" t="str">
            <v>5400/000SHAREHOLDERS' LOANS</v>
          </cell>
        </row>
        <row r="170">
          <cell r="C170" t="str">
            <v>Shareholder 1 *************</v>
          </cell>
          <cell r="K170" t="str">
            <v>5400/001Shareholder 1 *************</v>
          </cell>
        </row>
        <row r="171">
          <cell r="C171" t="str">
            <v>Shareholder 2 ***********</v>
          </cell>
          <cell r="K171" t="str">
            <v>5400/002Shareholder 2 ***********</v>
          </cell>
        </row>
        <row r="172">
          <cell r="C172" t="str">
            <v>Shareholder 3 ***********</v>
          </cell>
          <cell r="K172" t="str">
            <v>5400/003Shareholder 3 ***********</v>
          </cell>
        </row>
        <row r="173">
          <cell r="C173" t="str">
            <v>Shareholder 4 *********</v>
          </cell>
          <cell r="K173" t="str">
            <v>5400/004Shareholder 4 *********</v>
          </cell>
        </row>
        <row r="174">
          <cell r="C174" t="str">
            <v>Shareholder 5 *********</v>
          </cell>
          <cell r="K174" t="str">
            <v>5400/005Shareholder 5 *********</v>
          </cell>
        </row>
        <row r="175">
          <cell r="C175" t="str">
            <v>MEMBERS' LOANS</v>
          </cell>
          <cell r="K175" t="str">
            <v>5420/000MEMBERS' LOANS</v>
          </cell>
        </row>
        <row r="176">
          <cell r="C176" t="str">
            <v>Member 1 - balance b/fwd</v>
          </cell>
          <cell r="K176" t="str">
            <v>5420/010Member 1 - balance b/fwd</v>
          </cell>
        </row>
        <row r="177">
          <cell r="C177" t="str">
            <v>Member 1 - Advance/Repayment in year</v>
          </cell>
          <cell r="K177" t="str">
            <v>5420/011Member 1 - Advance/Repayment in year</v>
          </cell>
        </row>
        <row r="178">
          <cell r="C178" t="str">
            <v>Member 1 - Profits distributed</v>
          </cell>
          <cell r="K178" t="str">
            <v>5420/012Member 1 - Profits distributed</v>
          </cell>
        </row>
        <row r="179">
          <cell r="C179" t="str">
            <v>Member 2 - balance b/fwd</v>
          </cell>
          <cell r="K179" t="str">
            <v>5420/020Member 2 - balance b/fwd</v>
          </cell>
        </row>
        <row r="180">
          <cell r="C180" t="str">
            <v>Member 2 - Advance/Repayment in year</v>
          </cell>
          <cell r="K180" t="str">
            <v>5420/021Member 2 - Advance/Repayment in year</v>
          </cell>
        </row>
        <row r="181">
          <cell r="C181" t="str">
            <v>Member 2 - Profits distributed</v>
          </cell>
          <cell r="K181" t="str">
            <v>5420/022Member 2 - Profits distributed</v>
          </cell>
        </row>
        <row r="182">
          <cell r="C182" t="str">
            <v>Member 3 - balance b/fwd</v>
          </cell>
          <cell r="K182" t="str">
            <v>5420/030Member 3 - balance b/fwd</v>
          </cell>
        </row>
        <row r="183">
          <cell r="C183" t="str">
            <v>Member 3 - Advance/Repayment in year</v>
          </cell>
          <cell r="K183" t="str">
            <v>5420/031Member 3 - Advance/Repayment in year</v>
          </cell>
        </row>
        <row r="184">
          <cell r="C184" t="str">
            <v>Member 3 - Profits distributed</v>
          </cell>
          <cell r="K184" t="str">
            <v>5420/032Member 3 - Profits distributed</v>
          </cell>
        </row>
        <row r="185">
          <cell r="C185" t="str">
            <v>Member 4 - balance b/fwd</v>
          </cell>
          <cell r="K185" t="str">
            <v>5420/040Member 4 - balance b/fwd</v>
          </cell>
        </row>
        <row r="186">
          <cell r="C186" t="str">
            <v>Member 4 - Advance/Repayment in year</v>
          </cell>
          <cell r="K186" t="str">
            <v>5420/041Member 4 - Advance/Repayment in year</v>
          </cell>
        </row>
        <row r="187">
          <cell r="C187" t="str">
            <v>Member 4 - Profits distributed</v>
          </cell>
          <cell r="K187" t="str">
            <v>5420/042Member 4 - Profits distributed</v>
          </cell>
        </row>
        <row r="188">
          <cell r="C188" t="str">
            <v>DIRECTORS' LOANS</v>
          </cell>
          <cell r="K188" t="str">
            <v>5450/000DIRECTORS' LOANS</v>
          </cell>
        </row>
        <row r="189">
          <cell r="C189" t="str">
            <v>Director 1 **********</v>
          </cell>
          <cell r="K189" t="str">
            <v>5450/001Director 1 **********</v>
          </cell>
        </row>
        <row r="190">
          <cell r="C190" t="str">
            <v>Director 2 **********</v>
          </cell>
          <cell r="K190" t="str">
            <v>5450/002Director 2 **********</v>
          </cell>
        </row>
        <row r="191">
          <cell r="C191" t="str">
            <v>Director 3 *************</v>
          </cell>
          <cell r="K191" t="str">
            <v>5450/003Director 3 *************</v>
          </cell>
        </row>
        <row r="192">
          <cell r="C192" t="str">
            <v>Director 4 **************</v>
          </cell>
          <cell r="K192" t="str">
            <v>5450/004Director 4 **************</v>
          </cell>
        </row>
        <row r="193">
          <cell r="C193" t="str">
            <v>Director 5 **********</v>
          </cell>
          <cell r="K193" t="str">
            <v>5450/005Director 5 **********</v>
          </cell>
        </row>
        <row r="194">
          <cell r="C194" t="str">
            <v>BENEFICIARY LOANS</v>
          </cell>
          <cell r="K194" t="str">
            <v>5460/000BENEFICIARY LOANS</v>
          </cell>
        </row>
        <row r="195">
          <cell r="C195" t="str">
            <v>B/ficiary 1 - Balance B/fwd</v>
          </cell>
          <cell r="K195" t="str">
            <v>5460/001B/ficiary 1 - Balance B/fwd</v>
          </cell>
        </row>
        <row r="196">
          <cell r="C196" t="str">
            <v>B/ficiary 1 - Distribution in year</v>
          </cell>
          <cell r="K196" t="str">
            <v>5460/002B/ficiary 1 - Distribution in year</v>
          </cell>
        </row>
        <row r="197">
          <cell r="C197" t="str">
            <v>B/ficiary 2 - Balance B/fwd</v>
          </cell>
          <cell r="K197" t="str">
            <v>5460/005B/ficiary 2 - Balance B/fwd</v>
          </cell>
        </row>
        <row r="198">
          <cell r="C198" t="str">
            <v>B/ficiary 2 - Distribution in year</v>
          </cell>
          <cell r="K198" t="str">
            <v>5460/006B/ficiary 2 - Distribution in year</v>
          </cell>
        </row>
        <row r="199">
          <cell r="C199" t="str">
            <v>B/ficiary 3 - Balance B/fwd</v>
          </cell>
          <cell r="K199" t="str">
            <v>5460/010B/ficiary 3 - Balance B/fwd</v>
          </cell>
        </row>
        <row r="200">
          <cell r="C200" t="str">
            <v>B/ficiary 3 - Distribution in year</v>
          </cell>
          <cell r="K200" t="str">
            <v>5460/011B/ficiary 3 - Distribution in year</v>
          </cell>
        </row>
        <row r="201">
          <cell r="C201" t="str">
            <v>B/ficiary 4 - Balance B/fwd</v>
          </cell>
          <cell r="K201" t="str">
            <v>5460/015B/ficiary 4 - Balance B/fwd</v>
          </cell>
        </row>
        <row r="202">
          <cell r="C202" t="str">
            <v>B/ficiary 4 - Distribution in year</v>
          </cell>
          <cell r="K202" t="str">
            <v>5460/016B/ficiary 4 - Distribution in year</v>
          </cell>
        </row>
        <row r="203">
          <cell r="C203" t="str">
            <v>B/ficiary 5 - Balance B/fwd</v>
          </cell>
          <cell r="K203" t="str">
            <v>5460/015B/ficiary 5 - Balance B/fwd</v>
          </cell>
        </row>
        <row r="204">
          <cell r="C204" t="str">
            <v>B/ficiary 5 - Distribution in year</v>
          </cell>
          <cell r="K204" t="str">
            <v>5460/016B/ficiary 5 - Distribution in year</v>
          </cell>
        </row>
        <row r="205">
          <cell r="C205" t="str">
            <v>LONG TERM  INTEREST LIABILITIES</v>
          </cell>
          <cell r="K205" t="str">
            <v>5500/000LONG TERM  INTEREST LIABILITIES</v>
          </cell>
        </row>
        <row r="206">
          <cell r="C206" t="str">
            <v>Loan 1 ***********</v>
          </cell>
          <cell r="K206" t="str">
            <v>5500/001Loan 1 ***********</v>
          </cell>
        </row>
        <row r="207">
          <cell r="C207" t="str">
            <v>Loan 2 ***********</v>
          </cell>
          <cell r="K207" t="str">
            <v>5500/002Loan 2 ***********</v>
          </cell>
        </row>
        <row r="208">
          <cell r="C208" t="str">
            <v>Loan 3 *********</v>
          </cell>
          <cell r="K208" t="str">
            <v>5500/003Loan 3 *********</v>
          </cell>
        </row>
        <row r="209">
          <cell r="C209" t="str">
            <v>Loan 4 **********</v>
          </cell>
          <cell r="K209" t="str">
            <v>5500/004Loan 4 **********</v>
          </cell>
        </row>
        <row r="210">
          <cell r="C210" t="str">
            <v>Loan 5 *********</v>
          </cell>
          <cell r="K210" t="str">
            <v>5500/005Loan 5 *********</v>
          </cell>
        </row>
        <row r="211">
          <cell r="C211" t="str">
            <v>Short term portion of long term loans</v>
          </cell>
          <cell r="K211" t="str">
            <v>5520/000Short term portion of long term loans</v>
          </cell>
        </row>
        <row r="212">
          <cell r="C212" t="str">
            <v>LONG TERM INTEREST FREE LOANS</v>
          </cell>
          <cell r="K212" t="str">
            <v>5550/000LONG TERM INTEREST FREE LOANS</v>
          </cell>
        </row>
        <row r="213">
          <cell r="C213" t="str">
            <v>Otto Sand</v>
          </cell>
          <cell r="K213" t="str">
            <v>5550/001Otto Sand</v>
          </cell>
        </row>
        <row r="214">
          <cell r="C214" t="str">
            <v>Mr Sandman</v>
          </cell>
          <cell r="K214" t="str">
            <v>5550/002Mr Sandman</v>
          </cell>
        </row>
        <row r="215">
          <cell r="C215" t="str">
            <v>Interest free 3 ***********</v>
          </cell>
          <cell r="K215" t="str">
            <v>5550/003Interest free 3 ***********</v>
          </cell>
        </row>
        <row r="216">
          <cell r="C216" t="str">
            <v>Interest free 4 **********</v>
          </cell>
          <cell r="K216" t="str">
            <v>5550/004Interest free 4 **********</v>
          </cell>
        </row>
        <row r="217">
          <cell r="C217" t="str">
            <v>Interest free 5 *********</v>
          </cell>
          <cell r="K217" t="str">
            <v>5550/005Interest free 5 *********</v>
          </cell>
        </row>
        <row r="218">
          <cell r="C218" t="str">
            <v>INSTALLMENT SALE CREDITORS</v>
          </cell>
          <cell r="K218" t="str">
            <v>5600/000INSTALLMENT SALE CREDITORS</v>
          </cell>
        </row>
        <row r="219">
          <cell r="C219" t="str">
            <v>Stannic</v>
          </cell>
          <cell r="K219" t="str">
            <v>5600/001Stannic</v>
          </cell>
        </row>
        <row r="220">
          <cell r="C220" t="str">
            <v>ABSA - Komatsu Loader</v>
          </cell>
          <cell r="K220" t="str">
            <v>5600/002ABSA - Komatsu Loader</v>
          </cell>
        </row>
        <row r="221">
          <cell r="C221" t="str">
            <v>Standard Bank - 53477499</v>
          </cell>
          <cell r="K221" t="str">
            <v>5600/003Standard Bank - 53477499</v>
          </cell>
        </row>
        <row r="222">
          <cell r="C222" t="str">
            <v>Installment sale 4 **************</v>
          </cell>
          <cell r="K222" t="str">
            <v>5600/004Installment sale 4 **************</v>
          </cell>
        </row>
        <row r="223">
          <cell r="C223" t="str">
            <v>Installment sale 5 **************</v>
          </cell>
          <cell r="K223" t="str">
            <v>5600/005Installment sale 5 **************</v>
          </cell>
        </row>
        <row r="224">
          <cell r="C224" t="str">
            <v>DEFERRED TAX</v>
          </cell>
          <cell r="K224" t="str">
            <v>5700/000DEFERRED TAX</v>
          </cell>
        </row>
        <row r="225">
          <cell r="C225" t="str">
            <v>Deferred tax balance b/fwd</v>
          </cell>
          <cell r="K225" t="str">
            <v>5700/010Deferred tax balance b/fwd</v>
          </cell>
        </row>
        <row r="226">
          <cell r="C226" t="str">
            <v>Deferred tax on depreciation for year</v>
          </cell>
          <cell r="K226" t="str">
            <v>5700/011Deferred tax on depreciation for year</v>
          </cell>
        </row>
        <row r="227">
          <cell r="C227" t="str">
            <v>Deferred tax on tax loss for year</v>
          </cell>
          <cell r="K227" t="str">
            <v>5700/012Deferred tax on tax loss for year</v>
          </cell>
        </row>
        <row r="228">
          <cell r="C228" t="str">
            <v>Deferred tax adjustment previous year</v>
          </cell>
          <cell r="K228" t="str">
            <v>5700/013Deferred tax adjustment previous year</v>
          </cell>
        </row>
        <row r="229">
          <cell r="C229" t="str">
            <v>LAND &amp; BUILDINGS - COST</v>
          </cell>
          <cell r="K229" t="str">
            <v>6100/000LAND &amp; BUILDINGS - COST</v>
          </cell>
        </row>
        <row r="230">
          <cell r="C230" t="str">
            <v>Land_Buildings - Cost B/fwd</v>
          </cell>
          <cell r="K230" t="str">
            <v>6100/001Land_Buildings - Cost B/fwd</v>
          </cell>
        </row>
        <row r="231">
          <cell r="C231" t="str">
            <v>Land_Buildings - Additions</v>
          </cell>
          <cell r="K231" t="str">
            <v>6100/002Land_Buildings - Additions</v>
          </cell>
        </row>
        <row r="232">
          <cell r="C232" t="str">
            <v>Land_Buildings - Cost of sales</v>
          </cell>
          <cell r="K232" t="str">
            <v>6100/003Land_Buildings - Cost of sales</v>
          </cell>
        </row>
        <row r="233">
          <cell r="C233" t="str">
            <v>LAND &amp; BUILDINGS - ACC DEPR</v>
          </cell>
          <cell r="K233" t="str">
            <v>6100/020LAND &amp; BUILDINGS - ACC DEPR</v>
          </cell>
        </row>
        <row r="234">
          <cell r="C234" t="str">
            <v>Land &amp; Buildings - Acc depr B/fwd</v>
          </cell>
          <cell r="K234" t="str">
            <v>6100/021Land &amp; Buildings - Acc depr B/fwd</v>
          </cell>
        </row>
        <row r="235">
          <cell r="C235" t="str">
            <v>Land &amp; Buildings - Acc depr this year</v>
          </cell>
          <cell r="K235" t="str">
            <v>6100/022Land &amp; Buildings - Acc depr this year</v>
          </cell>
        </row>
        <row r="236">
          <cell r="C236" t="str">
            <v>Land &amp; Buildings - Acc depr on sales</v>
          </cell>
          <cell r="K236" t="str">
            <v>6100/023Land &amp; Buildings - Acc depr on sales</v>
          </cell>
        </row>
        <row r="237">
          <cell r="C237" t="str">
            <v>PLANT &amp; MACHINERY - COST</v>
          </cell>
          <cell r="K237" t="str">
            <v>6150/000PLANT &amp; MACHINERY - COST</v>
          </cell>
        </row>
        <row r="238">
          <cell r="C238" t="str">
            <v>Plant &amp; machinery - cost b/fwd</v>
          </cell>
          <cell r="K238" t="str">
            <v>6150/001Plant &amp; machinery - cost b/fwd</v>
          </cell>
        </row>
        <row r="239">
          <cell r="C239" t="str">
            <v>Plant &amp; machinery - Additions</v>
          </cell>
          <cell r="K239" t="str">
            <v>6150/002Plant &amp; machinery - Additions</v>
          </cell>
        </row>
        <row r="240">
          <cell r="C240" t="str">
            <v>Plant &amp; machinery - Cost of sales</v>
          </cell>
          <cell r="K240" t="str">
            <v>6150/003Plant &amp; machinery - Cost of sales</v>
          </cell>
        </row>
        <row r="241">
          <cell r="C241" t="str">
            <v>PLANT &amp; MACHINERY - ACC DEPR</v>
          </cell>
          <cell r="K241" t="str">
            <v>6150/020PLANT &amp; MACHINERY - ACC DEPR</v>
          </cell>
        </row>
        <row r="242">
          <cell r="C242" t="str">
            <v>Plant &amp; Machinery - Acc depr b/fwd</v>
          </cell>
          <cell r="K242" t="str">
            <v>6150/021Plant &amp; Machinery - Acc depr b/fwd</v>
          </cell>
        </row>
        <row r="243">
          <cell r="C243" t="str">
            <v>Plant &amp; machinery - depr this year</v>
          </cell>
          <cell r="K243" t="str">
            <v>6150/022Plant &amp; machinery - depr this year</v>
          </cell>
        </row>
        <row r="244">
          <cell r="C244" t="str">
            <v>Plant &amp; machinery - acc depr on sales</v>
          </cell>
          <cell r="K244" t="str">
            <v>6150/023Plant &amp; machinery - acc depr on sales</v>
          </cell>
        </row>
        <row r="245">
          <cell r="C245" t="str">
            <v>MOTOR VEHICLES - COST</v>
          </cell>
          <cell r="K245" t="str">
            <v>6200/000MOTOR VEHICLES - COST</v>
          </cell>
        </row>
        <row r="246">
          <cell r="C246" t="str">
            <v>Motor Vehicles - Cost B/fwd</v>
          </cell>
          <cell r="K246" t="str">
            <v>6200/001Motor Vehicles - Cost B/fwd</v>
          </cell>
        </row>
        <row r="247">
          <cell r="C247" t="str">
            <v>Motor Vehicles - Additions</v>
          </cell>
          <cell r="K247" t="str">
            <v>6200/002Motor Vehicles - Additions</v>
          </cell>
        </row>
        <row r="248">
          <cell r="C248" t="str">
            <v>Motor Vehicles - Cost of sales</v>
          </cell>
          <cell r="K248" t="str">
            <v>6200/003Motor Vehicles - Cost of sales</v>
          </cell>
        </row>
        <row r="249">
          <cell r="C249" t="str">
            <v>MOTOR VEHICLES - ACC DEPR</v>
          </cell>
          <cell r="K249" t="str">
            <v>6200/020MOTOR VEHICLES - ACC DEPR</v>
          </cell>
        </row>
        <row r="250">
          <cell r="C250" t="str">
            <v>Motor vehicles - Acc depr b/fwd</v>
          </cell>
          <cell r="K250" t="str">
            <v>6200/021Motor vehicles - Acc depr b/fwd</v>
          </cell>
        </row>
        <row r="251">
          <cell r="C251" t="str">
            <v>Motor vehicles - Depr this year</v>
          </cell>
          <cell r="K251" t="str">
            <v>6200/022Motor vehicles - Depr this year</v>
          </cell>
        </row>
        <row r="252">
          <cell r="C252" t="str">
            <v>Motor vehicles - Acc depr on sales</v>
          </cell>
          <cell r="K252" t="str">
            <v>6200/023Motor vehicles - Acc depr on sales</v>
          </cell>
        </row>
        <row r="253">
          <cell r="C253" t="str">
            <v>ELECTRONIC EQUIPMENT - COST</v>
          </cell>
          <cell r="K253" t="str">
            <v>6250/000ELECTRONIC EQUIPMENT - COST</v>
          </cell>
        </row>
        <row r="254">
          <cell r="C254" t="str">
            <v>Electronic equipment - Cost b/fwd</v>
          </cell>
          <cell r="K254" t="str">
            <v>6250/001Electronic equipment - Cost b/fwd</v>
          </cell>
        </row>
        <row r="255">
          <cell r="C255" t="str">
            <v>Electronic equipment - Additions</v>
          </cell>
          <cell r="K255" t="str">
            <v>6250/002Electronic equipment - Additions</v>
          </cell>
        </row>
        <row r="256">
          <cell r="C256" t="str">
            <v>Electronic equipment - Cost of sales</v>
          </cell>
          <cell r="K256" t="str">
            <v>6250/003Electronic equipment - Cost of sales</v>
          </cell>
        </row>
        <row r="257">
          <cell r="C257" t="str">
            <v>ELECTRONIC EQUIPMENT - ACC DEPR</v>
          </cell>
          <cell r="K257" t="str">
            <v>6250/020ELECTRONIC EQUIPMENT - ACC DEPR</v>
          </cell>
        </row>
        <row r="258">
          <cell r="C258" t="str">
            <v>Electronic equipment - Acc depr B/fwd</v>
          </cell>
          <cell r="K258" t="str">
            <v>6250/021Electronic equipment - Acc depr B/fwd</v>
          </cell>
        </row>
        <row r="259">
          <cell r="C259" t="str">
            <v>Electronic equipment - Depr this year</v>
          </cell>
          <cell r="K259" t="str">
            <v>6250/022Electronic equipment - Depr this year</v>
          </cell>
        </row>
        <row r="260">
          <cell r="C260" t="str">
            <v>Electronic equipment - Acc depr on sales</v>
          </cell>
          <cell r="K260" t="str">
            <v>6250/023Electronic equipment - Acc depr on sales</v>
          </cell>
        </row>
        <row r="261">
          <cell r="C261" t="str">
            <v>OFFICE EQUIPMENT - COST</v>
          </cell>
          <cell r="K261" t="str">
            <v>6300/000OFFICE EQUIPMENT - COST</v>
          </cell>
        </row>
        <row r="262">
          <cell r="C262" t="str">
            <v>Office Equipment - Cost B/fwd</v>
          </cell>
          <cell r="K262" t="str">
            <v>6300/001Office Equipment - Cost B/fwd</v>
          </cell>
        </row>
        <row r="263">
          <cell r="C263" t="str">
            <v>Office Equipment - Additions</v>
          </cell>
          <cell r="K263" t="str">
            <v>6300/002Office Equipment - Additions</v>
          </cell>
        </row>
        <row r="264">
          <cell r="C264" t="str">
            <v>Office Equipment - Cost of sales</v>
          </cell>
          <cell r="K264" t="str">
            <v>6300/003Office Equipment - Cost of sales</v>
          </cell>
        </row>
        <row r="265">
          <cell r="C265" t="str">
            <v>OFFICE EQUIPMENT - ACC DEPR</v>
          </cell>
          <cell r="K265" t="str">
            <v>6300/020OFFICE EQUIPMENT - ACC DEPR</v>
          </cell>
        </row>
        <row r="266">
          <cell r="C266" t="str">
            <v>Office equipment - Acc depr B/fwd</v>
          </cell>
          <cell r="K266" t="str">
            <v>6300/021Office equipment - Acc depr B/fwd</v>
          </cell>
        </row>
        <row r="267">
          <cell r="C267" t="str">
            <v>Office equipment - Depr this year</v>
          </cell>
          <cell r="K267" t="str">
            <v>6300/022Office equipment - Depr this year</v>
          </cell>
        </row>
        <row r="268">
          <cell r="C268" t="str">
            <v>Office equipment - Acc depr on sales</v>
          </cell>
          <cell r="K268" t="str">
            <v>6300/023Office equipment - Acc depr on sales</v>
          </cell>
        </row>
        <row r="269">
          <cell r="C269" t="str">
            <v>FURNITURE &amp; FITTINGS - COST</v>
          </cell>
          <cell r="K269" t="str">
            <v>6350/000FURNITURE &amp; FITTINGS - COST</v>
          </cell>
        </row>
        <row r="270">
          <cell r="C270" t="str">
            <v>Furniture &amp; fittings - Cost B/fwd</v>
          </cell>
          <cell r="K270" t="str">
            <v>6350/001Furniture &amp; fittings - Cost B/fwd</v>
          </cell>
        </row>
        <row r="271">
          <cell r="C271" t="str">
            <v>Furniture &amp; fittings - Additions</v>
          </cell>
          <cell r="K271" t="str">
            <v>6350/002Furniture &amp; fittings - Additions</v>
          </cell>
        </row>
        <row r="272">
          <cell r="C272" t="str">
            <v>Furniture &amp; fittings - Cost of sales</v>
          </cell>
          <cell r="K272" t="str">
            <v>6350/003Furniture &amp; fittings - Cost of sales</v>
          </cell>
        </row>
        <row r="273">
          <cell r="C273" t="str">
            <v>FURNITURE &amp; FITTINGS - ACC DEPR</v>
          </cell>
          <cell r="K273" t="str">
            <v>6350/020FURNITURE &amp; FITTINGS - ACC DEPR</v>
          </cell>
        </row>
        <row r="274">
          <cell r="C274" t="str">
            <v>Furniture &amp; fittings - Acc depr B/fwd</v>
          </cell>
          <cell r="K274" t="str">
            <v>6350/021Furniture &amp; fittings - Acc depr B/fwd</v>
          </cell>
        </row>
        <row r="275">
          <cell r="C275" t="str">
            <v>Furniture &amp; fittings - Depr this year</v>
          </cell>
          <cell r="K275" t="str">
            <v>6350/022Furniture &amp; fittings - Depr this year</v>
          </cell>
        </row>
        <row r="276">
          <cell r="C276" t="str">
            <v>Furniture &amp; fittings - Acc depr on sales</v>
          </cell>
          <cell r="K276" t="str">
            <v>6350/023Furniture &amp; fittings - Acc depr on sales</v>
          </cell>
        </row>
        <row r="277">
          <cell r="C277" t="str">
            <v>OTHER FIXED ASSETS  - COST</v>
          </cell>
          <cell r="K277" t="str">
            <v>6600/000OTHER FIXED ASSETS  - COST</v>
          </cell>
        </row>
        <row r="278">
          <cell r="C278" t="str">
            <v>Other fixed assets - Cost B/fwd</v>
          </cell>
          <cell r="K278" t="str">
            <v>6600/001Other fixed assets - Cost B/fwd</v>
          </cell>
        </row>
        <row r="279">
          <cell r="C279" t="str">
            <v>Other fixed assets - Additions</v>
          </cell>
          <cell r="K279" t="str">
            <v>6600/002Other fixed assets - Additions</v>
          </cell>
        </row>
        <row r="280">
          <cell r="C280" t="str">
            <v>Other fixed assets - Cost of sales</v>
          </cell>
          <cell r="K280" t="str">
            <v>6600/003Other fixed assets - Cost of sales</v>
          </cell>
        </row>
        <row r="281">
          <cell r="C281" t="str">
            <v>OTHER FIXED ASSETS - ACC DEPR</v>
          </cell>
          <cell r="K281" t="str">
            <v>6600/020OTHER FIXED ASSETS - ACC DEPR</v>
          </cell>
        </row>
        <row r="282">
          <cell r="C282" t="str">
            <v>Other fixed assets - Acc depr b/fwd</v>
          </cell>
          <cell r="K282" t="str">
            <v>6600/021Other fixed assets - Acc depr b/fwd</v>
          </cell>
        </row>
        <row r="283">
          <cell r="C283" t="str">
            <v>Other fixed assets - Depr this year</v>
          </cell>
          <cell r="K283" t="str">
            <v>6600/022Other fixed assets - Depr this year</v>
          </cell>
        </row>
        <row r="284">
          <cell r="C284" t="str">
            <v>Other fixed assets - Acc depr on sales</v>
          </cell>
          <cell r="K284" t="str">
            <v>6600/023Other fixed assets - Acc depr on sales</v>
          </cell>
        </row>
        <row r="285">
          <cell r="C285" t="str">
            <v>GOODWILL/INTANGIBLE ASSETS</v>
          </cell>
          <cell r="K285" t="str">
            <v>7000/000GOODWILL/INTANGIBLE ASSETS</v>
          </cell>
        </row>
        <row r="286">
          <cell r="C286" t="str">
            <v>Goodwill Cost</v>
          </cell>
          <cell r="K286" t="str">
            <v>7000/010Goodwill Cost</v>
          </cell>
        </row>
        <row r="287">
          <cell r="C287" t="str">
            <v>Goodwill - surplus on revaluation</v>
          </cell>
          <cell r="K287" t="str">
            <v>7000/015Goodwill - surplus on revaluation</v>
          </cell>
        </row>
        <row r="288">
          <cell r="C288" t="str">
            <v>Goodwill - write down this year</v>
          </cell>
          <cell r="K288" t="str">
            <v>7000/020Goodwill - write down this year</v>
          </cell>
        </row>
        <row r="289">
          <cell r="C289" t="str">
            <v>Goodwill - write down last year</v>
          </cell>
          <cell r="K289" t="str">
            <v>7000/025Goodwill - write down last year</v>
          </cell>
        </row>
        <row r="290">
          <cell r="C290" t="str">
            <v>INVESTMENTS</v>
          </cell>
          <cell r="K290" t="str">
            <v>7100/000INVESTMENTS</v>
          </cell>
        </row>
        <row r="291">
          <cell r="C291" t="str">
            <v>LISTED INVESTMENTS</v>
          </cell>
          <cell r="K291" t="str">
            <v>7100/100LISTED INVESTMENTS</v>
          </cell>
        </row>
        <row r="292">
          <cell r="C292" t="str">
            <v>Listed 1 ************</v>
          </cell>
          <cell r="K292" t="str">
            <v>7100/101Listed 1 ************</v>
          </cell>
        </row>
        <row r="293">
          <cell r="C293" t="str">
            <v>Listed 2 *************</v>
          </cell>
          <cell r="K293" t="str">
            <v>7100/102Listed 2 *************</v>
          </cell>
        </row>
        <row r="294">
          <cell r="C294" t="str">
            <v>Listed 3 ***************</v>
          </cell>
          <cell r="K294" t="str">
            <v>7100/103Listed 3 ***************</v>
          </cell>
        </row>
        <row r="295">
          <cell r="C295" t="str">
            <v>Listed 4 ************</v>
          </cell>
          <cell r="K295" t="str">
            <v>7100/104Listed 4 ************</v>
          </cell>
        </row>
        <row r="296">
          <cell r="C296" t="str">
            <v>Listed 5 ************</v>
          </cell>
          <cell r="K296" t="str">
            <v>7100/105Listed 5 ************</v>
          </cell>
        </row>
        <row r="297">
          <cell r="C297" t="str">
            <v>OTHER INVESTMENTS</v>
          </cell>
          <cell r="K297" t="str">
            <v>7100/200OTHER INVESTMENTS</v>
          </cell>
        </row>
        <row r="298">
          <cell r="C298" t="str">
            <v>Other investment 1 ************</v>
          </cell>
          <cell r="K298" t="str">
            <v>7100/201Other investment 1 ************</v>
          </cell>
        </row>
        <row r="299">
          <cell r="C299" t="str">
            <v>Other investment 2 ************</v>
          </cell>
          <cell r="K299" t="str">
            <v>7100/202Other investment 2 ************</v>
          </cell>
        </row>
        <row r="300">
          <cell r="C300" t="str">
            <v>Other investment 3 ************</v>
          </cell>
          <cell r="K300" t="str">
            <v>7100/203Other investment 3 ************</v>
          </cell>
        </row>
        <row r="301">
          <cell r="C301" t="str">
            <v>Other investment 4 ************</v>
          </cell>
          <cell r="K301" t="str">
            <v>7100/204Other investment 4 ************</v>
          </cell>
        </row>
        <row r="302">
          <cell r="C302" t="str">
            <v>Other investment 5 *************</v>
          </cell>
          <cell r="K302" t="str">
            <v>7100/205Other investment 5 *************</v>
          </cell>
        </row>
        <row r="303">
          <cell r="C303" t="str">
            <v>SHARES IN SUBSIDIARY COMPANIES</v>
          </cell>
          <cell r="K303" t="str">
            <v>7200/000SHARES IN SUBSIDIARY COMPANIES</v>
          </cell>
        </row>
        <row r="304">
          <cell r="C304" t="str">
            <v>Subsidiary 1 ***********</v>
          </cell>
          <cell r="K304" t="str">
            <v>7200/001Subsidiary 1 ***********</v>
          </cell>
        </row>
        <row r="305">
          <cell r="C305" t="str">
            <v>Subsidiary 2 **************</v>
          </cell>
          <cell r="K305" t="str">
            <v>7200/002Subsidiary 2 **************</v>
          </cell>
        </row>
        <row r="306">
          <cell r="C306" t="str">
            <v>LOANS SUBSIDIARY CO'S</v>
          </cell>
          <cell r="K306" t="str">
            <v>7400/000LOANS SUBSIDIARY CO'S</v>
          </cell>
        </row>
        <row r="307">
          <cell r="C307" t="str">
            <v>Subsidiary 1 **********</v>
          </cell>
          <cell r="K307" t="str">
            <v>7400/001Subsidiary 1 **********</v>
          </cell>
        </row>
        <row r="308">
          <cell r="C308" t="str">
            <v>Subsidiary 2 **********</v>
          </cell>
          <cell r="K308" t="str">
            <v>7400/002Subsidiary 2 **********</v>
          </cell>
        </row>
        <row r="309">
          <cell r="C309" t="str">
            <v>CONNECTED COMPANIES</v>
          </cell>
          <cell r="K309" t="str">
            <v>7450/000CONNECTED COMPANIES</v>
          </cell>
        </row>
        <row r="310">
          <cell r="C310" t="str">
            <v>Connected co 1 **********</v>
          </cell>
          <cell r="K310" t="str">
            <v>7450/001Connected co 1 **********</v>
          </cell>
        </row>
        <row r="311">
          <cell r="C311" t="str">
            <v>Connected co 2 **********</v>
          </cell>
          <cell r="K311" t="str">
            <v>7450/002Connected co 2 **********</v>
          </cell>
        </row>
        <row r="312">
          <cell r="C312" t="str">
            <v>Connected co 3 **********</v>
          </cell>
          <cell r="K312" t="str">
            <v>7450/003Connected co 3 **********</v>
          </cell>
        </row>
        <row r="313">
          <cell r="C313" t="str">
            <v>Connected co 4 ***********</v>
          </cell>
          <cell r="K313" t="str">
            <v>7450/004Connected co 4 ***********</v>
          </cell>
        </row>
        <row r="314">
          <cell r="C314" t="str">
            <v>Connected co 5 ***********</v>
          </cell>
          <cell r="K314" t="str">
            <v>7450/005Connected co 5 ***********</v>
          </cell>
        </row>
        <row r="315">
          <cell r="C315" t="str">
            <v>OTHER NON CURRENT RECEIVABLES</v>
          </cell>
          <cell r="K315" t="str">
            <v>7460/000OTHER NON CURRENT RECEIVABLES</v>
          </cell>
        </row>
        <row r="316">
          <cell r="K316" t="str">
            <v>7460/001</v>
          </cell>
        </row>
        <row r="317">
          <cell r="K317" t="str">
            <v>7460/002</v>
          </cell>
        </row>
        <row r="318">
          <cell r="C318" t="str">
            <v>Interest free 3 ***********</v>
          </cell>
          <cell r="K318" t="str">
            <v>7460/003Interest free 3 ***********</v>
          </cell>
        </row>
        <row r="319">
          <cell r="C319" t="str">
            <v>Interest bearing 1 ***********</v>
          </cell>
          <cell r="K319" t="str">
            <v>7460/006Interest bearing 1 ***********</v>
          </cell>
        </row>
        <row r="320">
          <cell r="C320" t="str">
            <v>Interest bearing 2 ***********</v>
          </cell>
          <cell r="K320" t="str">
            <v>7460/007Interest bearing 2 ***********</v>
          </cell>
        </row>
        <row r="321">
          <cell r="C321" t="str">
            <v>INVENTORY</v>
          </cell>
          <cell r="K321" t="str">
            <v>7500/000INVENTORY</v>
          </cell>
        </row>
        <row r="322">
          <cell r="C322" t="str">
            <v>Raw materials</v>
          </cell>
          <cell r="K322" t="str">
            <v>7500/001Raw materials</v>
          </cell>
        </row>
        <row r="323">
          <cell r="C323" t="str">
            <v>Work in progress</v>
          </cell>
          <cell r="K323" t="str">
            <v>7500/002Work in progress</v>
          </cell>
        </row>
        <row r="324">
          <cell r="C324" t="str">
            <v>Finished goods</v>
          </cell>
          <cell r="K324" t="str">
            <v>7500/003Finished goods</v>
          </cell>
        </row>
        <row r="325">
          <cell r="C325" t="str">
            <v>Trading stock</v>
          </cell>
          <cell r="K325" t="str">
            <v>7500/004Trading stock</v>
          </cell>
        </row>
        <row r="326">
          <cell r="C326" t="str">
            <v>----------------------------------------</v>
          </cell>
          <cell r="K326" t="str">
            <v>7700/000----------------------------------------</v>
          </cell>
        </row>
        <row r="327">
          <cell r="C327" t="str">
            <v>DEBTORS</v>
          </cell>
          <cell r="K327" t="str">
            <v>8000/000DEBTORS</v>
          </cell>
        </row>
        <row r="328">
          <cell r="C328" t="str">
            <v>Trade debtors</v>
          </cell>
          <cell r="K328" t="str">
            <v>8010/000Trade debtors</v>
          </cell>
        </row>
        <row r="329">
          <cell r="C329" t="str">
            <v>Service deposits</v>
          </cell>
          <cell r="K329" t="str">
            <v>8020/000Service deposits</v>
          </cell>
        </row>
        <row r="330">
          <cell r="C330" t="str">
            <v>Less: Provision For Doubtful Debts</v>
          </cell>
          <cell r="K330" t="str">
            <v>8050/000Less: Provision For Doubtful Debts</v>
          </cell>
        </row>
        <row r="331">
          <cell r="C331" t="str">
            <v>----------------------------------------</v>
          </cell>
          <cell r="K331" t="str">
            <v>8100/000----------------------------------------</v>
          </cell>
        </row>
        <row r="332">
          <cell r="C332" t="str">
            <v>Sundry Customers</v>
          </cell>
          <cell r="K332" t="str">
            <v>8200/000Sundry Customers</v>
          </cell>
        </row>
        <row r="333">
          <cell r="C333" t="str">
            <v>Prepayments</v>
          </cell>
          <cell r="K333" t="str">
            <v>8200/010Prepayments</v>
          </cell>
        </row>
        <row r="334">
          <cell r="C334" t="str">
            <v>Staff Loans</v>
          </cell>
          <cell r="K334" t="str">
            <v>8200/020Staff Loans</v>
          </cell>
        </row>
        <row r="335">
          <cell r="C335" t="str">
            <v>BANK ACCOUNTS</v>
          </cell>
          <cell r="K335" t="str">
            <v>8400/000BANK ACCOUNTS</v>
          </cell>
        </row>
        <row r="336">
          <cell r="C336" t="str">
            <v>ABSA Bank - Current</v>
          </cell>
          <cell r="K336" t="str">
            <v>8410/000ABSA Bank - Current</v>
          </cell>
        </row>
        <row r="337">
          <cell r="C337" t="str">
            <v>ABSA Bank - Money Market</v>
          </cell>
          <cell r="K337" t="str">
            <v>8420/000ABSA Bank - Money Market</v>
          </cell>
        </row>
        <row r="338">
          <cell r="C338" t="str">
            <v>Bank account 3 **********</v>
          </cell>
          <cell r="K338" t="str">
            <v>8430/000Bank account 3 **********</v>
          </cell>
        </row>
        <row r="339">
          <cell r="C339" t="str">
            <v>Bank account 4 **********</v>
          </cell>
          <cell r="K339" t="str">
            <v>8440/000Bank account 4 **********</v>
          </cell>
        </row>
        <row r="340">
          <cell r="C340" t="str">
            <v>Bank account 5 **********</v>
          </cell>
          <cell r="K340" t="str">
            <v>8450/000Bank account 5 **********</v>
          </cell>
        </row>
        <row r="341">
          <cell r="C341" t="str">
            <v>Bank account 6 ***********</v>
          </cell>
          <cell r="K341" t="str">
            <v>8460/000Bank account 6 ***********</v>
          </cell>
        </row>
        <row r="342">
          <cell r="C342" t="str">
            <v>Cash on hand</v>
          </cell>
          <cell r="K342" t="str">
            <v>8500/000Cash on hand</v>
          </cell>
        </row>
        <row r="343">
          <cell r="C343" t="str">
            <v>Petty Cash</v>
          </cell>
          <cell r="K343" t="str">
            <v>8550/000Petty Cash</v>
          </cell>
        </row>
        <row r="344">
          <cell r="C344" t="str">
            <v>SHORT TERM LOANS</v>
          </cell>
          <cell r="K344" t="str">
            <v>8900/000SHORT TERM LOANS</v>
          </cell>
        </row>
        <row r="345">
          <cell r="C345" t="str">
            <v>Sandman</v>
          </cell>
          <cell r="K345" t="str">
            <v>8900/001Sandman</v>
          </cell>
        </row>
        <row r="346">
          <cell r="C346" t="str">
            <v>Short term 2 *******</v>
          </cell>
          <cell r="K346" t="str">
            <v>8900/002Short term 2 *******</v>
          </cell>
        </row>
        <row r="347">
          <cell r="C347" t="str">
            <v>Short term 3 *********</v>
          </cell>
          <cell r="K347" t="str">
            <v>8900/003Short term 3 *********</v>
          </cell>
        </row>
        <row r="348">
          <cell r="C348" t="str">
            <v>Short term portion of long term loans</v>
          </cell>
          <cell r="K348" t="str">
            <v>8900/004Short term portion of long term loans</v>
          </cell>
        </row>
        <row r="349">
          <cell r="C349" t="str">
            <v>CREDITORS</v>
          </cell>
          <cell r="K349" t="str">
            <v>9000/000CREDITORS</v>
          </cell>
        </row>
        <row r="350">
          <cell r="C350" t="str">
            <v>Trade creditors</v>
          </cell>
          <cell r="K350" t="str">
            <v>9010/000Trade creditors</v>
          </cell>
        </row>
        <row r="351">
          <cell r="C351" t="str">
            <v>----------------------------------------</v>
          </cell>
          <cell r="K351" t="str">
            <v>9100/000----------------------------------------</v>
          </cell>
        </row>
        <row r="352">
          <cell r="C352" t="str">
            <v>Sundry Suppliers</v>
          </cell>
          <cell r="K352" t="str">
            <v>9200/000Sundry Suppliers</v>
          </cell>
        </row>
        <row r="353">
          <cell r="C353" t="str">
            <v>Accounting / Audit Fee Accrual</v>
          </cell>
          <cell r="K353" t="str">
            <v>9200/010Accounting / Audit Fee Accrual</v>
          </cell>
        </row>
        <row r="354">
          <cell r="C354" t="str">
            <v>Other Accruals</v>
          </cell>
          <cell r="K354" t="str">
            <v>9200/020Other Accruals</v>
          </cell>
        </row>
        <row r="355">
          <cell r="C355" t="str">
            <v>Salary &amp; Wages Control</v>
          </cell>
          <cell r="K355" t="str">
            <v>9250/000Salary &amp; Wages Control</v>
          </cell>
        </row>
        <row r="356">
          <cell r="C356" t="str">
            <v>TAXATION</v>
          </cell>
          <cell r="K356" t="str">
            <v>9300/000TAXATION</v>
          </cell>
        </row>
        <row r="357">
          <cell r="C357" t="str">
            <v>Balance b/fwd</v>
          </cell>
          <cell r="K357" t="str">
            <v>9300/010Balance b/fwd</v>
          </cell>
        </row>
        <row r="358">
          <cell r="C358" t="str">
            <v>Tax provision this year</v>
          </cell>
          <cell r="K358" t="str">
            <v>9300/020Tax provision this year</v>
          </cell>
        </row>
        <row r="359">
          <cell r="C359" t="str">
            <v>Over-/Underprovision previous year</v>
          </cell>
          <cell r="K359" t="str">
            <v>9300/030Over-/Underprovision previous year</v>
          </cell>
        </row>
        <row r="360">
          <cell r="C360" t="str">
            <v>Tax paid for previous year provisions</v>
          </cell>
          <cell r="K360" t="str">
            <v>9300/040Tax paid for previous year provisions</v>
          </cell>
        </row>
        <row r="361">
          <cell r="C361" t="str">
            <v>1st Provisional Paid</v>
          </cell>
          <cell r="K361" t="str">
            <v>9300/0501st Provisional Paid</v>
          </cell>
        </row>
        <row r="362">
          <cell r="C362" t="str">
            <v>2nd Provisional Paid</v>
          </cell>
          <cell r="K362" t="str">
            <v>9300/0602nd Provisional Paid</v>
          </cell>
        </row>
        <row r="363">
          <cell r="C363" t="str">
            <v>3rd Provisional paid</v>
          </cell>
          <cell r="K363" t="str">
            <v>9300/0703rd Provisional paid</v>
          </cell>
        </row>
        <row r="364">
          <cell r="C364" t="str">
            <v>STC paid for last year provision</v>
          </cell>
          <cell r="K364" t="str">
            <v>9300/080STC paid for last year provision</v>
          </cell>
        </row>
        <row r="365">
          <cell r="C365" t="str">
            <v>STC Provision this year</v>
          </cell>
          <cell r="K365" t="str">
            <v>9300/090STC Provision this year</v>
          </cell>
        </row>
        <row r="366">
          <cell r="C366" t="str">
            <v>Tax paid on Foreign Dividends</v>
          </cell>
          <cell r="K366" t="str">
            <v>9300/100Tax paid on Foreign Dividends</v>
          </cell>
        </row>
        <row r="367">
          <cell r="C367" t="str">
            <v>Dividends Payable</v>
          </cell>
          <cell r="K367" t="str">
            <v>9350/000Dividends Payable</v>
          </cell>
        </row>
        <row r="368">
          <cell r="C368" t="str">
            <v>Provision for Future Expenses</v>
          </cell>
          <cell r="K368" t="str">
            <v>9400/000Provision for Future Expenses</v>
          </cell>
        </row>
        <row r="369">
          <cell r="C369" t="str">
            <v>Provision for Insurance</v>
          </cell>
          <cell r="K369" t="str">
            <v>9400/010Provision for Insurance</v>
          </cell>
        </row>
        <row r="370">
          <cell r="C370" t="str">
            <v>Provision for Salary Bonus</v>
          </cell>
          <cell r="K370" t="str">
            <v>9400/020Provision for Salary Bonus</v>
          </cell>
        </row>
        <row r="371">
          <cell r="C371" t="str">
            <v>VALUE ADDED TAX</v>
          </cell>
          <cell r="K371" t="str">
            <v>9500/000VALUE ADDED TAX</v>
          </cell>
        </row>
        <row r="372">
          <cell r="C372" t="str">
            <v>VAT account</v>
          </cell>
          <cell r="K372" t="str">
            <v>9501/000VAT account</v>
          </cell>
        </row>
        <row r="373">
          <cell r="C373" t="str">
            <v>----------------------------------------</v>
          </cell>
          <cell r="K373" t="str">
            <v>9510/000----------------------------------------</v>
          </cell>
        </row>
        <row r="374">
          <cell r="C374" t="str">
            <v>Opening Balance / Suspense Account</v>
          </cell>
          <cell r="K374" t="str">
            <v>9990/000Opening Balance / Suspense Account</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nstruction"/>
      <sheetName val="FS"/>
      <sheetName val="FS2"/>
      <sheetName val="Criteria"/>
      <sheetName val="TrialBalance"/>
      <sheetName val="Journals"/>
      <sheetName val="TBClient"/>
      <sheetName val="GLClient"/>
      <sheetName val="FARegister"/>
      <sheetName val="TARegister"/>
      <sheetName val="ILoans"/>
      <sheetName val="IFree"/>
      <sheetName val="DTax"/>
      <sheetName val="NC Receivables"/>
      <sheetName val="Stock"/>
      <sheetName val="Debtors"/>
      <sheetName val="Bank"/>
      <sheetName val="Creditors"/>
      <sheetName val="SARS"/>
      <sheetName val="VAT"/>
      <sheetName val="Open"/>
      <sheetName val="Expenses"/>
      <sheetName val="Loan 1"/>
      <sheetName val="HP1"/>
      <sheetName val="TrialBalanceA"/>
      <sheetName val="JournalsA"/>
      <sheetName val="TrialBalanceB"/>
      <sheetName val="JournalsB"/>
      <sheetName val="TrialBalanceC"/>
      <sheetName val="JournalsC"/>
    </sheetNames>
    <sheetDataSet>
      <sheetData sheetId="0"/>
      <sheetData sheetId="1"/>
      <sheetData sheetId="2"/>
      <sheetData sheetId="3"/>
      <sheetData sheetId="4">
        <row r="5">
          <cell r="P5" t="str">
            <v>1000/001Sales</v>
          </cell>
        </row>
        <row r="6">
          <cell r="P6" t="str">
            <v>1000/002Sales 2</v>
          </cell>
        </row>
        <row r="7">
          <cell r="P7" t="str">
            <v>1000/003Rent Received</v>
          </cell>
        </row>
        <row r="8">
          <cell r="P8" t="str">
            <v>2000/000COST OF SALES</v>
          </cell>
        </row>
        <row r="9">
          <cell r="P9" t="str">
            <v>2000/001Opening stock - Raw materials</v>
          </cell>
        </row>
        <row r="10">
          <cell r="P10" t="str">
            <v>2000/002Opening stock - WIP</v>
          </cell>
        </row>
        <row r="11">
          <cell r="P11" t="str">
            <v>2000/003Opening stock - Finished goods</v>
          </cell>
        </row>
        <row r="12">
          <cell r="P12" t="str">
            <v>2000/004Opening stock - Trading stock</v>
          </cell>
        </row>
        <row r="13">
          <cell r="P13" t="str">
            <v>2000/010Purchases</v>
          </cell>
        </row>
        <row r="14">
          <cell r="P14" t="str">
            <v>2000/011Expense 1</v>
          </cell>
        </row>
        <row r="15">
          <cell r="P15" t="str">
            <v>2000/012Expense 2</v>
          </cell>
        </row>
        <row r="16">
          <cell r="P16" t="str">
            <v>2000/013Expense 3</v>
          </cell>
        </row>
        <row r="17">
          <cell r="P17" t="str">
            <v>2000/014Expense 4</v>
          </cell>
        </row>
        <row r="18">
          <cell r="P18" t="str">
            <v>2000/015Expense 5</v>
          </cell>
        </row>
        <row r="19">
          <cell r="P19" t="str">
            <v>2000/050Closing stock - Raw materials</v>
          </cell>
        </row>
        <row r="20">
          <cell r="P20" t="str">
            <v>2000/051Closing stock - WIP</v>
          </cell>
        </row>
        <row r="21">
          <cell r="P21" t="str">
            <v>2000/052Closing stock - Finished goods</v>
          </cell>
        </row>
        <row r="22">
          <cell r="P22" t="str">
            <v>2000/053Closing stock - Trading stock</v>
          </cell>
        </row>
        <row r="23">
          <cell r="P23" t="str">
            <v>2050/000OTHER OPERATING INCOME</v>
          </cell>
        </row>
        <row r="24">
          <cell r="P24" t="str">
            <v>2050/001Insurance claims - Seabeach Hotel</v>
          </cell>
        </row>
        <row r="25">
          <cell r="P25" t="str">
            <v>2050/002Other 1</v>
          </cell>
        </row>
        <row r="26">
          <cell r="P26" t="str">
            <v>2050/003Other 2</v>
          </cell>
        </row>
        <row r="27">
          <cell r="P27" t="str">
            <v>2050/004Other 3</v>
          </cell>
        </row>
        <row r="28">
          <cell r="P28" t="str">
            <v>2050/005Other 4</v>
          </cell>
        </row>
        <row r="29">
          <cell r="P29" t="str">
            <v>2060/000NET (PROFIT)/LOSS OTHER</v>
          </cell>
        </row>
        <row r="30">
          <cell r="P30" t="str">
            <v>2060/001Net (profit)/loss - Seafront Restaurant</v>
          </cell>
        </row>
        <row r="31">
          <cell r="P31" t="str">
            <v>2060/002Net (profit)/loss - Rental Properties</v>
          </cell>
        </row>
        <row r="32">
          <cell r="P32" t="str">
            <v xml:space="preserve">2060/003Net (profit)/loss - </v>
          </cell>
        </row>
        <row r="33">
          <cell r="P33" t="str">
            <v>2060/004</v>
          </cell>
        </row>
        <row r="34">
          <cell r="P34" t="str">
            <v>2100/000OPERATING EXPENSES</v>
          </cell>
        </row>
        <row r="35">
          <cell r="P35" t="str">
            <v>2100/001Advertising</v>
          </cell>
        </row>
        <row r="36">
          <cell r="P36" t="str">
            <v>2100/010Assets less than R7,000</v>
          </cell>
        </row>
        <row r="37">
          <cell r="P37" t="str">
            <v>2100/020Consumables</v>
          </cell>
        </row>
        <row r="38">
          <cell r="P38" t="str">
            <v>2100/030Depreciation---------------------------------</v>
          </cell>
        </row>
        <row r="39">
          <cell r="P39" t="str">
            <v>2100/031Depr - Land &amp; buildings</v>
          </cell>
        </row>
        <row r="40">
          <cell r="P40" t="str">
            <v>2100/032Depr - Plant &amp; Machinery</v>
          </cell>
        </row>
        <row r="41">
          <cell r="P41" t="str">
            <v>2100/033Depr - Motor vehicles</v>
          </cell>
        </row>
        <row r="42">
          <cell r="P42" t="str">
            <v>2100/040Discounts allowed</v>
          </cell>
        </row>
        <row r="43">
          <cell r="P43" t="str">
            <v>2100/050Electricity and Water</v>
          </cell>
        </row>
        <row r="44">
          <cell r="P44" t="str">
            <v>2100/055Equipment lease</v>
          </cell>
        </row>
        <row r="45">
          <cell r="P45" t="str">
            <v>2100/060Insurance</v>
          </cell>
        </row>
        <row r="46">
          <cell r="P46" t="str">
            <v>2100/071Levies - SDL</v>
          </cell>
        </row>
        <row r="47">
          <cell r="P47" t="str">
            <v>2100/072Levies - other</v>
          </cell>
        </row>
        <row r="48">
          <cell r="P48" t="str">
            <v>2100/080Trade licenses</v>
          </cell>
        </row>
        <row r="49">
          <cell r="P49" t="str">
            <v>2100/090Motor vehicle expenses------------------</v>
          </cell>
        </row>
        <row r="50">
          <cell r="P50" t="str">
            <v>2100/091Motor vehicle expenses - Petrol and oil</v>
          </cell>
        </row>
        <row r="51">
          <cell r="P51" t="str">
            <v>2100/092Motor vehicle expenses - R&amp;M</v>
          </cell>
        </row>
        <row r="52">
          <cell r="P52" t="str">
            <v>2100/093Motor vehicle expenses - Insurance</v>
          </cell>
        </row>
        <row r="53">
          <cell r="P53" t="str">
            <v>2100/094Motor vehicle expenses - licenses</v>
          </cell>
        </row>
        <row r="54">
          <cell r="P54" t="str">
            <v>2100/095Motor vehicle expenses - general</v>
          </cell>
        </row>
        <row r="55">
          <cell r="P55" t="str">
            <v>2100/100Rent paid-------------------------------------</v>
          </cell>
        </row>
        <row r="56">
          <cell r="P56" t="str">
            <v xml:space="preserve">2100/101Premises </v>
          </cell>
        </row>
        <row r="57">
          <cell r="P57" t="str">
            <v>2100/102Other</v>
          </cell>
        </row>
        <row r="58">
          <cell r="P58" t="str">
            <v>2100/103</v>
          </cell>
        </row>
        <row r="59">
          <cell r="P59" t="str">
            <v>2100/110Repairs and maintenance</v>
          </cell>
        </row>
        <row r="60">
          <cell r="P60" t="str">
            <v>2100/120Salaries</v>
          </cell>
        </row>
        <row r="61">
          <cell r="P61" t="str">
            <v>2100/121UIF - Employer</v>
          </cell>
        </row>
        <row r="62">
          <cell r="P62" t="str">
            <v>2100/122Casual wages</v>
          </cell>
        </row>
        <row r="63">
          <cell r="P63" t="str">
            <v>2100/130Telephone</v>
          </cell>
        </row>
        <row r="64">
          <cell r="P64" t="str">
            <v>2100/135Postage and courier</v>
          </cell>
        </row>
        <row r="65">
          <cell r="P65" t="str">
            <v>2100/140Training</v>
          </cell>
        </row>
        <row r="66">
          <cell r="P66" t="str">
            <v>2100/150Traveling</v>
          </cell>
        </row>
        <row r="67">
          <cell r="P67" t="str">
            <v>2150/001Expense 1</v>
          </cell>
        </row>
        <row r="68">
          <cell r="P68" t="str">
            <v>2150/002Expense 2</v>
          </cell>
        </row>
        <row r="69">
          <cell r="P69" t="str">
            <v>2150/003Expense 3</v>
          </cell>
        </row>
        <row r="70">
          <cell r="P70" t="str">
            <v>2150/004Expense 4</v>
          </cell>
        </row>
        <row r="71">
          <cell r="P71" t="str">
            <v>2150/005Expense 5</v>
          </cell>
        </row>
        <row r="72">
          <cell r="P72" t="str">
            <v>2150/006Expense 6</v>
          </cell>
        </row>
        <row r="73">
          <cell r="P73" t="str">
            <v>2150/007Expense 7</v>
          </cell>
        </row>
        <row r="74">
          <cell r="P74" t="str">
            <v>2150/008Expense 8</v>
          </cell>
        </row>
        <row r="75">
          <cell r="P75" t="str">
            <v>2150/009Expense 9</v>
          </cell>
        </row>
        <row r="76">
          <cell r="P76" t="str">
            <v>2150/010Expense 10</v>
          </cell>
        </row>
        <row r="77">
          <cell r="P77" t="str">
            <v>2500/000OTHER INCOME</v>
          </cell>
        </row>
        <row r="78">
          <cell r="P78" t="str">
            <v>2710/000Rent Received (Not Main income)</v>
          </cell>
        </row>
        <row r="79">
          <cell r="P79" t="str">
            <v>2750/000Interest Received--------------------------</v>
          </cell>
        </row>
        <row r="80">
          <cell r="P80" t="str">
            <v>2750/001Current account</v>
          </cell>
        </row>
        <row r="81">
          <cell r="P81" t="str">
            <v>2750/002Other 1</v>
          </cell>
        </row>
        <row r="82">
          <cell r="P82" t="str">
            <v>2750/003Other 2</v>
          </cell>
        </row>
        <row r="83">
          <cell r="P83" t="str">
            <v>2750/004Other 3</v>
          </cell>
        </row>
        <row r="84">
          <cell r="P84" t="str">
            <v>2800/000Dividends received------------------------</v>
          </cell>
        </row>
        <row r="85">
          <cell r="P85" t="str">
            <v>2800/001Div's received - SA sources</v>
          </cell>
        </row>
        <row r="86">
          <cell r="P86" t="str">
            <v>2800/002Div's received - Foreign div's</v>
          </cell>
        </row>
        <row r="87">
          <cell r="P87" t="str">
            <v>2810/000(Profit)/Loss on sale of fixed assets</v>
          </cell>
        </row>
        <row r="88">
          <cell r="P88" t="str">
            <v>2820/000Bad debts recovered</v>
          </cell>
        </row>
        <row r="89">
          <cell r="P89" t="str">
            <v>2830/000Other income</v>
          </cell>
        </row>
        <row r="90">
          <cell r="P90" t="str">
            <v>3000/000ADMINISTRATION EXPENSES</v>
          </cell>
        </row>
        <row r="91">
          <cell r="P91" t="str">
            <v>3000/011Audit fees for current year</v>
          </cell>
        </row>
        <row r="92">
          <cell r="P92" t="str">
            <v>3000/012Under provision previous year</v>
          </cell>
        </row>
        <row r="93">
          <cell r="P93" t="str">
            <v>3000/013Overprovision previous year</v>
          </cell>
        </row>
        <row r="94">
          <cell r="P94" t="str">
            <v>3000/014Accounting fees</v>
          </cell>
        </row>
        <row r="95">
          <cell r="P95" t="str">
            <v>3000/020Bank charges</v>
          </cell>
        </row>
        <row r="96">
          <cell r="P96" t="str">
            <v>3000/030Bad debts</v>
          </cell>
        </row>
        <row r="97">
          <cell r="P97" t="str">
            <v>3000/040Cleaning</v>
          </cell>
        </row>
        <row r="98">
          <cell r="P98" t="str">
            <v>3000/050Computer expenses</v>
          </cell>
        </row>
        <row r="99">
          <cell r="P99" t="str">
            <v>3000/055Consulting and Professional fees</v>
          </cell>
        </row>
        <row r="100">
          <cell r="P100" t="str">
            <v>3000/060Depreciation---------------------------------</v>
          </cell>
        </row>
        <row r="101">
          <cell r="P101" t="str">
            <v>3000/061Depr - Electronic equipment</v>
          </cell>
        </row>
        <row r="102">
          <cell r="P102" t="str">
            <v>3000/063Depr - Furniture &amp; Fittings</v>
          </cell>
        </row>
        <row r="103">
          <cell r="P103" t="str">
            <v>3000/070Directors' remuneration-----------------</v>
          </cell>
        </row>
        <row r="104">
          <cell r="P104" t="str">
            <v>3000/0710</v>
          </cell>
        </row>
        <row r="105">
          <cell r="P105" t="str">
            <v>3000/0720</v>
          </cell>
        </row>
        <row r="106">
          <cell r="P106" t="str">
            <v>3000/0730</v>
          </cell>
        </row>
        <row r="107">
          <cell r="P107" t="str">
            <v>3000/0740</v>
          </cell>
        </row>
        <row r="108">
          <cell r="P108" t="str">
            <v>3000/0750</v>
          </cell>
        </row>
        <row r="109">
          <cell r="P109" t="str">
            <v>3000/080Donations</v>
          </cell>
        </row>
        <row r="110">
          <cell r="P110" t="str">
            <v>3000/090Entertainment expenses</v>
          </cell>
        </row>
        <row r="111">
          <cell r="P111" t="str">
            <v>3000/095Fines</v>
          </cell>
        </row>
        <row r="112">
          <cell r="P112" t="str">
            <v>3000/100General expenses</v>
          </cell>
        </row>
        <row r="113">
          <cell r="P113" t="str">
            <v>3000/110Legal expenses - Tax deductible</v>
          </cell>
        </row>
        <row r="114">
          <cell r="P114" t="str">
            <v>3000/111Legal expenses - Non deductible</v>
          </cell>
        </row>
        <row r="115">
          <cell r="P115" t="str">
            <v>3000/120Printing and stationary</v>
          </cell>
        </row>
        <row r="116">
          <cell r="P116" t="str">
            <v>3000/130Refreshments</v>
          </cell>
        </row>
        <row r="117">
          <cell r="P117" t="str">
            <v>3000/140Salaries</v>
          </cell>
        </row>
        <row r="118">
          <cell r="P118" t="str">
            <v>3000/141Casual wages</v>
          </cell>
        </row>
        <row r="119">
          <cell r="P119" t="str">
            <v>3000/150Security</v>
          </cell>
        </row>
        <row r="120">
          <cell r="P120" t="str">
            <v>3000/160Subscriptions and Membership fees</v>
          </cell>
        </row>
        <row r="121">
          <cell r="P121" t="str">
            <v>3000/170Penalties &amp; Interest - SARS</v>
          </cell>
        </row>
        <row r="122">
          <cell r="P122" t="str">
            <v>3000/180Expense 1</v>
          </cell>
        </row>
        <row r="123">
          <cell r="P123" t="str">
            <v>3000/190Expense 2</v>
          </cell>
        </row>
        <row r="124">
          <cell r="P124" t="str">
            <v>3000/200Expense 3</v>
          </cell>
        </row>
        <row r="125">
          <cell r="P125" t="str">
            <v>3000/210Expense 4</v>
          </cell>
        </row>
        <row r="126">
          <cell r="P126" t="str">
            <v>3000/220Expense 5</v>
          </cell>
        </row>
        <row r="127">
          <cell r="P127" t="str">
            <v>3000/230Expense 6</v>
          </cell>
        </row>
        <row r="128">
          <cell r="P128" t="str">
            <v>3000/240Expense 7</v>
          </cell>
        </row>
        <row r="129">
          <cell r="P129" t="str">
            <v>3000/250Expense 8</v>
          </cell>
        </row>
        <row r="130">
          <cell r="P130" t="str">
            <v>3000/260Expense 9</v>
          </cell>
        </row>
        <row r="131">
          <cell r="P131" t="str">
            <v>3000/270Amortisation of prepaid lease agreement</v>
          </cell>
        </row>
        <row r="132">
          <cell r="P132" t="str">
            <v>4210/000(Profit)/Loss on foreign exchange</v>
          </cell>
        </row>
        <row r="133">
          <cell r="P133" t="str">
            <v>4700/000FINANCE COSTS</v>
          </cell>
        </row>
        <row r="134">
          <cell r="P134" t="str">
            <v>4700/010Interest paid--------------------------------</v>
          </cell>
        </row>
        <row r="135">
          <cell r="P135" t="str">
            <v>4700/011Bank - Mortgage Loans</v>
          </cell>
        </row>
        <row r="136">
          <cell r="P136" t="str">
            <v>4700/012Bank Current Account</v>
          </cell>
        </row>
        <row r="137">
          <cell r="P137" t="str">
            <v>4700/013Other 1</v>
          </cell>
        </row>
        <row r="138">
          <cell r="P138" t="str">
            <v>4700/014Other 2</v>
          </cell>
        </row>
        <row r="139">
          <cell r="P139" t="str">
            <v>4700/015Other 3</v>
          </cell>
        </row>
        <row r="140">
          <cell r="P140" t="str">
            <v>4700/016Other 4</v>
          </cell>
        </row>
        <row r="141">
          <cell r="P141" t="str">
            <v>4700/017Other 5</v>
          </cell>
        </row>
        <row r="142">
          <cell r="P142" t="str">
            <v>4700/018Other 6</v>
          </cell>
        </row>
        <row r="143">
          <cell r="P143" t="str">
            <v>4700/019Other 7</v>
          </cell>
        </row>
        <row r="144">
          <cell r="P144" t="str">
            <v>4700/020Other 8</v>
          </cell>
        </row>
        <row r="145">
          <cell r="P145" t="str">
            <v>4700/021Hire purchase interest</v>
          </cell>
        </row>
        <row r="146">
          <cell r="P146" t="str">
            <v>4750/000OTHER</v>
          </cell>
        </row>
        <row r="147">
          <cell r="P147" t="str">
            <v>4750/010Loss on Revaluation of Investments</v>
          </cell>
        </row>
        <row r="148">
          <cell r="P148" t="str">
            <v>4800/000NORMAL TAXATION</v>
          </cell>
        </row>
        <row r="149">
          <cell r="P149" t="str">
            <v>4800/001Tax provided this year</v>
          </cell>
        </row>
        <row r="150">
          <cell r="P150" t="str">
            <v>4800/002Tax adjustment previous year</v>
          </cell>
        </row>
        <row r="151">
          <cell r="P151" t="str">
            <v>4820/000DEFERRED TAX</v>
          </cell>
        </row>
        <row r="152">
          <cell r="P152" t="str">
            <v>4820/001Deferred tax this year</v>
          </cell>
        </row>
        <row r="153">
          <cell r="P153" t="str">
            <v>4820/002Deferred tax adjustment previous year</v>
          </cell>
        </row>
        <row r="154">
          <cell r="P154" t="str">
            <v>4850/000Dividends Declared</v>
          </cell>
        </row>
        <row r="155">
          <cell r="P155" t="str">
            <v>4860/000Dividends paid</v>
          </cell>
        </row>
        <row r="158">
          <cell r="P158">
            <v>0</v>
          </cell>
        </row>
        <row r="159">
          <cell r="P159" t="str">
            <v>5100/000SHARE CAPITAL</v>
          </cell>
        </row>
        <row r="160">
          <cell r="P160" t="str">
            <v>5100/001Share Capital - Balance b/fwd</v>
          </cell>
        </row>
        <row r="161">
          <cell r="P161" t="str">
            <v>5100/002Share Capital - Additions</v>
          </cell>
        </row>
        <row r="162">
          <cell r="P162" t="str">
            <v>5110/000SHARE PREMIUM</v>
          </cell>
        </row>
        <row r="163">
          <cell r="P163" t="str">
            <v>5110/001Share premium - Balance b/fwd</v>
          </cell>
        </row>
        <row r="164">
          <cell r="P164" t="str">
            <v>5110/002Share premium - Additions</v>
          </cell>
        </row>
        <row r="165">
          <cell r="P165" t="str">
            <v>5110/003Share premium - transfer</v>
          </cell>
        </row>
        <row r="166">
          <cell r="P166" t="str">
            <v>5120/000VALUATION RESERVE</v>
          </cell>
        </row>
        <row r="167">
          <cell r="P167" t="str">
            <v>5120/001Valuation reserve - Balance b/fwd</v>
          </cell>
        </row>
        <row r="168">
          <cell r="P168" t="str">
            <v>5120/002Valuation reserve - Additions</v>
          </cell>
        </row>
        <row r="169">
          <cell r="P169" t="str">
            <v>5120/003Valuation reserve - transfer to p/l</v>
          </cell>
        </row>
        <row r="170">
          <cell r="P170" t="str">
            <v>5130/000OTHER RESERVES</v>
          </cell>
        </row>
        <row r="171">
          <cell r="P171" t="str">
            <v>5130/001Other reserves - Balance B/fwd</v>
          </cell>
        </row>
        <row r="172">
          <cell r="P172" t="str">
            <v>5130/002Other reserves - Additions</v>
          </cell>
        </row>
        <row r="173">
          <cell r="P173" t="str">
            <v>5130/003Other reserves - transfer</v>
          </cell>
        </row>
        <row r="174">
          <cell r="P174" t="str">
            <v>5200/000(Retained Income) / Accumulated Loss</v>
          </cell>
        </row>
        <row r="175">
          <cell r="P175" t="str">
            <v>5500/000LONG TERM  INTEREST LIABILITIES</v>
          </cell>
        </row>
        <row r="176">
          <cell r="P176" t="str">
            <v>5500/001Bond 1</v>
          </cell>
        </row>
        <row r="177">
          <cell r="P177" t="str">
            <v>5500/002Bond 2</v>
          </cell>
        </row>
        <row r="178">
          <cell r="P178" t="str">
            <v>5500/003Bond 3</v>
          </cell>
        </row>
        <row r="179">
          <cell r="P179" t="str">
            <v>5500/004HP 1</v>
          </cell>
        </row>
        <row r="180">
          <cell r="P180" t="str">
            <v>5500/005HP 2</v>
          </cell>
        </row>
        <row r="181">
          <cell r="P181" t="str">
            <v>5500/006</v>
          </cell>
        </row>
        <row r="182">
          <cell r="P182" t="str">
            <v>5500/007</v>
          </cell>
        </row>
        <row r="183">
          <cell r="P183" t="str">
            <v>5500/008</v>
          </cell>
        </row>
        <row r="184">
          <cell r="P184" t="str">
            <v>5500/009</v>
          </cell>
        </row>
        <row r="185">
          <cell r="P185" t="str">
            <v>5500/010</v>
          </cell>
        </row>
        <row r="186">
          <cell r="P186" t="str">
            <v>5500/011</v>
          </cell>
        </row>
        <row r="187">
          <cell r="P187" t="str">
            <v>5500/012</v>
          </cell>
        </row>
        <row r="188">
          <cell r="P188" t="str">
            <v>5500/013</v>
          </cell>
        </row>
        <row r="189">
          <cell r="P189" t="str">
            <v>5500/014</v>
          </cell>
        </row>
        <row r="190">
          <cell r="P190" t="str">
            <v>5500/015</v>
          </cell>
        </row>
        <row r="191">
          <cell r="P191" t="str">
            <v>5520/000Short term portion of long term loans</v>
          </cell>
        </row>
        <row r="192">
          <cell r="P192" t="str">
            <v>5550/000LONG TERM INTEREST FREE LOANS</v>
          </cell>
        </row>
        <row r="193">
          <cell r="P193" t="str">
            <v>5550/001Interest free 1</v>
          </cell>
        </row>
        <row r="194">
          <cell r="P194" t="str">
            <v>5550/002Interest free 2</v>
          </cell>
        </row>
        <row r="195">
          <cell r="P195" t="str">
            <v>5550/003Interest free 3</v>
          </cell>
        </row>
        <row r="196">
          <cell r="P196" t="str">
            <v>5550/004Interest free 4</v>
          </cell>
        </row>
        <row r="197">
          <cell r="P197" t="str">
            <v>5550/005Interest free 5</v>
          </cell>
        </row>
        <row r="198">
          <cell r="P198" t="str">
            <v>5550/006Interest free 6</v>
          </cell>
        </row>
        <row r="199">
          <cell r="P199" t="str">
            <v>5550/007Interest free 7</v>
          </cell>
        </row>
        <row r="200">
          <cell r="P200" t="str">
            <v>5550/008Interest free 8</v>
          </cell>
        </row>
        <row r="201">
          <cell r="P201" t="str">
            <v>5550/009Interest free 9</v>
          </cell>
        </row>
        <row r="202">
          <cell r="P202" t="str">
            <v>5550/010Interest free 10</v>
          </cell>
        </row>
        <row r="203">
          <cell r="P203" t="str">
            <v>5550/011Interest free 11</v>
          </cell>
        </row>
        <row r="204">
          <cell r="P204" t="str">
            <v>5550/012Interest free 12</v>
          </cell>
        </row>
        <row r="205">
          <cell r="P205" t="str">
            <v>5550/013Interest free 13</v>
          </cell>
        </row>
        <row r="206">
          <cell r="P206" t="str">
            <v>5550/014Interest free 14</v>
          </cell>
        </row>
        <row r="207">
          <cell r="P207" t="str">
            <v>5550/015Interest free 15</v>
          </cell>
        </row>
        <row r="208">
          <cell r="P208" t="str">
            <v>5550/016Interest free 16</v>
          </cell>
        </row>
        <row r="209">
          <cell r="P209" t="str">
            <v>5550/017Interest free 17</v>
          </cell>
        </row>
        <row r="210">
          <cell r="P210" t="str">
            <v>5700/000DEFERRED TAX</v>
          </cell>
        </row>
        <row r="211">
          <cell r="P211" t="str">
            <v>5700/010Deferred tax balance  depreciation b/fwd</v>
          </cell>
        </row>
        <row r="212">
          <cell r="P212" t="str">
            <v>5700/020Deferred tax balance  tax loss b/fwd</v>
          </cell>
        </row>
        <row r="213">
          <cell r="P213" t="str">
            <v>5700/030Deferred tax on depreciation for year</v>
          </cell>
        </row>
        <row r="214">
          <cell r="P214" t="str">
            <v>5700/040Deferred tax on tax loss for year</v>
          </cell>
        </row>
        <row r="215">
          <cell r="P215" t="str">
            <v>5700/050Def tax adj  depreciation previous year</v>
          </cell>
        </row>
        <row r="216">
          <cell r="P216" t="str">
            <v>5700/060Def tax adj tax loss previous year</v>
          </cell>
        </row>
        <row r="217">
          <cell r="P217" t="str">
            <v>6100/000LAND &amp; BUILDINGS - COST</v>
          </cell>
        </row>
        <row r="218">
          <cell r="P218" t="str">
            <v>6100/001Land_Buildings - Cost B/fwd</v>
          </cell>
        </row>
        <row r="219">
          <cell r="P219" t="str">
            <v>6100/002Land_Buildings - Additions</v>
          </cell>
        </row>
        <row r="220">
          <cell r="P220" t="str">
            <v>6100/003Land_Buildings - Cost of sales</v>
          </cell>
        </row>
        <row r="221">
          <cell r="P221" t="str">
            <v>6100/020LAND &amp; BUILDINGS - ACC DEPR</v>
          </cell>
        </row>
        <row r="222">
          <cell r="P222" t="str">
            <v>6100/021Land &amp; Buildings - Acc depr B/fwd</v>
          </cell>
        </row>
        <row r="223">
          <cell r="P223" t="str">
            <v>6100/022Land &amp; Buildings - depr this year</v>
          </cell>
        </row>
        <row r="224">
          <cell r="P224" t="str">
            <v>6100/023Land &amp; Buildings - Acc depr on sales</v>
          </cell>
        </row>
        <row r="225">
          <cell r="P225" t="str">
            <v>6100/030LAND &amp; BUILDINGS - VALUATION</v>
          </cell>
        </row>
        <row r="226">
          <cell r="P226" t="str">
            <v>6100/031Land_Buildings - Valuation B/fwd</v>
          </cell>
        </row>
        <row r="227">
          <cell r="P227" t="str">
            <v>6100/032Land_Buildings - Valuation additions</v>
          </cell>
        </row>
        <row r="228">
          <cell r="P228" t="str">
            <v>6100/033Land_Buildings - Valuation reduction</v>
          </cell>
        </row>
        <row r="229">
          <cell r="P229" t="str">
            <v>6150/000PLANT &amp; MACHINERY - COST</v>
          </cell>
        </row>
        <row r="230">
          <cell r="P230" t="str">
            <v>6150/001Plant &amp; machinery - cost b/fwd</v>
          </cell>
        </row>
        <row r="231">
          <cell r="P231" t="str">
            <v>6150/002Plant &amp; machinery - Additions</v>
          </cell>
        </row>
        <row r="232">
          <cell r="P232" t="str">
            <v>6150/003Plant &amp; machinery - Cost of sales</v>
          </cell>
        </row>
        <row r="233">
          <cell r="P233" t="str">
            <v>6150/020PLANT &amp; MACHINERY - ACC DEPR</v>
          </cell>
        </row>
        <row r="234">
          <cell r="P234" t="str">
            <v>6150/021Plant &amp; Machinery - Acc depr b/fwd</v>
          </cell>
        </row>
        <row r="235">
          <cell r="P235" t="str">
            <v>6150/022Plant &amp; machinery - depr this year</v>
          </cell>
        </row>
        <row r="236">
          <cell r="P236" t="str">
            <v>6150/023Plant &amp; machinery - acc depr on sales</v>
          </cell>
        </row>
        <row r="237">
          <cell r="P237" t="str">
            <v>6200/000MOTOR VEHICLES - COST</v>
          </cell>
        </row>
        <row r="238">
          <cell r="P238" t="str">
            <v>6200/001Motor Vehicles - Cost B/fwd</v>
          </cell>
        </row>
        <row r="239">
          <cell r="P239" t="str">
            <v>6200/002Motor Vehicles - Additions</v>
          </cell>
        </row>
        <row r="240">
          <cell r="P240" t="str">
            <v>6200/003Motor Vehicles - Cost of sales</v>
          </cell>
        </row>
        <row r="241">
          <cell r="P241" t="str">
            <v>6200/020MOTOR VEHICLES - ACC DEPR</v>
          </cell>
        </row>
        <row r="242">
          <cell r="P242" t="str">
            <v>6200/021Motor vehicles - Acc depr b/fwd</v>
          </cell>
        </row>
        <row r="243">
          <cell r="P243" t="str">
            <v>6200/022Motor vehicles - Depr this year</v>
          </cell>
        </row>
        <row r="244">
          <cell r="P244" t="str">
            <v>6200/023Motor vehicles - Acc depr on sales</v>
          </cell>
        </row>
        <row r="245">
          <cell r="P245" t="str">
            <v>6250/000ELECTRONIC EQUIPMENT - COST</v>
          </cell>
        </row>
        <row r="246">
          <cell r="P246" t="str">
            <v>6250/001Electronic equipment - Cost b/fwd</v>
          </cell>
        </row>
        <row r="247">
          <cell r="P247" t="str">
            <v>6250/002Electronic equipment - Additions</v>
          </cell>
        </row>
        <row r="248">
          <cell r="P248" t="str">
            <v>6250/003Electronic equipment - Cost of sales</v>
          </cell>
        </row>
        <row r="249">
          <cell r="P249" t="str">
            <v>6250/020ELECTRONIC EQUIPMENT - ACC DEPR</v>
          </cell>
        </row>
        <row r="250">
          <cell r="P250" t="str">
            <v>6250/021Electronic equipment - Acc depr B/fwd</v>
          </cell>
        </row>
        <row r="251">
          <cell r="P251" t="str">
            <v>6250/022Electronic equipment - Depr this year</v>
          </cell>
        </row>
        <row r="252">
          <cell r="P252" t="str">
            <v>6250/023Electronic equipment - Acc depr on sales</v>
          </cell>
        </row>
        <row r="253">
          <cell r="P253" t="str">
            <v>6350/000FURNITURE &amp; FITTINGS - COST</v>
          </cell>
        </row>
        <row r="254">
          <cell r="P254" t="str">
            <v>6350/001Furniture &amp; fittings - Cost B/fwd</v>
          </cell>
        </row>
        <row r="255">
          <cell r="P255" t="str">
            <v>6350/002Furniture &amp; fittings - Additions</v>
          </cell>
        </row>
        <row r="256">
          <cell r="P256" t="str">
            <v>6350/003Furniture &amp; fittings - Cost of sales</v>
          </cell>
        </row>
        <row r="257">
          <cell r="P257" t="str">
            <v>6350/020FURNITURE &amp; FITTINGS - ACC DEPR</v>
          </cell>
        </row>
        <row r="258">
          <cell r="P258" t="str">
            <v>6350/021Furniture &amp; fittings - Acc depr B/fwd</v>
          </cell>
        </row>
        <row r="259">
          <cell r="P259" t="str">
            <v>6350/022Furniture &amp; fittings - Depr this year</v>
          </cell>
        </row>
        <row r="260">
          <cell r="P260" t="str">
            <v>6350/023Furniture &amp; fittings - Acc depr on sales</v>
          </cell>
        </row>
        <row r="261">
          <cell r="P261" t="str">
            <v>7000/000GOODWILL/INTANGIBLE ASSETS</v>
          </cell>
        </row>
        <row r="262">
          <cell r="P262" t="str">
            <v>7000/010Goodwill Cost</v>
          </cell>
        </row>
        <row r="263">
          <cell r="P263" t="str">
            <v>7000/011Prepaid lease agreement - Cost</v>
          </cell>
        </row>
        <row r="264">
          <cell r="P264" t="str">
            <v>7000/015PLA - surplus on revaluation</v>
          </cell>
        </row>
        <row r="265">
          <cell r="P265" t="str">
            <v>7000/020PLA - write down this year</v>
          </cell>
        </row>
        <row r="266">
          <cell r="P266" t="str">
            <v>7000/025PLA - write down previous years</v>
          </cell>
        </row>
        <row r="267">
          <cell r="P267" t="str">
            <v>7100/000INVESTMENTS</v>
          </cell>
        </row>
        <row r="268">
          <cell r="P268" t="str">
            <v>7100/100LISTED INVESTMENTS</v>
          </cell>
        </row>
        <row r="269">
          <cell r="P269" t="str">
            <v>7100/101Listed 1</v>
          </cell>
        </row>
        <row r="270">
          <cell r="P270" t="str">
            <v>7100/102Listed 2</v>
          </cell>
        </row>
        <row r="271">
          <cell r="P271" t="str">
            <v>7100/103Listed 3</v>
          </cell>
        </row>
        <row r="272">
          <cell r="P272" t="str">
            <v>7100/104Listed 4</v>
          </cell>
        </row>
        <row r="273">
          <cell r="P273" t="str">
            <v>7100/105Listed 5</v>
          </cell>
        </row>
        <row r="274">
          <cell r="P274" t="str">
            <v>7100/200OTHER INVESTMENTS</v>
          </cell>
        </row>
        <row r="275">
          <cell r="P275" t="str">
            <v>7100/201Other investments 1</v>
          </cell>
        </row>
        <row r="276">
          <cell r="P276" t="str">
            <v>7100/202Other investments 2</v>
          </cell>
        </row>
        <row r="277">
          <cell r="P277" t="str">
            <v>7100/203Other investments 3</v>
          </cell>
        </row>
        <row r="278">
          <cell r="P278" t="str">
            <v>7100/204Other investments 4</v>
          </cell>
        </row>
        <row r="279">
          <cell r="P279" t="str">
            <v>7100/205Other investments 5</v>
          </cell>
        </row>
        <row r="280">
          <cell r="P280" t="str">
            <v>7450/000CONNECTED COMPANIES</v>
          </cell>
        </row>
        <row r="281">
          <cell r="P281" t="str">
            <v>7450/000Interest bearing</v>
          </cell>
        </row>
        <row r="282">
          <cell r="P282" t="str">
            <v>7450/001Connected 1</v>
          </cell>
        </row>
        <row r="283">
          <cell r="P283" t="str">
            <v>7450/002Connected 2</v>
          </cell>
        </row>
        <row r="284">
          <cell r="P284" t="str">
            <v>7450/000Interest free</v>
          </cell>
        </row>
        <row r="285">
          <cell r="P285" t="str">
            <v>7450/003Connected 3</v>
          </cell>
        </row>
        <row r="286">
          <cell r="P286" t="str">
            <v>7450/004Connected 4</v>
          </cell>
        </row>
        <row r="287">
          <cell r="P287" t="str">
            <v>7450/005Connected 5</v>
          </cell>
        </row>
        <row r="288">
          <cell r="P288" t="str">
            <v>7460/000OTHER NON CURRENT RECEIVABLES</v>
          </cell>
        </row>
        <row r="289">
          <cell r="P289" t="str">
            <v>7460/000Interest bearing</v>
          </cell>
        </row>
        <row r="290">
          <cell r="P290" t="str">
            <v>7460/001Other non current 1</v>
          </cell>
        </row>
        <row r="291">
          <cell r="P291" t="str">
            <v>7460/002Other non current 2</v>
          </cell>
        </row>
        <row r="292">
          <cell r="P292" t="str">
            <v>7460/003Other non current 3</v>
          </cell>
        </row>
        <row r="293">
          <cell r="P293" t="str">
            <v>7460/000Interest free</v>
          </cell>
        </row>
        <row r="294">
          <cell r="P294" t="str">
            <v>7460/004Other non current 4</v>
          </cell>
        </row>
        <row r="295">
          <cell r="P295" t="str">
            <v>7460/005Other non current 5</v>
          </cell>
        </row>
        <row r="296">
          <cell r="P296" t="str">
            <v>7460/006Other non current 6</v>
          </cell>
        </row>
        <row r="297">
          <cell r="P297" t="str">
            <v>7460/007Other non current 7</v>
          </cell>
        </row>
        <row r="298">
          <cell r="P298" t="str">
            <v>7460/008Other non current 8</v>
          </cell>
        </row>
        <row r="299">
          <cell r="P299" t="str">
            <v>7500/000INVENTORY</v>
          </cell>
        </row>
        <row r="300">
          <cell r="P300" t="str">
            <v>7500/001Raw materials</v>
          </cell>
        </row>
        <row r="301">
          <cell r="P301" t="str">
            <v>7500/002Work in progress</v>
          </cell>
        </row>
        <row r="302">
          <cell r="P302" t="str">
            <v>7500/003Finished goods</v>
          </cell>
        </row>
        <row r="303">
          <cell r="P303" t="str">
            <v>7500/004Trading stock</v>
          </cell>
        </row>
        <row r="304">
          <cell r="P304" t="str">
            <v>8000/000DEBTORS</v>
          </cell>
        </row>
        <row r="305">
          <cell r="P305" t="str">
            <v>8010/000Trade debtors</v>
          </cell>
        </row>
        <row r="306">
          <cell r="P306" t="str">
            <v>8020/000Less: Provision For Doubtful Debts</v>
          </cell>
        </row>
        <row r="307">
          <cell r="P307" t="str">
            <v>8030/000Service deposits</v>
          </cell>
        </row>
        <row r="308">
          <cell r="P308" t="str">
            <v>8200/000Sundry Customers</v>
          </cell>
        </row>
        <row r="309">
          <cell r="P309" t="str">
            <v>8200/010Prepayments</v>
          </cell>
        </row>
        <row r="310">
          <cell r="P310" t="str">
            <v>8200/020Staff Loans</v>
          </cell>
        </row>
        <row r="311">
          <cell r="P311" t="str">
            <v>8400/000BANK ACCOUNTS</v>
          </cell>
        </row>
        <row r="312">
          <cell r="P312" t="str">
            <v>8410/000Bank account 1</v>
          </cell>
        </row>
        <row r="313">
          <cell r="P313" t="str">
            <v>8420/000Bank account 2</v>
          </cell>
        </row>
        <row r="314">
          <cell r="P314" t="str">
            <v>8430/000Bank account 3</v>
          </cell>
        </row>
        <row r="315">
          <cell r="P315" t="str">
            <v>8440/000Bank account 4</v>
          </cell>
        </row>
        <row r="316">
          <cell r="P316" t="str">
            <v>8450/000Bank account 5</v>
          </cell>
        </row>
        <row r="317">
          <cell r="P317" t="str">
            <v>8460/000Bank account 6</v>
          </cell>
        </row>
        <row r="318">
          <cell r="P318" t="str">
            <v>8500/000Cash on hand</v>
          </cell>
        </row>
        <row r="319">
          <cell r="P319" t="str">
            <v>8900/000SHORT TERM LOANS</v>
          </cell>
        </row>
        <row r="320">
          <cell r="P320" t="str">
            <v>8900/001Short term 1</v>
          </cell>
        </row>
        <row r="321">
          <cell r="P321" t="str">
            <v>8900/002Short term 2</v>
          </cell>
        </row>
        <row r="322">
          <cell r="P322" t="str">
            <v>8900/003Short term 3</v>
          </cell>
        </row>
        <row r="323">
          <cell r="P323" t="str">
            <v>8900/004Short term portion of long term loans</v>
          </cell>
        </row>
        <row r="324">
          <cell r="P324" t="str">
            <v>9000/000CREDITORS</v>
          </cell>
        </row>
        <row r="325">
          <cell r="P325" t="str">
            <v>9010/000Trade creditors</v>
          </cell>
        </row>
        <row r="326">
          <cell r="P326" t="str">
            <v>9200/000Sundry Suppliers</v>
          </cell>
        </row>
        <row r="327">
          <cell r="P327" t="str">
            <v>9200/010Audit fee accrual</v>
          </cell>
        </row>
        <row r="328">
          <cell r="P328" t="str">
            <v>9200/020Other Accruals</v>
          </cell>
        </row>
        <row r="329">
          <cell r="P329" t="str">
            <v>9250/000Salary &amp; Wages Control</v>
          </cell>
        </row>
        <row r="330">
          <cell r="P330" t="str">
            <v>9300/000TAXATION</v>
          </cell>
        </row>
        <row r="331">
          <cell r="P331" t="str">
            <v>9300/010Balance b/fwd</v>
          </cell>
        </row>
        <row r="332">
          <cell r="P332" t="str">
            <v>9300/020Tax provision this year</v>
          </cell>
        </row>
        <row r="333">
          <cell r="P333" t="str">
            <v>9300/030Over-/Underprovision previous year</v>
          </cell>
        </row>
        <row r="334">
          <cell r="P334" t="str">
            <v>9300/040Tax paid for previous year provisions</v>
          </cell>
        </row>
        <row r="335">
          <cell r="P335" t="str">
            <v>9300/0501st Provisional Paid</v>
          </cell>
        </row>
        <row r="336">
          <cell r="P336" t="str">
            <v>9300/0602nd Provisional Paid</v>
          </cell>
        </row>
        <row r="337">
          <cell r="P337" t="str">
            <v>9300/0703rd Provisional paid</v>
          </cell>
        </row>
        <row r="338">
          <cell r="P338" t="str">
            <v>9300/090Dividends tax provision this year</v>
          </cell>
        </row>
        <row r="339">
          <cell r="P339" t="str">
            <v>9350/000Dividends payable</v>
          </cell>
        </row>
        <row r="340">
          <cell r="P340" t="str">
            <v>9400/000Provision for future expenses</v>
          </cell>
        </row>
        <row r="341">
          <cell r="P341" t="str">
            <v>9400/010Provision for insurance</v>
          </cell>
        </row>
        <row r="342">
          <cell r="P342" t="str">
            <v>9400/020Provision for salary bonus</v>
          </cell>
        </row>
        <row r="343">
          <cell r="P343" t="str">
            <v>9500/000VALUE ADDED TAX</v>
          </cell>
        </row>
        <row r="344">
          <cell r="P344" t="str">
            <v>9501/000VAT account</v>
          </cell>
        </row>
        <row r="345">
          <cell r="P345" t="str">
            <v>9510/000--------------------------------------------------</v>
          </cell>
        </row>
        <row r="346">
          <cell r="P346" t="str">
            <v>9990/000Suspense Account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 - Seafront Restaurant</v>
          </cell>
        </row>
        <row r="25">
          <cell r="M25" t="str">
            <v>2050/002</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R7,000</v>
          </cell>
        </row>
        <row r="37">
          <cell r="M37" t="str">
            <v>2100/020Consumables</v>
          </cell>
        </row>
        <row r="38">
          <cell r="M38" t="str">
            <v>2100/030Depreciation--------------------------------------------------</v>
          </cell>
        </row>
        <row r="39">
          <cell r="M39" t="str">
            <v>2100/031Depr - Land &amp; buildings</v>
          </cell>
        </row>
        <row r="40">
          <cell r="M40" t="str">
            <v>2100/032Depr - Plant &amp;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v>
          </cell>
        </row>
        <row r="67">
          <cell r="M67" t="str">
            <v>2150/001Crockery and Cutlery</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2750/001ABSA Current account</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3000/055Consulting and Professional fees</v>
          </cell>
        </row>
        <row r="100">
          <cell r="M100" t="str">
            <v>3000/060Depreciation----------------------------</v>
          </cell>
        </row>
        <row r="101">
          <cell r="M101" t="str">
            <v>3000/061Depr - Electronic equipment</v>
          </cell>
        </row>
        <row r="102">
          <cell r="M102" t="str">
            <v>3000/063Depr - Furniture &amp; Fittings</v>
          </cell>
        </row>
        <row r="103">
          <cell r="M103" t="str">
            <v>3000/070Directors' remuneration-----------------</v>
          </cell>
        </row>
        <row r="104">
          <cell r="M104" t="str">
            <v>3000/0710</v>
          </cell>
        </row>
        <row r="105">
          <cell r="M105" t="str">
            <v>3000/0720</v>
          </cell>
        </row>
        <row r="106">
          <cell r="M106" t="str">
            <v>3000/0730</v>
          </cell>
        </row>
        <row r="107">
          <cell r="M107" t="str">
            <v>3000/0740</v>
          </cell>
        </row>
        <row r="108">
          <cell r="M108" t="str">
            <v>3000/0750</v>
          </cell>
        </row>
        <row r="109">
          <cell r="M109" t="str">
            <v>3000/080Donations</v>
          </cell>
        </row>
        <row r="110">
          <cell r="M110" t="str">
            <v>3000/090Entertainment expenses</v>
          </cell>
        </row>
        <row r="111">
          <cell r="M111" t="str">
            <v>3000/095Fines</v>
          </cell>
        </row>
        <row r="112">
          <cell r="M112" t="str">
            <v>3000/100General expenses</v>
          </cell>
        </row>
        <row r="113">
          <cell r="M113" t="str">
            <v>3000/110Legal expenses - Tax deductible</v>
          </cell>
        </row>
        <row r="114">
          <cell r="M114" t="str">
            <v>3000/111Legal expenses - Non deductible</v>
          </cell>
        </row>
        <row r="115">
          <cell r="M115" t="str">
            <v>3000/120Printing and stationary</v>
          </cell>
        </row>
        <row r="116">
          <cell r="M116" t="str">
            <v>3000/130Refreshments</v>
          </cell>
        </row>
        <row r="117">
          <cell r="M117" t="str">
            <v>3000/140Salaries</v>
          </cell>
        </row>
        <row r="118">
          <cell r="M118" t="str">
            <v>3000/141Casual wages</v>
          </cell>
        </row>
        <row r="119">
          <cell r="M119" t="str">
            <v>3000/150Security</v>
          </cell>
        </row>
        <row r="120">
          <cell r="M120" t="str">
            <v>3000/160Subscriptions and Membership fees</v>
          </cell>
        </row>
        <row r="121">
          <cell r="M121" t="str">
            <v>3000/170Penalties &amp; Interest - SARS</v>
          </cell>
        </row>
        <row r="122">
          <cell r="M122" t="str">
            <v>3000/180Credit card fees</v>
          </cell>
        </row>
        <row r="123">
          <cell r="M123" t="str">
            <v>3000/190</v>
          </cell>
        </row>
        <row r="124">
          <cell r="M124" t="str">
            <v>3000/200</v>
          </cell>
        </row>
        <row r="125">
          <cell r="M125" t="str">
            <v>3000/210</v>
          </cell>
        </row>
        <row r="126">
          <cell r="M126" t="str">
            <v>3000/220</v>
          </cell>
        </row>
        <row r="127">
          <cell r="M127" t="str">
            <v>3000/230</v>
          </cell>
        </row>
        <row r="128">
          <cell r="M128" t="str">
            <v>3000/240</v>
          </cell>
        </row>
        <row r="129">
          <cell r="M129" t="str">
            <v>3000/250</v>
          </cell>
        </row>
        <row r="130">
          <cell r="M130" t="str">
            <v>3000/260</v>
          </cell>
        </row>
        <row r="131">
          <cell r="M131" t="str">
            <v>3000/270Amortisation of prepaid lease agreement</v>
          </cell>
        </row>
        <row r="132">
          <cell r="M132" t="str">
            <v>4210/000Pft/Loss on foreign exchange</v>
          </cell>
        </row>
        <row r="133">
          <cell r="M133" t="str">
            <v>4700/000FINANCE COSTS</v>
          </cell>
        </row>
        <row r="134">
          <cell r="M134" t="str">
            <v>4700/010Interest paid---------------------------</v>
          </cell>
        </row>
        <row r="135">
          <cell r="M135" t="str">
            <v>4700/011</v>
          </cell>
        </row>
        <row r="136">
          <cell r="M136" t="str">
            <v>4700/012</v>
          </cell>
        </row>
        <row r="137">
          <cell r="M137" t="str">
            <v>4700/013</v>
          </cell>
        </row>
        <row r="138">
          <cell r="M138" t="str">
            <v>4700/014</v>
          </cell>
        </row>
        <row r="139">
          <cell r="M139" t="str">
            <v>4700/015</v>
          </cell>
        </row>
        <row r="140">
          <cell r="M140" t="str">
            <v>4700/016</v>
          </cell>
        </row>
        <row r="141">
          <cell r="M141" t="str">
            <v>4700/017</v>
          </cell>
        </row>
        <row r="142">
          <cell r="M142" t="str">
            <v>4700/018</v>
          </cell>
        </row>
        <row r="143">
          <cell r="M143" t="str">
            <v>4700/019</v>
          </cell>
        </row>
        <row r="144">
          <cell r="M144" t="str">
            <v>4700/020</v>
          </cell>
        </row>
        <row r="145">
          <cell r="M145" t="str">
            <v>4700/021Hire purchase interest</v>
          </cell>
        </row>
        <row r="146">
          <cell r="M146" t="str">
            <v>4750/000OTHER</v>
          </cell>
        </row>
        <row r="147">
          <cell r="M147" t="str">
            <v>4750/010Loss on Revaluation of Investments</v>
          </cell>
        </row>
        <row r="148">
          <cell r="M148" t="str">
            <v>4800/000NORMAL TAXATION</v>
          </cell>
        </row>
        <row r="149">
          <cell r="M149" t="str">
            <v>4800/001Tax provided this year</v>
          </cell>
        </row>
        <row r="150">
          <cell r="M150" t="str">
            <v>4800/002Tax adjustment previous year</v>
          </cell>
        </row>
        <row r="151">
          <cell r="M151" t="str">
            <v>4820/000DEFERRED TAX</v>
          </cell>
        </row>
        <row r="152">
          <cell r="M152" t="str">
            <v>4820/001Deferred tax this year</v>
          </cell>
        </row>
        <row r="153">
          <cell r="M153" t="str">
            <v>4820/002Deferred tax adjustment previous year</v>
          </cell>
        </row>
        <row r="154">
          <cell r="M154" t="str">
            <v>4850/000Dividends Declared</v>
          </cell>
        </row>
        <row r="155">
          <cell r="M155" t="str">
            <v>4860/000Dividends paid</v>
          </cell>
        </row>
        <row r="159">
          <cell r="M159" t="str">
            <v>5100/000SHARE CAPITAL</v>
          </cell>
        </row>
        <row r="160">
          <cell r="M160" t="str">
            <v>5100/001Share Capital - Balance b/fwd</v>
          </cell>
        </row>
        <row r="161">
          <cell r="M161" t="str">
            <v>5100/002Share Capital - Additions</v>
          </cell>
        </row>
        <row r="162">
          <cell r="M162" t="str">
            <v>5110/000SHARE PREMIUM</v>
          </cell>
        </row>
        <row r="163">
          <cell r="M163" t="str">
            <v>5110/001Share premium - Balance b/fwd</v>
          </cell>
        </row>
        <row r="164">
          <cell r="M164" t="str">
            <v>5110/002Share premium - Additions</v>
          </cell>
        </row>
        <row r="165">
          <cell r="M165" t="str">
            <v>5110/003Share premium - transfer</v>
          </cell>
        </row>
        <row r="166">
          <cell r="M166" t="str">
            <v>5120/000VALUATION RESERVE</v>
          </cell>
        </row>
        <row r="167">
          <cell r="M167" t="str">
            <v>5120/001Valuation reserve - Balance b/fwd</v>
          </cell>
        </row>
        <row r="168">
          <cell r="M168" t="str">
            <v>5120/002Valuation reserve - Additions</v>
          </cell>
        </row>
        <row r="169">
          <cell r="M169" t="str">
            <v>5120/003Valuation reserve - transfer</v>
          </cell>
        </row>
        <row r="170">
          <cell r="M170" t="str">
            <v>5130/000OTHER RESERVES</v>
          </cell>
        </row>
        <row r="171">
          <cell r="M171" t="str">
            <v>5130/001Other reserves - Balance B/fwd</v>
          </cell>
        </row>
        <row r="172">
          <cell r="M172" t="str">
            <v>5130/002Other reserves - Additions</v>
          </cell>
        </row>
        <row r="173">
          <cell r="M173" t="str">
            <v>5130/003Other reserves - transfer</v>
          </cell>
        </row>
        <row r="174">
          <cell r="M174" t="str">
            <v>5200/000(Retained Income) / Accumulated Loss</v>
          </cell>
        </row>
        <row r="175">
          <cell r="M175" t="str">
            <v>5500/000LONG TERM  INTEREST LIABILITIES</v>
          </cell>
        </row>
        <row r="176">
          <cell r="M176" t="str">
            <v>5500/001Bond 1</v>
          </cell>
        </row>
        <row r="177">
          <cell r="M177" t="str">
            <v>5500/002Bond 2</v>
          </cell>
        </row>
        <row r="178">
          <cell r="M178" t="str">
            <v>5500/003Bond 3</v>
          </cell>
        </row>
        <row r="179">
          <cell r="M179" t="str">
            <v>5500/004HP 1</v>
          </cell>
        </row>
        <row r="180">
          <cell r="M180" t="str">
            <v>5500/005HP 2</v>
          </cell>
        </row>
        <row r="181">
          <cell r="M181" t="str">
            <v>5500/0060</v>
          </cell>
        </row>
        <row r="182">
          <cell r="M182" t="str">
            <v>5500/0070</v>
          </cell>
        </row>
        <row r="183">
          <cell r="M183" t="str">
            <v>5500/0080</v>
          </cell>
        </row>
        <row r="184">
          <cell r="M184" t="str">
            <v>5500/0090</v>
          </cell>
        </row>
        <row r="185">
          <cell r="M185" t="str">
            <v>5500/0100</v>
          </cell>
        </row>
        <row r="186">
          <cell r="M186" t="str">
            <v>5500/0110</v>
          </cell>
        </row>
        <row r="187">
          <cell r="M187" t="str">
            <v>5500/0120</v>
          </cell>
        </row>
        <row r="188">
          <cell r="M188" t="str">
            <v>5500/0130</v>
          </cell>
        </row>
        <row r="189">
          <cell r="M189" t="str">
            <v>5500/0140</v>
          </cell>
        </row>
        <row r="190">
          <cell r="M190" t="str">
            <v>5500/0150</v>
          </cell>
        </row>
        <row r="191">
          <cell r="M191" t="str">
            <v>5520/000Short term portion of long term loans</v>
          </cell>
        </row>
        <row r="192">
          <cell r="M192" t="str">
            <v>5550/000LONG TERM INTEREST FREE LOANS</v>
          </cell>
        </row>
        <row r="193">
          <cell r="M193" t="str">
            <v>5550/001Interest free 1</v>
          </cell>
        </row>
        <row r="194">
          <cell r="M194" t="str">
            <v>5550/002Interest free 2</v>
          </cell>
        </row>
        <row r="195">
          <cell r="M195" t="str">
            <v>5550/003Interest free 3</v>
          </cell>
        </row>
        <row r="196">
          <cell r="M196" t="str">
            <v>5550/004Interest free 4</v>
          </cell>
        </row>
        <row r="197">
          <cell r="M197" t="str">
            <v>5550/005Interest free 5</v>
          </cell>
        </row>
        <row r="198">
          <cell r="M198" t="str">
            <v>5550/006Interest free 6</v>
          </cell>
        </row>
        <row r="199">
          <cell r="M199" t="str">
            <v>5550/007Interest free 7</v>
          </cell>
        </row>
        <row r="200">
          <cell r="M200" t="str">
            <v>5550/008Interest free 8</v>
          </cell>
        </row>
        <row r="201">
          <cell r="M201" t="str">
            <v>5550/009Interest free 9</v>
          </cell>
        </row>
        <row r="202">
          <cell r="M202" t="str">
            <v>5550/010Interest free 10</v>
          </cell>
        </row>
        <row r="203">
          <cell r="M203" t="str">
            <v>5550/011Interest free 11</v>
          </cell>
        </row>
        <row r="204">
          <cell r="M204" t="str">
            <v>5550/012Interest free 12</v>
          </cell>
        </row>
        <row r="205">
          <cell r="M205" t="str">
            <v>5550/013Interest free 13</v>
          </cell>
        </row>
        <row r="206">
          <cell r="M206" t="str">
            <v>5550/014Interest free 14</v>
          </cell>
        </row>
        <row r="207">
          <cell r="M207" t="str">
            <v>5550/015Interest free 15</v>
          </cell>
        </row>
        <row r="208">
          <cell r="M208" t="str">
            <v>5550/016Interest free 16</v>
          </cell>
        </row>
        <row r="209">
          <cell r="M209" t="str">
            <v>5550/017Interest free 17</v>
          </cell>
        </row>
        <row r="210">
          <cell r="M210" t="str">
            <v>5700/000DEFERRED TAX</v>
          </cell>
        </row>
        <row r="211">
          <cell r="M211" t="str">
            <v>5700/010Deferred tax balance  depreciation b/fwd</v>
          </cell>
        </row>
        <row r="212">
          <cell r="M212" t="str">
            <v>5700/020Deferred tax balance  tax loss b/fwd</v>
          </cell>
        </row>
        <row r="213">
          <cell r="M213" t="str">
            <v>5700/030Deferred tax on depreciation for year</v>
          </cell>
        </row>
        <row r="214">
          <cell r="M214" t="str">
            <v>5700/040Deferred tax on tax loss for year</v>
          </cell>
        </row>
        <row r="215">
          <cell r="M215" t="str">
            <v>5700/050Def tax adj  depreciation previous year</v>
          </cell>
        </row>
        <row r="216">
          <cell r="M216" t="str">
            <v>5700/060Def tax adj tax loss previous year</v>
          </cell>
        </row>
        <row r="217">
          <cell r="M217" t="str">
            <v>6100/000LAND &amp; BUILDINGS - COST</v>
          </cell>
        </row>
        <row r="218">
          <cell r="M218" t="str">
            <v>6100/001Land_Buildings - Cost B/fwd</v>
          </cell>
        </row>
        <row r="219">
          <cell r="M219" t="str">
            <v>6100/002Land_Buildings - Additions</v>
          </cell>
        </row>
        <row r="220">
          <cell r="M220" t="str">
            <v>6100/003Land_Buildings - Cost of sales</v>
          </cell>
        </row>
        <row r="221">
          <cell r="M221" t="str">
            <v>6100/020LAND &amp; BUILDINGS - ACC DEPR</v>
          </cell>
        </row>
        <row r="222">
          <cell r="M222" t="str">
            <v>6100/021Land &amp; Buildings - Acc depr B/fwd</v>
          </cell>
        </row>
        <row r="223">
          <cell r="M223" t="str">
            <v>6100/022Land &amp; Buildings - Acc depr this year</v>
          </cell>
        </row>
        <row r="224">
          <cell r="M224" t="str">
            <v>6100/023Land &amp; Buildings - Acc depr on sales</v>
          </cell>
        </row>
        <row r="225">
          <cell r="M225" t="str">
            <v>6100/030LAND &amp; BUILDINGS - VALUATION</v>
          </cell>
        </row>
        <row r="226">
          <cell r="M226" t="str">
            <v>6100/031Land_Buildings - Valuation B/fwd</v>
          </cell>
        </row>
        <row r="227">
          <cell r="M227" t="str">
            <v>6100/032Land_Buildings - Valuation additions</v>
          </cell>
        </row>
        <row r="228">
          <cell r="M228" t="str">
            <v>6100/033Land_Buildings - Valuation reduction</v>
          </cell>
        </row>
        <row r="229">
          <cell r="M229" t="str">
            <v>6150/000PLANT &amp; MACHINERY - COST</v>
          </cell>
        </row>
        <row r="230">
          <cell r="M230" t="str">
            <v>6150/001Plant &amp; machinery - cost b/fwd</v>
          </cell>
        </row>
        <row r="231">
          <cell r="M231" t="str">
            <v>6150/002Plant &amp; machinery - Additions</v>
          </cell>
        </row>
        <row r="232">
          <cell r="M232" t="str">
            <v>6150/003Plant &amp; machinery - Cost of sales</v>
          </cell>
        </row>
        <row r="233">
          <cell r="M233" t="str">
            <v>6150/020PLANT &amp; MACHINERY - ACC DEPR</v>
          </cell>
        </row>
        <row r="234">
          <cell r="M234" t="str">
            <v>6150/021Plant &amp; Machinery - Acc depr b/fwd</v>
          </cell>
        </row>
        <row r="235">
          <cell r="M235" t="str">
            <v>6150/022Plant &amp; machinery - depr this year</v>
          </cell>
        </row>
        <row r="236">
          <cell r="M236" t="str">
            <v>6150/023Plant &amp; machinery - acc depr on sales</v>
          </cell>
        </row>
        <row r="237">
          <cell r="M237" t="str">
            <v>6200/000MOTOR VEHICLES - COST</v>
          </cell>
        </row>
        <row r="238">
          <cell r="M238" t="str">
            <v>6200/001Motor Vehicles - Cost B/fwd</v>
          </cell>
        </row>
        <row r="239">
          <cell r="M239" t="str">
            <v>6200/002Motor Vehicles - Additions</v>
          </cell>
        </row>
        <row r="240">
          <cell r="M240" t="str">
            <v>6200/003Motor Vehicles - Cost of sales</v>
          </cell>
        </row>
        <row r="241">
          <cell r="M241" t="str">
            <v>6200/020MOTOR VEHICLES - ACC DEPR</v>
          </cell>
        </row>
        <row r="242">
          <cell r="M242" t="str">
            <v>6200/021Motor vehicles - Acc depr b/fwd</v>
          </cell>
        </row>
        <row r="243">
          <cell r="M243" t="str">
            <v>6200/022Motor vehicles - Depr this year</v>
          </cell>
        </row>
        <row r="244">
          <cell r="M244" t="str">
            <v>6200/023Motor vehicles - Acc depr on sales</v>
          </cell>
        </row>
        <row r="245">
          <cell r="M245" t="str">
            <v>6250/000ELECTRONIC EQUIPMENT - COST</v>
          </cell>
        </row>
        <row r="246">
          <cell r="M246" t="str">
            <v>6250/001Electronic equipment - Cost b/fwd</v>
          </cell>
        </row>
        <row r="247">
          <cell r="M247" t="str">
            <v>6250/002Electronic equipment - Additions</v>
          </cell>
        </row>
        <row r="248">
          <cell r="M248" t="str">
            <v>6250/003Electronic equipment - Cost of sales</v>
          </cell>
        </row>
        <row r="249">
          <cell r="M249" t="str">
            <v>6250/020ELECTRONIC EQUIPMENT - ACC DEPR</v>
          </cell>
        </row>
        <row r="250">
          <cell r="M250" t="str">
            <v>6250/021Electronic equipment - Acc depr B/fwd</v>
          </cell>
        </row>
        <row r="251">
          <cell r="M251" t="str">
            <v>6250/022Electronic equipment - Depr this year</v>
          </cell>
        </row>
        <row r="252">
          <cell r="M252" t="str">
            <v>6250/023Electronic equipment - Acc depr on sales</v>
          </cell>
        </row>
        <row r="253">
          <cell r="M253" t="str">
            <v>6350/000FURNITURE &amp; FITTINGS - COST</v>
          </cell>
        </row>
        <row r="254">
          <cell r="M254" t="str">
            <v>6350/001Furniture &amp; fittings - Cost B/fwd</v>
          </cell>
        </row>
        <row r="255">
          <cell r="M255" t="str">
            <v>6350/002Furniture &amp; fittings - Additions</v>
          </cell>
        </row>
        <row r="256">
          <cell r="M256" t="str">
            <v>6350/003Furniture &amp; fittings - Cost of sales</v>
          </cell>
        </row>
        <row r="257">
          <cell r="M257" t="str">
            <v>6350/020FURNITURE &amp; FITTINGS - ACC DEPR</v>
          </cell>
        </row>
        <row r="258">
          <cell r="M258" t="str">
            <v>6350/021Furniture &amp; fittings - Acc depr B/fwd</v>
          </cell>
        </row>
        <row r="259">
          <cell r="M259" t="str">
            <v>6350/022Furniture &amp; fittings - Depr this year</v>
          </cell>
        </row>
        <row r="260">
          <cell r="M260" t="str">
            <v>6350/023Furniture &amp; fittings - Acc depr on sales</v>
          </cell>
        </row>
        <row r="261">
          <cell r="M261" t="str">
            <v>7000/000GOODWILL/INTANGIBLE ASSETS</v>
          </cell>
        </row>
        <row r="262">
          <cell r="M262" t="str">
            <v>7000/010Goodwill Cost</v>
          </cell>
        </row>
        <row r="263">
          <cell r="M263" t="str">
            <v>7000/011Prepaid lease agreement - Cost</v>
          </cell>
        </row>
        <row r="264">
          <cell r="M264" t="str">
            <v>7000/015PLA - surplus on revaluation</v>
          </cell>
        </row>
        <row r="265">
          <cell r="M265" t="str">
            <v>7000/020PLA - write down this year</v>
          </cell>
        </row>
        <row r="266">
          <cell r="M266" t="str">
            <v>7000/025PLA - write down previous years</v>
          </cell>
        </row>
        <row r="267">
          <cell r="M267" t="str">
            <v>7100/000INVESTMENTS</v>
          </cell>
        </row>
        <row r="268">
          <cell r="M268" t="str">
            <v>7100/100LISTED INVESTMENTS</v>
          </cell>
        </row>
        <row r="269">
          <cell r="M269" t="str">
            <v>7100/101Listed 1</v>
          </cell>
        </row>
        <row r="270">
          <cell r="M270" t="str">
            <v>7100/102Listed 2</v>
          </cell>
        </row>
        <row r="271">
          <cell r="M271" t="str">
            <v>7100/103Listed 3</v>
          </cell>
        </row>
        <row r="272">
          <cell r="M272" t="str">
            <v>7100/104Listed 4</v>
          </cell>
        </row>
        <row r="273">
          <cell r="M273" t="str">
            <v>7100/105Listed 5</v>
          </cell>
        </row>
        <row r="274">
          <cell r="M274" t="str">
            <v>7100/200OTHER INVESTMENTS</v>
          </cell>
        </row>
        <row r="275">
          <cell r="M275" t="str">
            <v>7100/201Other investments 1</v>
          </cell>
        </row>
        <row r="276">
          <cell r="M276" t="str">
            <v>7100/202Other investments 2</v>
          </cell>
        </row>
        <row r="277">
          <cell r="M277" t="str">
            <v>7100/203Other investments 3</v>
          </cell>
        </row>
        <row r="278">
          <cell r="M278" t="str">
            <v>7100/204Other investments 4</v>
          </cell>
        </row>
        <row r="279">
          <cell r="M279" t="str">
            <v>7100/205Other investments 5</v>
          </cell>
        </row>
        <row r="280">
          <cell r="M280" t="str">
            <v>7450/000CONNECTED COMPANIES</v>
          </cell>
        </row>
        <row r="281">
          <cell r="M281" t="str">
            <v>7450/000Interest bearing</v>
          </cell>
        </row>
        <row r="282">
          <cell r="M282" t="str">
            <v>7450/001Connected 1</v>
          </cell>
        </row>
        <row r="283">
          <cell r="M283" t="str">
            <v>7450/002Connected 2</v>
          </cell>
        </row>
        <row r="284">
          <cell r="M284" t="str">
            <v>7450/000Interest free</v>
          </cell>
        </row>
        <row r="285">
          <cell r="M285" t="str">
            <v>7450/003Connected 3</v>
          </cell>
        </row>
        <row r="286">
          <cell r="M286" t="str">
            <v>7450/004Connected 4</v>
          </cell>
        </row>
        <row r="287">
          <cell r="M287" t="str">
            <v>7450/005Connected 5</v>
          </cell>
        </row>
        <row r="288">
          <cell r="M288" t="str">
            <v>7460/000OTHER NON CURRENT RECEIVABLES</v>
          </cell>
        </row>
        <row r="289">
          <cell r="M289" t="str">
            <v>7460/000Interest bearing</v>
          </cell>
        </row>
        <row r="290">
          <cell r="M290" t="str">
            <v>7460/001Other non current 1</v>
          </cell>
        </row>
        <row r="291">
          <cell r="M291" t="str">
            <v>7460/002Other non current 2</v>
          </cell>
        </row>
        <row r="292">
          <cell r="M292" t="str">
            <v>7460/003Other non current 3</v>
          </cell>
        </row>
        <row r="293">
          <cell r="M293" t="str">
            <v>7460/000Interest free</v>
          </cell>
        </row>
        <row r="294">
          <cell r="M294" t="str">
            <v>7460/004Other non current 4</v>
          </cell>
        </row>
        <row r="295">
          <cell r="M295" t="str">
            <v>7460/005Other non current 5</v>
          </cell>
        </row>
        <row r="296">
          <cell r="M296" t="str">
            <v>7460/006Other non current 6</v>
          </cell>
        </row>
        <row r="297">
          <cell r="M297" t="str">
            <v>7460/007Other non current 7</v>
          </cell>
        </row>
        <row r="298">
          <cell r="M298" t="str">
            <v>7460/008Other non current 8</v>
          </cell>
        </row>
        <row r="299">
          <cell r="M299" t="str">
            <v>7500/000INVENTORY</v>
          </cell>
        </row>
        <row r="300">
          <cell r="M300" t="str">
            <v>7500/001Raw materials</v>
          </cell>
        </row>
        <row r="301">
          <cell r="M301" t="str">
            <v>7500/002Work in progress</v>
          </cell>
        </row>
        <row r="302">
          <cell r="M302" t="str">
            <v>7500/003Finished goods</v>
          </cell>
        </row>
        <row r="303">
          <cell r="M303" t="str">
            <v>7500/004Trading stock</v>
          </cell>
        </row>
        <row r="304">
          <cell r="M304" t="str">
            <v>8000/000DEBTORS</v>
          </cell>
        </row>
        <row r="305">
          <cell r="M305" t="str">
            <v>8010/000Trade debtors</v>
          </cell>
        </row>
        <row r="306">
          <cell r="M306" t="str">
            <v>8020/000Less: Provision For Doubtful Debts</v>
          </cell>
        </row>
        <row r="307">
          <cell r="M307" t="str">
            <v>8030/000Service deposits</v>
          </cell>
        </row>
        <row r="308">
          <cell r="M308" t="str">
            <v>8200/000Sundry Customers</v>
          </cell>
        </row>
        <row r="309">
          <cell r="M309" t="str">
            <v>8200/010Prepayments</v>
          </cell>
        </row>
        <row r="310">
          <cell r="M310" t="str">
            <v>8200/020Staff Loans</v>
          </cell>
        </row>
        <row r="311">
          <cell r="M311" t="str">
            <v>8400/000BANK ACCOUNTS</v>
          </cell>
        </row>
        <row r="312">
          <cell r="M312" t="str">
            <v>8410/000Bank account 1</v>
          </cell>
        </row>
        <row r="313">
          <cell r="M313" t="str">
            <v>8420/000Bank account 2</v>
          </cell>
        </row>
        <row r="314">
          <cell r="M314" t="str">
            <v>8430/000Bank account 3</v>
          </cell>
        </row>
        <row r="315">
          <cell r="M315" t="str">
            <v>8440/000Bank account 4</v>
          </cell>
        </row>
        <row r="316">
          <cell r="M316" t="str">
            <v>8450/000Bank account 5</v>
          </cell>
        </row>
        <row r="317">
          <cell r="M317" t="str">
            <v>8460/000Bank account 6</v>
          </cell>
        </row>
        <row r="318">
          <cell r="M318" t="str">
            <v>8500/000Cash on hand</v>
          </cell>
        </row>
        <row r="319">
          <cell r="M319" t="str">
            <v>8900/000SHORT TERM LOANS</v>
          </cell>
        </row>
        <row r="320">
          <cell r="M320" t="str">
            <v>8900/001Short term 1</v>
          </cell>
        </row>
        <row r="321">
          <cell r="M321" t="str">
            <v>8900/002Short term 2</v>
          </cell>
        </row>
        <row r="322">
          <cell r="M322" t="str">
            <v>8900/003Short term 3</v>
          </cell>
        </row>
        <row r="323">
          <cell r="M323" t="str">
            <v>8900/004Short term portion of long term loans</v>
          </cell>
        </row>
        <row r="324">
          <cell r="M324" t="str">
            <v>9000/000CREDITORS</v>
          </cell>
        </row>
        <row r="325">
          <cell r="M325" t="str">
            <v>9010/000Trade creditors</v>
          </cell>
        </row>
        <row r="326">
          <cell r="M326" t="str">
            <v>9200/000Sundry Suppliers</v>
          </cell>
        </row>
        <row r="327">
          <cell r="M327" t="str">
            <v>9200/010Audit fee accrual</v>
          </cell>
        </row>
        <row r="328">
          <cell r="M328" t="str">
            <v>9200/020Other Accruals</v>
          </cell>
        </row>
        <row r="329">
          <cell r="M329" t="str">
            <v>9250/000Salary &amp; Wages Control</v>
          </cell>
        </row>
        <row r="330">
          <cell r="M330" t="str">
            <v>9300/000TAXATION</v>
          </cell>
        </row>
        <row r="331">
          <cell r="M331" t="str">
            <v>9300/010Balance b/fwd</v>
          </cell>
        </row>
        <row r="332">
          <cell r="M332" t="str">
            <v>9300/020Tax provision this year</v>
          </cell>
        </row>
        <row r="333">
          <cell r="M333" t="str">
            <v>9300/030Over-/Underprovision previous year</v>
          </cell>
        </row>
        <row r="334">
          <cell r="M334" t="str">
            <v>9300/040Tax paid for previous year provisions</v>
          </cell>
        </row>
        <row r="335">
          <cell r="M335" t="str">
            <v>9300/0501st Provisional Paid</v>
          </cell>
        </row>
        <row r="336">
          <cell r="M336" t="str">
            <v>9300/0602nd Provisional Paid</v>
          </cell>
        </row>
        <row r="337">
          <cell r="M337" t="str">
            <v>9300/0703rd Provisional paid</v>
          </cell>
        </row>
        <row r="338">
          <cell r="M338" t="str">
            <v>9300/090Dividends tax Provision this year</v>
          </cell>
        </row>
        <row r="339">
          <cell r="M339" t="str">
            <v>9350/000Dividends Payable</v>
          </cell>
        </row>
        <row r="340">
          <cell r="M340" t="str">
            <v>9400/000Provision for Future Expenses</v>
          </cell>
        </row>
        <row r="341">
          <cell r="M341" t="str">
            <v>9400/010Provision for Insurance</v>
          </cell>
        </row>
        <row r="342">
          <cell r="M342" t="str">
            <v>9400/020Provision for Salary Bonus</v>
          </cell>
        </row>
        <row r="343">
          <cell r="M343" t="str">
            <v>9500/000VALUE ADDED TAX</v>
          </cell>
        </row>
        <row r="344">
          <cell r="M344" t="str">
            <v>9501/000VAT account</v>
          </cell>
        </row>
        <row r="345">
          <cell r="M345" t="str">
            <v>9510/000----------------------------------------</v>
          </cell>
        </row>
        <row r="346">
          <cell r="M346" t="str">
            <v>9990/000Suspense Account</v>
          </cell>
        </row>
      </sheetData>
      <sheetData sheetId="25"/>
      <sheetData sheetId="26">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2000/011www</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 - Rental Properties</v>
          </cell>
        </row>
        <row r="25">
          <cell r="M25" t="str">
            <v>2050/002</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R7,000</v>
          </cell>
        </row>
        <row r="37">
          <cell r="M37" t="str">
            <v>2100/020Consumables</v>
          </cell>
        </row>
        <row r="38">
          <cell r="M38" t="str">
            <v>2100/030Depreciation--------------------------------------------------</v>
          </cell>
        </row>
        <row r="39">
          <cell r="M39" t="str">
            <v>2100/031Depr - Land &amp; buildings</v>
          </cell>
        </row>
        <row r="40">
          <cell r="M40" t="str">
            <v>2100/032Depr - Plant &amp;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v>
          </cell>
        </row>
        <row r="67">
          <cell r="M67" t="str">
            <v>2150/001</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3000/055Consulting and Professional fees</v>
          </cell>
        </row>
        <row r="100">
          <cell r="M100" t="str">
            <v>3000/060Depreciation----------------------------</v>
          </cell>
        </row>
        <row r="101">
          <cell r="M101" t="str">
            <v>3000/061Depr - Electronic equipment</v>
          </cell>
        </row>
        <row r="102">
          <cell r="M102" t="str">
            <v>3000/063Depr - Furniture &amp; Fittings</v>
          </cell>
        </row>
        <row r="103">
          <cell r="M103" t="str">
            <v>3000/070Directors' remuneration-----------------</v>
          </cell>
        </row>
        <row r="104">
          <cell r="M104" t="str">
            <v>3000/0710</v>
          </cell>
        </row>
        <row r="105">
          <cell r="M105" t="str">
            <v>3000/0720</v>
          </cell>
        </row>
        <row r="106">
          <cell r="M106" t="str">
            <v>3000/0730</v>
          </cell>
        </row>
        <row r="107">
          <cell r="M107" t="str">
            <v>3000/0740</v>
          </cell>
        </row>
        <row r="108">
          <cell r="M108" t="str">
            <v>3000/0750</v>
          </cell>
        </row>
        <row r="109">
          <cell r="M109" t="str">
            <v>3000/080Donations</v>
          </cell>
        </row>
        <row r="110">
          <cell r="M110" t="str">
            <v>3000/090Entertainment expenses</v>
          </cell>
        </row>
        <row r="111">
          <cell r="M111" t="str">
            <v>3000/095Fines</v>
          </cell>
        </row>
        <row r="112">
          <cell r="M112" t="str">
            <v>3000/100General expenses</v>
          </cell>
        </row>
        <row r="113">
          <cell r="M113" t="str">
            <v>3000/110Legal expenses - Tax deductible</v>
          </cell>
        </row>
        <row r="114">
          <cell r="M114" t="str">
            <v>3000/111Legal expenses - Non deductible</v>
          </cell>
        </row>
        <row r="115">
          <cell r="M115" t="str">
            <v>3000/120Printing and stationary</v>
          </cell>
        </row>
        <row r="116">
          <cell r="M116" t="str">
            <v>3000/130Refreshments</v>
          </cell>
        </row>
        <row r="117">
          <cell r="M117" t="str">
            <v>3000/140Salaries</v>
          </cell>
        </row>
        <row r="118">
          <cell r="M118" t="str">
            <v>3000/141Casual wages</v>
          </cell>
        </row>
        <row r="119">
          <cell r="M119" t="str">
            <v>3000/150Security</v>
          </cell>
        </row>
        <row r="120">
          <cell r="M120" t="str">
            <v>3000/160Subscriptions and Membership fees</v>
          </cell>
        </row>
        <row r="121">
          <cell r="M121" t="str">
            <v>3000/170Penalties &amp; Interest - SARS</v>
          </cell>
        </row>
        <row r="122">
          <cell r="M122" t="str">
            <v>3000/180Levies</v>
          </cell>
        </row>
        <row r="123">
          <cell r="M123" t="str">
            <v>3000/190</v>
          </cell>
        </row>
        <row r="124">
          <cell r="M124" t="str">
            <v>3000/200</v>
          </cell>
        </row>
        <row r="125">
          <cell r="M125" t="str">
            <v>3000/210</v>
          </cell>
        </row>
        <row r="126">
          <cell r="M126" t="str">
            <v>3000/220</v>
          </cell>
        </row>
        <row r="127">
          <cell r="M127" t="str">
            <v>3000/230</v>
          </cell>
        </row>
        <row r="128">
          <cell r="M128" t="str">
            <v>3000/240</v>
          </cell>
        </row>
        <row r="129">
          <cell r="M129" t="str">
            <v>3000/250</v>
          </cell>
        </row>
        <row r="130">
          <cell r="M130" t="str">
            <v>3000/260</v>
          </cell>
        </row>
        <row r="131">
          <cell r="M131" t="str">
            <v>3000/270Amortisation of prepaid lease agreement</v>
          </cell>
        </row>
        <row r="132">
          <cell r="M132" t="str">
            <v>4210/000Pft/Loss on foreign exchange</v>
          </cell>
        </row>
        <row r="133">
          <cell r="M133" t="str">
            <v>4700/000FINANCE COSTS</v>
          </cell>
        </row>
        <row r="134">
          <cell r="M134" t="str">
            <v>4700/010Interest paid---------------------------</v>
          </cell>
        </row>
        <row r="135">
          <cell r="M135" t="str">
            <v>4700/011</v>
          </cell>
        </row>
        <row r="136">
          <cell r="M136" t="str">
            <v>4700/012</v>
          </cell>
        </row>
        <row r="137">
          <cell r="M137" t="str">
            <v>4700/013</v>
          </cell>
        </row>
        <row r="138">
          <cell r="M138" t="str">
            <v>4700/014</v>
          </cell>
        </row>
        <row r="139">
          <cell r="M139" t="str">
            <v>4700/015</v>
          </cell>
        </row>
        <row r="140">
          <cell r="M140" t="str">
            <v>4700/016</v>
          </cell>
        </row>
        <row r="141">
          <cell r="M141" t="str">
            <v>4700/017</v>
          </cell>
        </row>
        <row r="142">
          <cell r="M142" t="str">
            <v>4700/018</v>
          </cell>
        </row>
        <row r="143">
          <cell r="M143" t="str">
            <v>4700/019</v>
          </cell>
        </row>
        <row r="144">
          <cell r="M144" t="str">
            <v>4700/020</v>
          </cell>
        </row>
        <row r="145">
          <cell r="M145" t="str">
            <v>4700/021Hire purchase interest</v>
          </cell>
        </row>
        <row r="146">
          <cell r="M146" t="str">
            <v>4750/000OTHER</v>
          </cell>
        </row>
        <row r="147">
          <cell r="M147" t="str">
            <v>4750/010Loss on Revaluation of Investments</v>
          </cell>
        </row>
        <row r="148">
          <cell r="M148" t="str">
            <v>4800/000NORMAL TAXATION</v>
          </cell>
        </row>
        <row r="149">
          <cell r="M149" t="str">
            <v>4800/001Tax provided this year</v>
          </cell>
        </row>
        <row r="150">
          <cell r="M150" t="str">
            <v>4800/002Tax adjustment previous year</v>
          </cell>
        </row>
        <row r="151">
          <cell r="M151" t="str">
            <v>4820/000DEFERRED TAX</v>
          </cell>
        </row>
        <row r="152">
          <cell r="M152" t="str">
            <v>4820/001Deferred tax this year</v>
          </cell>
        </row>
        <row r="153">
          <cell r="M153" t="str">
            <v>4820/002Deferred tax adjustment previous year</v>
          </cell>
        </row>
        <row r="154">
          <cell r="M154" t="str">
            <v>4850/000Dividends Declared</v>
          </cell>
        </row>
        <row r="155">
          <cell r="M155" t="str">
            <v>4860/000Dividends paid</v>
          </cell>
        </row>
        <row r="159">
          <cell r="M159" t="str">
            <v>5100/000SHARE CAPITAL</v>
          </cell>
        </row>
        <row r="160">
          <cell r="M160" t="str">
            <v>5100/001Share Capital - Balance b/fwd</v>
          </cell>
        </row>
        <row r="161">
          <cell r="M161" t="str">
            <v>5100/002Share Capital - Additions</v>
          </cell>
        </row>
        <row r="162">
          <cell r="M162" t="str">
            <v>5110/000SHARE PREMIUM</v>
          </cell>
        </row>
        <row r="163">
          <cell r="M163" t="str">
            <v>5110/001Share premium - Balance b/fwd</v>
          </cell>
        </row>
        <row r="164">
          <cell r="M164" t="str">
            <v>5110/002Share premium - Additions</v>
          </cell>
        </row>
        <row r="165">
          <cell r="M165" t="str">
            <v>5110/003Share premium - transfer</v>
          </cell>
        </row>
        <row r="166">
          <cell r="M166" t="str">
            <v>5120/000VALUATION RESERVE</v>
          </cell>
        </row>
        <row r="167">
          <cell r="M167" t="str">
            <v>5120/001Valuation reserve - Balance b/fwd</v>
          </cell>
        </row>
        <row r="168">
          <cell r="M168" t="str">
            <v>5120/002Valuation reserve - Additions</v>
          </cell>
        </row>
        <row r="169">
          <cell r="M169" t="str">
            <v>5120/003Valuation reserve - transfer to p/l</v>
          </cell>
        </row>
        <row r="170">
          <cell r="M170" t="str">
            <v>5130/000OTHER RESERVES</v>
          </cell>
        </row>
        <row r="171">
          <cell r="M171" t="str">
            <v>5130/001Other reserves - Balance B/fwd</v>
          </cell>
        </row>
        <row r="172">
          <cell r="M172" t="str">
            <v>5130/002Other reserves - Additions</v>
          </cell>
        </row>
        <row r="173">
          <cell r="M173" t="str">
            <v>5130/003Other reserves - transfer</v>
          </cell>
        </row>
        <row r="174">
          <cell r="M174" t="str">
            <v>5200/000(Retained Income) / Accumulated Loss</v>
          </cell>
        </row>
        <row r="175">
          <cell r="M175" t="str">
            <v>5500/000LONG TERM  INTEREST LIABILITIES</v>
          </cell>
        </row>
        <row r="176">
          <cell r="M176" t="str">
            <v>5500/001Bond 1</v>
          </cell>
        </row>
        <row r="177">
          <cell r="M177" t="str">
            <v>5500/002Bond 2</v>
          </cell>
        </row>
        <row r="178">
          <cell r="M178" t="str">
            <v>5500/003Bond 3</v>
          </cell>
        </row>
        <row r="179">
          <cell r="M179" t="str">
            <v>5500/004HP 1</v>
          </cell>
        </row>
        <row r="180">
          <cell r="M180" t="str">
            <v>5500/005HP 2</v>
          </cell>
        </row>
        <row r="181">
          <cell r="M181" t="str">
            <v>5500/0060</v>
          </cell>
        </row>
        <row r="182">
          <cell r="M182" t="str">
            <v>5500/0070</v>
          </cell>
        </row>
        <row r="183">
          <cell r="M183" t="str">
            <v>5500/0080</v>
          </cell>
        </row>
        <row r="184">
          <cell r="M184" t="str">
            <v>5500/0090</v>
          </cell>
        </row>
        <row r="185">
          <cell r="M185" t="str">
            <v>5500/0100</v>
          </cell>
        </row>
        <row r="186">
          <cell r="M186" t="str">
            <v>5500/0110</v>
          </cell>
        </row>
        <row r="187">
          <cell r="M187" t="str">
            <v>5500/0120</v>
          </cell>
        </row>
        <row r="188">
          <cell r="M188" t="str">
            <v>5500/0130</v>
          </cell>
        </row>
        <row r="189">
          <cell r="M189" t="str">
            <v>5500/0140</v>
          </cell>
        </row>
        <row r="190">
          <cell r="M190" t="str">
            <v>5500/0150</v>
          </cell>
        </row>
        <row r="191">
          <cell r="M191" t="str">
            <v>5520/000Short term portion of long term loans</v>
          </cell>
        </row>
        <row r="192">
          <cell r="M192" t="str">
            <v>5550/000LONG TERM INTEREST FREE LOANS</v>
          </cell>
        </row>
        <row r="193">
          <cell r="M193" t="str">
            <v>5550/001Interest free 1</v>
          </cell>
        </row>
        <row r="194">
          <cell r="M194" t="str">
            <v>5550/002Interest free 2</v>
          </cell>
        </row>
        <row r="195">
          <cell r="M195" t="str">
            <v>5550/003Interest free 3</v>
          </cell>
        </row>
        <row r="196">
          <cell r="M196" t="str">
            <v>5550/004Interest free 4</v>
          </cell>
        </row>
        <row r="197">
          <cell r="M197" t="str">
            <v>5550/005Interest free 5</v>
          </cell>
        </row>
        <row r="198">
          <cell r="M198" t="str">
            <v>5550/006Interest free 6</v>
          </cell>
        </row>
        <row r="199">
          <cell r="M199" t="str">
            <v>5550/007Interest free 7</v>
          </cell>
        </row>
        <row r="200">
          <cell r="M200" t="str">
            <v>5550/008Interest free 8</v>
          </cell>
        </row>
        <row r="201">
          <cell r="M201" t="str">
            <v>5550/009Interest free 9</v>
          </cell>
        </row>
        <row r="202">
          <cell r="M202" t="str">
            <v>5550/010Interest free 10</v>
          </cell>
        </row>
        <row r="203">
          <cell r="M203" t="str">
            <v>5550/011Interest free 11</v>
          </cell>
        </row>
        <row r="204">
          <cell r="M204" t="str">
            <v>5550/012Interest free 12</v>
          </cell>
        </row>
        <row r="205">
          <cell r="M205" t="str">
            <v>5550/013Interest free 13</v>
          </cell>
        </row>
        <row r="206">
          <cell r="M206" t="str">
            <v>5550/014Interest free 14</v>
          </cell>
        </row>
        <row r="207">
          <cell r="M207" t="str">
            <v>5550/015Interest free 15</v>
          </cell>
        </row>
        <row r="208">
          <cell r="M208" t="str">
            <v>5550/016Interest free 16</v>
          </cell>
        </row>
        <row r="209">
          <cell r="M209" t="str">
            <v>5550/017Interest free 17</v>
          </cell>
        </row>
        <row r="210">
          <cell r="M210" t="str">
            <v>5700/000DEFERRED TAX</v>
          </cell>
        </row>
        <row r="211">
          <cell r="M211" t="str">
            <v>5700/010Deferred tax balance  depreciation b/fwd</v>
          </cell>
        </row>
        <row r="212">
          <cell r="M212" t="str">
            <v>5700/020Deferred tax balance  tax loss b/fwd</v>
          </cell>
        </row>
        <row r="213">
          <cell r="M213" t="str">
            <v>5700/030Deferred tax on depreciation for year</v>
          </cell>
        </row>
        <row r="214">
          <cell r="M214" t="str">
            <v>5700/040Deferred tax on tax loss for year</v>
          </cell>
        </row>
        <row r="215">
          <cell r="M215" t="str">
            <v>5700/050Def tax adj  depreciation previous year</v>
          </cell>
        </row>
        <row r="216">
          <cell r="M216" t="str">
            <v>5700/060Def tax adj tax loss previous year</v>
          </cell>
        </row>
        <row r="217">
          <cell r="M217" t="str">
            <v>6100/000LAND &amp; BUILDINGS - COST</v>
          </cell>
        </row>
        <row r="218">
          <cell r="M218" t="str">
            <v>6100/001Land_Buildings - Cost B/fwd</v>
          </cell>
        </row>
        <row r="219">
          <cell r="M219" t="str">
            <v>6100/002Land_Buildings - Additions</v>
          </cell>
        </row>
        <row r="220">
          <cell r="M220" t="str">
            <v>6100/003Land_Buildings - Cost of sales</v>
          </cell>
        </row>
        <row r="221">
          <cell r="M221" t="str">
            <v>6100/020LAND &amp; BUILDINGS - ACC DEPR</v>
          </cell>
        </row>
        <row r="222">
          <cell r="M222" t="str">
            <v>6100/021Land &amp; Buildings - Acc depr B/fwd</v>
          </cell>
        </row>
        <row r="223">
          <cell r="M223" t="str">
            <v>6100/022Land &amp; Buildings - Acc depr this year</v>
          </cell>
        </row>
        <row r="224">
          <cell r="M224" t="str">
            <v>6100/023Land &amp; Buildings - Acc depr on sales</v>
          </cell>
        </row>
        <row r="225">
          <cell r="M225" t="str">
            <v>6100/030LAND &amp; BUILDINGS - VALUATION</v>
          </cell>
        </row>
        <row r="226">
          <cell r="M226" t="str">
            <v>6100/031Land_Buildings - Valuation B/fwd</v>
          </cell>
        </row>
        <row r="227">
          <cell r="M227" t="str">
            <v>6100/032Land_Buildings - Valuation additions</v>
          </cell>
        </row>
        <row r="228">
          <cell r="M228" t="str">
            <v>6100/033Land_Buildings - Valuation reduction</v>
          </cell>
        </row>
        <row r="229">
          <cell r="M229" t="str">
            <v>6150/000PLANT &amp; MACHINERY - COST</v>
          </cell>
        </row>
        <row r="230">
          <cell r="M230" t="str">
            <v>6150/001Plant &amp; machinery - cost b/fwd</v>
          </cell>
        </row>
        <row r="231">
          <cell r="M231" t="str">
            <v>6150/002Plant &amp; machinery - Additions</v>
          </cell>
        </row>
        <row r="232">
          <cell r="M232" t="str">
            <v>6150/003Plant &amp; machinery - Cost of sales</v>
          </cell>
        </row>
        <row r="233">
          <cell r="M233" t="str">
            <v>6150/020PLANT &amp; MACHINERY - ACC DEPR</v>
          </cell>
        </row>
        <row r="234">
          <cell r="M234" t="str">
            <v>6150/021Plant &amp; Machinery - Acc depr b/fwd</v>
          </cell>
        </row>
        <row r="235">
          <cell r="M235" t="str">
            <v>6150/022Plant &amp; machinery - depr this year</v>
          </cell>
        </row>
        <row r="236">
          <cell r="M236" t="str">
            <v>6150/023Plant &amp; machinery - acc depr on sales</v>
          </cell>
        </row>
        <row r="237">
          <cell r="M237" t="str">
            <v>6200/000MOTOR VEHICLES - COST</v>
          </cell>
        </row>
        <row r="238">
          <cell r="M238" t="str">
            <v>6200/001Motor Vehicles - Cost B/fwd</v>
          </cell>
        </row>
        <row r="239">
          <cell r="M239" t="str">
            <v>6200/002Motor Vehicles - Additions</v>
          </cell>
        </row>
        <row r="240">
          <cell r="M240" t="str">
            <v>6200/003Motor Vehicles - Cost of sales</v>
          </cell>
        </row>
        <row r="241">
          <cell r="M241" t="str">
            <v>6200/020MOTOR VEHICLES - ACC DEPR</v>
          </cell>
        </row>
        <row r="242">
          <cell r="M242" t="str">
            <v>6200/021Motor vehicles - Acc depr b/fwd</v>
          </cell>
        </row>
        <row r="243">
          <cell r="M243" t="str">
            <v>6200/022Motor vehicles - Depr this year</v>
          </cell>
        </row>
        <row r="244">
          <cell r="M244" t="str">
            <v>6200/023Motor vehicles - Acc depr on sales</v>
          </cell>
        </row>
        <row r="245">
          <cell r="M245" t="str">
            <v>6250/000ELECTRONIC EQUIPMENT - COST</v>
          </cell>
        </row>
        <row r="246">
          <cell r="M246" t="str">
            <v>6250/001Electronic equipment - Cost b/fwd</v>
          </cell>
        </row>
        <row r="247">
          <cell r="M247" t="str">
            <v>6250/002Electronic equipment - Additions</v>
          </cell>
        </row>
        <row r="248">
          <cell r="M248" t="str">
            <v>6250/003Electronic equipment - Cost of sales</v>
          </cell>
        </row>
        <row r="249">
          <cell r="M249" t="str">
            <v>6250/020ELECTRONIC EQUIPMENT - ACC DEPR</v>
          </cell>
        </row>
        <row r="250">
          <cell r="M250" t="str">
            <v>6250/021Electronic equipment - Acc depr B/fwd</v>
          </cell>
        </row>
        <row r="251">
          <cell r="M251" t="str">
            <v>6250/022Electronic equipment - Depr this year</v>
          </cell>
        </row>
        <row r="252">
          <cell r="M252" t="str">
            <v>6250/023Electronic equipment - Acc depr on sales</v>
          </cell>
        </row>
        <row r="253">
          <cell r="M253" t="str">
            <v>6350/000FURNITURE &amp; FITTINGS - COST</v>
          </cell>
        </row>
        <row r="254">
          <cell r="M254" t="str">
            <v>6350/001Furniture &amp; fittings - Cost B/fwd</v>
          </cell>
        </row>
        <row r="255">
          <cell r="M255" t="str">
            <v>6350/002Furniture &amp; fittings - Additions</v>
          </cell>
        </row>
        <row r="256">
          <cell r="M256" t="str">
            <v>6350/003Furniture &amp; fittings - Cost of sales</v>
          </cell>
        </row>
        <row r="257">
          <cell r="M257" t="str">
            <v>6350/020FURNITURE &amp; FITTINGS - ACC DEPR</v>
          </cell>
        </row>
        <row r="258">
          <cell r="M258" t="str">
            <v>6350/021Furniture &amp; fittings - Acc depr B/fwd</v>
          </cell>
        </row>
        <row r="259">
          <cell r="M259" t="str">
            <v>6350/022Furniture &amp; fittings - Depr this year</v>
          </cell>
        </row>
        <row r="260">
          <cell r="M260" t="str">
            <v>6350/023Furniture &amp; fittings - Acc depr on sales</v>
          </cell>
        </row>
        <row r="261">
          <cell r="M261" t="str">
            <v>7000/000GOODWILL/INTANGIBLE ASSETS</v>
          </cell>
        </row>
        <row r="262">
          <cell r="M262" t="str">
            <v>7000/010Goodwill Cost</v>
          </cell>
        </row>
        <row r="263">
          <cell r="M263" t="str">
            <v>7000/011Prepaid lease agreement - Cost</v>
          </cell>
        </row>
        <row r="264">
          <cell r="M264" t="str">
            <v>7000/015PLA - surplus on revaluation</v>
          </cell>
        </row>
        <row r="265">
          <cell r="M265" t="str">
            <v>7000/020PLA - write down this year</v>
          </cell>
        </row>
        <row r="266">
          <cell r="M266" t="str">
            <v>7000/025PLA - write down previous years</v>
          </cell>
        </row>
        <row r="267">
          <cell r="M267" t="str">
            <v>7100/000INVESTMENTS</v>
          </cell>
        </row>
        <row r="268">
          <cell r="M268" t="str">
            <v>7100/100LISTED INVESTMENTS</v>
          </cell>
        </row>
        <row r="269">
          <cell r="M269" t="str">
            <v>7100/101Listed 1</v>
          </cell>
        </row>
        <row r="270">
          <cell r="M270" t="str">
            <v>7100/102Listed 2</v>
          </cell>
        </row>
        <row r="271">
          <cell r="M271" t="str">
            <v>7100/103Listed 3</v>
          </cell>
        </row>
        <row r="272">
          <cell r="M272" t="str">
            <v>7100/104Listed 4</v>
          </cell>
        </row>
        <row r="273">
          <cell r="M273" t="str">
            <v>7100/105Listed 5</v>
          </cell>
        </row>
        <row r="274">
          <cell r="M274" t="str">
            <v>7100/200OTHER INVESTMENTS</v>
          </cell>
        </row>
        <row r="275">
          <cell r="M275" t="str">
            <v>7100/201Other investments 1</v>
          </cell>
        </row>
        <row r="276">
          <cell r="M276" t="str">
            <v>7100/202Other investments 2</v>
          </cell>
        </row>
        <row r="277">
          <cell r="M277" t="str">
            <v>7100/203Other investments 3</v>
          </cell>
        </row>
        <row r="278">
          <cell r="M278" t="str">
            <v>7100/204Other investments 4</v>
          </cell>
        </row>
        <row r="279">
          <cell r="M279" t="str">
            <v>7100/205Other investments 5</v>
          </cell>
        </row>
        <row r="280">
          <cell r="M280" t="str">
            <v>7450/000CONNECTED COMPANIES</v>
          </cell>
        </row>
        <row r="281">
          <cell r="M281" t="str">
            <v>7450/000Interest bearing</v>
          </cell>
        </row>
        <row r="282">
          <cell r="M282" t="str">
            <v>7450/001Connected 1</v>
          </cell>
        </row>
        <row r="283">
          <cell r="M283" t="str">
            <v>7450/002Connected 2</v>
          </cell>
        </row>
        <row r="284">
          <cell r="M284" t="str">
            <v>7450/000Interest free</v>
          </cell>
        </row>
        <row r="285">
          <cell r="M285" t="str">
            <v>7450/003Connected 3</v>
          </cell>
        </row>
        <row r="286">
          <cell r="M286" t="str">
            <v>7450/004Connected 4</v>
          </cell>
        </row>
        <row r="287">
          <cell r="M287" t="str">
            <v>7450/005Connected 5</v>
          </cell>
        </row>
        <row r="288">
          <cell r="M288" t="str">
            <v>7460/000OTHER NON CURRENT RECEIVABLES</v>
          </cell>
        </row>
        <row r="289">
          <cell r="M289" t="str">
            <v>Interest bearing</v>
          </cell>
        </row>
        <row r="290">
          <cell r="M290" t="str">
            <v>7460/001Other non current 1</v>
          </cell>
        </row>
        <row r="291">
          <cell r="M291" t="str">
            <v>7460/002Other non current 2</v>
          </cell>
        </row>
        <row r="292">
          <cell r="M292" t="str">
            <v>7460/003Other non current 3</v>
          </cell>
        </row>
        <row r="293">
          <cell r="M293" t="str">
            <v>Interest free</v>
          </cell>
        </row>
        <row r="294">
          <cell r="M294" t="str">
            <v>7460/004Other non current 4</v>
          </cell>
        </row>
        <row r="295">
          <cell r="M295" t="str">
            <v>7460/005Other non current 5</v>
          </cell>
        </row>
        <row r="296">
          <cell r="M296" t="str">
            <v>7460/006Other non current 6</v>
          </cell>
        </row>
        <row r="297">
          <cell r="M297" t="str">
            <v>7460/007Other non current 7</v>
          </cell>
        </row>
        <row r="298">
          <cell r="M298" t="str">
            <v>7460/008Other non current 8</v>
          </cell>
        </row>
        <row r="299">
          <cell r="M299" t="str">
            <v>7500/000INVENTORY</v>
          </cell>
        </row>
        <row r="300">
          <cell r="M300" t="str">
            <v>7500/001Raw materials</v>
          </cell>
        </row>
        <row r="301">
          <cell r="M301" t="str">
            <v>7500/002Work in progress</v>
          </cell>
        </row>
        <row r="302">
          <cell r="M302" t="str">
            <v>7500/003Finished goods</v>
          </cell>
        </row>
        <row r="303">
          <cell r="M303" t="str">
            <v>7500/004Trading stock</v>
          </cell>
        </row>
        <row r="304">
          <cell r="M304" t="str">
            <v>8000/000DEBTORS</v>
          </cell>
        </row>
        <row r="305">
          <cell r="M305" t="str">
            <v>8010/000Trade debtors</v>
          </cell>
        </row>
        <row r="306">
          <cell r="M306" t="str">
            <v>8020/000Less: Provision For Doubtful Debts</v>
          </cell>
        </row>
        <row r="307">
          <cell r="M307" t="str">
            <v>8030/000Service deposits</v>
          </cell>
        </row>
        <row r="308">
          <cell r="M308" t="str">
            <v>8200/000Sundry Customers</v>
          </cell>
        </row>
        <row r="309">
          <cell r="M309" t="str">
            <v>8200/010Prepayments</v>
          </cell>
        </row>
        <row r="310">
          <cell r="M310" t="str">
            <v>8200/020Staff Loans</v>
          </cell>
        </row>
        <row r="311">
          <cell r="M311" t="str">
            <v>8400/000BANK ACCOUNTS</v>
          </cell>
        </row>
        <row r="312">
          <cell r="M312" t="str">
            <v>8410/000Bank account 1</v>
          </cell>
        </row>
        <row r="313">
          <cell r="M313" t="str">
            <v>8420/000Bank account 2</v>
          </cell>
        </row>
        <row r="314">
          <cell r="M314" t="str">
            <v>8430/000Bank account 3</v>
          </cell>
        </row>
        <row r="315">
          <cell r="M315" t="str">
            <v>8440/000Bank account 4</v>
          </cell>
        </row>
        <row r="316">
          <cell r="M316" t="str">
            <v>8450/000Bank account 5</v>
          </cell>
        </row>
        <row r="317">
          <cell r="M317" t="str">
            <v>8460/000Bank account 6</v>
          </cell>
        </row>
        <row r="318">
          <cell r="M318" t="str">
            <v>8500/000Cash on hand</v>
          </cell>
        </row>
        <row r="319">
          <cell r="M319" t="str">
            <v>8900/000SHORT TERM LOANS</v>
          </cell>
        </row>
        <row r="320">
          <cell r="M320" t="str">
            <v>8900/001Short term 1</v>
          </cell>
        </row>
        <row r="321">
          <cell r="M321" t="str">
            <v>8900/002Short term 2</v>
          </cell>
        </row>
        <row r="322">
          <cell r="M322" t="str">
            <v>8900/003Short term 3</v>
          </cell>
        </row>
        <row r="323">
          <cell r="M323" t="str">
            <v>8900/004Short term portion of long term loans</v>
          </cell>
        </row>
        <row r="324">
          <cell r="M324" t="str">
            <v>9000/000CREDITORS</v>
          </cell>
        </row>
        <row r="325">
          <cell r="M325" t="str">
            <v>9010/000Trade creditors</v>
          </cell>
        </row>
        <row r="326">
          <cell r="M326" t="str">
            <v>9200/000Sundry Suppliers</v>
          </cell>
        </row>
        <row r="327">
          <cell r="M327" t="str">
            <v>9200/010Audit fee accrual</v>
          </cell>
        </row>
        <row r="328">
          <cell r="M328" t="str">
            <v>9200/020Other Accruals</v>
          </cell>
        </row>
        <row r="329">
          <cell r="M329" t="str">
            <v>9250/000Salary &amp; Wages Control</v>
          </cell>
        </row>
        <row r="330">
          <cell r="M330" t="str">
            <v>9300/000TAXATION</v>
          </cell>
        </row>
        <row r="331">
          <cell r="M331" t="str">
            <v>9300/010Balance b/fwd</v>
          </cell>
        </row>
        <row r="332">
          <cell r="M332" t="str">
            <v>9300/020Tax provision this year</v>
          </cell>
        </row>
        <row r="333">
          <cell r="M333" t="str">
            <v>9300/030Over-/Underprovision previous year</v>
          </cell>
        </row>
        <row r="334">
          <cell r="M334" t="str">
            <v>9300/040Tax paid for previous year provisions</v>
          </cell>
        </row>
        <row r="335">
          <cell r="M335" t="str">
            <v>9300/0501st Provisional Paid</v>
          </cell>
        </row>
        <row r="336">
          <cell r="M336" t="str">
            <v>9300/0602nd Provisional Paid</v>
          </cell>
        </row>
        <row r="337">
          <cell r="M337" t="str">
            <v>9300/0703rd Provisional paid</v>
          </cell>
        </row>
        <row r="338">
          <cell r="M338" t="str">
            <v>9300/090Dividends tax Provision this year</v>
          </cell>
        </row>
        <row r="339">
          <cell r="M339" t="str">
            <v>9350/000Dividends Payable</v>
          </cell>
        </row>
        <row r="340">
          <cell r="M340" t="str">
            <v>9400/000Provision for Future Expenses</v>
          </cell>
        </row>
        <row r="341">
          <cell r="M341" t="str">
            <v>9400/010Provision for Insurance</v>
          </cell>
        </row>
        <row r="342">
          <cell r="M342" t="str">
            <v>9400/020Provision for Salary Bonus</v>
          </cell>
        </row>
        <row r="343">
          <cell r="M343" t="str">
            <v>9500/000VALUE ADDED TAX</v>
          </cell>
        </row>
        <row r="344">
          <cell r="M344" t="str">
            <v>9501/000VAT account</v>
          </cell>
        </row>
        <row r="345">
          <cell r="M345" t="str">
            <v>9510/000----------------------------------------</v>
          </cell>
        </row>
        <row r="346">
          <cell r="M346" t="str">
            <v>9990/000Suspense Account</v>
          </cell>
        </row>
      </sheetData>
      <sheetData sheetId="27"/>
      <sheetData sheetId="28">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2000/011ccc</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 - 0</v>
          </cell>
        </row>
        <row r="25">
          <cell r="M25" t="str">
            <v>2050/002</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R7,000</v>
          </cell>
        </row>
        <row r="37">
          <cell r="M37" t="str">
            <v>2100/020Consumables</v>
          </cell>
        </row>
        <row r="38">
          <cell r="M38" t="str">
            <v>2100/030Depreciation--------------------------------------------------</v>
          </cell>
        </row>
        <row r="39">
          <cell r="M39" t="str">
            <v>2100/031Depr - Land &amp; buildings</v>
          </cell>
        </row>
        <row r="40">
          <cell r="M40" t="str">
            <v>2100/032Depr - Plant &amp;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v>
          </cell>
        </row>
        <row r="67">
          <cell r="M67" t="str">
            <v>2150/001</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3000/055Consulting and Professional fees</v>
          </cell>
        </row>
        <row r="100">
          <cell r="M100" t="str">
            <v>3000/060Depreciation----------------------------</v>
          </cell>
        </row>
        <row r="101">
          <cell r="M101" t="str">
            <v>3000/061Depr - Electronic equipment</v>
          </cell>
        </row>
        <row r="102">
          <cell r="M102" t="str">
            <v>3000/063Depr - Furniture &amp; Fittings</v>
          </cell>
        </row>
        <row r="103">
          <cell r="M103" t="str">
            <v>3000/070Directors' remuneration-----------------</v>
          </cell>
        </row>
        <row r="104">
          <cell r="M104" t="str">
            <v>3000/0710</v>
          </cell>
        </row>
        <row r="105">
          <cell r="M105" t="str">
            <v>3000/0720</v>
          </cell>
        </row>
        <row r="106">
          <cell r="M106" t="str">
            <v>3000/0730</v>
          </cell>
        </row>
        <row r="107">
          <cell r="M107" t="str">
            <v>3000/0740</v>
          </cell>
        </row>
        <row r="108">
          <cell r="M108" t="str">
            <v>3000/0750</v>
          </cell>
        </row>
        <row r="109">
          <cell r="M109" t="str">
            <v>3000/080Donations</v>
          </cell>
        </row>
        <row r="110">
          <cell r="M110" t="str">
            <v>3000/090Entertainment expenses</v>
          </cell>
        </row>
        <row r="111">
          <cell r="M111" t="str">
            <v>3000/095Fines</v>
          </cell>
        </row>
        <row r="112">
          <cell r="M112" t="str">
            <v>3000/100General expenses</v>
          </cell>
        </row>
        <row r="113">
          <cell r="M113" t="str">
            <v>3000/110Legal expenses - Tax deductible</v>
          </cell>
        </row>
        <row r="114">
          <cell r="M114" t="str">
            <v>3000/111Legal expenses - Non deductible</v>
          </cell>
        </row>
        <row r="115">
          <cell r="M115" t="str">
            <v>3000/120Printing and stationary</v>
          </cell>
        </row>
        <row r="116">
          <cell r="M116" t="str">
            <v>3000/130Refreshments</v>
          </cell>
        </row>
        <row r="117">
          <cell r="M117" t="str">
            <v>3000/140Salaries</v>
          </cell>
        </row>
        <row r="118">
          <cell r="M118" t="str">
            <v>3000/141Casual wages</v>
          </cell>
        </row>
        <row r="119">
          <cell r="M119" t="str">
            <v>3000/150Security</v>
          </cell>
        </row>
        <row r="120">
          <cell r="M120" t="str">
            <v>3000/160Subscriptions and Membership fees</v>
          </cell>
        </row>
        <row r="121">
          <cell r="M121" t="str">
            <v>3000/170Penalties &amp; Interest - SARS</v>
          </cell>
        </row>
        <row r="122">
          <cell r="M122" t="str">
            <v>3000/180</v>
          </cell>
        </row>
        <row r="123">
          <cell r="M123" t="str">
            <v>3000/190</v>
          </cell>
        </row>
        <row r="124">
          <cell r="M124" t="str">
            <v>3000/200</v>
          </cell>
        </row>
        <row r="125">
          <cell r="M125" t="str">
            <v>3000/210</v>
          </cell>
        </row>
        <row r="126">
          <cell r="M126" t="str">
            <v>3000/220</v>
          </cell>
        </row>
        <row r="127">
          <cell r="M127" t="str">
            <v>3000/230</v>
          </cell>
        </row>
        <row r="128">
          <cell r="M128" t="str">
            <v>3000/240</v>
          </cell>
        </row>
        <row r="129">
          <cell r="M129" t="str">
            <v>3000/250</v>
          </cell>
        </row>
        <row r="130">
          <cell r="M130" t="str">
            <v>3000/260</v>
          </cell>
        </row>
        <row r="131">
          <cell r="M131" t="str">
            <v>3000/270Amortisation of prepaid lease agreement</v>
          </cell>
        </row>
        <row r="132">
          <cell r="M132" t="str">
            <v>4210/000Pft/Loss on foreign exchange</v>
          </cell>
        </row>
        <row r="133">
          <cell r="M133" t="str">
            <v>4700/000FINANCE COSTS</v>
          </cell>
        </row>
        <row r="134">
          <cell r="M134" t="str">
            <v>4700/010Interest paid---------------------------</v>
          </cell>
        </row>
        <row r="135">
          <cell r="M135" t="str">
            <v>4700/011</v>
          </cell>
        </row>
        <row r="136">
          <cell r="M136" t="str">
            <v>4700/012</v>
          </cell>
        </row>
        <row r="137">
          <cell r="M137" t="str">
            <v>4700/013</v>
          </cell>
        </row>
        <row r="138">
          <cell r="M138" t="str">
            <v>4700/014</v>
          </cell>
        </row>
        <row r="139">
          <cell r="M139" t="str">
            <v>4700/015</v>
          </cell>
        </row>
        <row r="140">
          <cell r="M140" t="str">
            <v>4700/016</v>
          </cell>
        </row>
        <row r="141">
          <cell r="M141" t="str">
            <v>4700/017</v>
          </cell>
        </row>
        <row r="142">
          <cell r="M142" t="str">
            <v>4700/018</v>
          </cell>
        </row>
        <row r="143">
          <cell r="M143" t="str">
            <v>4700/019</v>
          </cell>
        </row>
        <row r="144">
          <cell r="M144" t="str">
            <v>4700/020</v>
          </cell>
        </row>
        <row r="145">
          <cell r="M145" t="str">
            <v>4700/021Hire purchase interest</v>
          </cell>
        </row>
        <row r="146">
          <cell r="M146" t="str">
            <v>4750/000OTHER</v>
          </cell>
        </row>
        <row r="147">
          <cell r="M147" t="str">
            <v>4750/010Loss on Revaluation of Investments</v>
          </cell>
        </row>
        <row r="148">
          <cell r="M148" t="str">
            <v>4800/000NORMAL TAXATION</v>
          </cell>
        </row>
        <row r="149">
          <cell r="M149" t="str">
            <v>4800/001Tax provided this year</v>
          </cell>
        </row>
        <row r="150">
          <cell r="M150" t="str">
            <v>4800/002Tax adjustment previous year</v>
          </cell>
        </row>
        <row r="151">
          <cell r="M151" t="str">
            <v>4820/000DEFERRED TAX</v>
          </cell>
        </row>
        <row r="152">
          <cell r="M152" t="str">
            <v>4820/001Deferred tax this year</v>
          </cell>
        </row>
        <row r="153">
          <cell r="M153" t="str">
            <v>4820/002Deferred tax adjustment previous year</v>
          </cell>
        </row>
        <row r="154">
          <cell r="M154" t="str">
            <v>4850/000Dividends Declared</v>
          </cell>
        </row>
        <row r="155">
          <cell r="M155" t="str">
            <v>4860/000Dividends paid</v>
          </cell>
        </row>
        <row r="159">
          <cell r="M159" t="str">
            <v>5100/000SHARE CAPITAL</v>
          </cell>
        </row>
        <row r="160">
          <cell r="M160" t="str">
            <v>5100/001Share Capital - Balance b/fwd</v>
          </cell>
        </row>
        <row r="161">
          <cell r="M161" t="str">
            <v>5100/002Share Capital - Additions</v>
          </cell>
        </row>
        <row r="162">
          <cell r="M162" t="str">
            <v>5110/000SHARE PREMIUM</v>
          </cell>
        </row>
        <row r="163">
          <cell r="M163" t="str">
            <v>5110/001Share premium - Balance b/fwd</v>
          </cell>
        </row>
        <row r="164">
          <cell r="M164" t="str">
            <v>5110/002Share premium - Additions</v>
          </cell>
        </row>
        <row r="165">
          <cell r="M165" t="str">
            <v>5110/003Share premium - transfer</v>
          </cell>
        </row>
        <row r="166">
          <cell r="M166" t="str">
            <v>5120/000VALUATION RESERVE</v>
          </cell>
        </row>
        <row r="167">
          <cell r="M167" t="str">
            <v>5120/001Valuation reserve - Balance b/fwd</v>
          </cell>
        </row>
        <row r="168">
          <cell r="M168" t="str">
            <v>5120/002Valuation reserve - Additions</v>
          </cell>
        </row>
        <row r="169">
          <cell r="M169" t="str">
            <v>5120/003Valuation reserve - transfer to p/l</v>
          </cell>
        </row>
        <row r="170">
          <cell r="M170" t="str">
            <v>5130/000OTHER RESERVES</v>
          </cell>
        </row>
        <row r="171">
          <cell r="M171" t="str">
            <v>5130/001Other reserves - Balance B/fwd</v>
          </cell>
        </row>
        <row r="172">
          <cell r="M172" t="str">
            <v>5130/002Other reserves - Additions</v>
          </cell>
        </row>
        <row r="173">
          <cell r="M173" t="str">
            <v>5130/003Other reserves - transfer</v>
          </cell>
        </row>
        <row r="174">
          <cell r="M174" t="str">
            <v>5200/000(Retained Income) / Accumulated Loss</v>
          </cell>
        </row>
        <row r="175">
          <cell r="M175" t="str">
            <v>5500/000LONG TERM  INTEREST LIABILITIES</v>
          </cell>
        </row>
        <row r="176">
          <cell r="M176" t="str">
            <v>5500/001Bond 1</v>
          </cell>
        </row>
        <row r="177">
          <cell r="M177" t="str">
            <v>5500/002Bond 2</v>
          </cell>
        </row>
        <row r="178">
          <cell r="M178" t="str">
            <v>5500/003Bond 3</v>
          </cell>
        </row>
        <row r="179">
          <cell r="M179" t="str">
            <v>5500/004HP 1</v>
          </cell>
        </row>
        <row r="180">
          <cell r="M180" t="str">
            <v>5500/005HP 2</v>
          </cell>
        </row>
        <row r="181">
          <cell r="M181" t="str">
            <v>5500/0060</v>
          </cell>
        </row>
        <row r="182">
          <cell r="M182" t="str">
            <v>5500/0070</v>
          </cell>
        </row>
        <row r="183">
          <cell r="M183" t="str">
            <v>5500/0080</v>
          </cell>
        </row>
        <row r="184">
          <cell r="M184" t="str">
            <v>5500/0090</v>
          </cell>
        </row>
        <row r="185">
          <cell r="M185" t="str">
            <v>5500/0100</v>
          </cell>
        </row>
        <row r="186">
          <cell r="M186" t="str">
            <v>5500/0110</v>
          </cell>
        </row>
        <row r="187">
          <cell r="M187" t="str">
            <v>5500/0120</v>
          </cell>
        </row>
        <row r="188">
          <cell r="M188" t="str">
            <v>5500/0130</v>
          </cell>
        </row>
        <row r="189">
          <cell r="M189" t="str">
            <v>5500/0140</v>
          </cell>
        </row>
        <row r="190">
          <cell r="M190" t="str">
            <v>5500/0150</v>
          </cell>
        </row>
        <row r="191">
          <cell r="M191" t="str">
            <v>5520/000Short term portion of long term loans</v>
          </cell>
        </row>
        <row r="192">
          <cell r="M192" t="str">
            <v>5550/000LONG TERM INTEREST FREE LOANS</v>
          </cell>
        </row>
        <row r="193">
          <cell r="M193" t="str">
            <v>5550/001Interest free 1</v>
          </cell>
        </row>
        <row r="194">
          <cell r="M194" t="str">
            <v>5550/002Interest free 2</v>
          </cell>
        </row>
        <row r="195">
          <cell r="M195" t="str">
            <v>5550/003Interest free 3</v>
          </cell>
        </row>
        <row r="196">
          <cell r="M196" t="str">
            <v>5550/004Interest free 4</v>
          </cell>
        </row>
        <row r="197">
          <cell r="M197" t="str">
            <v>5550/005Interest free 5</v>
          </cell>
        </row>
        <row r="198">
          <cell r="M198" t="str">
            <v>5550/006Interest free 6</v>
          </cell>
        </row>
        <row r="199">
          <cell r="M199" t="str">
            <v>5550/007Interest free 7</v>
          </cell>
        </row>
        <row r="200">
          <cell r="M200" t="str">
            <v>5550/008Interest free 8</v>
          </cell>
        </row>
        <row r="201">
          <cell r="M201" t="str">
            <v>5550/009Interest free 9</v>
          </cell>
        </row>
        <row r="202">
          <cell r="M202" t="str">
            <v>5550/010Interest free 10</v>
          </cell>
        </row>
        <row r="203">
          <cell r="M203" t="str">
            <v>5550/011Interest free 11</v>
          </cell>
        </row>
        <row r="204">
          <cell r="M204" t="str">
            <v>5550/012Interest free 12</v>
          </cell>
        </row>
        <row r="205">
          <cell r="M205" t="str">
            <v>5550/013Interest free 13</v>
          </cell>
        </row>
        <row r="206">
          <cell r="M206" t="str">
            <v>5550/014Interest free 14</v>
          </cell>
        </row>
        <row r="207">
          <cell r="M207" t="str">
            <v>5550/015Interest free 15</v>
          </cell>
        </row>
        <row r="208">
          <cell r="M208" t="str">
            <v>5550/016Interest free 16</v>
          </cell>
        </row>
        <row r="209">
          <cell r="M209" t="str">
            <v>5550/017Interest free 17</v>
          </cell>
        </row>
        <row r="210">
          <cell r="M210" t="str">
            <v>5700/000DEFERRED TAX</v>
          </cell>
        </row>
        <row r="211">
          <cell r="M211" t="str">
            <v>5700/010Deferred tax balance  depreciation b/fwd</v>
          </cell>
        </row>
        <row r="212">
          <cell r="M212" t="str">
            <v>5700/020Deferred tax balance  tax loss b/fwd</v>
          </cell>
        </row>
        <row r="213">
          <cell r="M213" t="str">
            <v>5700/030Deferred tax on depreciation for year</v>
          </cell>
        </row>
        <row r="214">
          <cell r="M214" t="str">
            <v>5700/040Deferred tax on tax loss for year</v>
          </cell>
        </row>
        <row r="215">
          <cell r="M215" t="str">
            <v>5700/050Def tax adj  depreciation previous year</v>
          </cell>
        </row>
        <row r="216">
          <cell r="M216" t="str">
            <v>5700/060Def tax adj tax loss previous year</v>
          </cell>
        </row>
        <row r="217">
          <cell r="M217" t="str">
            <v>6100/000LAND &amp; BUILDINGS - COST</v>
          </cell>
        </row>
        <row r="218">
          <cell r="M218" t="str">
            <v>6100/001Land_Buildings - Cost B/fwd</v>
          </cell>
        </row>
        <row r="219">
          <cell r="M219" t="str">
            <v>6100/002Land_Buildings - Additions</v>
          </cell>
        </row>
        <row r="220">
          <cell r="M220" t="str">
            <v>6100/003Land_Buildings - Cost of sales</v>
          </cell>
        </row>
        <row r="221">
          <cell r="M221" t="str">
            <v>6100/020LAND &amp; BUILDINGS - ACC DEPR</v>
          </cell>
        </row>
        <row r="222">
          <cell r="M222" t="str">
            <v>6100/021Land &amp; Buildings - Acc depr B/fwd</v>
          </cell>
        </row>
        <row r="223">
          <cell r="M223" t="str">
            <v>6100/022Land &amp; Buildings - Acc depr this year</v>
          </cell>
        </row>
        <row r="224">
          <cell r="M224" t="str">
            <v>6100/023Land &amp; Buildings - Acc depr on sales</v>
          </cell>
        </row>
        <row r="225">
          <cell r="M225" t="str">
            <v>6100/030LAND &amp; BUILDINGS - VALUATION</v>
          </cell>
        </row>
        <row r="226">
          <cell r="M226" t="str">
            <v>6100/031Land_Buildings - Valuation B/fwd</v>
          </cell>
        </row>
        <row r="227">
          <cell r="M227" t="str">
            <v>6100/032Land_Buildings - Valuation additions</v>
          </cell>
        </row>
        <row r="228">
          <cell r="M228" t="str">
            <v>6100/033Land_Buildings - Valuation reduction</v>
          </cell>
        </row>
        <row r="229">
          <cell r="M229" t="str">
            <v>6150/000PLANT &amp; MACHINERY - COST</v>
          </cell>
        </row>
        <row r="230">
          <cell r="M230" t="str">
            <v>6150/001Plant &amp; machinery - cost b/fwd</v>
          </cell>
        </row>
        <row r="231">
          <cell r="M231" t="str">
            <v>6150/002Plant &amp; machinery - Additions</v>
          </cell>
        </row>
        <row r="232">
          <cell r="M232" t="str">
            <v>6150/003Plant &amp; machinery - Cost of sales</v>
          </cell>
        </row>
        <row r="233">
          <cell r="M233" t="str">
            <v>6150/020PLANT &amp; MACHINERY - ACC DEPR</v>
          </cell>
        </row>
        <row r="234">
          <cell r="M234" t="str">
            <v>6150/021Plant &amp; Machinery - Acc depr b/fwd</v>
          </cell>
        </row>
        <row r="235">
          <cell r="M235" t="str">
            <v>6150/022Plant &amp; machinery - depr this year</v>
          </cell>
        </row>
        <row r="236">
          <cell r="M236" t="str">
            <v>6150/023Plant &amp; machinery - acc depr on sales</v>
          </cell>
        </row>
        <row r="237">
          <cell r="M237" t="str">
            <v>6200/000MOTOR VEHICLES - COST</v>
          </cell>
        </row>
        <row r="238">
          <cell r="M238" t="str">
            <v>6200/001Motor Vehicles - Cost B/fwd</v>
          </cell>
        </row>
        <row r="239">
          <cell r="M239" t="str">
            <v>6200/002Motor Vehicles - Additions</v>
          </cell>
        </row>
        <row r="240">
          <cell r="M240" t="str">
            <v>6200/003Motor Vehicles - Cost of sales</v>
          </cell>
        </row>
        <row r="241">
          <cell r="M241" t="str">
            <v>6200/020MOTOR VEHICLES - ACC DEPR</v>
          </cell>
        </row>
        <row r="242">
          <cell r="M242" t="str">
            <v>6200/021Motor vehicles - Acc depr b/fwd</v>
          </cell>
        </row>
        <row r="243">
          <cell r="M243" t="str">
            <v>6200/022Motor vehicles - Depr this year</v>
          </cell>
        </row>
        <row r="244">
          <cell r="M244" t="str">
            <v>6200/023Motor vehicles - Acc depr on sales</v>
          </cell>
        </row>
        <row r="245">
          <cell r="M245" t="str">
            <v>6250/000ELECTRONIC EQUIPMENT - COST</v>
          </cell>
        </row>
        <row r="246">
          <cell r="M246" t="str">
            <v>6250/001Electronic equipment - Cost b/fwd</v>
          </cell>
        </row>
        <row r="247">
          <cell r="M247" t="str">
            <v>6250/002Electronic equipment - Additions</v>
          </cell>
        </row>
        <row r="248">
          <cell r="M248" t="str">
            <v>6250/003Electronic equipment - Cost of sales</v>
          </cell>
        </row>
        <row r="249">
          <cell r="M249" t="str">
            <v>6250/020ELECTRONIC EQUIPMENT - ACC DEPR</v>
          </cell>
        </row>
        <row r="250">
          <cell r="M250" t="str">
            <v>6250/021Electronic equipment - Acc depr B/fwd</v>
          </cell>
        </row>
        <row r="251">
          <cell r="M251" t="str">
            <v>6250/022Electronic equipment - Depr this year</v>
          </cell>
        </row>
        <row r="252">
          <cell r="M252" t="str">
            <v>6250/023Electronic equipment - Acc depr on sales</v>
          </cell>
        </row>
        <row r="253">
          <cell r="M253" t="str">
            <v>6350/000FURNITURE &amp; FITTINGS - COST</v>
          </cell>
        </row>
        <row r="254">
          <cell r="M254" t="str">
            <v>6350/001Furniture &amp; fittings - Cost B/fwd</v>
          </cell>
        </row>
        <row r="255">
          <cell r="M255" t="str">
            <v>6350/002Furniture &amp; fittings - Additions</v>
          </cell>
        </row>
        <row r="256">
          <cell r="M256" t="str">
            <v>6350/003Furniture &amp; fittings - Cost of sales</v>
          </cell>
        </row>
        <row r="257">
          <cell r="M257" t="str">
            <v>6350/020FURNITURE &amp; FITTINGS - ACC DEPR</v>
          </cell>
        </row>
        <row r="258">
          <cell r="M258" t="str">
            <v>6350/021Furniture &amp; fittings - Acc depr B/fwd</v>
          </cell>
        </row>
        <row r="259">
          <cell r="M259" t="str">
            <v>6350/022Furniture &amp; fittings - Depr this year</v>
          </cell>
        </row>
        <row r="260">
          <cell r="M260" t="str">
            <v>6350/023Furniture &amp; fittings - Acc depr on sales</v>
          </cell>
        </row>
        <row r="261">
          <cell r="M261" t="str">
            <v>7000/000GOODWILL/INTANGIBLE ASSETS</v>
          </cell>
        </row>
        <row r="262">
          <cell r="M262" t="str">
            <v>7000/010Goodwill Cost</v>
          </cell>
        </row>
        <row r="263">
          <cell r="M263" t="str">
            <v>7000/011Prepaid lease agreement - Cost</v>
          </cell>
        </row>
        <row r="264">
          <cell r="M264" t="str">
            <v>7000/015PLA - surplus on revaluation</v>
          </cell>
        </row>
        <row r="265">
          <cell r="M265" t="str">
            <v>7000/020PLA - write down this year</v>
          </cell>
        </row>
        <row r="266">
          <cell r="M266" t="str">
            <v>7000/025PLA - write down previous years</v>
          </cell>
        </row>
        <row r="267">
          <cell r="M267" t="str">
            <v>7100/000INVESTMENTS</v>
          </cell>
        </row>
        <row r="268">
          <cell r="M268" t="str">
            <v>7100/100LISTED INVESTMENTS</v>
          </cell>
        </row>
        <row r="269">
          <cell r="M269" t="str">
            <v>7100/101Listed 1</v>
          </cell>
        </row>
        <row r="270">
          <cell r="M270" t="str">
            <v>7100/102Listed 2</v>
          </cell>
        </row>
        <row r="271">
          <cell r="M271" t="str">
            <v>7100/103Listed 3</v>
          </cell>
        </row>
        <row r="272">
          <cell r="M272" t="str">
            <v>7100/104Listed 4</v>
          </cell>
        </row>
        <row r="273">
          <cell r="M273" t="str">
            <v>7100/105Listed 5</v>
          </cell>
        </row>
        <row r="274">
          <cell r="M274" t="str">
            <v>7100/200OTHER INVESTMENTS</v>
          </cell>
        </row>
        <row r="275">
          <cell r="M275" t="str">
            <v>7100/201Other investments 1</v>
          </cell>
        </row>
        <row r="276">
          <cell r="M276" t="str">
            <v>7100/202Other investments 2</v>
          </cell>
        </row>
        <row r="277">
          <cell r="M277" t="str">
            <v>7100/203Other investments 3</v>
          </cell>
        </row>
        <row r="278">
          <cell r="M278" t="str">
            <v>7100/204Other investments 4</v>
          </cell>
        </row>
        <row r="279">
          <cell r="M279" t="str">
            <v>7100/205Other investments 5</v>
          </cell>
        </row>
        <row r="280">
          <cell r="M280" t="str">
            <v>7450/000CONNECTED COMPANIES</v>
          </cell>
        </row>
        <row r="281">
          <cell r="M281" t="str">
            <v>7450/000Interest bearing</v>
          </cell>
        </row>
        <row r="282">
          <cell r="M282" t="str">
            <v>7450/001Connected 1</v>
          </cell>
        </row>
        <row r="283">
          <cell r="M283" t="str">
            <v>7450/002Connected 2</v>
          </cell>
        </row>
        <row r="284">
          <cell r="M284" t="str">
            <v>7450/000Interest free</v>
          </cell>
        </row>
        <row r="285">
          <cell r="M285" t="str">
            <v>7450/003Connected 3</v>
          </cell>
        </row>
        <row r="286">
          <cell r="M286" t="str">
            <v>7450/004Connected 4</v>
          </cell>
        </row>
        <row r="287">
          <cell r="M287" t="str">
            <v>7450/005Connected 5</v>
          </cell>
        </row>
        <row r="288">
          <cell r="M288" t="str">
            <v>7460/000OTHER NON CURRENT RECEIVABLES</v>
          </cell>
        </row>
        <row r="289">
          <cell r="M289" t="str">
            <v>7460/000Interest bearing</v>
          </cell>
        </row>
        <row r="290">
          <cell r="M290" t="str">
            <v>7460/001Other non current 1</v>
          </cell>
        </row>
        <row r="291">
          <cell r="M291" t="str">
            <v>7460/002Other non current 2</v>
          </cell>
        </row>
        <row r="292">
          <cell r="M292" t="str">
            <v>7460/003Other non current 3</v>
          </cell>
        </row>
        <row r="293">
          <cell r="M293" t="str">
            <v>7460/000Interest free</v>
          </cell>
        </row>
        <row r="294">
          <cell r="M294" t="str">
            <v>7460/004Other non current 4</v>
          </cell>
        </row>
        <row r="295">
          <cell r="M295" t="str">
            <v>7460/005Other non current 5</v>
          </cell>
        </row>
        <row r="296">
          <cell r="M296" t="str">
            <v>7460/006Other non current 6</v>
          </cell>
        </row>
        <row r="297">
          <cell r="M297" t="str">
            <v>7460/007Other non current 7</v>
          </cell>
        </row>
        <row r="298">
          <cell r="M298" t="str">
            <v>7460/008Other non current 8</v>
          </cell>
        </row>
        <row r="299">
          <cell r="M299" t="str">
            <v>7500/000INVENTORY</v>
          </cell>
        </row>
        <row r="300">
          <cell r="M300" t="str">
            <v>7500/001Raw materials</v>
          </cell>
        </row>
        <row r="301">
          <cell r="M301" t="str">
            <v>7500/002Work in progress</v>
          </cell>
        </row>
        <row r="302">
          <cell r="M302" t="str">
            <v>7500/003Finished goods</v>
          </cell>
        </row>
        <row r="303">
          <cell r="M303" t="str">
            <v>7500/004Trading stock</v>
          </cell>
        </row>
        <row r="304">
          <cell r="M304" t="str">
            <v>8000/000DEBTORS</v>
          </cell>
        </row>
        <row r="305">
          <cell r="M305" t="str">
            <v>8010/000Trade debtors</v>
          </cell>
        </row>
        <row r="306">
          <cell r="M306" t="str">
            <v>8020/000Less: Provision For Doubtful Debts</v>
          </cell>
        </row>
        <row r="307">
          <cell r="M307" t="str">
            <v>8030/000Service deposits</v>
          </cell>
        </row>
        <row r="308">
          <cell r="M308" t="str">
            <v>8200/000Sundry Customers</v>
          </cell>
        </row>
        <row r="309">
          <cell r="M309" t="str">
            <v>8200/010Prepayments</v>
          </cell>
        </row>
        <row r="310">
          <cell r="M310" t="str">
            <v>8200/020Staff Loans</v>
          </cell>
        </row>
        <row r="311">
          <cell r="M311" t="str">
            <v>8400/000BANK ACCOUNTS</v>
          </cell>
        </row>
        <row r="312">
          <cell r="M312" t="str">
            <v>8410/000Bank account 1</v>
          </cell>
        </row>
        <row r="313">
          <cell r="M313" t="str">
            <v>8420/000Bank account 2</v>
          </cell>
        </row>
        <row r="314">
          <cell r="M314" t="str">
            <v>8430/000Bank account 3</v>
          </cell>
        </row>
        <row r="315">
          <cell r="M315" t="str">
            <v>8440/000Bank account 4</v>
          </cell>
        </row>
        <row r="316">
          <cell r="M316" t="str">
            <v>8450/000Bank account 5</v>
          </cell>
        </row>
        <row r="317">
          <cell r="M317" t="str">
            <v>8460/000Bank account 6</v>
          </cell>
        </row>
        <row r="318">
          <cell r="M318" t="str">
            <v>8500/000Cash on hand</v>
          </cell>
        </row>
        <row r="319">
          <cell r="M319" t="str">
            <v>8900/000SHORT TERM LOANS</v>
          </cell>
        </row>
        <row r="320">
          <cell r="M320" t="str">
            <v>8900/001Short term 1</v>
          </cell>
        </row>
        <row r="321">
          <cell r="M321" t="str">
            <v>8900/002Short term 2</v>
          </cell>
        </row>
        <row r="322">
          <cell r="M322" t="str">
            <v>8900/003Short term 3</v>
          </cell>
        </row>
        <row r="323">
          <cell r="M323" t="str">
            <v>8900/004Short term portion of long term loans</v>
          </cell>
        </row>
        <row r="324">
          <cell r="M324" t="str">
            <v>9000/000CREDITORS</v>
          </cell>
        </row>
        <row r="325">
          <cell r="M325" t="str">
            <v>9010/000Trade creditors</v>
          </cell>
        </row>
        <row r="326">
          <cell r="M326" t="str">
            <v>9200/000Sundry Suppliers</v>
          </cell>
        </row>
        <row r="327">
          <cell r="M327" t="str">
            <v>9200/010Audit fee accrual</v>
          </cell>
        </row>
        <row r="328">
          <cell r="M328" t="str">
            <v>9200/020Other Accruals</v>
          </cell>
        </row>
        <row r="329">
          <cell r="M329" t="str">
            <v>9250/000Salary &amp; Wages Control</v>
          </cell>
        </row>
        <row r="330">
          <cell r="M330" t="str">
            <v>9300/000TAXATION</v>
          </cell>
        </row>
        <row r="331">
          <cell r="M331" t="str">
            <v>9300/010Balance b/fwd</v>
          </cell>
        </row>
        <row r="332">
          <cell r="M332" t="str">
            <v>9300/020Tax provision this year</v>
          </cell>
        </row>
        <row r="333">
          <cell r="M333" t="str">
            <v>9300/030Over-/Underprovision previous year</v>
          </cell>
        </row>
        <row r="334">
          <cell r="M334" t="str">
            <v>9300/040Tax paid for previous year provisions</v>
          </cell>
        </row>
        <row r="335">
          <cell r="M335" t="str">
            <v>9300/0501st Provisional Paid</v>
          </cell>
        </row>
        <row r="336">
          <cell r="M336" t="str">
            <v>9300/0602nd Provisional Paid</v>
          </cell>
        </row>
        <row r="337">
          <cell r="M337" t="str">
            <v>9300/0703rd Provisional paid</v>
          </cell>
        </row>
        <row r="338">
          <cell r="M338" t="str">
            <v>9300/090Dividends tax Provision this year</v>
          </cell>
        </row>
        <row r="339">
          <cell r="M339" t="str">
            <v>9350/000Dividends Payable</v>
          </cell>
        </row>
        <row r="340">
          <cell r="M340" t="str">
            <v>9400/000Provision for Future Expenses</v>
          </cell>
        </row>
        <row r="341">
          <cell r="M341" t="str">
            <v>9400/010Provision for Insurance</v>
          </cell>
        </row>
        <row r="342">
          <cell r="M342" t="str">
            <v>9400/020Provision for Salary Bonus</v>
          </cell>
        </row>
        <row r="343">
          <cell r="M343" t="str">
            <v>9500/000VALUE ADDED TAX</v>
          </cell>
        </row>
        <row r="344">
          <cell r="M344" t="str">
            <v>9501/000VAT account</v>
          </cell>
        </row>
        <row r="345">
          <cell r="M345" t="str">
            <v>9510/000----------------------------------------</v>
          </cell>
        </row>
        <row r="346">
          <cell r="M346" t="str">
            <v>9990/000Suspense Account</v>
          </cell>
        </row>
      </sheetData>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tateENG"/>
      <sheetName val="ExceptionReport"/>
      <sheetName val="Criteria"/>
      <sheetName val="TrialBalance"/>
      <sheetName val="TB2013"/>
      <sheetName val="GL2013"/>
      <sheetName val="Accruals"/>
      <sheetName val="Summary"/>
      <sheetName val="Journals"/>
      <sheetName val="FixAssetsRegister"/>
      <sheetName val="VAT"/>
      <sheetName val="Customer Accounts"/>
      <sheetName val="Petty Cash"/>
      <sheetName val="Sheet1"/>
      <sheetName val="Bankrecon"/>
      <sheetName val="HPLead"/>
      <sheetName val="HP1 (2)"/>
      <sheetName val="HP1 (8)"/>
      <sheetName val="HP1"/>
      <sheetName val="HP1 (3)"/>
      <sheetName val="HP1 (4)"/>
      <sheetName val="DefTax"/>
      <sheetName val="Analities1"/>
      <sheetName val="Analities2"/>
    </sheetNames>
    <sheetDataSet>
      <sheetData sheetId="0"/>
      <sheetData sheetId="1"/>
      <sheetData sheetId="2"/>
      <sheetData sheetId="3">
        <row r="5">
          <cell r="M5" t="str">
            <v>1000/001Sales</v>
          </cell>
        </row>
        <row r="6">
          <cell r="M6" t="str">
            <v>1000/002Sales 2</v>
          </cell>
        </row>
        <row r="7">
          <cell r="M7" t="str">
            <v>1000/003Rent Received</v>
          </cell>
        </row>
        <row r="8">
          <cell r="M8" t="str">
            <v>2000/000COST OF SALES</v>
          </cell>
        </row>
        <row r="9">
          <cell r="M9" t="str">
            <v>2000/001Opening stock - Raw material</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2000/011Subcontractors</v>
          </cell>
        </row>
        <row r="15">
          <cell r="M15" t="str">
            <v>2000/012Galvinising</v>
          </cell>
        </row>
        <row r="16">
          <cell r="M16" t="str">
            <v>2000/013Municipality, Surveyor and Rezoning Fees</v>
          </cell>
        </row>
        <row r="17">
          <cell r="M17" t="str">
            <v>2000/014Open</v>
          </cell>
        </row>
        <row r="18">
          <cell r="M18" t="str">
            <v>2000/015Open</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v>
          </cell>
        </row>
        <row r="25">
          <cell r="M25" t="str">
            <v>2050/002</v>
          </cell>
        </row>
        <row r="26">
          <cell r="M26" t="str">
            <v>2050/003Vending Machine Income</v>
          </cell>
        </row>
        <row r="27">
          <cell r="M27" t="str">
            <v>2050/004</v>
          </cell>
        </row>
        <row r="28">
          <cell r="M28" t="str">
            <v>2050/005</v>
          </cell>
        </row>
        <row r="29">
          <cell r="M29" t="str">
            <v>2100/000OPERATING EXPENSES</v>
          </cell>
        </row>
        <row r="30">
          <cell r="M30" t="str">
            <v>2100/001Advertising</v>
          </cell>
        </row>
        <row r="31">
          <cell r="M31" t="str">
            <v>2100/010Assets written off</v>
          </cell>
        </row>
        <row r="32">
          <cell r="M32" t="str">
            <v>2100/020Consumables</v>
          </cell>
        </row>
        <row r="33">
          <cell r="M33" t="str">
            <v>2100/030Depreciation----------------------------</v>
          </cell>
        </row>
        <row r="34">
          <cell r="M34" t="str">
            <v>2100/031Depr - Land &amp; buildings</v>
          </cell>
        </row>
        <row r="35">
          <cell r="M35" t="str">
            <v>2100/032Depr - Plant &amp; Machinery</v>
          </cell>
        </row>
        <row r="36">
          <cell r="M36" t="str">
            <v>2100/033Depr - Motor vehicles</v>
          </cell>
        </row>
        <row r="37">
          <cell r="M37" t="str">
            <v>2100/034Depr - Electronic equipment</v>
          </cell>
        </row>
        <row r="38">
          <cell r="M38" t="str">
            <v>2100/040Discounts allowed</v>
          </cell>
        </row>
        <row r="39">
          <cell r="M39" t="str">
            <v>2100/050Electricity and Water</v>
          </cell>
        </row>
        <row r="40">
          <cell r="M40" t="str">
            <v>2100/055Equipment lease</v>
          </cell>
        </row>
        <row r="41">
          <cell r="M41" t="str">
            <v>2100/060Insurance</v>
          </cell>
        </row>
        <row r="42">
          <cell r="M42" t="str">
            <v>2100/070Levies - District Municipality</v>
          </cell>
        </row>
        <row r="43">
          <cell r="M43" t="str">
            <v>2100/071Levies - SDL</v>
          </cell>
        </row>
        <row r="44">
          <cell r="M44" t="str">
            <v>2100/072Levies - other</v>
          </cell>
        </row>
        <row r="45">
          <cell r="M45" t="str">
            <v>2100/080Trade licenses</v>
          </cell>
        </row>
        <row r="46">
          <cell r="M46" t="str">
            <v>2100/090Motor vehicle expenses------------------</v>
          </cell>
        </row>
        <row r="47">
          <cell r="M47" t="str">
            <v>2100/091Motor vehicle expenses - Petrol and oil</v>
          </cell>
        </row>
        <row r="48">
          <cell r="M48" t="str">
            <v>2100/092Motor vehicle expenses - R&amp;M</v>
          </cell>
        </row>
        <row r="49">
          <cell r="M49" t="str">
            <v>2100/093Motor vehicle expenses - Insurance</v>
          </cell>
        </row>
        <row r="50">
          <cell r="M50" t="str">
            <v>2100/094Motor vehicle expenses - licenses</v>
          </cell>
        </row>
        <row r="51">
          <cell r="M51" t="str">
            <v>2100/095Motor vehicle expenses - general</v>
          </cell>
        </row>
        <row r="52">
          <cell r="M52" t="str">
            <v>2100/100Rent paid-------------------------------</v>
          </cell>
        </row>
        <row r="53">
          <cell r="M53" t="str">
            <v>2100/101Dorpshuys</v>
          </cell>
        </row>
        <row r="54">
          <cell r="M54" t="str">
            <v>2100/102Occupational rent</v>
          </cell>
        </row>
        <row r="55">
          <cell r="M55" t="str">
            <v>2100/103</v>
          </cell>
        </row>
        <row r="56">
          <cell r="M56" t="str">
            <v>2100/110Repairs and maintenance</v>
          </cell>
        </row>
        <row r="57">
          <cell r="M57" t="str">
            <v>2100/120Salaries</v>
          </cell>
        </row>
        <row r="58">
          <cell r="M58" t="str">
            <v>2100/121UIF - Employer</v>
          </cell>
        </row>
        <row r="59">
          <cell r="M59" t="str">
            <v>2100/122Casual wages</v>
          </cell>
        </row>
        <row r="60">
          <cell r="M60" t="str">
            <v>2100/130Telephone</v>
          </cell>
        </row>
        <row r="61">
          <cell r="M61" t="str">
            <v>2100/135Postage and courier</v>
          </cell>
        </row>
        <row r="62">
          <cell r="M62" t="str">
            <v>2100/140Training</v>
          </cell>
        </row>
        <row r="63">
          <cell r="M63" t="str">
            <v>2100/150Traveling</v>
          </cell>
        </row>
        <row r="64">
          <cell r="M64" t="str">
            <v>2150/000Rates and Taxes</v>
          </cell>
        </row>
        <row r="65">
          <cell r="M65" t="str">
            <v>2200/000Levies</v>
          </cell>
        </row>
        <row r="66">
          <cell r="M66" t="str">
            <v>2400/000Delivery costs</v>
          </cell>
        </row>
        <row r="67">
          <cell r="M67" t="str">
            <v>2400/010Flower and Display</v>
          </cell>
        </row>
        <row r="68">
          <cell r="M68" t="str">
            <v>2400/020Laundry</v>
          </cell>
        </row>
        <row r="69">
          <cell r="M69" t="str">
            <v>2400/030Packaging costs</v>
          </cell>
        </row>
        <row r="70">
          <cell r="M70" t="str">
            <v>2400/040Gas and Wood</v>
          </cell>
        </row>
        <row r="71">
          <cell r="M71" t="str">
            <v>2400/050Packing material</v>
          </cell>
        </row>
        <row r="72">
          <cell r="M72" t="str">
            <v>2400/060Staff clothing</v>
          </cell>
        </row>
        <row r="73">
          <cell r="M73" t="str">
            <v>2400/070Travel - staff</v>
          </cell>
        </row>
        <row r="74">
          <cell r="M74" t="str">
            <v>2500/000OTHER INCOME</v>
          </cell>
        </row>
        <row r="75">
          <cell r="M75" t="str">
            <v>2700/000Blocked</v>
          </cell>
        </row>
        <row r="76">
          <cell r="M76" t="str">
            <v>2710/000Rent Received (Not Main income)</v>
          </cell>
        </row>
        <row r="77">
          <cell r="M77" t="str">
            <v>2750/000Interest Received-----------------------</v>
          </cell>
        </row>
        <row r="78">
          <cell r="M78" t="str">
            <v>2750/001Current account</v>
          </cell>
        </row>
        <row r="79">
          <cell r="M79" t="str">
            <v>2750/002</v>
          </cell>
        </row>
        <row r="80">
          <cell r="M80" t="str">
            <v>2750/003</v>
          </cell>
        </row>
        <row r="81">
          <cell r="M81" t="str">
            <v>2750/004</v>
          </cell>
        </row>
        <row r="82">
          <cell r="M82" t="str">
            <v>2800/000Dividends received----------------------</v>
          </cell>
        </row>
        <row r="83">
          <cell r="M83" t="str">
            <v>2800/001Div's received - SA sources</v>
          </cell>
        </row>
        <row r="84">
          <cell r="M84" t="str">
            <v>2800/002Div's received - Foreign div's</v>
          </cell>
        </row>
        <row r="85">
          <cell r="M85" t="str">
            <v>2810/000Profit/Loss on sale of fixed assets</v>
          </cell>
        </row>
        <row r="86">
          <cell r="M86" t="str">
            <v>2820/000Bad debts recovered</v>
          </cell>
        </row>
        <row r="87">
          <cell r="M87" t="str">
            <v>2830/000Other income</v>
          </cell>
        </row>
        <row r="88">
          <cell r="M88" t="str">
            <v>3000/000ADMINISTRATION EXPENSES</v>
          </cell>
        </row>
        <row r="89">
          <cell r="M89" t="str">
            <v>3000/010Auditor's remuneration------------------</v>
          </cell>
        </row>
        <row r="90">
          <cell r="M90" t="str">
            <v>3000/011Audit fees for current year</v>
          </cell>
        </row>
        <row r="91">
          <cell r="M91" t="str">
            <v>3000/012Under provision previous year</v>
          </cell>
        </row>
        <row r="92">
          <cell r="M92" t="str">
            <v>3000/013Overprovision previous year</v>
          </cell>
        </row>
        <row r="93">
          <cell r="M93" t="str">
            <v>3000/014Accounting fees</v>
          </cell>
        </row>
        <row r="94">
          <cell r="M94" t="str">
            <v>3000/020Bank charges</v>
          </cell>
        </row>
        <row r="95">
          <cell r="M95" t="str">
            <v>3000/030Bad debts</v>
          </cell>
        </row>
        <row r="96">
          <cell r="M96" t="str">
            <v>3000/040Cleaning</v>
          </cell>
        </row>
        <row r="97">
          <cell r="M97" t="str">
            <v>3000/050Computer expenses</v>
          </cell>
        </row>
        <row r="98">
          <cell r="M98" t="str">
            <v>3000/060Depreciation----------------------------</v>
          </cell>
        </row>
        <row r="99">
          <cell r="M99" t="str">
            <v>3000/061Depr - Land &amp; buildings</v>
          </cell>
        </row>
        <row r="100">
          <cell r="M100" t="str">
            <v>3000/062Depr - Motor vehicles</v>
          </cell>
        </row>
        <row r="101">
          <cell r="M101" t="str">
            <v>3000/063Depr - Computer equipment</v>
          </cell>
        </row>
        <row r="102">
          <cell r="M102" t="str">
            <v>3000/064Depr - Office equipment</v>
          </cell>
        </row>
        <row r="103">
          <cell r="M103" t="str">
            <v>3000/065Depr - Furniture &amp; Fittings</v>
          </cell>
        </row>
        <row r="104">
          <cell r="M104" t="str">
            <v>3000/066Depr - Other</v>
          </cell>
        </row>
        <row r="105">
          <cell r="M105" t="str">
            <v>3000/070Directors'/Members' remuneration-----------------</v>
          </cell>
        </row>
        <row r="106">
          <cell r="M106" t="str">
            <v>3000/071</v>
          </cell>
        </row>
        <row r="107">
          <cell r="M107" t="str">
            <v>3000/072H M Vorster</v>
          </cell>
        </row>
        <row r="108">
          <cell r="M108" t="str">
            <v>3000/073</v>
          </cell>
        </row>
        <row r="109">
          <cell r="M109" t="str">
            <v>3000/074</v>
          </cell>
        </row>
        <row r="110">
          <cell r="M110" t="str">
            <v>3000/075</v>
          </cell>
        </row>
        <row r="111">
          <cell r="M111" t="str">
            <v>3000/080Donations</v>
          </cell>
        </row>
        <row r="112">
          <cell r="M112" t="str">
            <v>3000/090Entertainment expenses</v>
          </cell>
        </row>
        <row r="113">
          <cell r="M113" t="str">
            <v>3000/095Fines</v>
          </cell>
        </row>
        <row r="114">
          <cell r="M114" t="str">
            <v>3000/100General expenses</v>
          </cell>
        </row>
        <row r="115">
          <cell r="M115" t="str">
            <v>3000/110Legal expenses - Tax deductible</v>
          </cell>
        </row>
        <row r="116">
          <cell r="M116" t="str">
            <v>3000/111Legal expenses - Non deductible</v>
          </cell>
        </row>
        <row r="117">
          <cell r="M117" t="str">
            <v>3000/120Printing and stationary</v>
          </cell>
        </row>
        <row r="118">
          <cell r="M118" t="str">
            <v>3000/130Refreshments</v>
          </cell>
        </row>
        <row r="119">
          <cell r="M119" t="str">
            <v>3000/140Salaries</v>
          </cell>
        </row>
        <row r="120">
          <cell r="M120" t="str">
            <v>3000/141UIF - Employer</v>
          </cell>
        </row>
        <row r="121">
          <cell r="M121" t="str">
            <v>3000/142Casual wages</v>
          </cell>
        </row>
        <row r="122">
          <cell r="M122" t="str">
            <v>3000/150Security</v>
          </cell>
        </row>
        <row r="123">
          <cell r="M123" t="str">
            <v>3000/160Subscriptions</v>
          </cell>
        </row>
        <row r="124">
          <cell r="M124" t="str">
            <v>3000/170Penalties &amp; Interest - SARS</v>
          </cell>
        </row>
        <row r="125">
          <cell r="M125" t="str">
            <v>3000/180Amortisation of prepaid lease payment</v>
          </cell>
        </row>
        <row r="126">
          <cell r="M126" t="str">
            <v>3000/190CIPRO registration fees</v>
          </cell>
        </row>
        <row r="127">
          <cell r="M127" t="str">
            <v>3000/200Credit card fees</v>
          </cell>
        </row>
        <row r="128">
          <cell r="M128" t="str">
            <v>3000/210</v>
          </cell>
        </row>
        <row r="129">
          <cell r="M129" t="str">
            <v>3000/220</v>
          </cell>
        </row>
        <row r="130">
          <cell r="M130" t="str">
            <v>4210/000Pft/Loss on foreign exchange</v>
          </cell>
        </row>
        <row r="131">
          <cell r="M131" t="str">
            <v>4700/000FINANCE COSTS</v>
          </cell>
        </row>
        <row r="132">
          <cell r="M132" t="str">
            <v>4700/010Interest paid---------------------------</v>
          </cell>
        </row>
        <row r="133">
          <cell r="M133" t="str">
            <v>4700/011Nedbank - Bond</v>
          </cell>
        </row>
        <row r="134">
          <cell r="M134" t="str">
            <v>4700/012Current account</v>
          </cell>
        </row>
        <row r="135">
          <cell r="M135" t="str">
            <v>4700/013FNB - Bond</v>
          </cell>
        </row>
        <row r="136">
          <cell r="M136" t="str">
            <v>4700/014Investec - Bond</v>
          </cell>
        </row>
        <row r="137">
          <cell r="M137" t="str">
            <v>4700/020Hire purchase interest</v>
          </cell>
        </row>
        <row r="138">
          <cell r="M138" t="str">
            <v>4750/000OTHER</v>
          </cell>
        </row>
        <row r="139">
          <cell r="M139" t="str">
            <v>4750/010Loss on Revaluation of Investments</v>
          </cell>
        </row>
        <row r="140">
          <cell r="M140" t="str">
            <v>4800/000NORMAL TAXATION</v>
          </cell>
        </row>
        <row r="141">
          <cell r="M141" t="str">
            <v>4800/001Tax provided this year</v>
          </cell>
        </row>
        <row r="142">
          <cell r="M142" t="str">
            <v>4800/002Tax adjustment previous year</v>
          </cell>
        </row>
        <row r="143">
          <cell r="M143" t="str">
            <v>4800/010Secondary tax on companies</v>
          </cell>
        </row>
        <row r="144">
          <cell r="M144" t="str">
            <v>4820/000DEFERRED TAX</v>
          </cell>
        </row>
        <row r="145">
          <cell r="M145" t="str">
            <v>4820/001Deferred tax this year</v>
          </cell>
        </row>
        <row r="146">
          <cell r="M146" t="str">
            <v>4820/002Deferred tax adjustment previous year</v>
          </cell>
        </row>
        <row r="147">
          <cell r="M147" t="str">
            <v>4850/000Dividends Declared</v>
          </cell>
        </row>
        <row r="148">
          <cell r="M148" t="str">
            <v>4860/000Dividends paid</v>
          </cell>
        </row>
        <row r="151">
          <cell r="M151">
            <v>0</v>
          </cell>
        </row>
        <row r="152">
          <cell r="C152" t="str">
            <v>SHARE CAPITAL</v>
          </cell>
          <cell r="M152" t="str">
            <v>5100/000SHARE CAPITAL</v>
          </cell>
        </row>
        <row r="153">
          <cell r="C153" t="str">
            <v>Share Capital - Balance b/fwd</v>
          </cell>
          <cell r="M153" t="str">
            <v>5100/001Share Capital - Balance b/fwd</v>
          </cell>
        </row>
        <row r="154">
          <cell r="C154" t="str">
            <v>Share Capital - Additions</v>
          </cell>
          <cell r="M154" t="str">
            <v>5100/002Share Capital - Additions</v>
          </cell>
        </row>
        <row r="155">
          <cell r="C155" t="str">
            <v>SHARE PREMIUM</v>
          </cell>
          <cell r="M155" t="str">
            <v>5110/000SHARE PREMIUM</v>
          </cell>
        </row>
        <row r="156">
          <cell r="C156" t="str">
            <v>Share premium - Balance b/fwd</v>
          </cell>
          <cell r="M156" t="str">
            <v>5110/001Share premium - Balance b/fwd</v>
          </cell>
        </row>
        <row r="157">
          <cell r="C157" t="str">
            <v>Share premium - Additions</v>
          </cell>
          <cell r="M157" t="str">
            <v>5110/002Share premium - Additions</v>
          </cell>
        </row>
        <row r="158">
          <cell r="C158" t="str">
            <v>Share premium - transfer</v>
          </cell>
          <cell r="M158" t="str">
            <v>5110/003Share premium - transfer</v>
          </cell>
        </row>
        <row r="159">
          <cell r="C159" t="str">
            <v>VALUATION RESERVE</v>
          </cell>
          <cell r="M159" t="str">
            <v>5120/000VALUATION RESERVE</v>
          </cell>
        </row>
        <row r="160">
          <cell r="C160" t="str">
            <v>Valuation reserve - Balance b/fwd</v>
          </cell>
          <cell r="M160" t="str">
            <v>5120/001Valuation reserve - Balance b/fwd</v>
          </cell>
        </row>
        <row r="161">
          <cell r="C161" t="str">
            <v>Valuation reserve - Additions</v>
          </cell>
          <cell r="M161" t="str">
            <v>5120/002Valuation reserve - Additions</v>
          </cell>
        </row>
        <row r="162">
          <cell r="C162" t="str">
            <v>Valuation reserve - transfer to p/l</v>
          </cell>
          <cell r="M162" t="str">
            <v>5120/003Valuation reserve - transfer to p/l</v>
          </cell>
        </row>
        <row r="163">
          <cell r="C163" t="str">
            <v>OTHER RESERVES</v>
          </cell>
          <cell r="M163" t="str">
            <v>5130/000OTHER RESERVES</v>
          </cell>
        </row>
        <row r="164">
          <cell r="C164" t="str">
            <v>Other reserves - Balance B/fwd</v>
          </cell>
          <cell r="M164" t="str">
            <v>5130/001Other reserves - Balance B/fwd</v>
          </cell>
        </row>
        <row r="165">
          <cell r="C165" t="str">
            <v>Other reserves - Additions</v>
          </cell>
          <cell r="M165" t="str">
            <v>5130/002Other reserves - Additions</v>
          </cell>
        </row>
        <row r="166">
          <cell r="C166" t="str">
            <v>Other reserves - transfer</v>
          </cell>
          <cell r="M166" t="str">
            <v>5130/003Other reserves - transfer</v>
          </cell>
        </row>
        <row r="167">
          <cell r="C167" t="str">
            <v>Retained Income / (Accumulated Loss)</v>
          </cell>
          <cell r="M167" t="str">
            <v>5200/000Retained Income / (Accumulated Loss)</v>
          </cell>
        </row>
        <row r="168">
          <cell r="C168" t="str">
            <v>MEMBERS' LOANS</v>
          </cell>
          <cell r="M168" t="str">
            <v>5420/000MEMBERS' LOANS</v>
          </cell>
        </row>
        <row r="169">
          <cell r="C169" t="str">
            <v>Member 1 - balance b/fwd</v>
          </cell>
          <cell r="M169" t="str">
            <v>5420/010Member 1 - balance b/fwd</v>
          </cell>
        </row>
        <row r="170">
          <cell r="C170" t="str">
            <v>Member 1 - Advance/Repayment in year</v>
          </cell>
          <cell r="M170" t="str">
            <v>5420/011Member 1 - Advance/Repayment in year</v>
          </cell>
        </row>
        <row r="171">
          <cell r="C171" t="str">
            <v>Member 1 - Profits distributed</v>
          </cell>
          <cell r="M171" t="str">
            <v>5420/012Member 1 - Profits distributed</v>
          </cell>
        </row>
        <row r="172">
          <cell r="C172" t="str">
            <v>Member 2 - balance b/fwd</v>
          </cell>
          <cell r="M172" t="str">
            <v>5420/020Member 2 - balance b/fwd</v>
          </cell>
        </row>
        <row r="173">
          <cell r="C173" t="str">
            <v>Member 2 - Advance/Repayment in year</v>
          </cell>
          <cell r="M173" t="str">
            <v>5420/021Member 2 - Advance/Repayment in year</v>
          </cell>
        </row>
        <row r="174">
          <cell r="C174" t="str">
            <v>Member 2 - Profits distributed</v>
          </cell>
          <cell r="M174" t="str">
            <v>5420/022Member 2 - Profits distributed</v>
          </cell>
        </row>
        <row r="175">
          <cell r="C175" t="str">
            <v>Member 3 - balance b/fwd</v>
          </cell>
          <cell r="M175" t="str">
            <v>5420/030Member 3 - balance b/fwd</v>
          </cell>
        </row>
        <row r="176">
          <cell r="C176" t="str">
            <v>Member 3 - Advance/Repayment in year</v>
          </cell>
          <cell r="M176" t="str">
            <v>5420/031Member 3 - Advance/Repayment in year</v>
          </cell>
        </row>
        <row r="177">
          <cell r="C177" t="str">
            <v>Member 3 - Profits distributed</v>
          </cell>
          <cell r="M177" t="str">
            <v>5420/032Member 3 - Profits distributed</v>
          </cell>
        </row>
        <row r="178">
          <cell r="C178" t="str">
            <v>Member 4 - balance b/fwd</v>
          </cell>
          <cell r="M178" t="str">
            <v>5420/040Member 4 - balance b/fwd</v>
          </cell>
        </row>
        <row r="179">
          <cell r="C179" t="str">
            <v>Member 4 - Advance/Repayment in year</v>
          </cell>
          <cell r="M179" t="str">
            <v>5420/041Member 4 - Advance/Repayment in year</v>
          </cell>
        </row>
        <row r="180">
          <cell r="C180" t="str">
            <v>Member 4 - Profits distributed</v>
          </cell>
          <cell r="M180" t="str">
            <v>5420/042Member 4 - Profits distributed</v>
          </cell>
        </row>
        <row r="181">
          <cell r="C181" t="str">
            <v>LONG TERM  INTEREST LIABILITIES</v>
          </cell>
          <cell r="M181" t="str">
            <v>5500/000LONG TERM  INTEREST LIABILITIES</v>
          </cell>
        </row>
        <row r="182">
          <cell r="C182" t="str">
            <v>Nedbank - Bond</v>
          </cell>
          <cell r="M182" t="str">
            <v>5500/001Nedbank - Bond</v>
          </cell>
        </row>
        <row r="183">
          <cell r="C183" t="str">
            <v>First National Bank - Bond</v>
          </cell>
          <cell r="M183" t="str">
            <v>5500/002First National Bank - Bond</v>
          </cell>
        </row>
        <row r="184">
          <cell r="C184" t="str">
            <v>Investec - Bond</v>
          </cell>
          <cell r="M184" t="str">
            <v>5500/003Investec - Bond</v>
          </cell>
        </row>
        <row r="185">
          <cell r="C185" t="str">
            <v>Loan 4 **********</v>
          </cell>
          <cell r="M185" t="str">
            <v>5500/004Loan 4 **********</v>
          </cell>
        </row>
        <row r="186">
          <cell r="C186" t="str">
            <v>Bay Motors</v>
          </cell>
          <cell r="M186" t="str">
            <v>5500/005Bay Motors</v>
          </cell>
        </row>
        <row r="187">
          <cell r="C187" t="str">
            <v>Short term portion of long term loans</v>
          </cell>
          <cell r="M187" t="str">
            <v>5520/000Short term portion of long term loans</v>
          </cell>
        </row>
        <row r="188">
          <cell r="C188" t="str">
            <v>LONG TERM INTEREST FREE LOANS</v>
          </cell>
          <cell r="M188" t="str">
            <v>5550/000LONG TERM INTEREST FREE LOANS</v>
          </cell>
        </row>
        <row r="189">
          <cell r="C189" t="str">
            <v>Quickvest 259 (Pty) Ltd</v>
          </cell>
          <cell r="M189" t="str">
            <v>5550/001Quickvest 259 (Pty) Ltd</v>
          </cell>
        </row>
        <row r="190">
          <cell r="C190" t="str">
            <v>Scarlet Moon Trust</v>
          </cell>
          <cell r="M190" t="str">
            <v>5550/002Scarlet Moon Trust</v>
          </cell>
        </row>
        <row r="191">
          <cell r="C191" t="str">
            <v>Rochstrei Trust</v>
          </cell>
          <cell r="M191" t="str">
            <v>5550/003Rochstrei Trust</v>
          </cell>
        </row>
        <row r="192">
          <cell r="C192" t="str">
            <v>Tembador 100 (Pty) Ltd</v>
          </cell>
          <cell r="M192" t="str">
            <v>5550/004Tembador 100 (Pty) Ltd</v>
          </cell>
        </row>
        <row r="193">
          <cell r="C193" t="str">
            <v>P R Steyn</v>
          </cell>
          <cell r="M193" t="str">
            <v>5550/005P R Steyn</v>
          </cell>
        </row>
        <row r="194">
          <cell r="C194" t="str">
            <v>INSTALLMENT SALE CREDITORS</v>
          </cell>
          <cell r="M194" t="str">
            <v>5600/000INSTALLMENT SALE CREDITORS</v>
          </cell>
        </row>
        <row r="195">
          <cell r="C195" t="str">
            <v>A Wiffen</v>
          </cell>
          <cell r="M195" t="str">
            <v>5600/001A Wiffen</v>
          </cell>
        </row>
        <row r="196">
          <cell r="C196" t="str">
            <v>Tembador 100 (Pty) Ltd</v>
          </cell>
          <cell r="M196" t="str">
            <v>5600/002Tembador 100 (Pty) Ltd</v>
          </cell>
        </row>
        <row r="197">
          <cell r="C197" t="str">
            <v>Point Village Restaurant 1 CC</v>
          </cell>
          <cell r="M197" t="str">
            <v>5600/003Point Village Restaurant 1 CC</v>
          </cell>
        </row>
        <row r="198">
          <cell r="C198" t="str">
            <v>Point Village Restaurant 2 CC</v>
          </cell>
          <cell r="M198" t="str">
            <v>5600/004Point Village Restaurant 2 CC</v>
          </cell>
        </row>
        <row r="199">
          <cell r="C199" t="str">
            <v>CShell 172 (Pty) Ltd</v>
          </cell>
          <cell r="M199" t="str">
            <v>5600/005CShell 172 (Pty) Ltd</v>
          </cell>
        </row>
        <row r="200">
          <cell r="C200" t="str">
            <v>P R Steyn</v>
          </cell>
          <cell r="M200" t="str">
            <v>5600/006P R Steyn</v>
          </cell>
        </row>
        <row r="201">
          <cell r="C201" t="str">
            <v>Scarlet Moon Investments CC (Sea Gypsy)</v>
          </cell>
          <cell r="M201" t="str">
            <v>5600/007Scarlet Moon Investments CC (Sea Gypsy)</v>
          </cell>
        </row>
        <row r="202">
          <cell r="C202" t="str">
            <v>DHL</v>
          </cell>
          <cell r="M202" t="str">
            <v>5600/008DHL</v>
          </cell>
        </row>
        <row r="203">
          <cell r="C203" t="str">
            <v>DEFERRED TAX</v>
          </cell>
          <cell r="M203" t="str">
            <v>5700/000DEFERRED TAX</v>
          </cell>
        </row>
        <row r="204">
          <cell r="C204" t="str">
            <v>Deferred tax balance b/fwd</v>
          </cell>
          <cell r="M204" t="str">
            <v>5700/010Deferred tax balance b/fwd</v>
          </cell>
        </row>
        <row r="205">
          <cell r="C205" t="str">
            <v>Deferred tax on depreciation for year</v>
          </cell>
          <cell r="M205" t="str">
            <v>5700/011Deferred tax on depreciation for year</v>
          </cell>
        </row>
        <row r="206">
          <cell r="C206" t="str">
            <v>Deferred tax on tax loss for year</v>
          </cell>
          <cell r="M206" t="str">
            <v>5700/012Deferred tax on tax loss for year</v>
          </cell>
        </row>
        <row r="207">
          <cell r="C207" t="str">
            <v>Deferred tax adjustment previous year</v>
          </cell>
          <cell r="M207" t="str">
            <v>5700/013Deferred tax adjustment previous year</v>
          </cell>
        </row>
        <row r="208">
          <cell r="C208" t="str">
            <v>LAND &amp; BUILDINGS - COST</v>
          </cell>
          <cell r="M208" t="str">
            <v>6100/000LAND &amp; BUILDINGS - COST</v>
          </cell>
        </row>
        <row r="209">
          <cell r="C209" t="str">
            <v>Land_Buildings - Cost B/fwd</v>
          </cell>
          <cell r="M209" t="str">
            <v>6100/001Land_Buildings - Cost B/fwd</v>
          </cell>
        </row>
        <row r="210">
          <cell r="C210" t="str">
            <v>Land_Buildings - Additions</v>
          </cell>
          <cell r="M210" t="str">
            <v>6100/002Land_Buildings - Additions</v>
          </cell>
        </row>
        <row r="211">
          <cell r="C211" t="str">
            <v>Land_Buildings - Cost of sales</v>
          </cell>
          <cell r="M211" t="str">
            <v>6100/003Land_Buildings - Cost of sales</v>
          </cell>
        </row>
        <row r="212">
          <cell r="C212" t="str">
            <v>LAND &amp; BUILDINGS - ACC DEPR</v>
          </cell>
          <cell r="M212" t="str">
            <v>6100/020LAND &amp; BUILDINGS - ACC DEPR</v>
          </cell>
        </row>
        <row r="213">
          <cell r="C213" t="str">
            <v>Land &amp; Buildings - Acc depr B/fwd</v>
          </cell>
          <cell r="M213" t="str">
            <v>6100/021Land &amp; Buildings - Acc depr B/fwd</v>
          </cell>
        </row>
        <row r="214">
          <cell r="C214" t="str">
            <v>Land &amp; Buildings - Acc depr this year</v>
          </cell>
          <cell r="M214" t="str">
            <v>6100/022Land &amp; Buildings - Acc depr this year</v>
          </cell>
        </row>
        <row r="215">
          <cell r="C215" t="str">
            <v>Land &amp; Buildings - Acc depr on sales</v>
          </cell>
          <cell r="M215" t="str">
            <v>6100/023Land &amp; Buildings - Acc depr on sales</v>
          </cell>
        </row>
        <row r="216">
          <cell r="C216" t="str">
            <v>PLANT &amp; MACHINERY - COST</v>
          </cell>
          <cell r="M216" t="str">
            <v>6150/000PLANT &amp; MACHINERY - COST</v>
          </cell>
        </row>
        <row r="217">
          <cell r="C217" t="str">
            <v>Plant &amp; machinery - cost b/fwd</v>
          </cell>
          <cell r="M217" t="str">
            <v>6150/001Plant &amp; machinery - cost b/fwd</v>
          </cell>
        </row>
        <row r="218">
          <cell r="C218" t="str">
            <v>Plant &amp; machinery - Additions</v>
          </cell>
          <cell r="M218" t="str">
            <v>6150/002Plant &amp; machinery - Additions</v>
          </cell>
        </row>
        <row r="219">
          <cell r="C219" t="str">
            <v>Plant &amp; machinery - Cost of sales</v>
          </cell>
          <cell r="M219" t="str">
            <v>6150/003Plant &amp; machinery - Cost of sales</v>
          </cell>
        </row>
        <row r="220">
          <cell r="C220" t="str">
            <v>PLANT &amp; MACHINERY - ACC DEPR</v>
          </cell>
          <cell r="M220" t="str">
            <v>6150/020PLANT &amp; MACHINERY - ACC DEPR</v>
          </cell>
        </row>
        <row r="221">
          <cell r="C221" t="str">
            <v>Plant &amp; Machinery - Acc depr b/fwd</v>
          </cell>
          <cell r="M221" t="str">
            <v>6150/021Plant &amp; Machinery - Acc depr b/fwd</v>
          </cell>
        </row>
        <row r="222">
          <cell r="C222" t="str">
            <v>Plant &amp; machinery - depr this year</v>
          </cell>
          <cell r="M222" t="str">
            <v>6150/022Plant &amp; machinery - depr this year</v>
          </cell>
        </row>
        <row r="223">
          <cell r="C223" t="str">
            <v>Plant &amp; machinery - acc depr on sales</v>
          </cell>
          <cell r="M223" t="str">
            <v>6150/023Plant &amp; machinery - acc depr on sales</v>
          </cell>
        </row>
        <row r="224">
          <cell r="C224" t="str">
            <v>MOTOR VEHICLES - COST</v>
          </cell>
          <cell r="M224" t="str">
            <v>6200/000MOTOR VEHICLES - COST</v>
          </cell>
        </row>
        <row r="225">
          <cell r="C225" t="str">
            <v>Motor Vehicles - Cost B/fwd</v>
          </cell>
          <cell r="M225" t="str">
            <v>6200/001Motor Vehicles - Cost B/fwd</v>
          </cell>
        </row>
        <row r="226">
          <cell r="C226" t="str">
            <v>Motor Vehicles - Additions</v>
          </cell>
          <cell r="M226" t="str">
            <v>6200/002Motor Vehicles - Additions</v>
          </cell>
        </row>
        <row r="227">
          <cell r="C227" t="str">
            <v>Motor Vehicles - Cost of sales</v>
          </cell>
          <cell r="M227" t="str">
            <v>6200/003Motor Vehicles - Cost of sales</v>
          </cell>
        </row>
        <row r="228">
          <cell r="C228" t="str">
            <v>MOTOR VEHICLES - ACC DEPR</v>
          </cell>
          <cell r="M228" t="str">
            <v>6200/020MOTOR VEHICLES - ACC DEPR</v>
          </cell>
        </row>
        <row r="229">
          <cell r="C229" t="str">
            <v>Motor vehicles - Acc depr b/fwd</v>
          </cell>
          <cell r="M229" t="str">
            <v>6200/021Motor vehicles - Acc depr b/fwd</v>
          </cell>
        </row>
        <row r="230">
          <cell r="C230" t="str">
            <v>Motor vehicles - Depr this year</v>
          </cell>
          <cell r="M230" t="str">
            <v>6200/022Motor vehicles - Depr this year</v>
          </cell>
        </row>
        <row r="231">
          <cell r="C231" t="str">
            <v>Motor vehicles - Acc depr on sales</v>
          </cell>
          <cell r="M231" t="str">
            <v>6200/023Motor vehicles - Acc depr on sales</v>
          </cell>
        </row>
        <row r="232">
          <cell r="C232" t="str">
            <v>ELECTRONIC EQUIPMENT - COST</v>
          </cell>
          <cell r="M232" t="str">
            <v>6250/000ELECTRONIC EQUIPMENT - COST</v>
          </cell>
        </row>
        <row r="233">
          <cell r="C233" t="str">
            <v>Electronic equipment - Cost b/fwd</v>
          </cell>
          <cell r="M233" t="str">
            <v>6250/001Electronic equipment - Cost b/fwd</v>
          </cell>
        </row>
        <row r="234">
          <cell r="C234" t="str">
            <v>Electronic equipment - Additions</v>
          </cell>
          <cell r="M234" t="str">
            <v>6250/002Electronic equipment - Additions</v>
          </cell>
        </row>
        <row r="235">
          <cell r="C235" t="str">
            <v>Electronic equipment - Cost of sales</v>
          </cell>
          <cell r="M235" t="str">
            <v>6250/003Electronic equipment - Cost of sales</v>
          </cell>
        </row>
        <row r="236">
          <cell r="C236" t="str">
            <v>ELECTRONIC EQUIPMENT - ACC DEPR</v>
          </cell>
          <cell r="M236" t="str">
            <v>6250/020ELECTRONIC EQUIPMENT - ACC DEPR</v>
          </cell>
        </row>
        <row r="237">
          <cell r="C237" t="str">
            <v>Electronic equipment - Acc depr B/fwd</v>
          </cell>
          <cell r="M237" t="str">
            <v>6250/021Electronic equipment - Acc depr B/fwd</v>
          </cell>
        </row>
        <row r="238">
          <cell r="C238" t="str">
            <v>Electronic equipment - Depr this year</v>
          </cell>
          <cell r="M238" t="str">
            <v>6250/022Electronic equipment - Depr this year</v>
          </cell>
        </row>
        <row r="239">
          <cell r="C239" t="str">
            <v>Electronic equipment - Acc depr on sales</v>
          </cell>
          <cell r="M239" t="str">
            <v>6250/023Electronic equipment - Acc depr on sales</v>
          </cell>
        </row>
        <row r="240">
          <cell r="C240" t="str">
            <v>OFFICE EQUIPMENT - COST</v>
          </cell>
          <cell r="M240" t="str">
            <v>6300/000OFFICE EQUIPMENT - COST</v>
          </cell>
        </row>
        <row r="241">
          <cell r="C241" t="str">
            <v>Office Equipment - Cost B/fwd</v>
          </cell>
          <cell r="M241" t="str">
            <v>6300/001Office Equipment - Cost B/fwd</v>
          </cell>
        </row>
        <row r="242">
          <cell r="C242" t="str">
            <v>Office Equipment - Additions</v>
          </cell>
          <cell r="M242" t="str">
            <v>6300/002Office Equipment - Additions</v>
          </cell>
        </row>
        <row r="243">
          <cell r="C243" t="str">
            <v>Office Equipment - Cost of sales</v>
          </cell>
          <cell r="M243" t="str">
            <v>6300/003Office Equipment - Cost of sales</v>
          </cell>
        </row>
        <row r="244">
          <cell r="C244" t="str">
            <v>OFFICE EQUIPMENT - ACC DEPR</v>
          </cell>
          <cell r="M244" t="str">
            <v>6300/020OFFICE EQUIPMENT - ACC DEPR</v>
          </cell>
        </row>
        <row r="245">
          <cell r="C245" t="str">
            <v>Office equipment - Acc depr B/fwd</v>
          </cell>
          <cell r="M245" t="str">
            <v>6300/021Office equipment - Acc depr B/fwd</v>
          </cell>
        </row>
        <row r="246">
          <cell r="C246" t="str">
            <v>Office equipment - Depr this year</v>
          </cell>
          <cell r="M246" t="str">
            <v>6300/022Office equipment - Depr this year</v>
          </cell>
        </row>
        <row r="247">
          <cell r="C247" t="str">
            <v>Office equipment - Acc depr on sales</v>
          </cell>
          <cell r="M247" t="str">
            <v>6300/023Office equipment - Acc depr on sales</v>
          </cell>
        </row>
        <row r="248">
          <cell r="C248" t="str">
            <v>FURNITURE &amp; FITTINGS - COST</v>
          </cell>
          <cell r="M248" t="str">
            <v>6350/000FURNITURE &amp; FITTINGS - COST</v>
          </cell>
        </row>
        <row r="249">
          <cell r="C249" t="str">
            <v>Furniture &amp; fittings - Cost B/fwd</v>
          </cell>
          <cell r="M249" t="str">
            <v>6350/001Furniture &amp; fittings - Cost B/fwd</v>
          </cell>
        </row>
        <row r="250">
          <cell r="C250" t="str">
            <v>Furniture &amp; fittings - Additions</v>
          </cell>
          <cell r="M250" t="str">
            <v>6350/002Furniture &amp; fittings - Additions</v>
          </cell>
        </row>
        <row r="251">
          <cell r="C251" t="str">
            <v>Furniture &amp; fittings - Cost of sales</v>
          </cell>
          <cell r="M251" t="str">
            <v>6350/003Furniture &amp; fittings - Cost of sales</v>
          </cell>
        </row>
        <row r="252">
          <cell r="C252" t="str">
            <v>FURNITURE &amp; FITTINGS - ACC DEPR</v>
          </cell>
          <cell r="M252" t="str">
            <v>6350/020FURNITURE &amp; FITTINGS - ACC DEPR</v>
          </cell>
        </row>
        <row r="253">
          <cell r="C253" t="str">
            <v>Furniture &amp; fittings - Acc depr B/fwd</v>
          </cell>
          <cell r="M253" t="str">
            <v>6350/021Furniture &amp; fittings - Acc depr B/fwd</v>
          </cell>
        </row>
        <row r="254">
          <cell r="C254" t="str">
            <v>Furniture &amp; fittings - Depr this year</v>
          </cell>
          <cell r="M254" t="str">
            <v>6350/022Furniture &amp; fittings - Depr this year</v>
          </cell>
        </row>
        <row r="255">
          <cell r="C255" t="str">
            <v>Furniture &amp; fittings - Acc depr on sales</v>
          </cell>
          <cell r="M255" t="str">
            <v>6350/023Furniture &amp; fittings - Acc depr on sales</v>
          </cell>
        </row>
        <row r="256">
          <cell r="C256" t="str">
            <v>OTHER FIXED ASSETS  - COST</v>
          </cell>
          <cell r="M256" t="str">
            <v>6600/000OTHER FIXED ASSETS  - COST</v>
          </cell>
        </row>
        <row r="257">
          <cell r="C257" t="str">
            <v>Other fixed assets - Cost B/fwd</v>
          </cell>
          <cell r="M257" t="str">
            <v>6600/001Other fixed assets - Cost B/fwd</v>
          </cell>
        </row>
        <row r="258">
          <cell r="C258" t="str">
            <v>Other fixed assets - Additions</v>
          </cell>
          <cell r="M258" t="str">
            <v>6600/002Other fixed assets - Additions</v>
          </cell>
        </row>
        <row r="259">
          <cell r="C259" t="str">
            <v>Other fixed assets - Cost of sales</v>
          </cell>
          <cell r="M259" t="str">
            <v>6600/003Other fixed assets - Cost of sales</v>
          </cell>
        </row>
        <row r="260">
          <cell r="C260" t="str">
            <v>OTHER FIXED ASSETS - ACC DEPR</v>
          </cell>
          <cell r="M260" t="str">
            <v>6600/020OTHER FIXED ASSETS - ACC DEPR</v>
          </cell>
        </row>
        <row r="261">
          <cell r="C261" t="str">
            <v>Other fixed assets - Acc depr b/fwd</v>
          </cell>
          <cell r="M261" t="str">
            <v>6600/021Other fixed assets - Acc depr b/fwd</v>
          </cell>
        </row>
        <row r="262">
          <cell r="C262" t="str">
            <v>Other fixed assets - Depr this year</v>
          </cell>
          <cell r="M262" t="str">
            <v>6600/022Other fixed assets - Depr this year</v>
          </cell>
        </row>
        <row r="263">
          <cell r="C263" t="str">
            <v>Other fixed assets - Acc depr on sales</v>
          </cell>
          <cell r="M263" t="str">
            <v>6600/023Other fixed assets - Acc depr on sales</v>
          </cell>
        </row>
        <row r="264">
          <cell r="C264" t="str">
            <v>GOODWILL/INTANGIBLE ASSETS</v>
          </cell>
          <cell r="M264" t="str">
            <v>7000/000GOODWILL/INTANGIBLE ASSETS</v>
          </cell>
        </row>
        <row r="265">
          <cell r="C265" t="str">
            <v>Goodwill Cost</v>
          </cell>
          <cell r="M265" t="str">
            <v>7000/010Goodwill Cost</v>
          </cell>
        </row>
        <row r="266">
          <cell r="C266" t="str">
            <v>Goodwill - surplus on revaluation</v>
          </cell>
          <cell r="M266" t="str">
            <v>7000/015Goodwill - surplus on revaluation</v>
          </cell>
        </row>
        <row r="267">
          <cell r="C267" t="str">
            <v>Goodwill - write down this year</v>
          </cell>
          <cell r="M267" t="str">
            <v>7000/020Goodwill - write down this year</v>
          </cell>
        </row>
        <row r="268">
          <cell r="C268" t="str">
            <v>Goodwill - write down last year</v>
          </cell>
          <cell r="M268" t="str">
            <v>7000/025Goodwill - write down last year</v>
          </cell>
        </row>
        <row r="269">
          <cell r="C269" t="str">
            <v>INVESTMENTS</v>
          </cell>
          <cell r="M269" t="str">
            <v>7100/000INVESTMENTS</v>
          </cell>
        </row>
        <row r="270">
          <cell r="C270" t="str">
            <v>LISTED INVESTMENTS</v>
          </cell>
          <cell r="M270" t="str">
            <v>7100/100LISTED INVESTMENTS</v>
          </cell>
        </row>
        <row r="271">
          <cell r="C271" t="str">
            <v>Listed 1 ************</v>
          </cell>
          <cell r="M271" t="str">
            <v>7100/101Listed 1 ************</v>
          </cell>
        </row>
        <row r="272">
          <cell r="C272" t="str">
            <v>Listed 2 *************</v>
          </cell>
          <cell r="M272" t="str">
            <v>7100/102Listed 2 *************</v>
          </cell>
        </row>
        <row r="273">
          <cell r="C273" t="str">
            <v>Listed 3 ***************</v>
          </cell>
          <cell r="M273" t="str">
            <v>7100/103Listed 3 ***************</v>
          </cell>
        </row>
        <row r="274">
          <cell r="C274" t="str">
            <v>Listed 4 ************</v>
          </cell>
          <cell r="M274" t="str">
            <v>7100/104Listed 4 ************</v>
          </cell>
        </row>
        <row r="275">
          <cell r="C275" t="str">
            <v>Listed 5 ************</v>
          </cell>
          <cell r="M275" t="str">
            <v>7100/105Listed 5 ************</v>
          </cell>
        </row>
        <row r="276">
          <cell r="C276" t="str">
            <v>OTHER INVESTMENTS</v>
          </cell>
          <cell r="M276" t="str">
            <v>7100/200OTHER INVESTMENTS</v>
          </cell>
        </row>
        <row r="277">
          <cell r="C277" t="str">
            <v>ABSA - Money Market Account</v>
          </cell>
          <cell r="M277" t="str">
            <v>7100/201ABSA - Money Market Account</v>
          </cell>
        </row>
        <row r="278">
          <cell r="C278" t="str">
            <v>Farm</v>
          </cell>
          <cell r="M278" t="str">
            <v>7100/202Farm</v>
          </cell>
        </row>
        <row r="279">
          <cell r="C279" t="str">
            <v>Other investment 3 ************</v>
          </cell>
          <cell r="M279" t="str">
            <v>7100/203Other investment 3 ************</v>
          </cell>
        </row>
        <row r="280">
          <cell r="C280" t="str">
            <v>Other investment 4 ************</v>
          </cell>
          <cell r="M280" t="str">
            <v>7100/204Other investment 4 ************</v>
          </cell>
        </row>
        <row r="281">
          <cell r="C281" t="str">
            <v>Other investment 5 *************</v>
          </cell>
          <cell r="M281" t="str">
            <v>7100/205Other investment 5 *************</v>
          </cell>
        </row>
        <row r="282">
          <cell r="C282" t="str">
            <v>CONNECTED COMPANIES</v>
          </cell>
          <cell r="M282" t="str">
            <v>7450/000CONNECTED COMPANIES</v>
          </cell>
        </row>
        <row r="283">
          <cell r="C283" t="str">
            <v>Clifton Dunes Investments 111 (Pty) Ltd</v>
          </cell>
          <cell r="M283" t="str">
            <v>7450/001Clifton Dunes Investments 111 (Pty) Ltd</v>
          </cell>
        </row>
        <row r="284">
          <cell r="C284" t="str">
            <v>Connected co 2 **********</v>
          </cell>
          <cell r="M284" t="str">
            <v>7450/002Connected co 2 **********</v>
          </cell>
        </row>
        <row r="285">
          <cell r="C285" t="str">
            <v>Connected co 3 **********</v>
          </cell>
          <cell r="M285" t="str">
            <v>7450/003Connected co 3 **********</v>
          </cell>
        </row>
        <row r="286">
          <cell r="C286" t="str">
            <v>Connected co 4 ***********</v>
          </cell>
          <cell r="M286" t="str">
            <v>7450/004Connected co 4 ***********</v>
          </cell>
        </row>
        <row r="287">
          <cell r="C287" t="str">
            <v>Connected co 5 ***********</v>
          </cell>
          <cell r="M287" t="str">
            <v>7450/005Connected co 5 ***********</v>
          </cell>
        </row>
        <row r="288">
          <cell r="C288" t="str">
            <v>OTHER NON CURRENT RECEIVABLES</v>
          </cell>
          <cell r="M288" t="str">
            <v>7460/000OTHER NON CURRENT RECEIVABLES</v>
          </cell>
        </row>
        <row r="289">
          <cell r="C289" t="str">
            <v>K Harris - Loan</v>
          </cell>
          <cell r="M289" t="str">
            <v>7460/001K Harris - Loan</v>
          </cell>
        </row>
        <row r="290">
          <cell r="C290" t="str">
            <v>Tembador 100 (Pty) Ltd</v>
          </cell>
          <cell r="M290" t="str">
            <v>7460/002Tembador 100 (Pty) Ltd</v>
          </cell>
        </row>
        <row r="291">
          <cell r="C291" t="str">
            <v>A Wiffen</v>
          </cell>
          <cell r="M291" t="str">
            <v>7460/003A Wiffen</v>
          </cell>
        </row>
        <row r="292">
          <cell r="C292" t="str">
            <v>Wel van Pas Trust</v>
          </cell>
          <cell r="M292" t="str">
            <v>7460/006Wel van Pas Trust</v>
          </cell>
        </row>
        <row r="293">
          <cell r="C293" t="str">
            <v>Wouter de Wet Family Trust</v>
          </cell>
          <cell r="M293" t="str">
            <v>7460/007Wouter de Wet Family Trust</v>
          </cell>
        </row>
        <row r="294">
          <cell r="C294" t="str">
            <v>Barbara Bosch Family Trust</v>
          </cell>
          <cell r="M294" t="str">
            <v>7460/008Barbara Bosch Family Trust</v>
          </cell>
        </row>
        <row r="295">
          <cell r="C295" t="str">
            <v>J Wiese</v>
          </cell>
          <cell r="M295" t="str">
            <v>7460/009J Wiese</v>
          </cell>
        </row>
        <row r="296">
          <cell r="C296" t="str">
            <v>INVENTORY</v>
          </cell>
          <cell r="M296" t="str">
            <v>7500/000INVENTORY</v>
          </cell>
        </row>
        <row r="297">
          <cell r="C297" t="str">
            <v>Raw materials</v>
          </cell>
          <cell r="M297" t="str">
            <v>7500/001Raw materials</v>
          </cell>
        </row>
        <row r="298">
          <cell r="C298" t="str">
            <v>Work in progress</v>
          </cell>
          <cell r="M298" t="str">
            <v>7500/002Work in progress</v>
          </cell>
        </row>
        <row r="299">
          <cell r="C299" t="str">
            <v>Finished goods</v>
          </cell>
          <cell r="M299" t="str">
            <v>7500/003Finished goods</v>
          </cell>
        </row>
        <row r="300">
          <cell r="C300" t="str">
            <v>Trading stock</v>
          </cell>
          <cell r="M300" t="str">
            <v>7500/004Trading stock</v>
          </cell>
        </row>
        <row r="301">
          <cell r="C301" t="str">
            <v>DEBTORS</v>
          </cell>
          <cell r="M301" t="str">
            <v>8000/000DEBTORS</v>
          </cell>
        </row>
        <row r="302">
          <cell r="C302" t="str">
            <v>Trade debtors</v>
          </cell>
          <cell r="M302" t="str">
            <v>8010/000Trade debtors</v>
          </cell>
        </row>
        <row r="303">
          <cell r="C303" t="str">
            <v>Service deposits</v>
          </cell>
          <cell r="M303" t="str">
            <v>8020/000Service deposits</v>
          </cell>
        </row>
        <row r="304">
          <cell r="C304" t="str">
            <v>Less: Provision For Doubtful Debts</v>
          </cell>
          <cell r="M304" t="str">
            <v>8050/000Less: Provision For Doubtful Debts</v>
          </cell>
        </row>
        <row r="305">
          <cell r="C305" t="str">
            <v>Sundry Customers</v>
          </cell>
          <cell r="M305" t="str">
            <v>8200/000Sundry Customers</v>
          </cell>
        </row>
        <row r="306">
          <cell r="C306" t="str">
            <v>Prepayments</v>
          </cell>
          <cell r="M306" t="str">
            <v>8200/010Prepayments</v>
          </cell>
        </row>
        <row r="307">
          <cell r="C307" t="str">
            <v>Staff Loans</v>
          </cell>
          <cell r="M307" t="str">
            <v>8200/020Staff Loans</v>
          </cell>
        </row>
        <row r="308">
          <cell r="C308" t="str">
            <v>BANK ACCOUNTS</v>
          </cell>
          <cell r="M308" t="str">
            <v>8400/000BANK ACCOUNTS</v>
          </cell>
        </row>
        <row r="309">
          <cell r="C309" t="str">
            <v>ABSA - Current Account Cshell 172</v>
          </cell>
          <cell r="M309" t="str">
            <v>8410/000ABSA - Current Account Cshell 172</v>
          </cell>
        </row>
        <row r="310">
          <cell r="C310" t="str">
            <v>ABSA - Current Account Bay Motors</v>
          </cell>
          <cell r="M310" t="str">
            <v>8420/000ABSA - Current Account Bay Motors</v>
          </cell>
        </row>
        <row r="311">
          <cell r="C311" t="str">
            <v>Standard Bank</v>
          </cell>
          <cell r="M311" t="str">
            <v>8430/000Standard Bank</v>
          </cell>
        </row>
        <row r="312">
          <cell r="C312" t="str">
            <v>Bank account 4 **********</v>
          </cell>
          <cell r="M312" t="str">
            <v>8440/000Bank account 4 **********</v>
          </cell>
        </row>
        <row r="313">
          <cell r="C313" t="str">
            <v>Bank account 5 **********</v>
          </cell>
          <cell r="M313" t="str">
            <v>8450/000Bank account 5 **********</v>
          </cell>
        </row>
        <row r="314">
          <cell r="C314" t="str">
            <v>Bank account 6 ***********</v>
          </cell>
          <cell r="M314" t="str">
            <v>8460/000Bank account 6 ***********</v>
          </cell>
        </row>
        <row r="315">
          <cell r="C315" t="str">
            <v>Cash on hand</v>
          </cell>
          <cell r="M315" t="str">
            <v>8500/000Cash on hand</v>
          </cell>
        </row>
        <row r="316">
          <cell r="C316" t="str">
            <v>Petty Cash</v>
          </cell>
          <cell r="M316" t="str">
            <v>8550/000Petty Cash</v>
          </cell>
        </row>
        <row r="317">
          <cell r="C317" t="str">
            <v>SHORT TERM LOANS</v>
          </cell>
          <cell r="M317" t="str">
            <v>8900/000SHORT TERM LOANS</v>
          </cell>
        </row>
        <row r="318">
          <cell r="C318" t="str">
            <v>Equipment Creditor</v>
          </cell>
          <cell r="M318" t="str">
            <v>8900/001Equipment Creditor</v>
          </cell>
        </row>
        <row r="319">
          <cell r="C319" t="str">
            <v>Short term 2 *******</v>
          </cell>
          <cell r="M319" t="str">
            <v>8900/002Short term 2 *******</v>
          </cell>
        </row>
        <row r="320">
          <cell r="C320" t="str">
            <v>Short term 3 *********</v>
          </cell>
          <cell r="M320" t="str">
            <v>8900/003Short term 3 *********</v>
          </cell>
        </row>
        <row r="321">
          <cell r="C321" t="str">
            <v>Short term portion of long term loans</v>
          </cell>
          <cell r="M321" t="str">
            <v>8900/004Short term portion of long term loans</v>
          </cell>
        </row>
        <row r="322">
          <cell r="C322" t="str">
            <v>CREDITORS</v>
          </cell>
          <cell r="M322" t="str">
            <v>9000/000CREDITORS</v>
          </cell>
        </row>
        <row r="323">
          <cell r="C323" t="str">
            <v>Trade creditors</v>
          </cell>
          <cell r="M323" t="str">
            <v>9010/000Trade creditors</v>
          </cell>
        </row>
        <row r="324">
          <cell r="C324" t="str">
            <v>Sundry Suppliers</v>
          </cell>
          <cell r="M324" t="str">
            <v>9200/000Sundry Suppliers</v>
          </cell>
        </row>
        <row r="325">
          <cell r="C325" t="str">
            <v>Accounting / Audit Fee Accrual</v>
          </cell>
          <cell r="M325" t="str">
            <v>9200/010Accounting / Audit Fee Accrual</v>
          </cell>
        </row>
        <row r="326">
          <cell r="C326" t="str">
            <v>Other Accruals</v>
          </cell>
          <cell r="M326" t="str">
            <v>9200/020Other Accruals</v>
          </cell>
        </row>
        <row r="327">
          <cell r="C327" t="str">
            <v>Salary &amp; Wages Control</v>
          </cell>
          <cell r="M327" t="str">
            <v>9250/000Salary &amp; Wages Control</v>
          </cell>
        </row>
        <row r="328">
          <cell r="C328" t="str">
            <v>TAXATION</v>
          </cell>
          <cell r="M328" t="str">
            <v>9300/000TAXATION</v>
          </cell>
        </row>
        <row r="329">
          <cell r="C329" t="str">
            <v>Balance b/fwd</v>
          </cell>
          <cell r="M329" t="str">
            <v>9300/010Balance b/fwd</v>
          </cell>
        </row>
        <row r="330">
          <cell r="C330" t="str">
            <v>Tax provision this year</v>
          </cell>
          <cell r="M330" t="str">
            <v>9300/020Tax provision this year</v>
          </cell>
        </row>
        <row r="331">
          <cell r="C331" t="str">
            <v>Over-/Underprovision previous year</v>
          </cell>
          <cell r="M331" t="str">
            <v>9300/030Over-/Underprovision previous year</v>
          </cell>
        </row>
        <row r="332">
          <cell r="C332" t="str">
            <v>Tax paid for previous year provisions</v>
          </cell>
          <cell r="M332" t="str">
            <v>9300/040Tax paid for previous year provisions</v>
          </cell>
        </row>
        <row r="333">
          <cell r="C333" t="str">
            <v>1st Provisional Paid</v>
          </cell>
          <cell r="M333" t="str">
            <v>9300/0501st Provisional Paid</v>
          </cell>
        </row>
        <row r="334">
          <cell r="C334" t="str">
            <v>2nd Provisional Paid</v>
          </cell>
          <cell r="M334" t="str">
            <v>9300/0602nd Provisional Paid</v>
          </cell>
        </row>
        <row r="335">
          <cell r="C335" t="str">
            <v>3rd Provisional paid</v>
          </cell>
          <cell r="M335" t="str">
            <v>9300/0703rd Provisional paid</v>
          </cell>
        </row>
        <row r="336">
          <cell r="C336" t="str">
            <v>STC paid for last year provision</v>
          </cell>
          <cell r="M336" t="str">
            <v>9300/080STC paid for last year provision</v>
          </cell>
        </row>
        <row r="337">
          <cell r="C337" t="str">
            <v>STC Provision this year</v>
          </cell>
          <cell r="M337" t="str">
            <v>9300/090STC Provision this year</v>
          </cell>
        </row>
        <row r="338">
          <cell r="C338" t="str">
            <v>Tax paid on Foreign Dividends</v>
          </cell>
          <cell r="M338" t="str">
            <v>9300/100Tax paid on Foreign Dividends</v>
          </cell>
        </row>
        <row r="339">
          <cell r="C339" t="str">
            <v>Dividends Payable</v>
          </cell>
          <cell r="M339" t="str">
            <v>9350/000Dividends Payable</v>
          </cell>
        </row>
        <row r="340">
          <cell r="C340" t="str">
            <v>Provision for Future Expenses</v>
          </cell>
          <cell r="M340" t="str">
            <v>9400/000Provision for Future Expenses</v>
          </cell>
        </row>
        <row r="341">
          <cell r="C341" t="str">
            <v>Provision for Insurance</v>
          </cell>
          <cell r="M341" t="str">
            <v>9400/010Provision for Insurance</v>
          </cell>
        </row>
        <row r="342">
          <cell r="C342" t="str">
            <v>Provision for Salary Bonus</v>
          </cell>
          <cell r="M342" t="str">
            <v>9400/020Provision for Salary Bonus</v>
          </cell>
        </row>
        <row r="343">
          <cell r="C343" t="str">
            <v>VALUE ADDED TAX</v>
          </cell>
          <cell r="M343" t="str">
            <v>9500/000VALUE ADDED TAX</v>
          </cell>
        </row>
        <row r="344">
          <cell r="C344" t="str">
            <v>VAT account</v>
          </cell>
          <cell r="M344" t="str">
            <v>9501/000VAT account</v>
          </cell>
        </row>
        <row r="345">
          <cell r="C345" t="str">
            <v>----------------------------------------</v>
          </cell>
          <cell r="M345" t="str">
            <v>9510/000----------------------------------------</v>
          </cell>
        </row>
        <row r="346">
          <cell r="C346" t="str">
            <v>Opening Balance / Suspense Account</v>
          </cell>
          <cell r="M346" t="str">
            <v>9990/000Opening Balance / Suspense Account</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tateENG"/>
      <sheetName val="StateENGFinal"/>
      <sheetName val="Criteria"/>
      <sheetName val="ExceptionReport"/>
      <sheetName val="TrialBalance"/>
      <sheetName val="VAT"/>
      <sheetName val="Journals"/>
      <sheetName val="TB2018"/>
      <sheetName val="GL2018"/>
      <sheetName val="FixAssetsRegister"/>
      <sheetName val="A Wiffen"/>
      <sheetName val="Loan Account1"/>
      <sheetName val="Trade Receivables"/>
      <sheetName val="Service deposits"/>
      <sheetName val="Prepayments"/>
      <sheetName val="Staff loans"/>
      <sheetName val="Sundry debtors"/>
      <sheetName val="Bank balances"/>
      <sheetName val="Cash on hand"/>
      <sheetName val="Trade payables"/>
      <sheetName val="Sundry suppliers"/>
      <sheetName val="Accounting fees"/>
      <sheetName val="Other accruals"/>
      <sheetName val="Salary control"/>
      <sheetName val="HPLead"/>
      <sheetName val="HP1"/>
      <sheetName val="StateENGA"/>
      <sheetName val="TrialBalanceA"/>
      <sheetName val="JournalsA"/>
      <sheetName val="StateENGB"/>
      <sheetName val="TrialBalanceB"/>
      <sheetName val="JournalsB"/>
      <sheetName val="A_Wiffen4"/>
      <sheetName val="Loan_Account14"/>
      <sheetName val="Trade_Receivables4"/>
      <sheetName val="Service_deposits4"/>
      <sheetName val="Staff_loans4"/>
      <sheetName val="Sundry_debtors4"/>
      <sheetName val="Bank_balances4"/>
      <sheetName val="Cash_on_hand4"/>
      <sheetName val="Trade_payables4"/>
      <sheetName val="Sundry_suppliers4"/>
      <sheetName val="Accounting_fees4"/>
      <sheetName val="Other_accruals4"/>
      <sheetName val="Salary_control4"/>
      <sheetName val="A_Wiffen2"/>
      <sheetName val="Loan_Account12"/>
      <sheetName val="Trade_Receivables2"/>
      <sheetName val="Service_deposits2"/>
      <sheetName val="Staff_loans2"/>
      <sheetName val="Sundry_debtors2"/>
      <sheetName val="Bank_balances2"/>
      <sheetName val="Cash_on_hand2"/>
      <sheetName val="Trade_payables2"/>
      <sheetName val="Sundry_suppliers2"/>
      <sheetName val="Accounting_fees2"/>
      <sheetName val="Other_accruals2"/>
      <sheetName val="Salary_control2"/>
      <sheetName val="A_Wiffen"/>
      <sheetName val="Loan_Account1"/>
      <sheetName val="Trade_Receivables"/>
      <sheetName val="Service_deposits"/>
      <sheetName val="Staff_loans"/>
      <sheetName val="Sundry_debtors"/>
      <sheetName val="Bank_balances"/>
      <sheetName val="Cash_on_hand"/>
      <sheetName val="Trade_payables"/>
      <sheetName val="Sundry_suppliers"/>
      <sheetName val="Accounting_fees"/>
      <sheetName val="Other_accruals"/>
      <sheetName val="Salary_control"/>
      <sheetName val="A_Wiffen1"/>
      <sheetName val="Loan_Account11"/>
      <sheetName val="Trade_Receivables1"/>
      <sheetName val="Service_deposits1"/>
      <sheetName val="Staff_loans1"/>
      <sheetName val="Sundry_debtors1"/>
      <sheetName val="Bank_balances1"/>
      <sheetName val="Cash_on_hand1"/>
      <sheetName val="Trade_payables1"/>
      <sheetName val="Sundry_suppliers1"/>
      <sheetName val="Accounting_fees1"/>
      <sheetName val="Other_accruals1"/>
      <sheetName val="Salary_control1"/>
      <sheetName val="A_Wiffen3"/>
      <sheetName val="Loan_Account13"/>
      <sheetName val="Trade_Receivables3"/>
      <sheetName val="Service_deposits3"/>
      <sheetName val="Staff_loans3"/>
      <sheetName val="Sundry_debtors3"/>
      <sheetName val="Bank_balances3"/>
      <sheetName val="Cash_on_hand3"/>
      <sheetName val="Trade_payables3"/>
      <sheetName val="Sundry_suppliers3"/>
      <sheetName val="Accounting_fees3"/>
      <sheetName val="Other_accruals3"/>
      <sheetName val="Salary_control3"/>
      <sheetName val="A_Wiffen8"/>
      <sheetName val="Loan_Account18"/>
      <sheetName val="Trade_Receivables8"/>
      <sheetName val="Service_deposits8"/>
      <sheetName val="Staff_loans8"/>
      <sheetName val="Sundry_debtors8"/>
      <sheetName val="Bank_balances8"/>
      <sheetName val="Cash_on_hand8"/>
      <sheetName val="Trade_payables8"/>
      <sheetName val="Sundry_suppliers8"/>
      <sheetName val="Accounting_fees8"/>
      <sheetName val="Other_accruals8"/>
      <sheetName val="Salary_control8"/>
      <sheetName val="A_Wiffen5"/>
      <sheetName val="Loan_Account15"/>
      <sheetName val="Trade_Receivables5"/>
      <sheetName val="Service_deposits5"/>
      <sheetName val="Staff_loans5"/>
      <sheetName val="Sundry_debtors5"/>
      <sheetName val="Bank_balances5"/>
      <sheetName val="Cash_on_hand5"/>
      <sheetName val="Trade_payables5"/>
      <sheetName val="Sundry_suppliers5"/>
      <sheetName val="Accounting_fees5"/>
      <sheetName val="Other_accruals5"/>
      <sheetName val="Salary_control5"/>
      <sheetName val="A_Wiffen6"/>
      <sheetName val="Loan_Account16"/>
      <sheetName val="Trade_Receivables6"/>
      <sheetName val="Service_deposits6"/>
      <sheetName val="Staff_loans6"/>
      <sheetName val="Sundry_debtors6"/>
      <sheetName val="Bank_balances6"/>
      <sheetName val="Cash_on_hand6"/>
      <sheetName val="Trade_payables6"/>
      <sheetName val="Sundry_suppliers6"/>
      <sheetName val="Accounting_fees6"/>
      <sheetName val="Other_accruals6"/>
      <sheetName val="Salary_control6"/>
      <sheetName val="A_Wiffen7"/>
      <sheetName val="Loan_Account17"/>
      <sheetName val="Trade_Receivables7"/>
      <sheetName val="Service_deposits7"/>
      <sheetName val="Staff_loans7"/>
      <sheetName val="Sundry_debtors7"/>
      <sheetName val="Bank_balances7"/>
      <sheetName val="Cash_on_hand7"/>
      <sheetName val="Trade_payables7"/>
      <sheetName val="Sundry_suppliers7"/>
      <sheetName val="Accounting_fees7"/>
      <sheetName val="Other_accruals7"/>
      <sheetName val="Salary_control7"/>
      <sheetName val="A_Wiffen9"/>
      <sheetName val="Loan_Account19"/>
      <sheetName val="Trade_Receivables9"/>
      <sheetName val="Service_deposits9"/>
      <sheetName val="Staff_loans9"/>
      <sheetName val="Sundry_debtors9"/>
      <sheetName val="Bank_balances9"/>
      <sheetName val="Cash_on_hand9"/>
      <sheetName val="Trade_payables9"/>
      <sheetName val="Sundry_suppliers9"/>
      <sheetName val="Accounting_fees9"/>
      <sheetName val="Other_accruals9"/>
      <sheetName val="Salary_control9"/>
      <sheetName val="A_Wiffen10"/>
      <sheetName val="Loan_Account110"/>
      <sheetName val="Trade_Receivables10"/>
      <sheetName val="Service_deposits10"/>
      <sheetName val="Staff_loans10"/>
      <sheetName val="Sundry_debtors10"/>
      <sheetName val="Bank_balances10"/>
      <sheetName val="Cash_on_hand10"/>
      <sheetName val="Trade_payables10"/>
      <sheetName val="Sundry_suppliers10"/>
      <sheetName val="Accounting_fees10"/>
      <sheetName val="Other_accruals10"/>
      <sheetName val="Salary_control10"/>
      <sheetName val="A_Wiffen11"/>
      <sheetName val="Loan_Account111"/>
      <sheetName val="Trade_Receivables11"/>
      <sheetName val="Service_deposits11"/>
      <sheetName val="Staff_loans11"/>
      <sheetName val="Sundry_debtors11"/>
      <sheetName val="Bank_balances11"/>
      <sheetName val="Cash_on_hand11"/>
      <sheetName val="Trade_payables11"/>
      <sheetName val="Sundry_suppliers11"/>
      <sheetName val="Accounting_fees11"/>
      <sheetName val="Other_accruals11"/>
      <sheetName val="Salary_control11"/>
      <sheetName val="A_Wiffen12"/>
      <sheetName val="Loan_Account112"/>
      <sheetName val="Trade_Receivables12"/>
      <sheetName val="Service_deposits12"/>
      <sheetName val="Staff_loans12"/>
      <sheetName val="Sundry_debtors12"/>
      <sheetName val="Bank_balances12"/>
      <sheetName val="Cash_on_hand12"/>
      <sheetName val="Trade_payables12"/>
      <sheetName val="Sundry_suppliers12"/>
      <sheetName val="Accounting_fees12"/>
      <sheetName val="Other_accruals12"/>
      <sheetName val="Salary_control12"/>
      <sheetName val="A_Wiffen13"/>
      <sheetName val="Loan_Account113"/>
      <sheetName val="Trade_Receivables13"/>
      <sheetName val="Service_deposits13"/>
      <sheetName val="Staff_loans13"/>
      <sheetName val="Sundry_debtors13"/>
      <sheetName val="Bank_balances13"/>
      <sheetName val="Cash_on_hand13"/>
      <sheetName val="Trade_payables13"/>
      <sheetName val="Sundry_suppliers13"/>
      <sheetName val="Accounting_fees13"/>
      <sheetName val="Other_accruals13"/>
      <sheetName val="Salary_control13"/>
      <sheetName val="A_Wiffen14"/>
      <sheetName val="Loan_Account114"/>
      <sheetName val="Trade_Receivables14"/>
      <sheetName val="Service_deposits14"/>
      <sheetName val="Staff_loans14"/>
      <sheetName val="Sundry_debtors14"/>
      <sheetName val="Bank_balances14"/>
      <sheetName val="Cash_on_hand14"/>
      <sheetName val="Trade_payables14"/>
      <sheetName val="Sundry_suppliers14"/>
      <sheetName val="Accounting_fees14"/>
      <sheetName val="Other_accruals14"/>
      <sheetName val="Salary_control14"/>
      <sheetName val="A_Wiffen17"/>
      <sheetName val="Loan_Account117"/>
      <sheetName val="Trade_Receivables17"/>
      <sheetName val="Service_deposits17"/>
      <sheetName val="Staff_loans17"/>
      <sheetName val="Sundry_debtors17"/>
      <sheetName val="Bank_balances17"/>
      <sheetName val="Cash_on_hand17"/>
      <sheetName val="Trade_payables17"/>
      <sheetName val="Sundry_suppliers17"/>
      <sheetName val="Accounting_fees17"/>
      <sheetName val="Other_accruals17"/>
      <sheetName val="Salary_control17"/>
      <sheetName val="A_Wiffen16"/>
      <sheetName val="Loan_Account116"/>
      <sheetName val="Trade_Receivables16"/>
      <sheetName val="Service_deposits16"/>
      <sheetName val="Staff_loans16"/>
      <sheetName val="Sundry_debtors16"/>
      <sheetName val="Bank_balances16"/>
      <sheetName val="Cash_on_hand16"/>
      <sheetName val="Trade_payables16"/>
      <sheetName val="Sundry_suppliers16"/>
      <sheetName val="Accounting_fees16"/>
      <sheetName val="Other_accruals16"/>
      <sheetName val="Salary_control16"/>
      <sheetName val="A_Wiffen15"/>
      <sheetName val="Loan_Account115"/>
      <sheetName val="Trade_Receivables15"/>
      <sheetName val="Service_deposits15"/>
      <sheetName val="Staff_loans15"/>
      <sheetName val="Sundry_debtors15"/>
      <sheetName val="Bank_balances15"/>
      <sheetName val="Cash_on_hand15"/>
      <sheetName val="Trade_payables15"/>
      <sheetName val="Sundry_suppliers15"/>
      <sheetName val="Accounting_fees15"/>
      <sheetName val="Other_accruals15"/>
      <sheetName val="Salary_control15"/>
      <sheetName val="A_Wiffen18"/>
      <sheetName val="Loan_Account118"/>
      <sheetName val="Trade_Receivables18"/>
      <sheetName val="Service_deposits18"/>
      <sheetName val="Staff_loans18"/>
      <sheetName val="Sundry_debtors18"/>
      <sheetName val="Bank_balances18"/>
      <sheetName val="Cash_on_hand18"/>
      <sheetName val="Trade_payables18"/>
      <sheetName val="Sundry_suppliers18"/>
      <sheetName val="Accounting_fees18"/>
      <sheetName val="Other_accruals18"/>
      <sheetName val="Salary_control18"/>
      <sheetName val="A_Wiffen19"/>
      <sheetName val="Loan_Account119"/>
      <sheetName val="Trade_Receivables19"/>
      <sheetName val="Service_deposits19"/>
      <sheetName val="Staff_loans19"/>
      <sheetName val="Sundry_debtors19"/>
      <sheetName val="Bank_balances19"/>
      <sheetName val="Cash_on_hand19"/>
      <sheetName val="Trade_payables19"/>
      <sheetName val="Sundry_suppliers19"/>
      <sheetName val="Accounting_fees19"/>
      <sheetName val="Other_accruals19"/>
      <sheetName val="Salary_control19"/>
      <sheetName val="A_Wiffen20"/>
      <sheetName val="Loan_Account120"/>
      <sheetName val="Trade_Receivables20"/>
      <sheetName val="Service_deposits20"/>
      <sheetName val="Staff_loans20"/>
      <sheetName val="Sundry_debtors20"/>
      <sheetName val="Bank_balances20"/>
      <sheetName val="Cash_on_hand20"/>
      <sheetName val="Trade_payables20"/>
      <sheetName val="Sundry_suppliers20"/>
      <sheetName val="Accounting_fees20"/>
      <sheetName val="Other_accruals20"/>
      <sheetName val="Salary_control20"/>
      <sheetName val="A_Wiffen21"/>
      <sheetName val="Loan_Account121"/>
      <sheetName val="Trade_Receivables21"/>
      <sheetName val="Service_deposits21"/>
      <sheetName val="Staff_loans21"/>
      <sheetName val="Sundry_debtors21"/>
      <sheetName val="Bank_balances21"/>
      <sheetName val="Cash_on_hand21"/>
      <sheetName val="Trade_payables21"/>
      <sheetName val="Sundry_suppliers21"/>
      <sheetName val="Accounting_fees21"/>
      <sheetName val="Other_accruals21"/>
      <sheetName val="Salary_control21"/>
      <sheetName val="A_Wiffen22"/>
      <sheetName val="Loan_Account122"/>
      <sheetName val="Trade_Receivables22"/>
      <sheetName val="Service_deposits22"/>
      <sheetName val="Staff_loans22"/>
      <sheetName val="Sundry_debtors22"/>
      <sheetName val="Bank_balances22"/>
      <sheetName val="Cash_on_hand22"/>
      <sheetName val="Trade_payables22"/>
      <sheetName val="Sundry_suppliers22"/>
      <sheetName val="Accounting_fees22"/>
      <sheetName val="Other_accruals22"/>
      <sheetName val="Salary_control22"/>
      <sheetName val="A_Wiffen23"/>
      <sheetName val="Loan_Account123"/>
      <sheetName val="Trade_Receivables23"/>
      <sheetName val="Service_deposits23"/>
      <sheetName val="Staff_loans23"/>
      <sheetName val="Sundry_debtors23"/>
      <sheetName val="Bank_balances23"/>
      <sheetName val="Cash_on_hand23"/>
      <sheetName val="Trade_payables23"/>
      <sheetName val="Sundry_suppliers23"/>
      <sheetName val="Accounting_fees23"/>
      <sheetName val="Other_accruals23"/>
      <sheetName val="Salary_control23"/>
      <sheetName val="A_Wiffen24"/>
      <sheetName val="Loan_Account124"/>
      <sheetName val="Trade_Receivables24"/>
      <sheetName val="Service_deposits24"/>
      <sheetName val="Staff_loans24"/>
      <sheetName val="Sundry_debtors24"/>
      <sheetName val="Bank_balances24"/>
      <sheetName val="Cash_on_hand24"/>
      <sheetName val="Trade_payables24"/>
      <sheetName val="Sundry_suppliers24"/>
      <sheetName val="Accounting_fees24"/>
      <sheetName val="Other_accruals24"/>
      <sheetName val="Salary_control24"/>
      <sheetName val="A_Wiffen25"/>
      <sheetName val="Loan_Account125"/>
      <sheetName val="Trade_Receivables25"/>
      <sheetName val="Service_deposits25"/>
      <sheetName val="Staff_loans25"/>
      <sheetName val="Sundry_debtors25"/>
      <sheetName val="Bank_balances25"/>
      <sheetName val="Cash_on_hand25"/>
      <sheetName val="Trade_payables25"/>
      <sheetName val="Sundry_suppliers25"/>
      <sheetName val="Accounting_fees25"/>
      <sheetName val="Other_accruals25"/>
      <sheetName val="Salary_control25"/>
      <sheetName val="A_Wiffen28"/>
      <sheetName val="Loan_Account128"/>
      <sheetName val="Trade_Receivables28"/>
      <sheetName val="Service_deposits28"/>
      <sheetName val="Staff_loans28"/>
      <sheetName val="Sundry_debtors28"/>
      <sheetName val="Bank_balances28"/>
      <sheetName val="Cash_on_hand28"/>
      <sheetName val="Trade_payables28"/>
      <sheetName val="Sundry_suppliers28"/>
      <sheetName val="Accounting_fees28"/>
      <sheetName val="Other_accruals28"/>
      <sheetName val="Salary_control28"/>
      <sheetName val="A_Wiffen26"/>
      <sheetName val="Loan_Account126"/>
      <sheetName val="Trade_Receivables26"/>
      <sheetName val="Service_deposits26"/>
      <sheetName val="Staff_loans26"/>
      <sheetName val="Sundry_debtors26"/>
      <sheetName val="Bank_balances26"/>
      <sheetName val="Cash_on_hand26"/>
      <sheetName val="Trade_payables26"/>
      <sheetName val="Sundry_suppliers26"/>
      <sheetName val="Accounting_fees26"/>
      <sheetName val="Other_accruals26"/>
      <sheetName val="Salary_control26"/>
      <sheetName val="A_Wiffen27"/>
      <sheetName val="Loan_Account127"/>
      <sheetName val="Trade_Receivables27"/>
      <sheetName val="Service_deposits27"/>
      <sheetName val="Staff_loans27"/>
      <sheetName val="Sundry_debtors27"/>
      <sheetName val="Bank_balances27"/>
      <sheetName val="Cash_on_hand27"/>
      <sheetName val="Trade_payables27"/>
      <sheetName val="Sundry_suppliers27"/>
      <sheetName val="Accounting_fees27"/>
      <sheetName val="Other_accruals27"/>
      <sheetName val="Salary_control2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5">
          <cell r="L5" t="str">
            <v>1000/001Sales</v>
          </cell>
        </row>
      </sheetData>
      <sheetData sheetId="28"/>
      <sheetData sheetId="29"/>
      <sheetData sheetId="30">
        <row r="5">
          <cell r="L5" t="str">
            <v>1000/001Sales</v>
          </cell>
        </row>
        <row r="159">
          <cell r="L159" t="str">
            <v>5105/000MEMBERS' CONTRIBUTIONS</v>
          </cell>
        </row>
        <row r="160">
          <cell r="L160" t="str">
            <v>5105/001A Wiffen</v>
          </cell>
        </row>
        <row r="161">
          <cell r="L161" t="str">
            <v>5105/002</v>
          </cell>
        </row>
        <row r="162">
          <cell r="L162" t="str">
            <v>5105/003</v>
          </cell>
        </row>
        <row r="163">
          <cell r="L163" t="str">
            <v>5105/004</v>
          </cell>
        </row>
        <row r="164">
          <cell r="L164" t="str">
            <v>5120/000VALUATION RESERVE</v>
          </cell>
        </row>
        <row r="165">
          <cell r="L165" t="str">
            <v>5120/001Valuation reserve - Balance b/fwd</v>
          </cell>
        </row>
        <row r="166">
          <cell r="L166" t="str">
            <v>5120/002Valuation reserve - Additions</v>
          </cell>
        </row>
        <row r="167">
          <cell r="L167" t="str">
            <v>5120/003Valuation reserve - transfer to p/l</v>
          </cell>
        </row>
        <row r="168">
          <cell r="L168" t="str">
            <v>5130/000OTHER RESERVES</v>
          </cell>
        </row>
        <row r="169">
          <cell r="L169" t="str">
            <v>5130/001Other reserves - Balance B/fwd</v>
          </cell>
        </row>
        <row r="170">
          <cell r="L170" t="str">
            <v>5130/002Other reserves - Additions</v>
          </cell>
        </row>
        <row r="171">
          <cell r="L171" t="str">
            <v>5130/003Other reserves - transfer</v>
          </cell>
        </row>
        <row r="172">
          <cell r="L172" t="str">
            <v>5200/000Retained Income / (Accumulated Loss)</v>
          </cell>
        </row>
        <row r="173">
          <cell r="L173" t="str">
            <v>5420/000MEMBERS' LOANS</v>
          </cell>
        </row>
        <row r="174">
          <cell r="L174" t="str">
            <v>5420/010Member 1 - balance b/fwd</v>
          </cell>
        </row>
        <row r="175">
          <cell r="L175" t="str">
            <v>5420/011Member 1 - Advance/Repayment in year</v>
          </cell>
        </row>
        <row r="176">
          <cell r="L176" t="str">
            <v>5420/012Member 1 - Profits distributed</v>
          </cell>
        </row>
        <row r="177">
          <cell r="L177" t="str">
            <v>5420/020Member 2 - balance b/fwd</v>
          </cell>
        </row>
        <row r="178">
          <cell r="L178" t="str">
            <v>5420/021Member 2 - Advance/Repayment in year</v>
          </cell>
        </row>
        <row r="179">
          <cell r="L179" t="str">
            <v>5420/022Member 2 - Profits distributed</v>
          </cell>
        </row>
        <row r="180">
          <cell r="L180" t="str">
            <v>5420/030Member 3 - balance b/fwd</v>
          </cell>
        </row>
        <row r="181">
          <cell r="L181" t="str">
            <v>5420/031Member 3 - Advance/Repayment in year</v>
          </cell>
        </row>
        <row r="182">
          <cell r="L182" t="str">
            <v>5420/032Member 3 - Profits distributed</v>
          </cell>
        </row>
        <row r="183">
          <cell r="L183" t="str">
            <v>5420/040Member 4 - balance b/fwd</v>
          </cell>
        </row>
        <row r="184">
          <cell r="L184" t="str">
            <v>5420/041Member 4 - Advance/Repayment in year</v>
          </cell>
        </row>
        <row r="185">
          <cell r="L185" t="str">
            <v>5420/042Member 4 - Profits distributed</v>
          </cell>
        </row>
        <row r="186">
          <cell r="L186" t="str">
            <v>5500/000LONG TERM  INTEREST LIABILITIES</v>
          </cell>
        </row>
        <row r="187">
          <cell r="L187" t="str">
            <v>5500/001</v>
          </cell>
        </row>
        <row r="188">
          <cell r="L188" t="str">
            <v>5500/002BBBBBBB</v>
          </cell>
        </row>
        <row r="189">
          <cell r="L189" t="str">
            <v>5500/003</v>
          </cell>
        </row>
        <row r="190">
          <cell r="L190" t="str">
            <v>5500/004cccccccccccc</v>
          </cell>
        </row>
        <row r="191">
          <cell r="L191" t="str">
            <v>5500/005</v>
          </cell>
        </row>
        <row r="192">
          <cell r="L192" t="str">
            <v>5500/005</v>
          </cell>
        </row>
        <row r="193">
          <cell r="L193" t="str">
            <v>5500/005</v>
          </cell>
        </row>
        <row r="194">
          <cell r="L194" t="str">
            <v>5500/005</v>
          </cell>
        </row>
        <row r="195">
          <cell r="L195" t="str">
            <v>5500/005</v>
          </cell>
        </row>
        <row r="196">
          <cell r="L196" t="str">
            <v>5500/005</v>
          </cell>
        </row>
        <row r="197">
          <cell r="L197" t="str">
            <v>5500/005</v>
          </cell>
        </row>
        <row r="198">
          <cell r="L198" t="str">
            <v>5500/005</v>
          </cell>
        </row>
        <row r="199">
          <cell r="L199" t="str">
            <v>5500/005</v>
          </cell>
        </row>
        <row r="200">
          <cell r="L200" t="str">
            <v>5520/000Short term portion of long term loans</v>
          </cell>
        </row>
        <row r="201">
          <cell r="L201" t="str">
            <v>5550/000LONG TERM INTEREST FREE LOANS</v>
          </cell>
        </row>
        <row r="202">
          <cell r="L202" t="str">
            <v>5550/001</v>
          </cell>
        </row>
        <row r="203">
          <cell r="L203" t="str">
            <v>5550/002</v>
          </cell>
        </row>
        <row r="204">
          <cell r="L204" t="str">
            <v>5550/003</v>
          </cell>
        </row>
        <row r="205">
          <cell r="L205" t="str">
            <v>5550/004</v>
          </cell>
        </row>
        <row r="206">
          <cell r="L206" t="str">
            <v>5550/005</v>
          </cell>
        </row>
        <row r="207">
          <cell r="L207" t="str">
            <v>5600/001</v>
          </cell>
        </row>
        <row r="208">
          <cell r="L208" t="str">
            <v>5600/002</v>
          </cell>
        </row>
        <row r="209">
          <cell r="L209" t="str">
            <v>5600/003</v>
          </cell>
        </row>
        <row r="210">
          <cell r="L210" t="str">
            <v>5600/004</v>
          </cell>
        </row>
        <row r="211">
          <cell r="L211" t="str">
            <v>5600/005</v>
          </cell>
        </row>
        <row r="212">
          <cell r="L212" t="str">
            <v>5600/006</v>
          </cell>
        </row>
        <row r="213">
          <cell r="L213" t="str">
            <v>5600/007</v>
          </cell>
        </row>
        <row r="214">
          <cell r="L214" t="str">
            <v>5600/008</v>
          </cell>
        </row>
        <row r="215">
          <cell r="L215" t="str">
            <v>5600/008</v>
          </cell>
        </row>
        <row r="216">
          <cell r="L216" t="str">
            <v>5600/008</v>
          </cell>
        </row>
        <row r="217">
          <cell r="L217" t="str">
            <v>5600/008</v>
          </cell>
        </row>
        <row r="218">
          <cell r="L218" t="str">
            <v>5600/008</v>
          </cell>
        </row>
        <row r="219">
          <cell r="L219" t="str">
            <v>5700/000DEFERRED TAX</v>
          </cell>
        </row>
        <row r="220">
          <cell r="L220" t="str">
            <v>5700/010Deferred tax balance on depreciation b/fwd</v>
          </cell>
        </row>
        <row r="221">
          <cell r="L221" t="str">
            <v>5700/010Deferred tax balance on tax loss b/fwd</v>
          </cell>
        </row>
        <row r="222">
          <cell r="L222" t="str">
            <v>5700/011Deferred tax on depreciation for year</v>
          </cell>
        </row>
        <row r="223">
          <cell r="L223" t="str">
            <v>5700/012Deferred tax on tax loss for year</v>
          </cell>
        </row>
        <row r="224">
          <cell r="L224" t="str">
            <v>5700/013Deferred tax adjustment previous year depreciation</v>
          </cell>
        </row>
        <row r="225">
          <cell r="L225" t="str">
            <v>5700/013Deferred tax adjustment previous year tax loss</v>
          </cell>
        </row>
        <row r="226">
          <cell r="L226" t="str">
            <v>6100/000LAND &amp; BUILDINGS - COST</v>
          </cell>
        </row>
        <row r="227">
          <cell r="L227" t="str">
            <v>6100/001Land_Buildings - Cost B/fwd</v>
          </cell>
        </row>
        <row r="228">
          <cell r="L228" t="str">
            <v>6100/002Land_Buildings - Additions</v>
          </cell>
        </row>
        <row r="229">
          <cell r="L229" t="str">
            <v>6100/003Land_Buildings - Cost of sales</v>
          </cell>
        </row>
        <row r="230">
          <cell r="L230" t="str">
            <v>6100/020LAND &amp; BUILDINGS - ACC DEPR</v>
          </cell>
        </row>
        <row r="231">
          <cell r="L231" t="str">
            <v>6100/021Land &amp; Buildings - Acc depr B/fwd</v>
          </cell>
        </row>
        <row r="232">
          <cell r="L232" t="str">
            <v>6100/022Land &amp; Buildings - Acc depr this year</v>
          </cell>
        </row>
        <row r="233">
          <cell r="L233" t="str">
            <v>6100/023Land &amp; Buildings - Acc depr on sales</v>
          </cell>
        </row>
        <row r="234">
          <cell r="L234" t="str">
            <v>6150/000PLANT &amp; MACHINERY - COST</v>
          </cell>
        </row>
        <row r="235">
          <cell r="L235" t="str">
            <v>6150/001Plant &amp; machinery - cost b/fwd</v>
          </cell>
        </row>
        <row r="236">
          <cell r="L236" t="str">
            <v>6150/002Plant &amp; machinery - Additions</v>
          </cell>
        </row>
        <row r="237">
          <cell r="L237" t="str">
            <v>6150/003Plant &amp; machinery - Cost of sales</v>
          </cell>
        </row>
        <row r="238">
          <cell r="L238" t="str">
            <v>6150/020PLANT &amp; MACHINERY - ACC DEPR</v>
          </cell>
        </row>
        <row r="239">
          <cell r="L239" t="str">
            <v>6150/021Plant &amp; Machinery - Acc depr b/fwd</v>
          </cell>
        </row>
        <row r="240">
          <cell r="L240" t="str">
            <v>6150/022Plant &amp; machinery - depr this year</v>
          </cell>
        </row>
        <row r="241">
          <cell r="L241" t="str">
            <v>6150/023Plant &amp; machinery - acc depr on sales</v>
          </cell>
        </row>
        <row r="242">
          <cell r="L242" t="str">
            <v>6200/000MOTOR VEHICLES - COST</v>
          </cell>
        </row>
        <row r="243">
          <cell r="L243" t="str">
            <v>6200/001Motor Vehicles - Cost B/fwd</v>
          </cell>
        </row>
        <row r="244">
          <cell r="L244" t="str">
            <v>6200/002Motor Vehicles - Additions</v>
          </cell>
        </row>
        <row r="245">
          <cell r="L245" t="str">
            <v>6200/003Motor Vehicles - Cost of sales</v>
          </cell>
        </row>
        <row r="246">
          <cell r="L246" t="str">
            <v>6200/020MOTOR VEHICLES - ACC DEPR</v>
          </cell>
        </row>
        <row r="247">
          <cell r="L247" t="str">
            <v>6200/021Motor vehicles - Acc depr b/fwd</v>
          </cell>
        </row>
        <row r="248">
          <cell r="L248" t="str">
            <v>6200/022Motor vehicles - Depr this year</v>
          </cell>
        </row>
        <row r="249">
          <cell r="L249" t="str">
            <v>6200/023Motor vehicles - Acc depr on sales</v>
          </cell>
        </row>
        <row r="250">
          <cell r="L250" t="str">
            <v>6250/000ELECTRONIC EQUIPMENT - COST</v>
          </cell>
        </row>
        <row r="251">
          <cell r="L251" t="str">
            <v>6250/001Electronic equipment - Cost b/fwd</v>
          </cell>
        </row>
        <row r="252">
          <cell r="L252" t="str">
            <v>6250/002Electronic equipment - Additions</v>
          </cell>
        </row>
        <row r="253">
          <cell r="L253" t="str">
            <v>6250/003Electronic equipment - Cost of sales</v>
          </cell>
        </row>
        <row r="254">
          <cell r="L254" t="str">
            <v>6250/020ELECTRONIC EQUIPMENT - ACC DEPR</v>
          </cell>
        </row>
        <row r="255">
          <cell r="L255" t="str">
            <v>6250/021Electronic equipment - Acc depr B/fwd</v>
          </cell>
        </row>
        <row r="256">
          <cell r="L256" t="str">
            <v>6250/022Electronic equipment - Depr this year</v>
          </cell>
        </row>
        <row r="257">
          <cell r="L257" t="str">
            <v>6250/023Electronic equipment - Acc depr on sales</v>
          </cell>
        </row>
        <row r="258">
          <cell r="L258" t="str">
            <v>6300/000OFFICE EQUIPMENT - COST</v>
          </cell>
        </row>
        <row r="259">
          <cell r="L259" t="str">
            <v>6300/001Office Equipment - Cost B/fwd</v>
          </cell>
        </row>
        <row r="260">
          <cell r="L260" t="str">
            <v>6300/002Office Equipment - Additions</v>
          </cell>
        </row>
        <row r="261">
          <cell r="L261" t="str">
            <v>6300/003Office Equipment - Cost of sales</v>
          </cell>
        </row>
        <row r="262">
          <cell r="L262" t="str">
            <v>6300/020OFFICE EQUIPMENT - ACC DEPR</v>
          </cell>
        </row>
        <row r="263">
          <cell r="L263" t="str">
            <v>6300/021Office equipment - Acc depr B/fwd</v>
          </cell>
        </row>
        <row r="264">
          <cell r="L264" t="str">
            <v>6300/022Office equipment - Depr this year</v>
          </cell>
        </row>
        <row r="265">
          <cell r="L265" t="str">
            <v>6300/023Office equipment - Acc depr on sales</v>
          </cell>
        </row>
        <row r="266">
          <cell r="L266" t="str">
            <v>6350/000FURNITURE &amp; FITTINGS - COST</v>
          </cell>
        </row>
        <row r="267">
          <cell r="L267" t="str">
            <v>6350/001Furniture &amp; fittings - Cost B/fwd</v>
          </cell>
        </row>
        <row r="268">
          <cell r="L268" t="str">
            <v>6350/002Furniture &amp; fittings - Additions</v>
          </cell>
        </row>
        <row r="269">
          <cell r="L269" t="str">
            <v>6350/003Furniture &amp; fittings - Cost of sales</v>
          </cell>
        </row>
        <row r="270">
          <cell r="L270" t="str">
            <v>6350/020FURNITURE &amp; FITTINGS - ACC DEPR</v>
          </cell>
        </row>
        <row r="271">
          <cell r="L271" t="str">
            <v>6350/021Furniture &amp; fittings - Acc depr B/fwd</v>
          </cell>
        </row>
        <row r="272">
          <cell r="L272" t="str">
            <v>6350/022Furniture &amp; fittings - Depr this year</v>
          </cell>
        </row>
        <row r="273">
          <cell r="L273" t="str">
            <v>6350/023Furniture &amp; fittings - Acc depr on sales</v>
          </cell>
        </row>
        <row r="274">
          <cell r="L274" t="str">
            <v>6600/000OTHER FIXED ASSETS  - COST</v>
          </cell>
        </row>
        <row r="275">
          <cell r="L275" t="str">
            <v>6600/001Other fixed assets - Cost B/fwd</v>
          </cell>
        </row>
        <row r="276">
          <cell r="L276" t="str">
            <v>6600/002Other fixed assets - Additions</v>
          </cell>
        </row>
        <row r="277">
          <cell r="L277" t="str">
            <v>6600/003Other fixed assets - Cost of sales</v>
          </cell>
        </row>
        <row r="278">
          <cell r="L278" t="str">
            <v>6600/020OTHER FIXED ASSETS - ACC DEPR</v>
          </cell>
        </row>
        <row r="279">
          <cell r="L279" t="str">
            <v>6600/021Other fixed assets - Acc depr b/fwd</v>
          </cell>
        </row>
        <row r="280">
          <cell r="L280" t="str">
            <v>6600/022Other fixed assets - Depr this year</v>
          </cell>
        </row>
        <row r="281">
          <cell r="L281" t="str">
            <v>6600/023Other fixed assets - Acc depr on sales</v>
          </cell>
        </row>
        <row r="282">
          <cell r="L282" t="str">
            <v>7000/000GOODWILL/INTANGIBLE ASSETS</v>
          </cell>
        </row>
        <row r="283">
          <cell r="L283" t="str">
            <v>7000/010Goodwill Cost</v>
          </cell>
        </row>
        <row r="284">
          <cell r="L284" t="str">
            <v>7000/015Goodwill - surplus on revaluation</v>
          </cell>
        </row>
        <row r="285">
          <cell r="L285" t="str">
            <v>7000/020Goodwill - write down this year</v>
          </cell>
        </row>
        <row r="286">
          <cell r="L286" t="str">
            <v>7000/025Goodwill - write down last year</v>
          </cell>
        </row>
        <row r="287">
          <cell r="L287" t="str">
            <v>7100/000INVESTMENTS</v>
          </cell>
        </row>
        <row r="288">
          <cell r="L288" t="str">
            <v>7100/100LISTED INVESTMENTS</v>
          </cell>
        </row>
        <row r="289">
          <cell r="L289" t="str">
            <v>7100/101Listed 1 ************</v>
          </cell>
        </row>
        <row r="290">
          <cell r="L290" t="str">
            <v>7100/102Listed 2 *************</v>
          </cell>
        </row>
        <row r="291">
          <cell r="L291" t="str">
            <v>7100/103Listed 3 ***************</v>
          </cell>
        </row>
        <row r="292">
          <cell r="L292" t="str">
            <v>7100/104Listed 4 ************</v>
          </cell>
        </row>
        <row r="293">
          <cell r="L293" t="str">
            <v>7100/105Listed 5 ************</v>
          </cell>
        </row>
        <row r="294">
          <cell r="L294" t="str">
            <v>7100/200OTHER INVESTMENTS</v>
          </cell>
        </row>
        <row r="295">
          <cell r="L295" t="str">
            <v>7100/201</v>
          </cell>
        </row>
        <row r="296">
          <cell r="L296" t="str">
            <v>7100/202</v>
          </cell>
        </row>
        <row r="297">
          <cell r="L297" t="str">
            <v>7100/203Other investment 3 ************</v>
          </cell>
        </row>
        <row r="298">
          <cell r="L298" t="str">
            <v>7100/204Other investment 4 ************</v>
          </cell>
        </row>
        <row r="299">
          <cell r="L299" t="str">
            <v>7100/205Other investment 5 *************</v>
          </cell>
        </row>
        <row r="300">
          <cell r="L300" t="str">
            <v>7450/000CONNECTED COMPANIES</v>
          </cell>
        </row>
        <row r="301">
          <cell r="L301" t="str">
            <v>7450/001Connected co 1 **********</v>
          </cell>
        </row>
        <row r="302">
          <cell r="L302" t="str">
            <v>7450/002Connected co 2 **********</v>
          </cell>
        </row>
        <row r="303">
          <cell r="L303" t="str">
            <v>7450/003Connected co 3 **********</v>
          </cell>
        </row>
        <row r="304">
          <cell r="L304" t="str">
            <v>7450/004Connected co 4 ***********</v>
          </cell>
        </row>
        <row r="305">
          <cell r="L305" t="str">
            <v>7450/005Connected co 5 ***********</v>
          </cell>
        </row>
        <row r="306">
          <cell r="L306" t="str">
            <v>7460/000OTHER NON CURRENT RECEIVABLES</v>
          </cell>
        </row>
        <row r="307">
          <cell r="L307" t="str">
            <v>7460/001</v>
          </cell>
        </row>
        <row r="308">
          <cell r="L308" t="str">
            <v>7460/002</v>
          </cell>
        </row>
        <row r="309">
          <cell r="L309" t="str">
            <v>7460/003</v>
          </cell>
        </row>
        <row r="310">
          <cell r="L310" t="str">
            <v>7460/006</v>
          </cell>
        </row>
        <row r="311">
          <cell r="L311" t="str">
            <v>7460/007</v>
          </cell>
        </row>
        <row r="312">
          <cell r="L312" t="str">
            <v>7460/008</v>
          </cell>
        </row>
        <row r="313">
          <cell r="L313" t="str">
            <v>7460/009</v>
          </cell>
        </row>
        <row r="314">
          <cell r="L314" t="str">
            <v>7460/009</v>
          </cell>
        </row>
        <row r="315">
          <cell r="L315" t="str">
            <v>7500/000INVENTORY</v>
          </cell>
        </row>
        <row r="316">
          <cell r="L316" t="str">
            <v>7500/001Raw materials</v>
          </cell>
        </row>
        <row r="317">
          <cell r="L317" t="str">
            <v>7500/002Work in progress</v>
          </cell>
        </row>
        <row r="318">
          <cell r="L318" t="str">
            <v>7500/003Finished goods</v>
          </cell>
        </row>
        <row r="319">
          <cell r="L319" t="str">
            <v>7500/004Trading stock</v>
          </cell>
        </row>
        <row r="320">
          <cell r="L320" t="str">
            <v>8000/000DEBTORS</v>
          </cell>
        </row>
        <row r="321">
          <cell r="L321" t="str">
            <v>8010/000Trade debtors</v>
          </cell>
        </row>
        <row r="322">
          <cell r="L322" t="str">
            <v>8020/000Service deposits</v>
          </cell>
        </row>
        <row r="323">
          <cell r="L323" t="str">
            <v>8050/000Less: Provision For Doubtful Debts</v>
          </cell>
        </row>
        <row r="324">
          <cell r="L324" t="str">
            <v>8200/000Sundry Customers</v>
          </cell>
        </row>
        <row r="325">
          <cell r="L325" t="str">
            <v>8200/010Prepayments</v>
          </cell>
        </row>
        <row r="326">
          <cell r="L326" t="str">
            <v>8200/020Staff Loans</v>
          </cell>
        </row>
        <row r="327">
          <cell r="L327" t="str">
            <v>8400/000BANK ACCOUNTS</v>
          </cell>
        </row>
        <row r="328">
          <cell r="L328" t="str">
            <v>8410/000ABSA - Current account</v>
          </cell>
        </row>
        <row r="329">
          <cell r="L329" t="str">
            <v>8420/000</v>
          </cell>
        </row>
        <row r="330">
          <cell r="L330" t="str">
            <v>8430/000</v>
          </cell>
        </row>
        <row r="331">
          <cell r="L331" t="str">
            <v>8440/000</v>
          </cell>
        </row>
        <row r="332">
          <cell r="L332" t="str">
            <v>8450/000</v>
          </cell>
        </row>
        <row r="333">
          <cell r="L333" t="str">
            <v>8460/000</v>
          </cell>
        </row>
        <row r="334">
          <cell r="L334" t="str">
            <v>8500/000Cash on hand</v>
          </cell>
        </row>
        <row r="335">
          <cell r="L335" t="str">
            <v>8550/000Petty Cash</v>
          </cell>
        </row>
        <row r="336">
          <cell r="L336" t="str">
            <v>8900/000SHORT TERM LOANS</v>
          </cell>
        </row>
        <row r="337">
          <cell r="L337" t="str">
            <v>8900/001Equipment Creditor</v>
          </cell>
        </row>
        <row r="338">
          <cell r="L338" t="str">
            <v>8900/002Short term 2 *******</v>
          </cell>
        </row>
        <row r="339">
          <cell r="L339" t="str">
            <v>8900/003Short term 3 *********</v>
          </cell>
        </row>
        <row r="340">
          <cell r="L340" t="str">
            <v>8900/004Short term portion of long term loans</v>
          </cell>
        </row>
        <row r="341">
          <cell r="L341" t="str">
            <v>9000/000CREDITORS</v>
          </cell>
        </row>
        <row r="342">
          <cell r="L342" t="str">
            <v>9010/000Trade creditors</v>
          </cell>
        </row>
        <row r="343">
          <cell r="L343" t="str">
            <v>9200/000Sundry Suppliers</v>
          </cell>
        </row>
        <row r="344">
          <cell r="L344" t="str">
            <v>9200/010Accounting / Audit Fee Accrual</v>
          </cell>
        </row>
        <row r="345">
          <cell r="L345" t="str">
            <v>9200/020Other Accruals</v>
          </cell>
        </row>
        <row r="346">
          <cell r="L346" t="str">
            <v>9250/000Salary &amp; Wages Control</v>
          </cell>
        </row>
        <row r="347">
          <cell r="L347" t="str">
            <v>9300/000TAXATION</v>
          </cell>
        </row>
        <row r="348">
          <cell r="L348" t="str">
            <v>9300/010Balance b/fwd</v>
          </cell>
        </row>
        <row r="349">
          <cell r="L349" t="str">
            <v>9300/020Tax provision this year</v>
          </cell>
        </row>
        <row r="350">
          <cell r="L350" t="str">
            <v>9300/030Over-/Underprovision previous year</v>
          </cell>
        </row>
        <row r="351">
          <cell r="L351" t="str">
            <v>9300/040Tax paid for previous year provisions</v>
          </cell>
        </row>
        <row r="352">
          <cell r="L352" t="str">
            <v>9300/0501st Provisional Paid</v>
          </cell>
        </row>
        <row r="353">
          <cell r="L353" t="str">
            <v>9300/0602nd Provisional Paid</v>
          </cell>
        </row>
        <row r="354">
          <cell r="L354" t="str">
            <v>9300/0703rd Provisional paid</v>
          </cell>
        </row>
        <row r="355">
          <cell r="L355" t="str">
            <v>9300/080STC paid for last year provision</v>
          </cell>
        </row>
        <row r="356">
          <cell r="L356" t="str">
            <v>9300/090STC Provision this year</v>
          </cell>
        </row>
        <row r="357">
          <cell r="L357" t="str">
            <v>9300/100Tax paid on Foreign Dividends</v>
          </cell>
        </row>
        <row r="358">
          <cell r="L358" t="str">
            <v>9350/000Dividends Payable</v>
          </cell>
        </row>
        <row r="359">
          <cell r="L359" t="str">
            <v>9400/000Provision for Future Expenses</v>
          </cell>
        </row>
        <row r="360">
          <cell r="L360" t="str">
            <v>9400/010Provision for Insurance</v>
          </cell>
        </row>
        <row r="361">
          <cell r="L361" t="str">
            <v>9400/020Provision for Salary Bonus</v>
          </cell>
        </row>
        <row r="362">
          <cell r="L362" t="str">
            <v>9500/000VALUE ADDED TAX</v>
          </cell>
        </row>
        <row r="363">
          <cell r="L363" t="str">
            <v>9501/000VAT account</v>
          </cell>
        </row>
        <row r="364">
          <cell r="L364" t="str">
            <v>9510/000----------------------------------------</v>
          </cell>
        </row>
        <row r="365">
          <cell r="L365" t="str">
            <v>9990/000Opening Balance / Suspense Account</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TrialBalance"/>
      <sheetName val="Criteria"/>
      <sheetName val="Journals"/>
      <sheetName val="opsom"/>
      <sheetName val="DirRem"/>
      <sheetName val="VAT"/>
      <sheetName val="StateENG"/>
      <sheetName val="StateENGFinal"/>
      <sheetName val="FixAssetsRegister"/>
      <sheetName val="HPLead"/>
      <sheetName val="HP1 (2)"/>
      <sheetName val="Notas1"/>
      <sheetName val="DefTax"/>
      <sheetName val="ExceptionReport"/>
      <sheetName val="OBalanse"/>
      <sheetName val="Analities1"/>
      <sheetName val="Analities2"/>
      <sheetName val="FixAssets"/>
      <sheetName val="Goodwill"/>
      <sheetName val="Investments"/>
      <sheetName val="NonCurR"/>
      <sheetName val="Inventory"/>
      <sheetName val="Receivables"/>
      <sheetName val="CashBank"/>
      <sheetName val="bank2"/>
      <sheetName val="Reserves"/>
      <sheetName val="InterestBor"/>
      <sheetName val="InterestFree"/>
      <sheetName val="Creditors"/>
      <sheetName val="ShortLOans"/>
      <sheetName val="Tax"/>
      <sheetName val="Index"/>
      <sheetName val="Sales"/>
      <sheetName val="Salesrecon"/>
      <sheetName val="Rent"/>
      <sheetName val="HP1_(2)"/>
    </sheetNames>
    <sheetDataSet>
      <sheetData sheetId="0" refreshError="1"/>
      <sheetData sheetId="1">
        <row r="5">
          <cell r="K5" t="str">
            <v>1000/001Sales</v>
          </cell>
        </row>
        <row r="6">
          <cell r="K6" t="str">
            <v>1000/002Sales 2</v>
          </cell>
        </row>
        <row r="7">
          <cell r="K7" t="str">
            <v>1000/003Rent Received</v>
          </cell>
        </row>
        <row r="8">
          <cell r="K8" t="str">
            <v>2000/000COST OF SALES</v>
          </cell>
        </row>
        <row r="9">
          <cell r="K9" t="str">
            <v>2000/001Opening stock - Raw material</v>
          </cell>
        </row>
        <row r="10">
          <cell r="K10" t="str">
            <v>2000/002Opening stock - WIP</v>
          </cell>
        </row>
        <row r="11">
          <cell r="K11" t="str">
            <v>2000/003Opening stock - Finished goods</v>
          </cell>
        </row>
        <row r="12">
          <cell r="K12" t="str">
            <v>2000/004Opening stock - Trading stock</v>
          </cell>
        </row>
        <row r="13">
          <cell r="K13" t="str">
            <v>2000/010Purchases</v>
          </cell>
        </row>
        <row r="14">
          <cell r="K14" t="str">
            <v>2000/011Transport and Repair costs</v>
          </cell>
        </row>
        <row r="15">
          <cell r="K15" t="str">
            <v>2000/012Spares and tyres</v>
          </cell>
        </row>
        <row r="16">
          <cell r="K16" t="str">
            <v>2000/013Open</v>
          </cell>
        </row>
        <row r="17">
          <cell r="K17" t="str">
            <v>2000/014Open</v>
          </cell>
        </row>
        <row r="18">
          <cell r="K18" t="str">
            <v>2000/015Open</v>
          </cell>
        </row>
        <row r="19">
          <cell r="K19" t="str">
            <v>2000/050Closing stock - Raw materials</v>
          </cell>
        </row>
        <row r="20">
          <cell r="K20" t="str">
            <v>2000/051Closing stock - WIP</v>
          </cell>
        </row>
        <row r="21">
          <cell r="K21" t="str">
            <v>2000/052Closing stock - Finished goods</v>
          </cell>
        </row>
        <row r="22">
          <cell r="K22" t="str">
            <v>2000/053Closing stock - Trading stock</v>
          </cell>
        </row>
        <row r="23">
          <cell r="K23" t="str">
            <v>2050/000OTHER OPERATING INCOME</v>
          </cell>
        </row>
        <row r="24">
          <cell r="K24" t="str">
            <v>2050/001</v>
          </cell>
        </row>
        <row r="25">
          <cell r="K25" t="str">
            <v>2050/002</v>
          </cell>
        </row>
        <row r="26">
          <cell r="K26" t="str">
            <v>2050/003</v>
          </cell>
        </row>
        <row r="27">
          <cell r="K27" t="str">
            <v>2050/004</v>
          </cell>
        </row>
        <row r="28">
          <cell r="K28" t="str">
            <v>2050/005</v>
          </cell>
        </row>
        <row r="29">
          <cell r="K29" t="str">
            <v>2100/000OPERATING EXPENSES</v>
          </cell>
        </row>
        <row r="30">
          <cell r="K30" t="str">
            <v>2100/001Advertising</v>
          </cell>
        </row>
        <row r="31">
          <cell r="K31" t="str">
            <v>2100/010Assets written off</v>
          </cell>
        </row>
        <row r="32">
          <cell r="K32" t="str">
            <v>2100/020Consumables</v>
          </cell>
        </row>
        <row r="33">
          <cell r="K33" t="str">
            <v>2100/030Depreciation----------------------------</v>
          </cell>
        </row>
        <row r="34">
          <cell r="K34" t="str">
            <v>2100/031Depr - Land &amp; buildings</v>
          </cell>
        </row>
        <row r="35">
          <cell r="K35" t="str">
            <v>2100/032Depr - Plant &amp; Machinery</v>
          </cell>
        </row>
        <row r="36">
          <cell r="K36" t="str">
            <v>2100/033Depr - Motor vehicles</v>
          </cell>
        </row>
        <row r="37">
          <cell r="K37" t="str">
            <v>2100/034Depr - Electronic equipment</v>
          </cell>
        </row>
        <row r="38">
          <cell r="K38" t="str">
            <v>2100/040Discounts allowed</v>
          </cell>
        </row>
        <row r="39">
          <cell r="K39" t="str">
            <v>2100/050Electricity and Water</v>
          </cell>
        </row>
        <row r="40">
          <cell r="K40" t="str">
            <v>2100/055Equipment lease</v>
          </cell>
        </row>
        <row r="41">
          <cell r="K41" t="str">
            <v>2100/060Insurance</v>
          </cell>
        </row>
        <row r="42">
          <cell r="K42" t="str">
            <v>2100/070Levies - District Municipality</v>
          </cell>
        </row>
        <row r="43">
          <cell r="K43" t="str">
            <v>2100/071Levies - SDL</v>
          </cell>
        </row>
        <row r="44">
          <cell r="K44" t="str">
            <v>2100/072Levies - other</v>
          </cell>
        </row>
        <row r="45">
          <cell r="K45" t="str">
            <v>2100/080Trade licenses</v>
          </cell>
        </row>
        <row r="46">
          <cell r="K46" t="str">
            <v>2100/090Motor vehicle expenses------------------</v>
          </cell>
        </row>
        <row r="47">
          <cell r="K47" t="str">
            <v>2100/091Motor vehicle expenses - Petrol and oil</v>
          </cell>
        </row>
        <row r="48">
          <cell r="K48" t="str">
            <v>2100/092Motor vehicle expenses - R&amp;M</v>
          </cell>
        </row>
        <row r="49">
          <cell r="K49" t="str">
            <v>2100/093Motor vehicle expenses - Insurance</v>
          </cell>
        </row>
        <row r="50">
          <cell r="K50" t="str">
            <v>2100/094Motor vehicle expenses - licenses</v>
          </cell>
        </row>
        <row r="51">
          <cell r="K51" t="str">
            <v>2100/095Motor vehicle expenses - general</v>
          </cell>
        </row>
        <row r="52">
          <cell r="K52" t="str">
            <v>2100/100Rent paid-------------------------------</v>
          </cell>
        </row>
        <row r="53">
          <cell r="K53" t="str">
            <v>2100/101Premises</v>
          </cell>
        </row>
        <row r="54">
          <cell r="K54" t="str">
            <v>2100/102</v>
          </cell>
        </row>
        <row r="55">
          <cell r="K55" t="str">
            <v>2100/103</v>
          </cell>
        </row>
        <row r="56">
          <cell r="K56" t="str">
            <v>2100/110Repairs and maintenance</v>
          </cell>
        </row>
        <row r="57">
          <cell r="K57" t="str">
            <v>2100/120Salaries</v>
          </cell>
        </row>
        <row r="58">
          <cell r="K58" t="str">
            <v>2100/121UIF - Employer</v>
          </cell>
        </row>
        <row r="59">
          <cell r="K59" t="str">
            <v>2100/122Casual wages</v>
          </cell>
        </row>
        <row r="60">
          <cell r="K60" t="str">
            <v>2100/130Telephone</v>
          </cell>
        </row>
        <row r="61">
          <cell r="K61" t="str">
            <v>2100/135Postage</v>
          </cell>
        </row>
        <row r="62">
          <cell r="K62" t="str">
            <v>2100/140Training</v>
          </cell>
        </row>
        <row r="63">
          <cell r="K63" t="str">
            <v>2100/150Traveling</v>
          </cell>
        </row>
        <row r="64">
          <cell r="K64" t="str">
            <v>2150/000Roadworthy tests</v>
          </cell>
        </row>
        <row r="65">
          <cell r="K65" t="str">
            <v>2200/000Registration and plates</v>
          </cell>
        </row>
        <row r="66">
          <cell r="K66" t="str">
            <v>2400/000W/C/A</v>
          </cell>
        </row>
        <row r="67">
          <cell r="K67" t="str">
            <v>2400/010Staff welfare</v>
          </cell>
        </row>
        <row r="68">
          <cell r="K68" t="str">
            <v>2400/020Handtools</v>
          </cell>
        </row>
        <row r="69">
          <cell r="K69" t="str">
            <v>2400/030Open</v>
          </cell>
        </row>
        <row r="70">
          <cell r="K70" t="str">
            <v>2500/000OTHER INCOME</v>
          </cell>
        </row>
        <row r="71">
          <cell r="K71" t="str">
            <v>2700/000Blocked</v>
          </cell>
        </row>
        <row r="72">
          <cell r="K72" t="str">
            <v>2710/000Rent Received (Not Main income)</v>
          </cell>
        </row>
        <row r="73">
          <cell r="K73" t="str">
            <v>2750/000Interest Received-----------------------</v>
          </cell>
        </row>
        <row r="74">
          <cell r="K74" t="str">
            <v>2750/001First National Bank</v>
          </cell>
        </row>
        <row r="75">
          <cell r="K75" t="str">
            <v>2750/002</v>
          </cell>
        </row>
        <row r="76">
          <cell r="K76" t="str">
            <v>2750/003</v>
          </cell>
        </row>
        <row r="77">
          <cell r="K77" t="str">
            <v>2750/004</v>
          </cell>
        </row>
        <row r="78">
          <cell r="K78" t="str">
            <v>2800/000Dividends received----------------------</v>
          </cell>
        </row>
        <row r="79">
          <cell r="K79" t="str">
            <v>2800/001Div's received - SA sources</v>
          </cell>
        </row>
        <row r="80">
          <cell r="K80" t="str">
            <v>2800/002Div's received - Foreign div's</v>
          </cell>
        </row>
        <row r="81">
          <cell r="K81" t="str">
            <v>2810/000Profit/Loss on sale of fixed assets</v>
          </cell>
        </row>
        <row r="82">
          <cell r="K82" t="str">
            <v>2820/000Bad debts recovered</v>
          </cell>
        </row>
        <row r="83">
          <cell r="K83" t="str">
            <v>2830/000Other income</v>
          </cell>
        </row>
        <row r="84">
          <cell r="K84" t="str">
            <v>3000/000ADMINISTRATION EXPENSES</v>
          </cell>
        </row>
        <row r="85">
          <cell r="K85" t="str">
            <v>3000/010Auditor's remuneration------------------</v>
          </cell>
        </row>
        <row r="86">
          <cell r="K86" t="str">
            <v>3000/011Audit fees for current year</v>
          </cell>
        </row>
        <row r="87">
          <cell r="K87" t="str">
            <v>3000/012Under provision previous year</v>
          </cell>
        </row>
        <row r="88">
          <cell r="K88" t="str">
            <v>3000/013Overprovision previous year</v>
          </cell>
        </row>
        <row r="89">
          <cell r="K89" t="str">
            <v>3000/014Accounting fees</v>
          </cell>
        </row>
        <row r="90">
          <cell r="K90" t="str">
            <v>3000/020Bank charges</v>
          </cell>
        </row>
        <row r="91">
          <cell r="K91" t="str">
            <v>3000/030Bad debts</v>
          </cell>
        </row>
        <row r="92">
          <cell r="K92" t="str">
            <v>3000/040Cleaning</v>
          </cell>
        </row>
        <row r="93">
          <cell r="K93" t="str">
            <v>3000/050Computer expenses</v>
          </cell>
        </row>
        <row r="94">
          <cell r="K94" t="str">
            <v>3000/060Depreciation----------------------------</v>
          </cell>
        </row>
        <row r="95">
          <cell r="K95" t="str">
            <v>3000/061Depr - Land &amp; buildings</v>
          </cell>
        </row>
        <row r="96">
          <cell r="K96" t="str">
            <v>3000/062Depr - Motor vehicles</v>
          </cell>
        </row>
        <row r="97">
          <cell r="K97" t="str">
            <v>3000/063Depr - Computer equipment</v>
          </cell>
        </row>
        <row r="98">
          <cell r="K98" t="str">
            <v>3000/064Depr - Office equipment</v>
          </cell>
        </row>
        <row r="99">
          <cell r="K99" t="str">
            <v>3000/065Depr - Furniture &amp; Fittings</v>
          </cell>
        </row>
        <row r="100">
          <cell r="K100" t="str">
            <v>3000/066Depr - Other</v>
          </cell>
        </row>
        <row r="101">
          <cell r="K101" t="str">
            <v>3000/070Directors'/Members' remuneration-----------------</v>
          </cell>
        </row>
        <row r="102">
          <cell r="K102" t="str">
            <v>3000/071S J Renfield</v>
          </cell>
        </row>
        <row r="103">
          <cell r="K103" t="str">
            <v>3000/072H F D M Valentim</v>
          </cell>
        </row>
        <row r="104">
          <cell r="K104" t="str">
            <v>3000/073</v>
          </cell>
        </row>
        <row r="105">
          <cell r="K105" t="str">
            <v>3000/074</v>
          </cell>
        </row>
        <row r="106">
          <cell r="K106" t="str">
            <v>3000/075</v>
          </cell>
        </row>
        <row r="107">
          <cell r="K107" t="str">
            <v>3000/080Donations</v>
          </cell>
        </row>
        <row r="108">
          <cell r="K108" t="str">
            <v>3000/090Entertainment expenses</v>
          </cell>
        </row>
        <row r="109">
          <cell r="K109" t="str">
            <v>3000/095Fines</v>
          </cell>
        </row>
        <row r="110">
          <cell r="K110" t="str">
            <v>3000/100General expenses</v>
          </cell>
        </row>
        <row r="111">
          <cell r="K111" t="str">
            <v>3000/110Legal expenses - Tax deductible</v>
          </cell>
        </row>
        <row r="112">
          <cell r="K112" t="str">
            <v>3000/111Legal expenses - Non deductible</v>
          </cell>
        </row>
        <row r="113">
          <cell r="K113" t="str">
            <v>3000/120Printing and stationary</v>
          </cell>
        </row>
        <row r="114">
          <cell r="K114" t="str">
            <v>3000/130Refreshments</v>
          </cell>
        </row>
        <row r="115">
          <cell r="K115" t="str">
            <v>3000/140Salaries</v>
          </cell>
        </row>
        <row r="116">
          <cell r="K116" t="str">
            <v>3000/141UIF - Employer</v>
          </cell>
        </row>
        <row r="117">
          <cell r="K117" t="str">
            <v>3000/142Casual wages</v>
          </cell>
        </row>
        <row r="118">
          <cell r="K118" t="str">
            <v>3000/150Security</v>
          </cell>
        </row>
        <row r="119">
          <cell r="K119" t="str">
            <v>3000/160Subscriptions</v>
          </cell>
        </row>
        <row r="120">
          <cell r="K120" t="str">
            <v>3000/170Penalties &amp; Interest - SARS</v>
          </cell>
        </row>
        <row r="121">
          <cell r="K121" t="str">
            <v>3000/180Commission paid</v>
          </cell>
        </row>
        <row r="122">
          <cell r="K122" t="str">
            <v>3000/190Car Rental</v>
          </cell>
        </row>
        <row r="123">
          <cell r="K123" t="str">
            <v>3000/200</v>
          </cell>
        </row>
        <row r="124">
          <cell r="K124" t="str">
            <v>3000/210</v>
          </cell>
        </row>
        <row r="125">
          <cell r="K125" t="str">
            <v>3000/220</v>
          </cell>
        </row>
        <row r="126">
          <cell r="K126" t="str">
            <v>4210/000Pft/Loss on foreign exchange</v>
          </cell>
        </row>
        <row r="127">
          <cell r="K127" t="str">
            <v>4700/000FINANCE COSTS</v>
          </cell>
        </row>
        <row r="128">
          <cell r="K128" t="str">
            <v>4700/010Interest paid---------------------------</v>
          </cell>
        </row>
        <row r="129">
          <cell r="K129" t="str">
            <v>4700/011Standard Bank</v>
          </cell>
        </row>
        <row r="130">
          <cell r="K130" t="str">
            <v>4700/012</v>
          </cell>
        </row>
        <row r="131">
          <cell r="K131" t="str">
            <v>4700/013</v>
          </cell>
        </row>
        <row r="132">
          <cell r="K132" t="str">
            <v>4700/014Revenue Service</v>
          </cell>
        </row>
        <row r="133">
          <cell r="K133" t="str">
            <v>4700/020Hire purchase interest</v>
          </cell>
        </row>
        <row r="134">
          <cell r="K134" t="str">
            <v>4750/000OTHER</v>
          </cell>
        </row>
        <row r="135">
          <cell r="K135" t="str">
            <v>4750/010Loss on Revaluation of Investments</v>
          </cell>
        </row>
        <row r="136">
          <cell r="K136" t="str">
            <v>4800/000NORMAL TAXATION</v>
          </cell>
        </row>
        <row r="137">
          <cell r="K137" t="str">
            <v>4800/001Tax provided this year</v>
          </cell>
        </row>
        <row r="138">
          <cell r="K138" t="str">
            <v>4800/002Tax adjustment previous year</v>
          </cell>
        </row>
        <row r="139">
          <cell r="K139" t="str">
            <v>4800/010Secondary tax on companies</v>
          </cell>
        </row>
        <row r="140">
          <cell r="K140" t="str">
            <v>4820/000DEFERRED TAX</v>
          </cell>
        </row>
        <row r="141">
          <cell r="K141" t="str">
            <v>4820/001Deferred tax this year</v>
          </cell>
        </row>
        <row r="142">
          <cell r="K142" t="str">
            <v>4820/002Deferred tax adjustment previous year</v>
          </cell>
        </row>
        <row r="143">
          <cell r="K143" t="str">
            <v>4850/000Dividends Declared</v>
          </cell>
        </row>
        <row r="144">
          <cell r="K144" t="str">
            <v>4860/000Dividends paid</v>
          </cell>
        </row>
        <row r="147">
          <cell r="K147">
            <v>0</v>
          </cell>
        </row>
        <row r="148">
          <cell r="K148" t="str">
            <v>5100/000SHARE CAPITAL</v>
          </cell>
        </row>
        <row r="149">
          <cell r="K149" t="str">
            <v>5100/001Share Capital - Balance b/fwd</v>
          </cell>
        </row>
        <row r="150">
          <cell r="K150" t="str">
            <v>5100/002Share Capital - Additions</v>
          </cell>
        </row>
        <row r="151">
          <cell r="K151" t="str">
            <v>5105/000MEMBERS' CONTRIBUTIONS</v>
          </cell>
        </row>
        <row r="152">
          <cell r="K152" t="str">
            <v>5105/001S J Renfield</v>
          </cell>
        </row>
        <row r="153">
          <cell r="K153" t="str">
            <v>5105/002H F D M Valentim</v>
          </cell>
        </row>
        <row r="154">
          <cell r="K154" t="str">
            <v>5105/003Member 3*******</v>
          </cell>
        </row>
        <row r="155">
          <cell r="K155" t="str">
            <v>5105/004Member 4*******</v>
          </cell>
        </row>
        <row r="156">
          <cell r="K156" t="str">
            <v>5110/000SHARE PREMIUM</v>
          </cell>
        </row>
        <row r="157">
          <cell r="K157" t="str">
            <v>5110/001Share premium - Balance b/fwd</v>
          </cell>
        </row>
        <row r="158">
          <cell r="K158" t="str">
            <v>5110/002Share premium - Additions</v>
          </cell>
        </row>
        <row r="159">
          <cell r="K159" t="str">
            <v>5110/003Share premium - transfer</v>
          </cell>
        </row>
        <row r="160">
          <cell r="K160" t="str">
            <v>5120/000VALUATION RESERVE</v>
          </cell>
        </row>
        <row r="161">
          <cell r="K161" t="str">
            <v>5120/001Valuation reserve - Balance b/fwd</v>
          </cell>
        </row>
        <row r="162">
          <cell r="K162" t="str">
            <v>5120/002Valuation reserve - Additions</v>
          </cell>
        </row>
        <row r="163">
          <cell r="K163" t="str">
            <v>5120/003Valuation reserve - transfer to p/l</v>
          </cell>
        </row>
        <row r="164">
          <cell r="K164" t="str">
            <v>5130/000OTHER RESERVES</v>
          </cell>
        </row>
        <row r="165">
          <cell r="K165" t="str">
            <v>5130/001Other reserves - Balance B/fwd</v>
          </cell>
        </row>
        <row r="166">
          <cell r="K166" t="str">
            <v>5130/002Other reserves - Additions</v>
          </cell>
        </row>
        <row r="167">
          <cell r="K167" t="str">
            <v>5130/003Other reserves - transfer</v>
          </cell>
        </row>
        <row r="168">
          <cell r="K168" t="str">
            <v>5200/000Retained Income / (Accumulated Loss)</v>
          </cell>
        </row>
        <row r="169">
          <cell r="K169" t="str">
            <v>5400/000SHAREHOLDERS' LOANS</v>
          </cell>
        </row>
        <row r="170">
          <cell r="K170" t="str">
            <v>5400/001Shareholder 1 *************</v>
          </cell>
        </row>
        <row r="171">
          <cell r="K171" t="str">
            <v>5400/002Shareholder 2 ***********</v>
          </cell>
        </row>
        <row r="172">
          <cell r="K172" t="str">
            <v>5400/003Shareholder 3 ***********</v>
          </cell>
        </row>
        <row r="173">
          <cell r="K173" t="str">
            <v>5400/004Shareholder 4 *********</v>
          </cell>
        </row>
        <row r="174">
          <cell r="K174" t="str">
            <v>5400/005Shareholder 5 *********</v>
          </cell>
        </row>
        <row r="175">
          <cell r="K175" t="str">
            <v>5420/000MEMBERS' LOANS</v>
          </cell>
        </row>
        <row r="176">
          <cell r="K176" t="str">
            <v>5420/010Member 1 - balance b/fwd</v>
          </cell>
        </row>
        <row r="177">
          <cell r="K177" t="str">
            <v>5420/011Member 1 - Advance/Repayment in year</v>
          </cell>
        </row>
        <row r="178">
          <cell r="K178" t="str">
            <v>5420/012Member 1 - Profits distributed</v>
          </cell>
        </row>
        <row r="179">
          <cell r="K179" t="str">
            <v>5420/020Member 2 - balance b/fwd</v>
          </cell>
        </row>
        <row r="180">
          <cell r="K180" t="str">
            <v>5420/021Member 2 - Advance/Repayment in year</v>
          </cell>
        </row>
        <row r="181">
          <cell r="K181" t="str">
            <v>5420/022Member 2 - Profits distributed</v>
          </cell>
        </row>
        <row r="182">
          <cell r="K182" t="str">
            <v>5420/030Member 3 - balance b/fwd</v>
          </cell>
        </row>
        <row r="183">
          <cell r="K183" t="str">
            <v>5420/031Member 3 - Advance/Repayment in year</v>
          </cell>
        </row>
        <row r="184">
          <cell r="K184" t="str">
            <v>5420/032Member 3 - Profits distributed</v>
          </cell>
        </row>
        <row r="185">
          <cell r="K185" t="str">
            <v>5420/040Member 4 - balance b/fwd</v>
          </cell>
        </row>
        <row r="186">
          <cell r="K186" t="str">
            <v>5420/041Member 4 - Advance/Repayment in year</v>
          </cell>
        </row>
        <row r="187">
          <cell r="K187" t="str">
            <v>5420/042Member 4 - Profits distributed</v>
          </cell>
        </row>
        <row r="188">
          <cell r="K188" t="str">
            <v>5450/000DIRECTORS' LOANS</v>
          </cell>
        </row>
        <row r="189">
          <cell r="K189" t="str">
            <v>5450/001Director 1 **********</v>
          </cell>
        </row>
        <row r="190">
          <cell r="K190" t="str">
            <v>5450/002Director 2 **********</v>
          </cell>
        </row>
        <row r="191">
          <cell r="K191" t="str">
            <v>5450/003Director 3 *************</v>
          </cell>
        </row>
        <row r="192">
          <cell r="K192" t="str">
            <v>5450/004Director 4 **************</v>
          </cell>
        </row>
        <row r="193">
          <cell r="K193" t="str">
            <v>5450/005Director 5 **********</v>
          </cell>
        </row>
        <row r="194">
          <cell r="K194" t="str">
            <v>5460/000BENEFICIARY LOANS</v>
          </cell>
        </row>
        <row r="195">
          <cell r="K195" t="str">
            <v>5460/001B/ficiary 1 - Balance B/fwd</v>
          </cell>
        </row>
        <row r="196">
          <cell r="K196" t="str">
            <v>5460/002B/ficiary 1 - Distribution in year</v>
          </cell>
        </row>
        <row r="197">
          <cell r="K197" t="str">
            <v>5460/005B/ficiary 2 - Balance B/fwd</v>
          </cell>
        </row>
        <row r="198">
          <cell r="K198" t="str">
            <v>5460/006B/ficiary 2 - Distribution in year</v>
          </cell>
        </row>
        <row r="199">
          <cell r="K199" t="str">
            <v>5460/010B/ficiary 3 - Balance B/fwd</v>
          </cell>
        </row>
        <row r="200">
          <cell r="K200" t="str">
            <v>5460/011B/ficiary 3 - Distribution in year</v>
          </cell>
        </row>
        <row r="201">
          <cell r="K201" t="str">
            <v>5460/015B/ficiary 4 - Balance B/fwd</v>
          </cell>
        </row>
        <row r="202">
          <cell r="K202" t="str">
            <v>5460/016B/ficiary 4 - Distribution in year</v>
          </cell>
        </row>
        <row r="203">
          <cell r="K203" t="str">
            <v>5460/015B/ficiary 5 - Balance B/fwd</v>
          </cell>
        </row>
        <row r="204">
          <cell r="K204" t="str">
            <v>5460/016B/ficiary 5 - Distribution in year</v>
          </cell>
        </row>
        <row r="205">
          <cell r="K205" t="str">
            <v>5500/000LONG TERM  INTEREST LIABILITIES</v>
          </cell>
        </row>
        <row r="206">
          <cell r="K206" t="str">
            <v>5500/001Loan 1 ***********</v>
          </cell>
        </row>
        <row r="207">
          <cell r="K207" t="str">
            <v>5500/002Loan 2 ***********</v>
          </cell>
        </row>
        <row r="208">
          <cell r="K208" t="str">
            <v>5500/003Loan 3 *********</v>
          </cell>
        </row>
        <row r="209">
          <cell r="K209" t="str">
            <v>5500/004Loan 4 **********</v>
          </cell>
        </row>
        <row r="210">
          <cell r="K210" t="str">
            <v>5500/005Loan 5 *********</v>
          </cell>
        </row>
        <row r="211">
          <cell r="K211" t="str">
            <v>5520/000Short term portion of long term loans</v>
          </cell>
        </row>
        <row r="212">
          <cell r="K212" t="str">
            <v>5550/000LONG TERM INTEREST FREE LOANS</v>
          </cell>
        </row>
        <row r="213">
          <cell r="K213" t="str">
            <v>5550/001J Millard</v>
          </cell>
        </row>
        <row r="214">
          <cell r="K214" t="str">
            <v>5550/002Interest free 2 ***********</v>
          </cell>
        </row>
        <row r="215">
          <cell r="K215" t="str">
            <v>5550/003Interest free 3 ***********</v>
          </cell>
        </row>
        <row r="216">
          <cell r="K216" t="str">
            <v>5550/004Interest free 4 **********</v>
          </cell>
        </row>
        <row r="217">
          <cell r="K217" t="str">
            <v>5550/005Interest free 5 *********</v>
          </cell>
        </row>
        <row r="218">
          <cell r="K218" t="str">
            <v>5600/000INSTALLMENT SALE CREDITORS</v>
          </cell>
        </row>
        <row r="219">
          <cell r="K219" t="str">
            <v>5600/001Wesbank</v>
          </cell>
        </row>
        <row r="220">
          <cell r="K220" t="str">
            <v>5600/002Installment sale 2 **************</v>
          </cell>
        </row>
        <row r="221">
          <cell r="K221" t="str">
            <v>5600/003Installment sale 3 **************</v>
          </cell>
        </row>
        <row r="222">
          <cell r="K222" t="str">
            <v>5600/004Installment sale 4 **************</v>
          </cell>
        </row>
        <row r="223">
          <cell r="K223" t="str">
            <v>5600/005Installment sale 5 **************</v>
          </cell>
        </row>
        <row r="224">
          <cell r="K224" t="str">
            <v>5700/000DEFERRED TAX</v>
          </cell>
        </row>
        <row r="225">
          <cell r="K225" t="str">
            <v>5700/010Deferred tax balance b/fwd</v>
          </cell>
        </row>
        <row r="226">
          <cell r="K226" t="str">
            <v>5700/011Deferred tax on depreciation for year</v>
          </cell>
        </row>
        <row r="227">
          <cell r="K227" t="str">
            <v>5700/012Deferred tax on tax loss for year</v>
          </cell>
        </row>
        <row r="228">
          <cell r="K228" t="str">
            <v>5700/013Deferred tax adjustment previous year</v>
          </cell>
        </row>
        <row r="229">
          <cell r="K229" t="str">
            <v>6100/000LAND &amp; BUILDINGS - COST</v>
          </cell>
        </row>
        <row r="230">
          <cell r="K230" t="str">
            <v>6100/001Land_Buildings - Cost B/fwd</v>
          </cell>
        </row>
        <row r="231">
          <cell r="K231" t="str">
            <v>6100/002Land_Buildings - Additions</v>
          </cell>
        </row>
        <row r="232">
          <cell r="K232" t="str">
            <v>6100/003Land_Buildings - Cost of sales</v>
          </cell>
        </row>
        <row r="233">
          <cell r="K233" t="str">
            <v>6100/020LAND &amp; BUILDINGS - ACC DEPR</v>
          </cell>
        </row>
        <row r="234">
          <cell r="K234" t="str">
            <v>6100/021Land &amp; Buildings - Acc depr B/fwd</v>
          </cell>
        </row>
        <row r="235">
          <cell r="K235" t="str">
            <v>6100/022Land &amp; Buildings - Acc depr this year</v>
          </cell>
        </row>
        <row r="236">
          <cell r="K236" t="str">
            <v>6100/023Land &amp; Buildings - Acc depr on sales</v>
          </cell>
        </row>
        <row r="237">
          <cell r="K237" t="str">
            <v>6150/000PLANT &amp; MACHINERY - COST</v>
          </cell>
        </row>
        <row r="238">
          <cell r="K238" t="str">
            <v>6150/001Plant &amp; machinery - cost b/fwd</v>
          </cell>
        </row>
        <row r="239">
          <cell r="K239" t="str">
            <v>6150/002Plant &amp; machinery - Additions</v>
          </cell>
        </row>
        <row r="240">
          <cell r="K240" t="str">
            <v>6150/003Plant &amp; machinery - Cost of sales</v>
          </cell>
        </row>
        <row r="241">
          <cell r="K241" t="str">
            <v>6150/020PLANT &amp; MACHINERY - ACC DEPR</v>
          </cell>
        </row>
        <row r="242">
          <cell r="K242" t="str">
            <v>6150/021Plant &amp; Machinery - Acc depr b/fwd</v>
          </cell>
        </row>
        <row r="243">
          <cell r="K243" t="str">
            <v>6150/022Plant &amp; machinery - depr this year</v>
          </cell>
        </row>
        <row r="244">
          <cell r="K244" t="str">
            <v>6150/023Plant &amp; machinery - acc depr on sales</v>
          </cell>
        </row>
        <row r="245">
          <cell r="K245" t="str">
            <v>6200/000MOTOR VEHICLES - COST</v>
          </cell>
        </row>
        <row r="246">
          <cell r="K246" t="str">
            <v>6200/001Motor Vehicles - Cost B/fwd</v>
          </cell>
        </row>
        <row r="247">
          <cell r="K247" t="str">
            <v>6200/002Motor Vehicles - Additions</v>
          </cell>
        </row>
        <row r="248">
          <cell r="K248" t="str">
            <v>6200/003Motor Vehicles - Cost of sales</v>
          </cell>
        </row>
        <row r="249">
          <cell r="K249" t="str">
            <v>6200/020MOTOR VEHICLES - ACC DEPR</v>
          </cell>
        </row>
        <row r="250">
          <cell r="K250" t="str">
            <v>6200/021Motor vehicles - Acc depr b/fwd</v>
          </cell>
        </row>
        <row r="251">
          <cell r="K251" t="str">
            <v>6200/022Motor vehicles - Depr this year</v>
          </cell>
        </row>
        <row r="252">
          <cell r="K252" t="str">
            <v>6200/023Motor vehicles - Acc depr on sales</v>
          </cell>
        </row>
        <row r="253">
          <cell r="K253" t="str">
            <v>6250/000ELECTRONIC EQUIPMENT - COST</v>
          </cell>
        </row>
        <row r="254">
          <cell r="K254" t="str">
            <v>6250/001Electronic equipment - Cost b/fwd</v>
          </cell>
        </row>
        <row r="255">
          <cell r="K255" t="str">
            <v>6250/002Electronic equipment - Additions</v>
          </cell>
        </row>
        <row r="256">
          <cell r="K256" t="str">
            <v>6250/003Electronic equipment - Cost of sales</v>
          </cell>
        </row>
        <row r="257">
          <cell r="K257" t="str">
            <v>6250/020ELECTRONIC EQUIPMENT - ACC DEPR</v>
          </cell>
        </row>
        <row r="258">
          <cell r="K258" t="str">
            <v>6250/021Electronic equipment - Acc depr B/fwd</v>
          </cell>
        </row>
        <row r="259">
          <cell r="K259" t="str">
            <v>6250/022Electronic equipment - Depr this year</v>
          </cell>
        </row>
        <row r="260">
          <cell r="K260" t="str">
            <v>6250/023Electronic equipment - Acc depr on sales</v>
          </cell>
        </row>
        <row r="261">
          <cell r="K261" t="str">
            <v>6300/000OFFICE EQUIPMENT - COST</v>
          </cell>
        </row>
        <row r="262">
          <cell r="K262" t="str">
            <v>6300/001Office Equipment - Cost B/fwd</v>
          </cell>
        </row>
        <row r="263">
          <cell r="K263" t="str">
            <v>6300/002Office Equipment - Additions</v>
          </cell>
        </row>
        <row r="264">
          <cell r="K264" t="str">
            <v>6300/003Office Equipment - Cost of sales</v>
          </cell>
        </row>
        <row r="265">
          <cell r="K265" t="str">
            <v>6300/020OFFICE EQUIPMENT - ACC DEPR</v>
          </cell>
        </row>
        <row r="266">
          <cell r="K266" t="str">
            <v>6300/021Office equipment - Acc depr B/fwd</v>
          </cell>
        </row>
        <row r="267">
          <cell r="K267" t="str">
            <v>6300/022Office equipment - Depr this year</v>
          </cell>
        </row>
        <row r="268">
          <cell r="K268" t="str">
            <v>6300/023Office equipment - Acc depr on sales</v>
          </cell>
        </row>
        <row r="269">
          <cell r="K269" t="str">
            <v>6350/000FURNITURE &amp; FITTINGS - COST</v>
          </cell>
        </row>
        <row r="270">
          <cell r="K270" t="str">
            <v>6350/001Furniture &amp; fittings - Cost B/fwd</v>
          </cell>
        </row>
        <row r="271">
          <cell r="K271" t="str">
            <v>6350/002Furniture &amp; fittings - Additions</v>
          </cell>
        </row>
        <row r="272">
          <cell r="K272" t="str">
            <v>6350/003Furniture &amp; fittings - Cost of sales</v>
          </cell>
        </row>
        <row r="273">
          <cell r="K273" t="str">
            <v>6350/020FURNITURE &amp; FITTINGS - ACC DEPR</v>
          </cell>
        </row>
        <row r="274">
          <cell r="K274" t="str">
            <v>6350/021Furniture &amp; fittings - Acc depr B/fwd</v>
          </cell>
        </row>
        <row r="275">
          <cell r="K275" t="str">
            <v>6350/022Furniture &amp; fittings - Depr this year</v>
          </cell>
        </row>
        <row r="276">
          <cell r="K276" t="str">
            <v>6350/023Furniture &amp; fittings - Acc depr on sales</v>
          </cell>
        </row>
        <row r="277">
          <cell r="K277" t="str">
            <v>6600/000OTHER FIXED ASSETS  - COST</v>
          </cell>
        </row>
        <row r="278">
          <cell r="K278" t="str">
            <v>6600/001Other fixed assets - Cost B/fwd</v>
          </cell>
        </row>
        <row r="279">
          <cell r="K279" t="str">
            <v>6600/002Other fixed assets - Additions</v>
          </cell>
        </row>
        <row r="280">
          <cell r="K280" t="str">
            <v>6600/003Other fixed assets - Cost of sales</v>
          </cell>
        </row>
        <row r="281">
          <cell r="K281" t="str">
            <v>6600/020OTHER FIXED ASSETS - ACC DEPR</v>
          </cell>
        </row>
        <row r="282">
          <cell r="K282" t="str">
            <v>6600/021Other fixed assets - Acc depr b/fwd</v>
          </cell>
        </row>
        <row r="283">
          <cell r="K283" t="str">
            <v>6600/022Other fixed assets - Depr this year</v>
          </cell>
        </row>
        <row r="284">
          <cell r="K284" t="str">
            <v>6600/023Other fixed assets - Acc depr on sales</v>
          </cell>
        </row>
        <row r="285">
          <cell r="K285" t="str">
            <v>7000/000GOODWILL/INTANGIBLE ASSETS</v>
          </cell>
        </row>
        <row r="286">
          <cell r="K286" t="str">
            <v>7000/010Goodwill Cost</v>
          </cell>
        </row>
        <row r="287">
          <cell r="K287" t="str">
            <v>7000/015Goodwill - surplus on revaluation</v>
          </cell>
        </row>
        <row r="288">
          <cell r="K288" t="str">
            <v>7000/020Goodwill - write down this year</v>
          </cell>
        </row>
        <row r="289">
          <cell r="K289" t="str">
            <v>7000/025Goodwill - write down last year</v>
          </cell>
        </row>
        <row r="290">
          <cell r="K290" t="str">
            <v>7100/000INVESTMENTS</v>
          </cell>
        </row>
        <row r="291">
          <cell r="K291" t="str">
            <v>7100/100LISTED INVESTMENTS</v>
          </cell>
        </row>
        <row r="292">
          <cell r="K292" t="str">
            <v>7100/101Listed 1 ************</v>
          </cell>
        </row>
        <row r="293">
          <cell r="K293" t="str">
            <v>7100/102Listed 2 *************</v>
          </cell>
        </row>
        <row r="294">
          <cell r="K294" t="str">
            <v>7100/103Listed 3 ***************</v>
          </cell>
        </row>
        <row r="295">
          <cell r="K295" t="str">
            <v>7100/104Listed 4 ************</v>
          </cell>
        </row>
        <row r="296">
          <cell r="K296" t="str">
            <v>7100/105Listed 5 ************</v>
          </cell>
        </row>
        <row r="297">
          <cell r="K297" t="str">
            <v>7100/200OTHER INVESTMENTS</v>
          </cell>
        </row>
        <row r="298">
          <cell r="K298" t="str">
            <v>7100/201Other investment 1 ************</v>
          </cell>
        </row>
        <row r="299">
          <cell r="K299" t="str">
            <v>7100/202Other investment 2 ************</v>
          </cell>
        </row>
        <row r="300">
          <cell r="K300" t="str">
            <v>7100/203Other investment 3 ************</v>
          </cell>
        </row>
        <row r="301">
          <cell r="K301" t="str">
            <v>7100/204Other investment 4 ************</v>
          </cell>
        </row>
        <row r="302">
          <cell r="K302" t="str">
            <v>7100/205Other investment 5 *************</v>
          </cell>
        </row>
        <row r="303">
          <cell r="K303" t="str">
            <v>7200/000SHARES IN SUBSIDIARY COMPANIES</v>
          </cell>
        </row>
        <row r="304">
          <cell r="K304" t="str">
            <v>7200/001Subsidiary 1 ***********</v>
          </cell>
        </row>
        <row r="305">
          <cell r="K305" t="str">
            <v>7200/002Subsidiary 2 **************</v>
          </cell>
        </row>
        <row r="306">
          <cell r="K306" t="str">
            <v>7400/000LOANS SUBSIDIARY CO'S</v>
          </cell>
        </row>
        <row r="307">
          <cell r="K307" t="str">
            <v>7400/001Subsidiary 1 **********</v>
          </cell>
        </row>
        <row r="308">
          <cell r="K308" t="str">
            <v>7400/002Subsidiary 2 **********</v>
          </cell>
        </row>
        <row r="309">
          <cell r="K309" t="str">
            <v>7450/000CONNECTED COMPANIES</v>
          </cell>
        </row>
        <row r="310">
          <cell r="K310" t="str">
            <v>7450/001Connected co 1 **********</v>
          </cell>
        </row>
        <row r="311">
          <cell r="K311" t="str">
            <v>7450/002Connected co 2 **********</v>
          </cell>
        </row>
        <row r="312">
          <cell r="K312" t="str">
            <v>7450/003Connected co 3 **********</v>
          </cell>
        </row>
        <row r="313">
          <cell r="K313" t="str">
            <v>7450/004Connected co 4 ***********</v>
          </cell>
        </row>
        <row r="314">
          <cell r="K314" t="str">
            <v>7450/005Connected co 5 ***********</v>
          </cell>
        </row>
        <row r="315">
          <cell r="K315" t="str">
            <v>7460/000OTHER NON CURRENT RECEIVABLES</v>
          </cell>
        </row>
        <row r="316">
          <cell r="K316" t="str">
            <v>7460/001Interest free 1 ***********</v>
          </cell>
        </row>
        <row r="317">
          <cell r="K317" t="str">
            <v>7460/002Interest free 2 ***********</v>
          </cell>
        </row>
        <row r="318">
          <cell r="K318" t="str">
            <v>7460/003Interest free 3 ***********</v>
          </cell>
        </row>
        <row r="319">
          <cell r="K319" t="str">
            <v>7460/006Interest bearing 1 ***********</v>
          </cell>
        </row>
        <row r="320">
          <cell r="K320" t="str">
            <v>7460/007Interest bearing 2 ***********</v>
          </cell>
        </row>
        <row r="321">
          <cell r="K321" t="str">
            <v>7500/000INVENTORY</v>
          </cell>
        </row>
        <row r="322">
          <cell r="K322" t="str">
            <v>7500/001Raw materials</v>
          </cell>
        </row>
        <row r="323">
          <cell r="K323" t="str">
            <v>7500/002Work in progress</v>
          </cell>
        </row>
        <row r="324">
          <cell r="K324" t="str">
            <v>7500/003Finished goods</v>
          </cell>
        </row>
        <row r="325">
          <cell r="K325" t="str">
            <v>7500/004Trading stock</v>
          </cell>
        </row>
        <row r="326">
          <cell r="K326" t="str">
            <v>7700/000----------------------------------------</v>
          </cell>
        </row>
        <row r="327">
          <cell r="K327" t="str">
            <v>8000/000DEBTORS</v>
          </cell>
        </row>
        <row r="328">
          <cell r="K328" t="str">
            <v>8010/000Trade debtors</v>
          </cell>
        </row>
        <row r="329">
          <cell r="K329" t="str">
            <v>8020/000Service deposits</v>
          </cell>
        </row>
        <row r="330">
          <cell r="K330" t="str">
            <v>8050/000Less: Provision For Doubtful Debts</v>
          </cell>
        </row>
        <row r="331">
          <cell r="K331" t="str">
            <v>8100/000----------------------------------------</v>
          </cell>
        </row>
        <row r="332">
          <cell r="K332" t="str">
            <v>8200/000Sundry Customers</v>
          </cell>
        </row>
        <row r="333">
          <cell r="K333" t="str">
            <v>8200/010Prepayments</v>
          </cell>
        </row>
        <row r="334">
          <cell r="K334" t="str">
            <v>8200/020Staff Loans</v>
          </cell>
        </row>
        <row r="335">
          <cell r="K335" t="str">
            <v>8400/000BANK ACCOUNTS</v>
          </cell>
        </row>
        <row r="336">
          <cell r="K336" t="str">
            <v>8410/000First National Bank</v>
          </cell>
        </row>
        <row r="337">
          <cell r="K337" t="str">
            <v>8420/000Bank account 2 **********</v>
          </cell>
        </row>
        <row r="338">
          <cell r="K338" t="str">
            <v>8430/000Bank account 3 **********</v>
          </cell>
        </row>
        <row r="339">
          <cell r="K339" t="str">
            <v>8440/000Bank account 4 **********</v>
          </cell>
        </row>
        <row r="340">
          <cell r="K340" t="str">
            <v>8450/000Bank account 5 **********</v>
          </cell>
        </row>
        <row r="341">
          <cell r="K341" t="str">
            <v>8460/000Bank account 6 ***********</v>
          </cell>
        </row>
        <row r="342">
          <cell r="K342" t="str">
            <v>8500/000Cash on hand</v>
          </cell>
        </row>
        <row r="343">
          <cell r="K343" t="str">
            <v>8550/000Petty Cash</v>
          </cell>
        </row>
        <row r="344">
          <cell r="K344" t="str">
            <v>8900/000SHORT TERM LOANS</v>
          </cell>
        </row>
        <row r="345">
          <cell r="K345" t="str">
            <v>8900/001Short term 1 *******</v>
          </cell>
        </row>
        <row r="346">
          <cell r="K346" t="str">
            <v>8900/002Short term 2 *******</v>
          </cell>
        </row>
        <row r="347">
          <cell r="K347" t="str">
            <v>8900/003Short term 3 *********</v>
          </cell>
        </row>
        <row r="348">
          <cell r="K348" t="str">
            <v>8900/004Short term portion of long term loans</v>
          </cell>
        </row>
        <row r="349">
          <cell r="K349" t="str">
            <v>9000/000CREDITORS</v>
          </cell>
        </row>
        <row r="350">
          <cell r="K350" t="str">
            <v>9010/000Trade creditors</v>
          </cell>
        </row>
        <row r="351">
          <cell r="K351" t="str">
            <v>9100/000----------------------------------------</v>
          </cell>
        </row>
        <row r="352">
          <cell r="K352" t="str">
            <v>9200/000Sundry Suppliers</v>
          </cell>
        </row>
        <row r="353">
          <cell r="K353" t="str">
            <v>9200/010Accounting / Audit Fee Accrual</v>
          </cell>
        </row>
        <row r="354">
          <cell r="K354" t="str">
            <v>9200/020Other Accruals</v>
          </cell>
        </row>
        <row r="355">
          <cell r="K355" t="str">
            <v>9250/000Salary &amp; Wages Control</v>
          </cell>
        </row>
        <row r="356">
          <cell r="K356" t="str">
            <v>9300/000TAXATION</v>
          </cell>
        </row>
        <row r="357">
          <cell r="K357" t="str">
            <v>9300/010Balance b/fwd</v>
          </cell>
        </row>
        <row r="358">
          <cell r="K358" t="str">
            <v>9300/020Tax provision this year</v>
          </cell>
        </row>
        <row r="359">
          <cell r="K359" t="str">
            <v>9300/030Over-/Underprovision previous year</v>
          </cell>
        </row>
        <row r="360">
          <cell r="K360" t="str">
            <v>9300/040Tax paid for previous year provisions</v>
          </cell>
        </row>
        <row r="361">
          <cell r="K361" t="str">
            <v>9300/0501st Provisional Paid</v>
          </cell>
        </row>
        <row r="362">
          <cell r="K362" t="str">
            <v>9300/0602nd Provisional Paid</v>
          </cell>
        </row>
        <row r="363">
          <cell r="K363" t="str">
            <v>9300/0703rd Provisional paid</v>
          </cell>
        </row>
        <row r="364">
          <cell r="K364" t="str">
            <v>9300/080STC paid for last year provision</v>
          </cell>
        </row>
        <row r="365">
          <cell r="K365" t="str">
            <v>9300/090STC Provision this year</v>
          </cell>
        </row>
        <row r="366">
          <cell r="K366" t="str">
            <v>9300/100Tax paid on Foreign Dividends</v>
          </cell>
        </row>
        <row r="367">
          <cell r="K367" t="str">
            <v>9350/000Dividends Payable</v>
          </cell>
        </row>
        <row r="368">
          <cell r="K368" t="str">
            <v>9400/000Provision for Future Expenses</v>
          </cell>
        </row>
        <row r="369">
          <cell r="K369" t="str">
            <v>9400/010Provision for Insurance</v>
          </cell>
        </row>
        <row r="370">
          <cell r="K370" t="str">
            <v>9400/020Provision for Salary Bonus</v>
          </cell>
        </row>
        <row r="371">
          <cell r="K371" t="str">
            <v>9500/000VALUE ADDED TAX</v>
          </cell>
        </row>
        <row r="372">
          <cell r="K372" t="str">
            <v>9501/000VAT account</v>
          </cell>
        </row>
        <row r="373">
          <cell r="K373" t="str">
            <v>9510/000----------------------------------------</v>
          </cell>
        </row>
        <row r="374">
          <cell r="K374" t="str">
            <v>9990/000Opening Balance / Suspense Account</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ceptionReport"/>
      <sheetName val="TrialBalance"/>
      <sheetName val="Criteria"/>
      <sheetName val="SUMMARY2"/>
      <sheetName val="Journals"/>
      <sheetName val="VAT"/>
      <sheetName val="VAT (Jan)"/>
      <sheetName val="FixAssetsRegister"/>
      <sheetName val="Bankrecon"/>
      <sheetName val="StateENG"/>
      <sheetName val="StateENGFinal"/>
      <sheetName val="HPLead"/>
      <sheetName val="HP1"/>
      <sheetName val="HP1 (3)"/>
      <sheetName val="HP1 (4)"/>
      <sheetName val="DefTax"/>
      <sheetName val="Analities1"/>
      <sheetName val="Analities2"/>
      <sheetName val="SUMMARY"/>
      <sheetName val="OBalanse"/>
      <sheetName val="StateENG (2)"/>
      <sheetName val="HP1 (8)"/>
      <sheetName val="TaxFixAssetsRegister"/>
      <sheetName val="Notas1"/>
      <sheetName val="StateAFR"/>
      <sheetName val="NotulesAFR"/>
      <sheetName val="NotulesENG"/>
      <sheetName val="Notas2"/>
      <sheetName val="Notas3"/>
      <sheetName val="Ouditverskille"/>
      <sheetName val="FixAssets"/>
      <sheetName val="Goodwill"/>
      <sheetName val="Investments"/>
      <sheetName val="NonCurR"/>
      <sheetName val="Inventory"/>
      <sheetName val="Receivables"/>
      <sheetName val="CashBank"/>
      <sheetName val="bank2"/>
      <sheetName val="ShareCap"/>
      <sheetName val="Shareprem"/>
      <sheetName val="Reserves"/>
      <sheetName val="InterestBor"/>
      <sheetName val="HP2 (2)"/>
      <sheetName val="HP2"/>
      <sheetName val="InterestFree"/>
      <sheetName val="Creditors"/>
      <sheetName val="ShortLOans"/>
      <sheetName val="Tax"/>
      <sheetName val="Index"/>
      <sheetName val="Sales"/>
      <sheetName val="VAT_(Jan)"/>
      <sheetName val="HP1_(3)"/>
      <sheetName val="HP1_(4)"/>
      <sheetName val="StateENG_(2)"/>
      <sheetName val="HP1_(8)"/>
      <sheetName val="HP2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fseasy.co.za/" TargetMode="External"/><Relationship Id="rId1" Type="http://schemas.openxmlformats.org/officeDocument/2006/relationships/hyperlink" Target="mailto:support@fseasy.co.za"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6" Type="http://schemas.openxmlformats.org/officeDocument/2006/relationships/hyperlink" Target="mailto:=@IF(U501+V501=1,%22GROSS%20PROFIT/(LOSS)%22,IF((U501+V501=2),%22GROSS%20PROFIT%22,%22GROSS%20LOSS%22))" TargetMode="External"/><Relationship Id="rId21" Type="http://schemas.openxmlformats.org/officeDocument/2006/relationships/hyperlink" Target="mailto:-@sum(TrialBalance!A119:A125" TargetMode="External"/><Relationship Id="rId42" Type="http://schemas.openxmlformats.org/officeDocument/2006/relationships/hyperlink" Target="mailto:=@IF(U501+V501=1,%22GROSS%20PROFIT/(LOSS)%22,IF((U501+V501=2),%22GROSS%20PROFIT%22,%22GROSS%20LOSS%22))" TargetMode="External"/><Relationship Id="rId47" Type="http://schemas.openxmlformats.org/officeDocument/2006/relationships/hyperlink" Target="mailto:=@IF(U501+V501=1,%22GROSS%20PROFIT/(LOSS)%22,IF((U501+V501=2),%22GROSS%20PROFIT%22,%22GROSS%20LOSS%22))" TargetMode="External"/><Relationship Id="rId63" Type="http://schemas.openxmlformats.org/officeDocument/2006/relationships/hyperlink" Target="mailto:=@IF(U501+V501=1,%22GROSS%20PROFIT/(LOSS)%22,IF((U501+V501=2),%22GROSS%20PROFIT%22,%22GROSS%20LOSS%22))" TargetMode="External"/><Relationship Id="rId68" Type="http://schemas.openxmlformats.org/officeDocument/2006/relationships/hyperlink" Target="mailto:=@IF(U501+V501=1,%22GROSS%20PROFIT/(LOSS)%22,IF((U501+V501=2),%22GROSS%20PROFIT%22,%22GROSS%20LOSS%22))" TargetMode="External"/><Relationship Id="rId84" Type="http://schemas.openxmlformats.org/officeDocument/2006/relationships/hyperlink" Target="mailto:=@IF(U501+V501=1,%22GROSS%20PROFIT/(LOSS)%22,IF((U501+V501=2),%22GROSS%20PROFIT%22,%22GROSS%20LOSS%22))" TargetMode="External"/><Relationship Id="rId89" Type="http://schemas.openxmlformats.org/officeDocument/2006/relationships/hyperlink" Target="mailto:=@IF(U501+V501=1,%22GROSS%20PROFIT/(LOSS)%22,IF((U501+V501=2),%22GROSS%20PROFIT%22,%22GROSS%20LOSS%22))" TargetMode="External"/><Relationship Id="rId16" Type="http://schemas.openxmlformats.org/officeDocument/2006/relationships/hyperlink" Target="mailto:=@IF(U501+V501=1,%22GROSS%20PROFIT/(LOSS)%22,IF((U501+V501=2),%22GROSS%20PROFIT%22,%22GROSS%20LOSS%22))" TargetMode="External"/><Relationship Id="rId11" Type="http://schemas.openxmlformats.org/officeDocument/2006/relationships/hyperlink" Target="mailto:=@IF(U501+V501=1,%22GROSS%20PROFIT/(LOSS)%22,IF((U501+V501=2),%22GROSS%20PROFIT%22,%22GROSS%20LOSS%22))" TargetMode="External"/><Relationship Id="rId32" Type="http://schemas.openxmlformats.org/officeDocument/2006/relationships/hyperlink" Target="mailto:=@IF(U501+V501=1,%22GROSS%20PROFIT/(LOSS)%22,IF((U501+V501=2),%22GROSS%20PROFIT%22,%22GROSS%20LOSS%22))" TargetMode="External"/><Relationship Id="rId37" Type="http://schemas.openxmlformats.org/officeDocument/2006/relationships/hyperlink" Target="mailto:=@IF(U501+V501=1,%22GROSS%20PROFIT/(LOSS)%22,IF((U501+V501=2),%22GROSS%20PROFIT%22,%22GROSS%20LOSS%22))" TargetMode="External"/><Relationship Id="rId53" Type="http://schemas.openxmlformats.org/officeDocument/2006/relationships/hyperlink" Target="mailto:=@IF(U501+V501=1,%22GROSS%20PROFIT/(LOSS)%22,IF((U501+V501=2),%22GROSS%20PROFIT%22,%22GROSS%20LOSS%22))" TargetMode="External"/><Relationship Id="rId58" Type="http://schemas.openxmlformats.org/officeDocument/2006/relationships/hyperlink" Target="mailto:-@sum(TrialBalance!A67:A70" TargetMode="External"/><Relationship Id="rId74" Type="http://schemas.openxmlformats.org/officeDocument/2006/relationships/hyperlink" Target="mailto:=@IF(U501+V501=1,%22GROSS%20PROFIT/(LOSS)%22,IF((U501+V501=2),%22GROSS%20PROFIT%22,%22GROSS%20LOSS%22))" TargetMode="External"/><Relationship Id="rId79" Type="http://schemas.openxmlformats.org/officeDocument/2006/relationships/hyperlink" Target="mailto:-@sum(TrialBalance!A8:A22" TargetMode="External"/><Relationship Id="rId102" Type="http://schemas.openxmlformats.org/officeDocument/2006/relationships/drawing" Target="../drawings/drawing2.xml"/><Relationship Id="rId5" Type="http://schemas.openxmlformats.org/officeDocument/2006/relationships/hyperlink" Target="mailto:=@IF(U501+V501=1,%22GROSS%20PROFIT/(LOSS)%22,IF((U501+V501=2),%22GROSS%20PROFIT%22,%22GROSS%20LOSS%22))" TargetMode="External"/><Relationship Id="rId90" Type="http://schemas.openxmlformats.org/officeDocument/2006/relationships/hyperlink" Target="file://D:\..\Local%20Settings\Temporary%20Internet%20Files\Content.MSO\MSE\BMS-Co\-@sum(TrialBalance!B301:B307)-@sum(TrialBalance!B310:B312)+@sum(TrialBalance!A13:A18)+@sum(TrialBalance!A23:A26)+@sum(TrialBalance!A32:A63)+@sum(TrialBalance!A77:A86)+@sum(TrialBalance!A94:A111)+@sum(TrialBalance!A301:A307)+@SUM(TrialBalance!A310:A312)" TargetMode="External"/><Relationship Id="rId95" Type="http://schemas.openxmlformats.org/officeDocument/2006/relationships/hyperlink" Target="mailto:=@IF(U501+V501=1,%22GROSS%20PROFIT/(LOSS)%22,IF((U501+V501=2),%22GROSS%20PROFIT%22,%22GROSS%20LOSS%22))" TargetMode="External"/><Relationship Id="rId22" Type="http://schemas.openxmlformats.org/officeDocument/2006/relationships/hyperlink" Target="mailto:=@IF(U501+V501=1,%22GROSS%20PROFIT/(LOSS)%22,IF((U501+V501=2),%22GROSS%20PROFIT%22,%22GROSS%20LOSS%22))" TargetMode="External"/><Relationship Id="rId27" Type="http://schemas.openxmlformats.org/officeDocument/2006/relationships/hyperlink" Target="mailto:=@IF(U501+V501=1,%22GROSS%20PROFIT/(LOSS)%22,IF((U501+V501=2),%22GROSS%20PROFIT%22,%22GROSS%20LOSS%22))" TargetMode="External"/><Relationship Id="rId43" Type="http://schemas.openxmlformats.org/officeDocument/2006/relationships/hyperlink" Target="mailto:=@IF(U501+V501=1,%22GROSS%20PROFIT/(LOSS)%22,IF((U501+V501=2),%22GROSS%20PROFIT%22,%22GROSS%20LOSS%22))" TargetMode="External"/><Relationship Id="rId48" Type="http://schemas.openxmlformats.org/officeDocument/2006/relationships/hyperlink" Target="mailto:=@IF(U501+V501=1,%22GROSS%20PROFIT/(LOSS)%22,IF((U501+V501=2),%22GROSS%20PROFIT%22,%22GROSS%20LOSS%22))" TargetMode="External"/><Relationship Id="rId64" Type="http://schemas.openxmlformats.org/officeDocument/2006/relationships/hyperlink" Target="mailto:-@sum(TrialBalance!A67:A70" TargetMode="External"/><Relationship Id="rId69" Type="http://schemas.openxmlformats.org/officeDocument/2006/relationships/hyperlink" Target="mailto:=@IF(U501+V501=1,%22GROSS%20PROFIT/(LOSS)%22,IF((U501+V501=2),%22GROSS%20PROFIT%22,%22GROSS%20LOSS%22))" TargetMode="External"/><Relationship Id="rId80" Type="http://schemas.openxmlformats.org/officeDocument/2006/relationships/hyperlink" Target="mailto:-@sum(TrialBalance!A8:A22" TargetMode="External"/><Relationship Id="rId85" Type="http://schemas.openxmlformats.org/officeDocument/2006/relationships/hyperlink" Target="mailto:-@sum(TrialBalance!A311:A321)+@sum(TrialBalance!A123:A125)=@sum(TrialBalance!A311:A321)" TargetMode="External"/><Relationship Id="rId12" Type="http://schemas.openxmlformats.org/officeDocument/2006/relationships/hyperlink" Target="mailto:=@IF(U501+V501=1,%22GROSS%20PROFIT/(LOSS)%22,IF((U501+V501=2),%22GROSS%20PROFIT%22,%22GROSS%20LOSS%22))" TargetMode="External"/><Relationship Id="rId17" Type="http://schemas.openxmlformats.org/officeDocument/2006/relationships/hyperlink" Target="mailto:-@sum(TrialBalance!A23:A63" TargetMode="External"/><Relationship Id="rId25" Type="http://schemas.openxmlformats.org/officeDocument/2006/relationships/hyperlink" Target="mailto:=@IF(U501+V501=1,%22GROSS%20PROFIT/(LOSS)%22,IF((U501+V501=2),%22GROSS%20PROFIT%22,%22GROSS%20LOSS%22))" TargetMode="External"/><Relationship Id="rId33" Type="http://schemas.openxmlformats.org/officeDocument/2006/relationships/hyperlink" Target="mailto:-@sum(TrialBalance!A23:A63" TargetMode="External"/><Relationship Id="rId38" Type="http://schemas.openxmlformats.org/officeDocument/2006/relationships/hyperlink" Target="mailto:-@sum(TrialBalance!A67:A70" TargetMode="External"/><Relationship Id="rId46" Type="http://schemas.openxmlformats.org/officeDocument/2006/relationships/hyperlink" Target="mailto:=@IF(U501+V501=1,%22GROSS%20PROFIT/(LOSS)%22,IF((U501+V501=2),%22GROSS%20PROFIT%22,%22GROSS%20LOSS%22))" TargetMode="External"/><Relationship Id="rId59" Type="http://schemas.openxmlformats.org/officeDocument/2006/relationships/hyperlink" Target="mailto:=@IF(U501+V501=1,%22GROSS%20PROFIT/(LOSS)%22,IF((U501+V501=2),%22GROSS%20PROFIT%22,%22GROSS%20LOSS%22))" TargetMode="External"/><Relationship Id="rId67" Type="http://schemas.openxmlformats.org/officeDocument/2006/relationships/hyperlink" Target="mailto:=@IF(U501+V501=1,%22GROSS%20PROFIT/(LOSS)%22,IF((U501+V501=2),%22GROSS%20PROFIT%22,%22GROSS%20LOSS%22))" TargetMode="External"/><Relationship Id="rId103" Type="http://schemas.openxmlformats.org/officeDocument/2006/relationships/image" Target="../media/image2.jpeg"/><Relationship Id="rId20" Type="http://schemas.openxmlformats.org/officeDocument/2006/relationships/hyperlink" Target="mailto:-@sum(TrialBalance!A119:A125" TargetMode="External"/><Relationship Id="rId41" Type="http://schemas.openxmlformats.org/officeDocument/2006/relationships/hyperlink" Target="mailto:=@IF(U501+V501=1,%22GROSS%20PROFIT/(LOSS)%22,IF((U501+V501=2),%22GROSS%20PROFIT%22,%22GROSS%20LOSS%22))" TargetMode="External"/><Relationship Id="rId54" Type="http://schemas.openxmlformats.org/officeDocument/2006/relationships/hyperlink" Target="mailto:=@IF(U501+V501=1,%22GROSS%20PROFIT/(LOSS)%22,IF((U501+V501=2),%22GROSS%20PROFIT%22,%22GROSS%20LOSS%22))" TargetMode="External"/><Relationship Id="rId62" Type="http://schemas.openxmlformats.org/officeDocument/2006/relationships/hyperlink" Target="mailto:=@IF(U501+V501=1,%22GROSS%20PROFIT/(LOSS)%22,IF((U501+V501=2),%22GROSS%20PROFIT%22,%22GROSS%20LOSS%22))" TargetMode="External"/><Relationship Id="rId70" Type="http://schemas.openxmlformats.org/officeDocument/2006/relationships/hyperlink" Target="mailto:-@sum(TrialBalance!A67:A70" TargetMode="External"/><Relationship Id="rId75" Type="http://schemas.openxmlformats.org/officeDocument/2006/relationships/hyperlink" Target="mailto:-@sum(TrialBalance!A67:A70" TargetMode="External"/><Relationship Id="rId83" Type="http://schemas.openxmlformats.org/officeDocument/2006/relationships/hyperlink" Target="mailto:=@IF(U501+V501=1,%22GROSS%20PROFIT/(LOSS)%22,IF((U501+V501=2),%22GROSS%20PROFIT%22,%22GROSS%20LOSS%22))" TargetMode="External"/><Relationship Id="rId88" Type="http://schemas.openxmlformats.org/officeDocument/2006/relationships/hyperlink" Target="mailto:=@IF(U501+V501=1,%22GROSS%20PROFIT/(LOSS)%22,IF((U501+V501=2),%22GROSS%20PROFIT%22,%22GROSS%20LOSS%22))" TargetMode="External"/><Relationship Id="rId91" Type="http://schemas.openxmlformats.org/officeDocument/2006/relationships/hyperlink" Target="mailto:=@IF(U501+V501=1,%22GROSS%20PROFIT/(LOSS)%22,IF((U501+V501=2),%22GROSS%20PROFIT%22,%22GROSS%20LOSS%22))" TargetMode="External"/><Relationship Id="rId96" Type="http://schemas.openxmlformats.org/officeDocument/2006/relationships/hyperlink" Target="mailto:=@if(Criteria!F343=%22No%22,Criteria!G346,%22%20%22)" TargetMode="External"/><Relationship Id="rId1" Type="http://schemas.openxmlformats.org/officeDocument/2006/relationships/hyperlink" Target="mailto:-TrialBalance!A146-@sum(TrialBalance!A5:A127)" TargetMode="External"/><Relationship Id="rId6" Type="http://schemas.openxmlformats.org/officeDocument/2006/relationships/hyperlink" Target="mailto:=@IF(U501+V501=1,%22GROSS%20PROFIT/(LOSS)%22,IF((U501+V501=2),%22GROSS%20PROFIT%22,%22GROSS%20LOSS%22))" TargetMode="External"/><Relationship Id="rId15" Type="http://schemas.openxmlformats.org/officeDocument/2006/relationships/hyperlink" Target="mailto:-TrialBalance!A146-@sum(TrialBalance!A5:A127)" TargetMode="External"/><Relationship Id="rId23" Type="http://schemas.openxmlformats.org/officeDocument/2006/relationships/hyperlink" Target="mailto:=@IF(U501+V501=1,%22GROSS%20PROFIT/(LOSS)%22,IF((U501+V501=2),%22GROSS%20PROFIT%22,%22GROSS%20LOSS%22))" TargetMode="External"/><Relationship Id="rId28" Type="http://schemas.openxmlformats.org/officeDocument/2006/relationships/hyperlink" Target="mailto:=@IF(U501+V501=1,%22GROSS%20PROFIT/(LOSS)%22,IF((U501+V501=2),%22GROSS%20PROFIT%22,%22GROSS%20LOSS%22))" TargetMode="External"/><Relationship Id="rId36" Type="http://schemas.openxmlformats.org/officeDocument/2006/relationships/hyperlink" Target="mailto:=@IF(U501+V501=1,%22GROSS%20PROFIT/(LOSS)%22,IF((U501+V501=2),%22GROSS%20PROFIT%22,%22GROSS%20LOSS%22))" TargetMode="External"/><Relationship Id="rId49" Type="http://schemas.openxmlformats.org/officeDocument/2006/relationships/hyperlink" Target="mailto:=@IF(U501+V501=1,%22GROSS%20PROFIT/(LOSS)%22,IF((U501+V501=2),%22GROSS%20PROFIT%22,%22GROSS%20LOSS%22))" TargetMode="External"/><Relationship Id="rId57" Type="http://schemas.openxmlformats.org/officeDocument/2006/relationships/hyperlink" Target="mailto:-@sum(TrialBalance!A67:A70" TargetMode="External"/><Relationship Id="rId10" Type="http://schemas.openxmlformats.org/officeDocument/2006/relationships/hyperlink" Target="mailto:=@IF(U501+V501=1,%22GROSS%20PROFIT/(LOSS)%22,IF((U501+V501=2),%22GROSS%20PROFIT%22,%22GROSS%20LOSS%22))" TargetMode="External"/><Relationship Id="rId31" Type="http://schemas.openxmlformats.org/officeDocument/2006/relationships/hyperlink" Target="mailto:=@IF(U501+V501=1,%22GROSS%20PROFIT/(LOSS)%22,IF((U501+V501=2),%22GROSS%20PROFIT%22,%22GROSS%20LOSS%22))" TargetMode="External"/><Relationship Id="rId44" Type="http://schemas.openxmlformats.org/officeDocument/2006/relationships/hyperlink" Target="mailto:-@sum(TrialBalance!A67:A70" TargetMode="External"/><Relationship Id="rId52" Type="http://schemas.openxmlformats.org/officeDocument/2006/relationships/hyperlink" Target="mailto:=@IF(U501+V501=1,%22GROSS%20PROFIT/(LOSS)%22,IF((U501+V501=2),%22GROSS%20PROFIT%22,%22GROSS%20LOSS%22))" TargetMode="External"/><Relationship Id="rId60" Type="http://schemas.openxmlformats.org/officeDocument/2006/relationships/hyperlink" Target="mailto:=@IF(U501+V501=1,%22GROSS%20PROFIT/(LOSS)%22,IF((U501+V501=2),%22GROSS%20PROFIT%22,%22GROSS%20LOSS%22))" TargetMode="External"/><Relationship Id="rId65" Type="http://schemas.openxmlformats.org/officeDocument/2006/relationships/hyperlink" Target="mailto:=@IF(U501+V501=1,%22GROSS%20PROFIT/(LOSS)%22,IF((U501+V501=2),%22GROSS%20PROFIT%22,%22GROSS%20LOSS%22))" TargetMode="External"/><Relationship Id="rId73" Type="http://schemas.openxmlformats.org/officeDocument/2006/relationships/hyperlink" Target="mailto:=@IF(U501+V501=1,%22GROSS%20PROFIT/(LOSS)%22,IF((U501+V501=2),%22GROSS%20PROFIT%22,%22GROSS%20LOSS%22))" TargetMode="External"/><Relationship Id="rId78" Type="http://schemas.openxmlformats.org/officeDocument/2006/relationships/hyperlink" Target="mailto:=@IF(U501+V501=1,%22GROSS%20PROFIT/(LOSS)%22,IF((U501+V501=2),%22GROSS%20PROFIT%22,%22GROSS%20LOSS%22))" TargetMode="External"/><Relationship Id="rId81" Type="http://schemas.openxmlformats.org/officeDocument/2006/relationships/hyperlink" Target="mailto:=@IF(U501+V501=1,%22GROSS%20PROFIT/(LOSS)%22,IF((U501+V501=2),%22GROSS%20PROFIT%22,%22GROSS%20LOSS%22))" TargetMode="External"/><Relationship Id="rId86" Type="http://schemas.openxmlformats.org/officeDocument/2006/relationships/hyperlink" Target="mailto:=@IF(U501+V501=1,%22GROSS%20PROFIT/(LOSS)%22,IF((U501+V501=2),%22GROSS%20PROFIT%22,%22GROSS%20LOSS%22))" TargetMode="External"/><Relationship Id="rId94" Type="http://schemas.openxmlformats.org/officeDocument/2006/relationships/hyperlink" Target="mailto:=@IF(U501+V501=1,%22GROSS%20PROFIT/(LOSS)%22,IF((U501+V501=2),%22GROSS%20PROFIT%22,%22GROSS%20LOSS%22))" TargetMode="External"/><Relationship Id="rId99" Type="http://schemas.openxmlformats.org/officeDocument/2006/relationships/hyperlink" Target="mailto:=@IF(U501+V501=1,%22GROSS%20PROFIT/(LOSS)%22,IF((U501+V501=2),%22GROSS%20PROFIT%22,%22GROSS%20LOSS%22))" TargetMode="External"/><Relationship Id="rId101" Type="http://schemas.openxmlformats.org/officeDocument/2006/relationships/printerSettings" Target="../printerSettings/printerSettings2.bin"/><Relationship Id="rId4" Type="http://schemas.openxmlformats.org/officeDocument/2006/relationships/hyperlink" Target="mailto:=@IF(U501+V501=1,%22GROSS%20PROFIT/(LOSS)%22,IF((U501+V501=2),%22GROSS%20PROFIT%22,%22GROSS%20LOSS%22))" TargetMode="External"/><Relationship Id="rId9" Type="http://schemas.openxmlformats.org/officeDocument/2006/relationships/hyperlink" Target="mailto:=@IF(U501+V501=1,%22GROSS%20PROFIT/(LOSS)%22,IF((U501+V501=2),%22GROSS%20PROFIT%22,%22GROSS%20LOSS%22))" TargetMode="External"/><Relationship Id="rId13" Type="http://schemas.openxmlformats.org/officeDocument/2006/relationships/hyperlink" Target="mailto:=@IF(U501+V501=1,%22GROSS%20PROFIT/(LOSS)%22,IF((U501+V501=2),%22GROSS%20PROFIT%22,%22GROSS%20LOSS%22))" TargetMode="External"/><Relationship Id="rId18" Type="http://schemas.openxmlformats.org/officeDocument/2006/relationships/hyperlink" Target="mailto:-@sum(TrialBalance!A77:A111" TargetMode="External"/><Relationship Id="rId39" Type="http://schemas.openxmlformats.org/officeDocument/2006/relationships/hyperlink" Target="mailto:=@IF(U501+V501=1,%22GROSS%20PROFIT/(LOSS)%22,IF((U501+V501=2),%22GROSS%20PROFIT%22,%22GROSS%20LOSS%22))" TargetMode="External"/><Relationship Id="rId34" Type="http://schemas.openxmlformats.org/officeDocument/2006/relationships/hyperlink" Target="mailto:-@sum(TrialBalance!A77:A111" TargetMode="External"/><Relationship Id="rId50" Type="http://schemas.openxmlformats.org/officeDocument/2006/relationships/hyperlink" Target="mailto:=@IF(U501+V501=1,%22GROSS%20PROFIT/(LOSS)%22,IF((U501+V501=2),%22GROSS%20PROFIT%22,%22GROSS%20LOSS%22))" TargetMode="External"/><Relationship Id="rId55" Type="http://schemas.openxmlformats.org/officeDocument/2006/relationships/hyperlink" Target="mailto:=@IF(U501+V501=1,%22GROSS%20PROFIT/(LOSS)%22,IF((U501+V501=2),%22GROSS%20PROFIT%22,%22GROSS%20LOSS%22))" TargetMode="External"/><Relationship Id="rId76" Type="http://schemas.openxmlformats.org/officeDocument/2006/relationships/hyperlink" Target="mailto:=@IF(U501+V501=1,%22GROSS%20PROFIT/(LOSS)%22,IF((U501+V501=2),%22GROSS%20PROFIT%22,%22GROSS%20LOSS%22))" TargetMode="External"/><Relationship Id="rId97" Type="http://schemas.openxmlformats.org/officeDocument/2006/relationships/hyperlink" Target="mailto:=@if(Criteria!F343=%22No%22,Criteria!G346,%22%20%22)" TargetMode="External"/><Relationship Id="rId7" Type="http://schemas.openxmlformats.org/officeDocument/2006/relationships/hyperlink" Target="mailto:=@IF(U501+V501=1,%22GROSS%20PROFIT/(LOSS)%22,IF((U501+V501=2),%22GROSS%20PROFIT%22,%22GROSS%20LOSS%22))" TargetMode="External"/><Relationship Id="rId71" Type="http://schemas.openxmlformats.org/officeDocument/2006/relationships/hyperlink" Target="mailto:=@IF(U501+V501=1,%22GROSS%20PROFIT/(LOSS)%22,IF((U501+V501=2),%22GROSS%20PROFIT%22,%22GROSS%20LOSS%22))" TargetMode="External"/><Relationship Id="rId92" Type="http://schemas.openxmlformats.org/officeDocument/2006/relationships/hyperlink" Target="mailto:=@IF(U501+V501=1,%22GROSS%20PROFIT/(LOSS)%22,IF((U501+V501=2),%22GROSS%20PROFIT%22,%22GROSS%20LOSS%22))" TargetMode="External"/><Relationship Id="rId2" Type="http://schemas.openxmlformats.org/officeDocument/2006/relationships/hyperlink" Target="mailto:=@IF(U501+V501=1,%22GROSS%20PROFIT/(LOSS)%22,IF((U501+V501=2),%22GROSS%20PROFIT%22,%22GROSS%20LOSS%22))" TargetMode="External"/><Relationship Id="rId29" Type="http://schemas.openxmlformats.org/officeDocument/2006/relationships/hyperlink" Target="mailto:=@if(Criteria!E33*Criteria!E34=Criteria!E36*Criteria!E37,%22%20%22,Criteria!E33*Criteria!E34)" TargetMode="External"/><Relationship Id="rId24" Type="http://schemas.openxmlformats.org/officeDocument/2006/relationships/hyperlink" Target="mailto:=@IF(U501+V501=1,%22GROSS%20PROFIT/(LOSS)%22,IF((U501+V501=2),%22GROSS%20PROFIT%22,%22GROSS%20LOSS%22))" TargetMode="External"/><Relationship Id="rId40" Type="http://schemas.openxmlformats.org/officeDocument/2006/relationships/hyperlink" Target="mailto:=@IF(U501+V501=1,%22GROSS%20PROFIT/(LOSS)%22,IF((U501+V501=2),%22GROSS%20PROFIT%22,%22GROSS%20LOSS%22))" TargetMode="External"/><Relationship Id="rId45" Type="http://schemas.openxmlformats.org/officeDocument/2006/relationships/hyperlink" Target="mailto:-@sum(TrialBalance!A67:A70" TargetMode="External"/><Relationship Id="rId66" Type="http://schemas.openxmlformats.org/officeDocument/2006/relationships/hyperlink" Target="mailto:=@IF(U501+V501=1,%22GROSS%20PROFIT/(LOSS)%22,IF((U501+V501=2),%22GROSS%20PROFIT%22,%22GROSS%20LOSS%22))" TargetMode="External"/><Relationship Id="rId87" Type="http://schemas.openxmlformats.org/officeDocument/2006/relationships/hyperlink" Target="mailto:=@IF(U501+V501=1,%22GROSS%20PROFIT/(LOSS)%22,IF((U501+V501=2),%22GROSS%20PROFIT%22,%22GROSS%20LOSS%22))" TargetMode="External"/><Relationship Id="rId61" Type="http://schemas.openxmlformats.org/officeDocument/2006/relationships/hyperlink" Target="mailto:=@IF(U501+V501=1,%22GROSS%20PROFIT/(LOSS)%22,IF((U501+V501=2),%22GROSS%20PROFIT%22,%22GROSS%20LOSS%22))" TargetMode="External"/><Relationship Id="rId82" Type="http://schemas.openxmlformats.org/officeDocument/2006/relationships/hyperlink" Target="mailto:=@IF(U501+V501=1,%22GROSS%20PROFIT/(LOSS)%22,IF((U501+V501=2),%22GROSS%20PROFIT%22,%22GROSS%20LOSS%22))" TargetMode="External"/><Relationship Id="rId19" Type="http://schemas.openxmlformats.org/officeDocument/2006/relationships/hyperlink" Target="mailto:-@sum(TrialBalance!A112:A118" TargetMode="External"/><Relationship Id="rId14" Type="http://schemas.openxmlformats.org/officeDocument/2006/relationships/hyperlink" Target="mailto:=@IF(U501+V501=1,%22GROSS%20PROFIT/(LOSS)%22,IF((U501+V501=2),%22GROSS%20PROFIT%22,%22GROSS%20LOSS%22))" TargetMode="External"/><Relationship Id="rId30" Type="http://schemas.openxmlformats.org/officeDocument/2006/relationships/hyperlink" Target="mailto:=@if(Criteria!E33*Criteria!E34=Criteria!E36*Criteria!E37,%22%20%22,Criteria!E33*Criteria!E34)" TargetMode="External"/><Relationship Id="rId35" Type="http://schemas.openxmlformats.org/officeDocument/2006/relationships/hyperlink" Target="mailto:-@sum(TrialBalance!A112:A118" TargetMode="External"/><Relationship Id="rId56" Type="http://schemas.openxmlformats.org/officeDocument/2006/relationships/hyperlink" Target="mailto:=@IF(U501+V501=1,%22GROSS%20PROFIT/(LOSS)%22,IF((U501+V501=2),%22GROSS%20PROFIT%22,%22GROSS%20LOSS%22))" TargetMode="External"/><Relationship Id="rId77" Type="http://schemas.openxmlformats.org/officeDocument/2006/relationships/hyperlink" Target="mailto:=@IF(U501+V501=1,%22GROSS%20PROFIT/(LOSS)%22,IF((U501+V501=2),%22GROSS%20PROFIT%22,%22GROSS%20LOSS%22))" TargetMode="External"/><Relationship Id="rId100" Type="http://schemas.openxmlformats.org/officeDocument/2006/relationships/hyperlink" Target="mailto:=@IF(U501+V501=1,%22GROSS%20PROFIT/(LOSS)%22,IF((U501+V501=2),%22GROSS%20PROFIT%22,%22GROSS%20LOSS%22))" TargetMode="External"/><Relationship Id="rId8" Type="http://schemas.openxmlformats.org/officeDocument/2006/relationships/hyperlink" Target="mailto:=@IF(U501+V501=1,%22GROSS%20PROFIT/(LOSS)%22,IF((U501+V501=2),%22GROSS%20PROFIT%22,%22GROSS%20LOSS%22))" TargetMode="External"/><Relationship Id="rId51" Type="http://schemas.openxmlformats.org/officeDocument/2006/relationships/hyperlink" Target="mailto:-@sum(TrialBalance!A67:A70" TargetMode="External"/><Relationship Id="rId72" Type="http://schemas.openxmlformats.org/officeDocument/2006/relationships/hyperlink" Target="mailto:=@IF(U501+V501=1,%22GROSS%20PROFIT/(LOSS)%22,IF((U501+V501=2),%22GROSS%20PROFIT%22,%22GROSS%20LOSS%22))" TargetMode="External"/><Relationship Id="rId93" Type="http://schemas.openxmlformats.org/officeDocument/2006/relationships/hyperlink" Target="mailto:=@IF(U501+V501=1,%22GROSS%20PROFIT/(LOSS)%22,IF((U501+V501=2),%22GROSS%20PROFIT%22,%22GROSS%20LOSS%22))" TargetMode="External"/><Relationship Id="rId98" Type="http://schemas.openxmlformats.org/officeDocument/2006/relationships/hyperlink" Target="mailto:=@if(Criteria!F343=%22No%22,Criteria!G346,%22%20%22)" TargetMode="External"/><Relationship Id="rId3" Type="http://schemas.openxmlformats.org/officeDocument/2006/relationships/hyperlink" Target="mailto:=@IF(U501+V501=1,%22GROSS%20PROFIT/(LOSS)%22,IF((U501+V501=2),%22GROSS%20PROFIT%22,%22GROSS%20LOSS%22))"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6" Type="http://schemas.openxmlformats.org/officeDocument/2006/relationships/hyperlink" Target="mailto:=@IF(U501+V501=1,%22GROSS%20PROFIT/(LOSS)%22,IF((U501+V501=2),%22GROSS%20PROFIT%22,%22GROSS%20LOSS%22))" TargetMode="External"/><Relationship Id="rId21" Type="http://schemas.openxmlformats.org/officeDocument/2006/relationships/hyperlink" Target="mailto:=@IF(U501+V501=1,%22GROSS%20PROFIT/(LOSS)%22,IF((U501+V501=2),%22GROSS%20PROFIT%22,%22GROSS%20LOSS%22))" TargetMode="External"/><Relationship Id="rId42" Type="http://schemas.openxmlformats.org/officeDocument/2006/relationships/hyperlink" Target="mailto:-@sum(TrialBalance!A67:A70" TargetMode="External"/><Relationship Id="rId47" Type="http://schemas.openxmlformats.org/officeDocument/2006/relationships/hyperlink" Target="mailto:=@IF(U501+V501=1,%22GROSS%20PROFIT/(LOSS)%22,IF((U501+V501=2),%22GROSS%20PROFIT%22,%22GROSS%20LOSS%22))" TargetMode="External"/><Relationship Id="rId63" Type="http://schemas.openxmlformats.org/officeDocument/2006/relationships/hyperlink" Target="mailto:=@IF(U501+V501=1,%22GROSS%20PROFIT/(LOSS)%22,IF((U501+V501=2),%22GROSS%20PROFIT%22,%22GROSS%20LOSS%22))" TargetMode="External"/><Relationship Id="rId68" Type="http://schemas.openxmlformats.org/officeDocument/2006/relationships/hyperlink" Target="mailto:=@if(Criteria!F343=%22No%22,Criteria!G346,%22%20%22)" TargetMode="External"/><Relationship Id="rId2" Type="http://schemas.openxmlformats.org/officeDocument/2006/relationships/hyperlink" Target="mailto:=@IF(U501+V501=1,%22GROSS%20PROFIT/(LOSS)%22,IF((U501+V501=2),%22GROSS%20PROFIT%22,%22GROSS%20LOSS%22))" TargetMode="External"/><Relationship Id="rId16" Type="http://schemas.openxmlformats.org/officeDocument/2006/relationships/hyperlink" Target="mailto:-@sum(TrialBalance!A77:A111" TargetMode="External"/><Relationship Id="rId29" Type="http://schemas.openxmlformats.org/officeDocument/2006/relationships/hyperlink" Target="mailto:=@IF(U501+V501=1,%22GROSS%20PROFIT/(LOSS)%22,IF((U501+V501=2),%22GROSS%20PROFIT%22,%22GROSS%20LOSS%22))" TargetMode="External"/><Relationship Id="rId11" Type="http://schemas.openxmlformats.org/officeDocument/2006/relationships/hyperlink" Target="mailto:=@IF(U501+V501=1,%22GROSS%20PROFIT/(LOSS)%22,IF((U501+V501=2),%22GROSS%20PROFIT%22,%22GROSS%20LOSS%22))" TargetMode="External"/><Relationship Id="rId24" Type="http://schemas.openxmlformats.org/officeDocument/2006/relationships/hyperlink" Target="mailto:=@IF(U501+V501=1,%22GROSS%20PROFIT/(LOSS)%22,IF((U501+V501=2),%22GROSS%20PROFIT%22,%22GROSS%20LOSS%22))" TargetMode="External"/><Relationship Id="rId32" Type="http://schemas.openxmlformats.org/officeDocument/2006/relationships/hyperlink" Target="mailto:=@IF(U501+V501=1,%22GROSS%20PROFIT/(LOSS)%22,IF((U501+V501=2),%22GROSS%20PROFIT%22,%22GROSS%20LOSS%22))" TargetMode="External"/><Relationship Id="rId37" Type="http://schemas.openxmlformats.org/officeDocument/2006/relationships/hyperlink" Target="mailto:=@IF(U501+V501=1,%22GROSS%20PROFIT/(LOSS)%22,IF((U501+V501=2),%22GROSS%20PROFIT%22,%22GROSS%20LOSS%22))" TargetMode="External"/><Relationship Id="rId40" Type="http://schemas.openxmlformats.org/officeDocument/2006/relationships/hyperlink" Target="mailto:=@IF(U501+V501=1,%22GROSS%20PROFIT/(LOSS)%22,IF((U501+V501=2),%22GROSS%20PROFIT%22,%22GROSS%20LOSS%22))" TargetMode="External"/><Relationship Id="rId45" Type="http://schemas.openxmlformats.org/officeDocument/2006/relationships/hyperlink" Target="mailto:=@IF(U501+V501=1,%22GROSS%20PROFIT/(LOSS)%22,IF((U501+V501=2),%22GROSS%20PROFIT%22,%22GROSS%20LOSS%22))" TargetMode="External"/><Relationship Id="rId53" Type="http://schemas.openxmlformats.org/officeDocument/2006/relationships/hyperlink" Target="mailto:=@IF(U501+V501=1,%22GROSS%20PROFIT/(LOSS)%22,IF((U501+V501=2),%22GROSS%20PROFIT%22,%22GROSS%20LOSS%22))" TargetMode="External"/><Relationship Id="rId58" Type="http://schemas.openxmlformats.org/officeDocument/2006/relationships/hyperlink" Target="mailto:-@sum(TrialBalance!A67:A70" TargetMode="External"/><Relationship Id="rId66" Type="http://schemas.openxmlformats.org/officeDocument/2006/relationships/hyperlink" Target="mailto:=@IF(U501+V501=1,%22GROSS%20PROFIT/(LOSS)%22,IF((U501+V501=2),%22GROSS%20PROFIT%22,%22GROSS%20LOSS%22))" TargetMode="External"/><Relationship Id="rId74" Type="http://schemas.openxmlformats.org/officeDocument/2006/relationships/image" Target="../media/image6.png"/><Relationship Id="rId5" Type="http://schemas.openxmlformats.org/officeDocument/2006/relationships/hyperlink" Target="mailto:=@IF(U501+V501=1,%22GROSS%20PROFIT/(LOSS)%22,IF((U501+V501=2),%22GROSS%20PROFIT%22,%22GROSS%20LOSS%22))" TargetMode="External"/><Relationship Id="rId61" Type="http://schemas.openxmlformats.org/officeDocument/2006/relationships/hyperlink" Target="mailto:=@IF(U501+V501=1,%22GROSS%20PROFIT/(LOSS)%22,IF((U501+V501=2),%22GROSS%20PROFIT%22,%22GROSS%20LOSS%22))" TargetMode="External"/><Relationship Id="rId19" Type="http://schemas.openxmlformats.org/officeDocument/2006/relationships/hyperlink" Target="mailto:=@IF(U501+V501=1,%22GROSS%20PROFIT/(LOSS)%22,IF((U501+V501=2),%22GROSS%20PROFIT%22,%22GROSS%20LOSS%22))" TargetMode="External"/><Relationship Id="rId14" Type="http://schemas.openxmlformats.org/officeDocument/2006/relationships/hyperlink" Target="mailto:-@sum(TrialBalance!A8:A22" TargetMode="External"/><Relationship Id="rId22" Type="http://schemas.openxmlformats.org/officeDocument/2006/relationships/hyperlink" Target="file://D:\..\Local%20Settings\Temporary%20Internet%20Files\Content.MSO\MSE\BMS-Co\-@sum(TrialBalance!B301:B307)-@sum(TrialBalance!B310:B312)+@sum(TrialBalance!A13:A18)+@sum(TrialBalance!A23:A26)+@sum(TrialBalance!A32:A63)+@sum(TrialBalance!A77:A86)+@sum(TrialBalance!A94:A111)+@sum(TrialBalance!A301:A307)+@SUM(TrialBalance!A310:A312)" TargetMode="External"/><Relationship Id="rId27" Type="http://schemas.openxmlformats.org/officeDocument/2006/relationships/hyperlink" Target="mailto:-@sum(TrialBalance!A311:A321)+@sum(TrialBalance!A123:A125)=@sum(TrialBalance!A311:A321)" TargetMode="External"/><Relationship Id="rId30" Type="http://schemas.openxmlformats.org/officeDocument/2006/relationships/hyperlink" Target="mailto:=@IF(U501+V501=1,%22GROSS%20PROFIT/(LOSS)%22,IF((U501+V501=2),%22GROSS%20PROFIT%22,%22GROSS%20LOSS%22))" TargetMode="External"/><Relationship Id="rId35" Type="http://schemas.openxmlformats.org/officeDocument/2006/relationships/hyperlink" Target="mailto:=@IF(U501+V501=1,%22GROSS%20PROFIT/(LOSS)%22,IF((U501+V501=2),%22GROSS%20PROFIT%22,%22GROSS%20LOSS%22))" TargetMode="External"/><Relationship Id="rId43" Type="http://schemas.openxmlformats.org/officeDocument/2006/relationships/hyperlink" Target="mailto:=@IF(U501+V501=1,%22GROSS%20PROFIT/(LOSS)%22,IF((U501+V501=2),%22GROSS%20PROFIT%22,%22GROSS%20LOSS%22))" TargetMode="External"/><Relationship Id="rId48" Type="http://schemas.openxmlformats.org/officeDocument/2006/relationships/hyperlink" Target="mailto:-@sum(TrialBalance!A67:A70" TargetMode="External"/><Relationship Id="rId56" Type="http://schemas.openxmlformats.org/officeDocument/2006/relationships/hyperlink" Target="mailto:=@IF(U501+V501=1,%22GROSS%20PROFIT/(LOSS)%22,IF((U501+V501=2),%22GROSS%20PROFIT%22,%22GROSS%20LOSS%22))" TargetMode="External"/><Relationship Id="rId64" Type="http://schemas.openxmlformats.org/officeDocument/2006/relationships/hyperlink" Target="mailto:=@IF(U501+V501=1,%22GROSS%20PROFIT/(LOSS)%22,IF((U501+V501=2),%22GROSS%20PROFIT%22,%22GROSS%20LOSS%22))" TargetMode="External"/><Relationship Id="rId69" Type="http://schemas.openxmlformats.org/officeDocument/2006/relationships/hyperlink" Target="mailto:=@if(Criteria!F343=%22No%22,Criteria!G346,%22%20%22)" TargetMode="External"/><Relationship Id="rId8" Type="http://schemas.openxmlformats.org/officeDocument/2006/relationships/hyperlink" Target="mailto:=@IF(U501+V501=1,%22GROSS%20PROFIT/(LOSS)%22,IF((U501+V501=2),%22GROSS%20PROFIT%22,%22GROSS%20LOSS%22))" TargetMode="External"/><Relationship Id="rId51" Type="http://schemas.openxmlformats.org/officeDocument/2006/relationships/hyperlink" Target="mailto:=@IF(U501+V501=1,%22GROSS%20PROFIT/(LOSS)%22,IF((U501+V501=2),%22GROSS%20PROFIT%22,%22GROSS%20LOSS%22))" TargetMode="External"/><Relationship Id="rId72" Type="http://schemas.openxmlformats.org/officeDocument/2006/relationships/printerSettings" Target="../printerSettings/printerSettings4.bin"/><Relationship Id="rId3" Type="http://schemas.openxmlformats.org/officeDocument/2006/relationships/hyperlink" Target="mailto:=@IF(U501+V501=1,%22GROSS%20PROFIT/(LOSS)%22,IF((U501+V501=2),%22GROSS%20PROFIT%22,%22GROSS%20LOSS%22))" TargetMode="External"/><Relationship Id="rId12" Type="http://schemas.openxmlformats.org/officeDocument/2006/relationships/hyperlink" Target="mailto:-TrialBalance!A146-@sum(TrialBalance!A5:A127)" TargetMode="External"/><Relationship Id="rId17" Type="http://schemas.openxmlformats.org/officeDocument/2006/relationships/hyperlink" Target="mailto:-@sum(TrialBalance!A112:A118" TargetMode="External"/><Relationship Id="rId25" Type="http://schemas.openxmlformats.org/officeDocument/2006/relationships/hyperlink" Target="mailto:=@IF(U501+V501=1,%22GROSS%20PROFIT/(LOSS)%22,IF((U501+V501=2),%22GROSS%20PROFIT%22,%22GROSS%20LOSS%22))" TargetMode="External"/><Relationship Id="rId33" Type="http://schemas.openxmlformats.org/officeDocument/2006/relationships/hyperlink" Target="mailto:=@IF(U501+V501=1,%22GROSS%20PROFIT/(LOSS)%22,IF((U501+V501=2),%22GROSS%20PROFIT%22,%22GROSS%20LOSS%22))" TargetMode="External"/><Relationship Id="rId38" Type="http://schemas.openxmlformats.org/officeDocument/2006/relationships/hyperlink" Target="mailto:=@IF(U501+V501=1,%22GROSS%20PROFIT/(LOSS)%22,IF((U501+V501=2),%22GROSS%20PROFIT%22,%22GROSS%20LOSS%22))" TargetMode="External"/><Relationship Id="rId46" Type="http://schemas.openxmlformats.org/officeDocument/2006/relationships/hyperlink" Target="mailto:=@IF(U501+V501=1,%22GROSS%20PROFIT/(LOSS)%22,IF((U501+V501=2),%22GROSS%20PROFIT%22,%22GROSS%20LOSS%22))" TargetMode="External"/><Relationship Id="rId59" Type="http://schemas.openxmlformats.org/officeDocument/2006/relationships/hyperlink" Target="mailto:=@IF(U501+V501=1,%22GROSS%20PROFIT/(LOSS)%22,IF((U501+V501=2),%22GROSS%20PROFIT%22,%22GROSS%20LOSS%22))" TargetMode="External"/><Relationship Id="rId67" Type="http://schemas.openxmlformats.org/officeDocument/2006/relationships/hyperlink" Target="mailto:=@if(Criteria!F343=%22No%22,Criteria!G346,%22%20%22)" TargetMode="External"/><Relationship Id="rId20" Type="http://schemas.openxmlformats.org/officeDocument/2006/relationships/hyperlink" Target="mailto:=@IF(U501+V501=1,%22GROSS%20PROFIT/(LOSS)%22,IF((U501+V501=2),%22GROSS%20PROFIT%22,%22GROSS%20LOSS%22))" TargetMode="External"/><Relationship Id="rId41" Type="http://schemas.openxmlformats.org/officeDocument/2006/relationships/hyperlink" Target="mailto:=@IF(U501+V501=1,%22GROSS%20PROFIT/(LOSS)%22,IF((U501+V501=2),%22GROSS%20PROFIT%22,%22GROSS%20LOSS%22))" TargetMode="External"/><Relationship Id="rId54" Type="http://schemas.openxmlformats.org/officeDocument/2006/relationships/hyperlink" Target="mailto:=@IF(U501+V501=1,%22GROSS%20PROFIT/(LOSS)%22,IF((U501+V501=2),%22GROSS%20PROFIT%22,%22GROSS%20LOSS%22))" TargetMode="External"/><Relationship Id="rId62" Type="http://schemas.openxmlformats.org/officeDocument/2006/relationships/hyperlink" Target="mailto:=@IF(U501+V501=1,%22GROSS%20PROFIT/(LOSS)%22,IF((U501+V501=2),%22GROSS%20PROFIT%22,%22GROSS%20LOSS%22))" TargetMode="External"/><Relationship Id="rId70" Type="http://schemas.openxmlformats.org/officeDocument/2006/relationships/hyperlink" Target="mailto:=@IF(U501+V501=1,%22GROSS%20PROFIT/(LOSS)%22,IF((U501+V501=2),%22GROSS%20PROFIT%22,%22GROSS%20LOSS%22))" TargetMode="External"/><Relationship Id="rId1" Type="http://schemas.openxmlformats.org/officeDocument/2006/relationships/hyperlink" Target="mailto:=@IF(U501+V501=1,%22GROSS%20PROFIT/(LOSS)%22,IF((U501+V501=2),%22GROSS%20PROFIT%22,%22GROSS%20LOSS%22))" TargetMode="External"/><Relationship Id="rId6" Type="http://schemas.openxmlformats.org/officeDocument/2006/relationships/hyperlink" Target="mailto:=@IF(U501+V501=1,%22GROSS%20PROFIT/(LOSS)%22,IF((U501+V501=2),%22GROSS%20PROFIT%22,%22GROSS%20LOSS%22))" TargetMode="External"/><Relationship Id="rId15" Type="http://schemas.openxmlformats.org/officeDocument/2006/relationships/hyperlink" Target="mailto:-@sum(TrialBalance!A23:A63" TargetMode="External"/><Relationship Id="rId23" Type="http://schemas.openxmlformats.org/officeDocument/2006/relationships/hyperlink" Target="mailto:=@IF(U501+V501=1,%22GROSS%20PROFIT/(LOSS)%22,IF((U501+V501=2),%22GROSS%20PROFIT%22,%22GROSS%20LOSS%22))" TargetMode="External"/><Relationship Id="rId28" Type="http://schemas.openxmlformats.org/officeDocument/2006/relationships/hyperlink" Target="mailto:=@IF(U501+V501=1,%22GROSS%20PROFIT/(LOSS)%22,IF((U501+V501=2),%22GROSS%20PROFIT%22,%22GROSS%20LOSS%22))" TargetMode="External"/><Relationship Id="rId36" Type="http://schemas.openxmlformats.org/officeDocument/2006/relationships/hyperlink" Target="mailto:=@IF(U501+V501=1,%22GROSS%20PROFIT/(LOSS)%22,IF((U501+V501=2),%22GROSS%20PROFIT%22,%22GROSS%20LOSS%22))" TargetMode="External"/><Relationship Id="rId49" Type="http://schemas.openxmlformats.org/officeDocument/2006/relationships/hyperlink" Target="mailto:=@IF(U501+V501=1,%22GROSS%20PROFIT/(LOSS)%22,IF((U501+V501=2),%22GROSS%20PROFIT%22,%22GROSS%20LOSS%22))" TargetMode="External"/><Relationship Id="rId57" Type="http://schemas.openxmlformats.org/officeDocument/2006/relationships/hyperlink" Target="mailto:=@IF(U501+V501=1,%22GROSS%20PROFIT/(LOSS)%22,IF((U501+V501=2),%22GROSS%20PROFIT%22,%22GROSS%20LOSS%22))" TargetMode="External"/><Relationship Id="rId10" Type="http://schemas.openxmlformats.org/officeDocument/2006/relationships/hyperlink" Target="mailto:=@IF(U501+V501=1,%22GROSS%20PROFIT/(LOSS)%22,IF((U501+V501=2),%22GROSS%20PROFIT%22,%22GROSS%20LOSS%22))" TargetMode="External"/><Relationship Id="rId31" Type="http://schemas.openxmlformats.org/officeDocument/2006/relationships/hyperlink" Target="mailto:=@IF(U501+V501=1,%22GROSS%20PROFIT/(LOSS)%22,IF((U501+V501=2),%22GROSS%20PROFIT%22,%22GROSS%20LOSS%22))" TargetMode="External"/><Relationship Id="rId44" Type="http://schemas.openxmlformats.org/officeDocument/2006/relationships/hyperlink" Target="mailto:=@IF(U501+V501=1,%22GROSS%20PROFIT/(LOSS)%22,IF((U501+V501=2),%22GROSS%20PROFIT%22,%22GROSS%20LOSS%22))" TargetMode="External"/><Relationship Id="rId52" Type="http://schemas.openxmlformats.org/officeDocument/2006/relationships/hyperlink" Target="mailto:=@IF(U501+V501=1,%22GROSS%20PROFIT/(LOSS)%22,IF((U501+V501=2),%22GROSS%20PROFIT%22,%22GROSS%20LOSS%22))" TargetMode="External"/><Relationship Id="rId60" Type="http://schemas.openxmlformats.org/officeDocument/2006/relationships/hyperlink" Target="mailto:=@IF(U501+V501=1,%22GROSS%20PROFIT/(LOSS)%22,IF((U501+V501=2),%22GROSS%20PROFIT%22,%22GROSS%20LOSS%22))" TargetMode="External"/><Relationship Id="rId65" Type="http://schemas.openxmlformats.org/officeDocument/2006/relationships/hyperlink" Target="mailto:=@IF(U501+V501=1,%22GROSS%20PROFIT/(LOSS)%22,IF((U501+V501=2),%22GROSS%20PROFIT%22,%22GROSS%20LOSS%22))" TargetMode="External"/><Relationship Id="rId73" Type="http://schemas.openxmlformats.org/officeDocument/2006/relationships/drawing" Target="../drawings/drawing4.xml"/><Relationship Id="rId4" Type="http://schemas.openxmlformats.org/officeDocument/2006/relationships/hyperlink" Target="mailto:=@IF(U501+V501=1,%22GROSS%20PROFIT/(LOSS)%22,IF((U501+V501=2),%22GROSS%20PROFIT%22,%22GROSS%20LOSS%22))" TargetMode="External"/><Relationship Id="rId9" Type="http://schemas.openxmlformats.org/officeDocument/2006/relationships/hyperlink" Target="mailto:=@IF(U501+V501=1,%22GROSS%20PROFIT/(LOSS)%22,IF((U501+V501=2),%22GROSS%20PROFIT%22,%22GROSS%20LOSS%22))" TargetMode="External"/><Relationship Id="rId13" Type="http://schemas.openxmlformats.org/officeDocument/2006/relationships/hyperlink" Target="mailto:=@IF(U501+V501=1,%22GROSS%20PROFIT/(LOSS)%22,IF((U501+V501=2),%22GROSS%20PROFIT%22,%22GROSS%20LOSS%22))" TargetMode="External"/><Relationship Id="rId18" Type="http://schemas.openxmlformats.org/officeDocument/2006/relationships/hyperlink" Target="mailto:-@sum(TrialBalance!A119:A125" TargetMode="External"/><Relationship Id="rId39" Type="http://schemas.openxmlformats.org/officeDocument/2006/relationships/hyperlink" Target="mailto:=@IF(U501+V501=1,%22GROSS%20PROFIT/(LOSS)%22,IF((U501+V501=2),%22GROSS%20PROFIT%22,%22GROSS%20LOSS%22))" TargetMode="External"/><Relationship Id="rId34" Type="http://schemas.openxmlformats.org/officeDocument/2006/relationships/hyperlink" Target="mailto:=@if(Criteria!E33*Criteria!E34=Criteria!E36*Criteria!E37,%22%20%22,Criteria!E33*Criteria!E34)" TargetMode="External"/><Relationship Id="rId50" Type="http://schemas.openxmlformats.org/officeDocument/2006/relationships/hyperlink" Target="mailto:=@IF(U501+V501=1,%22GROSS%20PROFIT/(LOSS)%22,IF((U501+V501=2),%22GROSS%20PROFIT%22,%22GROSS%20LOSS%22))" TargetMode="External"/><Relationship Id="rId55" Type="http://schemas.openxmlformats.org/officeDocument/2006/relationships/hyperlink" Target="mailto:=@IF(U501+V501=1,%22GROSS%20PROFIT/(LOSS)%22,IF((U501+V501=2),%22GROSS%20PROFIT%22,%22GROSS%20LOSS%22))" TargetMode="External"/><Relationship Id="rId7" Type="http://schemas.openxmlformats.org/officeDocument/2006/relationships/hyperlink" Target="mailto:=@IF(U501+V501=1,%22GROSS%20PROFIT/(LOSS)%22,IF((U501+V501=2),%22GROSS%20PROFIT%22,%22GROSS%20LOSS%22))" TargetMode="External"/><Relationship Id="rId71" Type="http://schemas.openxmlformats.org/officeDocument/2006/relationships/hyperlink" Target="mailto:=@IF(U501+V501=1,%22GROSS%20PROFIT/(LOSS)%22,IF((U501+V501=2),%22GROSS%20PROFIT%22,%22GROSS%20LOSS%22))"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fseasy.co.za/" TargetMode="External"/><Relationship Id="rId1" Type="http://schemas.openxmlformats.org/officeDocument/2006/relationships/hyperlink" Target="mailto:support@fseasy.co.za"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E6238-232E-4316-BFE4-8548D730274E}">
  <sheetPr>
    <pageSetUpPr fitToPage="1"/>
  </sheetPr>
  <dimension ref="B1:C247"/>
  <sheetViews>
    <sheetView tabSelected="1" workbookViewId="0">
      <selection activeCell="A3" sqref="A3"/>
    </sheetView>
  </sheetViews>
  <sheetFormatPr defaultRowHeight="15" x14ac:dyDescent="0.25"/>
  <cols>
    <col min="1" max="1" width="9.140625" style="326"/>
    <col min="2" max="2" width="5" style="326" customWidth="1"/>
    <col min="3" max="3" width="91" style="326" bestFit="1" customWidth="1"/>
    <col min="4" max="16384" width="9.140625" style="326"/>
  </cols>
  <sheetData>
    <row r="1" spans="3:3" ht="29.25" customHeight="1" x14ac:dyDescent="0.25">
      <c r="C1" s="330" t="s">
        <v>840</v>
      </c>
    </row>
    <row r="2" spans="3:3" x14ac:dyDescent="0.25">
      <c r="C2" s="331"/>
    </row>
    <row r="3" spans="3:3" ht="31.5" x14ac:dyDescent="0.5">
      <c r="C3" s="332" t="s">
        <v>1489</v>
      </c>
    </row>
    <row r="4" spans="3:3" x14ac:dyDescent="0.25">
      <c r="C4" s="331"/>
    </row>
    <row r="5" spans="3:3" ht="15.75" x14ac:dyDescent="0.25">
      <c r="C5" s="333" t="s">
        <v>841</v>
      </c>
    </row>
    <row r="6" spans="3:3" ht="15.75" x14ac:dyDescent="0.25">
      <c r="C6" s="333" t="s">
        <v>1075</v>
      </c>
    </row>
    <row r="21" spans="2:3" ht="15.75" x14ac:dyDescent="0.3">
      <c r="B21" s="338" t="s">
        <v>782</v>
      </c>
    </row>
    <row r="23" spans="2:3" ht="12.75" customHeight="1" x14ac:dyDescent="0.25">
      <c r="B23" s="328" t="s">
        <v>783</v>
      </c>
      <c r="C23" s="326" t="s">
        <v>1100</v>
      </c>
    </row>
    <row r="24" spans="2:3" ht="12.75" customHeight="1" x14ac:dyDescent="0.25">
      <c r="B24" s="328"/>
      <c r="C24" s="326" t="s">
        <v>1101</v>
      </c>
    </row>
    <row r="25" spans="2:3" ht="12.75" customHeight="1" x14ac:dyDescent="0.25">
      <c r="B25" s="328"/>
    </row>
    <row r="26" spans="2:3" ht="12.75" customHeight="1" x14ac:dyDescent="0.25">
      <c r="B26" s="328" t="s">
        <v>783</v>
      </c>
      <c r="C26" s="326" t="s">
        <v>1740</v>
      </c>
    </row>
    <row r="27" spans="2:3" ht="12.75" customHeight="1" x14ac:dyDescent="0.25">
      <c r="B27" s="328"/>
    </row>
    <row r="28" spans="2:3" x14ac:dyDescent="0.25">
      <c r="B28" s="328" t="s">
        <v>783</v>
      </c>
      <c r="C28" s="326" t="s">
        <v>1083</v>
      </c>
    </row>
    <row r="29" spans="2:3" x14ac:dyDescent="0.25">
      <c r="C29" s="326" t="s">
        <v>1010</v>
      </c>
    </row>
    <row r="30" spans="2:3" x14ac:dyDescent="0.25">
      <c r="C30" s="326" t="s">
        <v>1765</v>
      </c>
    </row>
    <row r="31" spans="2:3" x14ac:dyDescent="0.25">
      <c r="C31" s="326" t="s">
        <v>1416</v>
      </c>
    </row>
    <row r="33" spans="2:3" x14ac:dyDescent="0.25">
      <c r="B33" s="328" t="s">
        <v>783</v>
      </c>
      <c r="C33" s="326" t="s">
        <v>1753</v>
      </c>
    </row>
    <row r="34" spans="2:3" x14ac:dyDescent="0.25">
      <c r="B34" s="328"/>
      <c r="C34" s="326" t="s">
        <v>1076</v>
      </c>
    </row>
    <row r="36" spans="2:3" x14ac:dyDescent="0.25">
      <c r="B36" s="328" t="s">
        <v>783</v>
      </c>
      <c r="C36" s="326" t="s">
        <v>1078</v>
      </c>
    </row>
    <row r="37" spans="2:3" x14ac:dyDescent="0.25">
      <c r="B37" s="328"/>
    </row>
    <row r="38" spans="2:3" x14ac:dyDescent="0.25">
      <c r="B38" s="328" t="s">
        <v>783</v>
      </c>
      <c r="C38" s="326" t="s">
        <v>1011</v>
      </c>
    </row>
    <row r="39" spans="2:3" x14ac:dyDescent="0.25">
      <c r="B39" s="328"/>
    </row>
    <row r="40" spans="2:3" x14ac:dyDescent="0.25">
      <c r="B40" s="328" t="s">
        <v>783</v>
      </c>
      <c r="C40" s="326" t="s">
        <v>1079</v>
      </c>
    </row>
    <row r="41" spans="2:3" x14ac:dyDescent="0.25">
      <c r="B41" s="328"/>
    </row>
    <row r="42" spans="2:3" x14ac:dyDescent="0.25">
      <c r="B42" s="328" t="s">
        <v>783</v>
      </c>
      <c r="C42" s="326" t="s">
        <v>1451</v>
      </c>
    </row>
    <row r="43" spans="2:3" x14ac:dyDescent="0.25">
      <c r="B43" s="328"/>
    </row>
    <row r="44" spans="2:3" x14ac:dyDescent="0.25">
      <c r="B44" s="328" t="s">
        <v>783</v>
      </c>
      <c r="C44" s="326" t="s">
        <v>844</v>
      </c>
    </row>
    <row r="45" spans="2:3" x14ac:dyDescent="0.25">
      <c r="C45" s="326" t="s">
        <v>1013</v>
      </c>
    </row>
    <row r="46" spans="2:3" x14ac:dyDescent="0.25">
      <c r="B46" s="328"/>
    </row>
    <row r="47" spans="2:3" x14ac:dyDescent="0.25">
      <c r="B47" s="328" t="s">
        <v>783</v>
      </c>
      <c r="C47" s="326" t="s">
        <v>1080</v>
      </c>
    </row>
    <row r="48" spans="2:3" x14ac:dyDescent="0.25">
      <c r="C48" s="326" t="s">
        <v>1012</v>
      </c>
    </row>
    <row r="50" spans="2:3" x14ac:dyDescent="0.25">
      <c r="B50" s="328" t="s">
        <v>783</v>
      </c>
      <c r="C50" s="326" t="s">
        <v>1081</v>
      </c>
    </row>
    <row r="52" spans="2:3" x14ac:dyDescent="0.25">
      <c r="B52" s="328" t="s">
        <v>783</v>
      </c>
      <c r="C52" s="326" t="s">
        <v>1082</v>
      </c>
    </row>
    <row r="54" spans="2:3" x14ac:dyDescent="0.25">
      <c r="B54" s="328" t="s">
        <v>783</v>
      </c>
      <c r="C54" s="326" t="s">
        <v>1452</v>
      </c>
    </row>
    <row r="56" spans="2:3" x14ac:dyDescent="0.25">
      <c r="B56" s="328" t="s">
        <v>783</v>
      </c>
      <c r="C56" s="326" t="s">
        <v>1460</v>
      </c>
    </row>
    <row r="58" spans="2:3" x14ac:dyDescent="0.25">
      <c r="B58" s="328" t="s">
        <v>783</v>
      </c>
      <c r="C58" s="326" t="s">
        <v>1084</v>
      </c>
    </row>
    <row r="61" spans="2:3" ht="15.75" x14ac:dyDescent="0.3">
      <c r="B61" s="338" t="s">
        <v>843</v>
      </c>
    </row>
    <row r="63" spans="2:3" x14ac:dyDescent="0.25">
      <c r="C63" s="327" t="s">
        <v>786</v>
      </c>
    </row>
    <row r="64" spans="2:3" x14ac:dyDescent="0.25">
      <c r="B64" s="328" t="s">
        <v>783</v>
      </c>
      <c r="C64" s="326" t="s">
        <v>1014</v>
      </c>
    </row>
    <row r="65" spans="2:3" x14ac:dyDescent="0.25">
      <c r="C65" s="326" t="s">
        <v>852</v>
      </c>
    </row>
    <row r="66" spans="2:3" x14ac:dyDescent="0.25">
      <c r="C66" s="326" t="s">
        <v>792</v>
      </c>
    </row>
    <row r="67" spans="2:3" x14ac:dyDescent="0.25">
      <c r="C67" s="326" t="s">
        <v>1015</v>
      </c>
    </row>
    <row r="68" spans="2:3" x14ac:dyDescent="0.25">
      <c r="B68" s="328" t="s">
        <v>783</v>
      </c>
      <c r="C68" s="326" t="s">
        <v>846</v>
      </c>
    </row>
    <row r="69" spans="2:3" x14ac:dyDescent="0.25">
      <c r="C69" s="326" t="s">
        <v>1461</v>
      </c>
    </row>
    <row r="70" spans="2:3" x14ac:dyDescent="0.25">
      <c r="B70" s="328" t="s">
        <v>783</v>
      </c>
      <c r="C70" s="326" t="s">
        <v>790</v>
      </c>
    </row>
    <row r="71" spans="2:3" x14ac:dyDescent="0.25">
      <c r="C71" s="326" t="s">
        <v>1757</v>
      </c>
    </row>
    <row r="72" spans="2:3" x14ac:dyDescent="0.25">
      <c r="B72" s="328" t="s">
        <v>783</v>
      </c>
      <c r="C72" s="326" t="s">
        <v>1408</v>
      </c>
    </row>
    <row r="73" spans="2:3" x14ac:dyDescent="0.25">
      <c r="C73" s="326" t="s">
        <v>1409</v>
      </c>
    </row>
    <row r="74" spans="2:3" x14ac:dyDescent="0.25">
      <c r="C74" s="326" t="s">
        <v>1133</v>
      </c>
    </row>
    <row r="75" spans="2:3" x14ac:dyDescent="0.25">
      <c r="C75" s="326" t="s">
        <v>1016</v>
      </c>
    </row>
    <row r="76" spans="2:3" x14ac:dyDescent="0.25">
      <c r="B76" s="328" t="s">
        <v>783</v>
      </c>
      <c r="C76" s="326" t="s">
        <v>1760</v>
      </c>
    </row>
    <row r="77" spans="2:3" x14ac:dyDescent="0.25">
      <c r="B77" s="328"/>
      <c r="C77" s="326" t="s">
        <v>1134</v>
      </c>
    </row>
    <row r="78" spans="2:3" x14ac:dyDescent="0.25">
      <c r="B78" s="328"/>
      <c r="C78" s="326" t="s">
        <v>1017</v>
      </c>
    </row>
    <row r="79" spans="2:3" x14ac:dyDescent="0.25">
      <c r="B79" s="328" t="s">
        <v>783</v>
      </c>
      <c r="C79" s="326" t="s">
        <v>1018</v>
      </c>
    </row>
    <row r="80" spans="2:3" x14ac:dyDescent="0.25">
      <c r="B80" s="328" t="s">
        <v>783</v>
      </c>
      <c r="C80" s="326" t="s">
        <v>793</v>
      </c>
    </row>
    <row r="81" spans="2:3" x14ac:dyDescent="0.25">
      <c r="B81" s="328"/>
      <c r="C81" s="326" t="s">
        <v>794</v>
      </c>
    </row>
    <row r="82" spans="2:3" x14ac:dyDescent="0.25">
      <c r="B82" s="328"/>
      <c r="C82" s="326" t="s">
        <v>1019</v>
      </c>
    </row>
    <row r="83" spans="2:3" x14ac:dyDescent="0.25">
      <c r="B83" s="328" t="s">
        <v>783</v>
      </c>
      <c r="C83" s="326" t="s">
        <v>1020</v>
      </c>
    </row>
    <row r="84" spans="2:3" x14ac:dyDescent="0.25">
      <c r="B84" s="328"/>
    </row>
    <row r="85" spans="2:3" x14ac:dyDescent="0.25">
      <c r="C85" s="327" t="s">
        <v>787</v>
      </c>
    </row>
    <row r="86" spans="2:3" x14ac:dyDescent="0.25">
      <c r="B86" s="328" t="s">
        <v>783</v>
      </c>
      <c r="C86" s="326" t="s">
        <v>1021</v>
      </c>
    </row>
    <row r="87" spans="2:3" x14ac:dyDescent="0.25">
      <c r="C87" s="326" t="s">
        <v>1022</v>
      </c>
    </row>
    <row r="88" spans="2:3" x14ac:dyDescent="0.25">
      <c r="C88" s="326" t="s">
        <v>788</v>
      </c>
    </row>
    <row r="89" spans="2:3" x14ac:dyDescent="0.25">
      <c r="C89" s="326" t="s">
        <v>789</v>
      </c>
    </row>
    <row r="90" spans="2:3" x14ac:dyDescent="0.25">
      <c r="C90" s="326" t="s">
        <v>1023</v>
      </c>
    </row>
    <row r="92" spans="2:3" x14ac:dyDescent="0.25">
      <c r="C92" s="327" t="s">
        <v>791</v>
      </c>
    </row>
    <row r="93" spans="2:3" x14ac:dyDescent="0.25">
      <c r="B93" s="328" t="s">
        <v>783</v>
      </c>
      <c r="C93" s="326" t="s">
        <v>1417</v>
      </c>
    </row>
    <row r="94" spans="2:3" x14ac:dyDescent="0.25">
      <c r="C94" s="326" t="s">
        <v>847</v>
      </c>
    </row>
    <row r="95" spans="2:3" x14ac:dyDescent="0.25">
      <c r="C95" s="326" t="s">
        <v>1418</v>
      </c>
    </row>
    <row r="96" spans="2:3" x14ac:dyDescent="0.25">
      <c r="C96" s="326" t="s">
        <v>1462</v>
      </c>
    </row>
    <row r="98" spans="2:3" x14ac:dyDescent="0.25">
      <c r="C98" s="326" t="s">
        <v>848</v>
      </c>
    </row>
    <row r="99" spans="2:3" x14ac:dyDescent="0.25">
      <c r="C99" s="326" t="s">
        <v>1024</v>
      </c>
    </row>
    <row r="101" spans="2:3" ht="15.75" x14ac:dyDescent="0.3">
      <c r="B101" s="338" t="s">
        <v>1025</v>
      </c>
    </row>
    <row r="103" spans="2:3" x14ac:dyDescent="0.25">
      <c r="C103" s="326" t="s">
        <v>1135</v>
      </c>
    </row>
    <row r="104" spans="2:3" x14ac:dyDescent="0.25">
      <c r="B104" s="329" t="s">
        <v>638</v>
      </c>
      <c r="C104" s="326" t="s">
        <v>1026</v>
      </c>
    </row>
    <row r="105" spans="2:3" x14ac:dyDescent="0.25">
      <c r="C105" s="326" t="s">
        <v>1027</v>
      </c>
    </row>
    <row r="106" spans="2:3" x14ac:dyDescent="0.25">
      <c r="B106" s="329" t="s">
        <v>639</v>
      </c>
      <c r="C106" s="326" t="s">
        <v>1028</v>
      </c>
    </row>
    <row r="107" spans="2:3" x14ac:dyDescent="0.25">
      <c r="B107" s="329" t="s">
        <v>641</v>
      </c>
      <c r="C107" s="326" t="s">
        <v>1029</v>
      </c>
    </row>
    <row r="108" spans="2:3" x14ac:dyDescent="0.25">
      <c r="B108" s="329" t="s">
        <v>643</v>
      </c>
      <c r="C108" s="326" t="s">
        <v>1030</v>
      </c>
    </row>
    <row r="109" spans="2:3" x14ac:dyDescent="0.25">
      <c r="B109" s="329" t="s">
        <v>644</v>
      </c>
      <c r="C109" s="326" t="s">
        <v>1031</v>
      </c>
    </row>
    <row r="110" spans="2:3" x14ac:dyDescent="0.25">
      <c r="B110" s="329" t="s">
        <v>1032</v>
      </c>
      <c r="C110" s="326" t="s">
        <v>1033</v>
      </c>
    </row>
    <row r="111" spans="2:3" x14ac:dyDescent="0.25">
      <c r="B111" s="329" t="s">
        <v>1034</v>
      </c>
      <c r="C111" s="326" t="s">
        <v>1035</v>
      </c>
    </row>
    <row r="112" spans="2:3" x14ac:dyDescent="0.25">
      <c r="B112" s="329" t="s">
        <v>1036</v>
      </c>
      <c r="C112" s="326" t="s">
        <v>1037</v>
      </c>
    </row>
    <row r="113" spans="2:3" x14ac:dyDescent="0.25">
      <c r="B113" s="329" t="s">
        <v>1038</v>
      </c>
      <c r="C113" s="326" t="s">
        <v>1039</v>
      </c>
    </row>
    <row r="114" spans="2:3" x14ac:dyDescent="0.25">
      <c r="B114" s="329" t="s">
        <v>1040</v>
      </c>
      <c r="C114" s="326" t="s">
        <v>1041</v>
      </c>
    </row>
    <row r="115" spans="2:3" x14ac:dyDescent="0.25">
      <c r="B115" s="329" t="s">
        <v>1042</v>
      </c>
      <c r="C115" s="326" t="s">
        <v>1043</v>
      </c>
    </row>
    <row r="116" spans="2:3" x14ac:dyDescent="0.25">
      <c r="B116" s="329" t="s">
        <v>1044</v>
      </c>
      <c r="C116" s="326" t="s">
        <v>1045</v>
      </c>
    </row>
    <row r="117" spans="2:3" x14ac:dyDescent="0.25">
      <c r="B117" s="329"/>
    </row>
    <row r="118" spans="2:3" x14ac:dyDescent="0.25">
      <c r="C118" s="326" t="s">
        <v>1046</v>
      </c>
    </row>
    <row r="119" spans="2:3" x14ac:dyDescent="0.25">
      <c r="C119" s="326" t="s">
        <v>1659</v>
      </c>
    </row>
    <row r="120" spans="2:3" x14ac:dyDescent="0.25">
      <c r="C120" s="326" t="s">
        <v>1657</v>
      </c>
    </row>
    <row r="121" spans="2:3" x14ac:dyDescent="0.25">
      <c r="C121" s="326" t="s">
        <v>1658</v>
      </c>
    </row>
    <row r="122" spans="2:3" x14ac:dyDescent="0.25">
      <c r="C122" s="326" t="s">
        <v>1047</v>
      </c>
    </row>
    <row r="123" spans="2:3" x14ac:dyDescent="0.25">
      <c r="C123" s="326" t="s">
        <v>1048</v>
      </c>
    </row>
    <row r="124" spans="2:3" x14ac:dyDescent="0.25">
      <c r="C124" s="326" t="s">
        <v>1049</v>
      </c>
    </row>
    <row r="125" spans="2:3" x14ac:dyDescent="0.25">
      <c r="C125" s="326" t="s">
        <v>1050</v>
      </c>
    </row>
    <row r="127" spans="2:3" ht="15.75" x14ac:dyDescent="0.3">
      <c r="C127" s="338" t="s">
        <v>1051</v>
      </c>
    </row>
    <row r="129" spans="2:3" x14ac:dyDescent="0.25">
      <c r="B129" s="328" t="s">
        <v>783</v>
      </c>
      <c r="C129" s="326" t="s">
        <v>1582</v>
      </c>
    </row>
    <row r="130" spans="2:3" x14ac:dyDescent="0.25">
      <c r="C130" s="326" t="s">
        <v>1766</v>
      </c>
    </row>
    <row r="131" spans="2:3" x14ac:dyDescent="0.25">
      <c r="C131" s="326" t="s">
        <v>1583</v>
      </c>
    </row>
    <row r="132" spans="2:3" x14ac:dyDescent="0.25">
      <c r="C132" s="326" t="s">
        <v>1584</v>
      </c>
    </row>
    <row r="133" spans="2:3" x14ac:dyDescent="0.25">
      <c r="C133" s="326" t="s">
        <v>1585</v>
      </c>
    </row>
    <row r="135" spans="2:3" x14ac:dyDescent="0.25">
      <c r="B135" s="328" t="s">
        <v>783</v>
      </c>
      <c r="C135" s="326" t="s">
        <v>1085</v>
      </c>
    </row>
    <row r="136" spans="2:3" x14ac:dyDescent="0.25">
      <c r="C136" s="326" t="s">
        <v>1419</v>
      </c>
    </row>
    <row r="137" spans="2:3" x14ac:dyDescent="0.25">
      <c r="C137" s="326" t="s">
        <v>1420</v>
      </c>
    </row>
    <row r="138" spans="2:3" x14ac:dyDescent="0.25">
      <c r="C138" s="326" t="s">
        <v>1421</v>
      </c>
    </row>
    <row r="139" spans="2:3" x14ac:dyDescent="0.25">
      <c r="C139" s="326" t="s">
        <v>1052</v>
      </c>
    </row>
    <row r="140" spans="2:3" x14ac:dyDescent="0.25">
      <c r="C140" s="326" t="s">
        <v>1053</v>
      </c>
    </row>
    <row r="142" spans="2:3" x14ac:dyDescent="0.25">
      <c r="B142" s="328" t="s">
        <v>783</v>
      </c>
      <c r="C142" s="326" t="s">
        <v>1741</v>
      </c>
    </row>
    <row r="143" spans="2:3" x14ac:dyDescent="0.25">
      <c r="B143" s="328"/>
      <c r="C143" s="326" t="s">
        <v>1415</v>
      </c>
    </row>
    <row r="144" spans="2:3" x14ac:dyDescent="0.25">
      <c r="B144" s="328"/>
      <c r="C144" s="326" t="s">
        <v>1748</v>
      </c>
    </row>
    <row r="146" spans="2:3" x14ac:dyDescent="0.25">
      <c r="B146" s="328" t="s">
        <v>783</v>
      </c>
      <c r="C146" s="326" t="s">
        <v>1742</v>
      </c>
    </row>
    <row r="147" spans="2:3" x14ac:dyDescent="0.25">
      <c r="C147" s="326" t="s">
        <v>1054</v>
      </c>
    </row>
    <row r="149" spans="2:3" x14ac:dyDescent="0.25">
      <c r="B149" s="328" t="s">
        <v>783</v>
      </c>
      <c r="C149" s="326" t="s">
        <v>1055</v>
      </c>
    </row>
    <row r="150" spans="2:3" x14ac:dyDescent="0.25">
      <c r="C150" s="326" t="s">
        <v>1086</v>
      </c>
    </row>
    <row r="151" spans="2:3" x14ac:dyDescent="0.25">
      <c r="C151" s="326" t="s">
        <v>1087</v>
      </c>
    </row>
    <row r="152" spans="2:3" x14ac:dyDescent="0.25">
      <c r="C152" s="326" t="s">
        <v>1455</v>
      </c>
    </row>
    <row r="153" spans="2:3" x14ac:dyDescent="0.25">
      <c r="C153" s="326" t="s">
        <v>1056</v>
      </c>
    </row>
    <row r="155" spans="2:3" x14ac:dyDescent="0.25">
      <c r="B155" s="328" t="s">
        <v>783</v>
      </c>
      <c r="C155" s="326" t="s">
        <v>1422</v>
      </c>
    </row>
    <row r="156" spans="2:3" x14ac:dyDescent="0.25">
      <c r="C156" s="326" t="s">
        <v>1423</v>
      </c>
    </row>
    <row r="158" spans="2:3" x14ac:dyDescent="0.25">
      <c r="B158" s="328" t="s">
        <v>783</v>
      </c>
      <c r="C158" s="326" t="s">
        <v>1088</v>
      </c>
    </row>
    <row r="159" spans="2:3" x14ac:dyDescent="0.25">
      <c r="C159" s="326" t="s">
        <v>1057</v>
      </c>
    </row>
    <row r="160" spans="2:3" x14ac:dyDescent="0.25">
      <c r="C160" s="326" t="s">
        <v>1058</v>
      </c>
    </row>
    <row r="162" spans="2:3" x14ac:dyDescent="0.25">
      <c r="B162" s="328" t="s">
        <v>783</v>
      </c>
      <c r="C162" s="326" t="s">
        <v>1089</v>
      </c>
    </row>
    <row r="163" spans="2:3" x14ac:dyDescent="0.25">
      <c r="C163" s="326" t="s">
        <v>1059</v>
      </c>
    </row>
    <row r="164" spans="2:3" x14ac:dyDescent="0.25">
      <c r="C164" s="326" t="s">
        <v>1060</v>
      </c>
    </row>
    <row r="165" spans="2:3" x14ac:dyDescent="0.25">
      <c r="C165" s="326" t="s">
        <v>1061</v>
      </c>
    </row>
    <row r="166" spans="2:3" x14ac:dyDescent="0.25">
      <c r="C166" s="326" t="s">
        <v>1062</v>
      </c>
    </row>
    <row r="167" spans="2:3" x14ac:dyDescent="0.25">
      <c r="C167" s="326" t="s">
        <v>1102</v>
      </c>
    </row>
    <row r="168" spans="2:3" x14ac:dyDescent="0.25">
      <c r="C168" s="326" t="s">
        <v>1063</v>
      </c>
    </row>
    <row r="169" spans="2:3" x14ac:dyDescent="0.25">
      <c r="C169" s="326" t="s">
        <v>1064</v>
      </c>
    </row>
    <row r="170" spans="2:3" x14ac:dyDescent="0.25">
      <c r="C170" s="326" t="s">
        <v>1065</v>
      </c>
    </row>
    <row r="171" spans="2:3" x14ac:dyDescent="0.25">
      <c r="C171" s="326" t="s">
        <v>1066</v>
      </c>
    </row>
    <row r="172" spans="2:3" x14ac:dyDescent="0.25">
      <c r="C172" s="326" t="s">
        <v>1067</v>
      </c>
    </row>
    <row r="174" spans="2:3" x14ac:dyDescent="0.25">
      <c r="B174" s="328" t="s">
        <v>783</v>
      </c>
      <c r="C174" s="326" t="s">
        <v>1090</v>
      </c>
    </row>
    <row r="175" spans="2:3" x14ac:dyDescent="0.25">
      <c r="C175" s="326" t="s">
        <v>1068</v>
      </c>
    </row>
    <row r="176" spans="2:3" x14ac:dyDescent="0.25">
      <c r="C176" s="326" t="s">
        <v>1069</v>
      </c>
    </row>
    <row r="178" spans="2:3" x14ac:dyDescent="0.25">
      <c r="B178" s="328" t="s">
        <v>783</v>
      </c>
      <c r="C178" s="326" t="s">
        <v>1091</v>
      </c>
    </row>
    <row r="179" spans="2:3" x14ac:dyDescent="0.25">
      <c r="C179" s="326" t="s">
        <v>1070</v>
      </c>
    </row>
    <row r="180" spans="2:3" x14ac:dyDescent="0.25">
      <c r="C180" s="326" t="s">
        <v>1071</v>
      </c>
    </row>
    <row r="181" spans="2:3" x14ac:dyDescent="0.25">
      <c r="C181" s="326" t="s">
        <v>1754</v>
      </c>
    </row>
    <row r="182" spans="2:3" x14ac:dyDescent="0.25">
      <c r="C182" s="326" t="s">
        <v>1743</v>
      </c>
    </row>
    <row r="183" spans="2:3" x14ac:dyDescent="0.25">
      <c r="C183" s="326" t="s">
        <v>1072</v>
      </c>
    </row>
    <row r="184" spans="2:3" x14ac:dyDescent="0.25">
      <c r="C184" s="326" t="s">
        <v>1073</v>
      </c>
    </row>
    <row r="185" spans="2:3" x14ac:dyDescent="0.25">
      <c r="C185" s="326" t="s">
        <v>1424</v>
      </c>
    </row>
    <row r="186" spans="2:3" x14ac:dyDescent="0.25">
      <c r="C186" s="326" t="s">
        <v>1074</v>
      </c>
    </row>
    <row r="188" spans="2:3" x14ac:dyDescent="0.25">
      <c r="B188" s="328" t="s">
        <v>783</v>
      </c>
      <c r="C188" s="326" t="s">
        <v>1183</v>
      </c>
    </row>
    <row r="189" spans="2:3" x14ac:dyDescent="0.25">
      <c r="C189" s="326" t="s">
        <v>1136</v>
      </c>
    </row>
    <row r="190" spans="2:3" x14ac:dyDescent="0.25">
      <c r="C190" s="326" t="s">
        <v>1137</v>
      </c>
    </row>
    <row r="191" spans="2:3" x14ac:dyDescent="0.25">
      <c r="C191" s="326" t="s">
        <v>1138</v>
      </c>
    </row>
    <row r="192" spans="2:3" x14ac:dyDescent="0.25">
      <c r="C192" s="326" t="s">
        <v>1187</v>
      </c>
    </row>
    <row r="193" spans="2:3" x14ac:dyDescent="0.25">
      <c r="C193" s="326" t="s">
        <v>1186</v>
      </c>
    </row>
    <row r="195" spans="2:3" x14ac:dyDescent="0.25">
      <c r="B195" s="328" t="s">
        <v>783</v>
      </c>
      <c r="C195" s="326" t="s">
        <v>1458</v>
      </c>
    </row>
    <row r="196" spans="2:3" x14ac:dyDescent="0.25">
      <c r="C196" s="326" t="s">
        <v>1463</v>
      </c>
    </row>
    <row r="197" spans="2:3" x14ac:dyDescent="0.25">
      <c r="C197" s="326" t="s">
        <v>1159</v>
      </c>
    </row>
    <row r="198" spans="2:3" x14ac:dyDescent="0.25">
      <c r="C198" s="326" t="s">
        <v>1158</v>
      </c>
    </row>
    <row r="199" spans="2:3" x14ac:dyDescent="0.25">
      <c r="C199" s="326" t="s">
        <v>1459</v>
      </c>
    </row>
    <row r="201" spans="2:3" x14ac:dyDescent="0.25">
      <c r="B201" s="328" t="s">
        <v>783</v>
      </c>
      <c r="C201" s="326" t="s">
        <v>1206</v>
      </c>
    </row>
    <row r="202" spans="2:3" x14ac:dyDescent="0.25">
      <c r="C202" s="326" t="s">
        <v>1425</v>
      </c>
    </row>
    <row r="203" spans="2:3" x14ac:dyDescent="0.25">
      <c r="C203" s="326" t="s">
        <v>1207</v>
      </c>
    </row>
    <row r="204" spans="2:3" x14ac:dyDescent="0.25">
      <c r="C204" s="326" t="s">
        <v>1464</v>
      </c>
    </row>
    <row r="205" spans="2:3" x14ac:dyDescent="0.25">
      <c r="C205" s="326" t="s">
        <v>1426</v>
      </c>
    </row>
    <row r="207" spans="2:3" x14ac:dyDescent="0.25">
      <c r="B207" s="328" t="s">
        <v>783</v>
      </c>
      <c r="C207" s="326" t="s">
        <v>1315</v>
      </c>
    </row>
    <row r="208" spans="2:3" x14ac:dyDescent="0.25">
      <c r="C208" s="326" t="s">
        <v>1761</v>
      </c>
    </row>
    <row r="210" spans="2:3" x14ac:dyDescent="0.25">
      <c r="B210" s="328" t="s">
        <v>783</v>
      </c>
      <c r="C210" s="326" t="s">
        <v>1319</v>
      </c>
    </row>
    <row r="211" spans="2:3" x14ac:dyDescent="0.25">
      <c r="C211" s="326" t="s">
        <v>1750</v>
      </c>
    </row>
    <row r="212" spans="2:3" x14ac:dyDescent="0.25">
      <c r="C212" s="326" t="s">
        <v>1751</v>
      </c>
    </row>
    <row r="213" spans="2:3" x14ac:dyDescent="0.25">
      <c r="C213" s="326" t="s">
        <v>1752</v>
      </c>
    </row>
    <row r="215" spans="2:3" x14ac:dyDescent="0.25">
      <c r="B215" s="328" t="s">
        <v>783</v>
      </c>
      <c r="C215" s="326" t="s">
        <v>1401</v>
      </c>
    </row>
    <row r="216" spans="2:3" x14ac:dyDescent="0.25">
      <c r="C216" s="326" t="s">
        <v>1402</v>
      </c>
    </row>
    <row r="217" spans="2:3" x14ac:dyDescent="0.25">
      <c r="C217" s="326" t="s">
        <v>1403</v>
      </c>
    </row>
    <row r="219" spans="2:3" x14ac:dyDescent="0.25">
      <c r="B219" s="328" t="s">
        <v>783</v>
      </c>
      <c r="C219" s="326" t="s">
        <v>1326</v>
      </c>
    </row>
    <row r="221" spans="2:3" x14ac:dyDescent="0.25">
      <c r="B221" s="328" t="s">
        <v>783</v>
      </c>
      <c r="C221" s="326" t="s">
        <v>1456</v>
      </c>
    </row>
    <row r="222" spans="2:3" x14ac:dyDescent="0.25">
      <c r="C222" s="326" t="s">
        <v>1378</v>
      </c>
    </row>
    <row r="223" spans="2:3" x14ac:dyDescent="0.25">
      <c r="C223" s="326" t="s">
        <v>1381</v>
      </c>
    </row>
    <row r="224" spans="2:3" x14ac:dyDescent="0.25">
      <c r="C224" s="326" t="s">
        <v>1334</v>
      </c>
    </row>
    <row r="225" spans="2:3" x14ac:dyDescent="0.25">
      <c r="C225" s="326" t="s">
        <v>1335</v>
      </c>
    </row>
    <row r="226" spans="2:3" x14ac:dyDescent="0.25">
      <c r="C226" s="326" t="s">
        <v>1336</v>
      </c>
    </row>
    <row r="228" spans="2:3" x14ac:dyDescent="0.25">
      <c r="B228" s="328" t="s">
        <v>783</v>
      </c>
      <c r="C228" s="326" t="s">
        <v>1386</v>
      </c>
    </row>
    <row r="229" spans="2:3" x14ac:dyDescent="0.25">
      <c r="C229" s="326" t="s">
        <v>1387</v>
      </c>
    </row>
    <row r="231" spans="2:3" x14ac:dyDescent="0.25">
      <c r="B231" s="328" t="s">
        <v>783</v>
      </c>
      <c r="C231" s="326" t="s">
        <v>1427</v>
      </c>
    </row>
    <row r="232" spans="2:3" x14ac:dyDescent="0.25">
      <c r="C232" s="326" t="s">
        <v>1457</v>
      </c>
    </row>
    <row r="233" spans="2:3" x14ac:dyDescent="0.25">
      <c r="C233" s="326" t="s">
        <v>1412</v>
      </c>
    </row>
    <row r="234" spans="2:3" x14ac:dyDescent="0.25">
      <c r="C234" s="326" t="s">
        <v>1407</v>
      </c>
    </row>
    <row r="235" spans="2:3" x14ac:dyDescent="0.25">
      <c r="C235" s="326" t="s">
        <v>1465</v>
      </c>
    </row>
    <row r="236" spans="2:3" x14ac:dyDescent="0.25">
      <c r="C236" s="326" t="s">
        <v>1466</v>
      </c>
    </row>
    <row r="238" spans="2:3" x14ac:dyDescent="0.25">
      <c r="B238" s="328" t="s">
        <v>783</v>
      </c>
      <c r="C238" s="326" t="s">
        <v>1468</v>
      </c>
    </row>
    <row r="239" spans="2:3" x14ac:dyDescent="0.25">
      <c r="C239" s="326" t="s">
        <v>1469</v>
      </c>
    </row>
    <row r="240" spans="2:3" x14ac:dyDescent="0.25">
      <c r="C240" s="326" t="s">
        <v>1470</v>
      </c>
    </row>
    <row r="242" spans="2:3" x14ac:dyDescent="0.25">
      <c r="B242" s="328" t="s">
        <v>783</v>
      </c>
      <c r="C242" s="326" t="s">
        <v>1578</v>
      </c>
    </row>
    <row r="243" spans="2:3" x14ac:dyDescent="0.25">
      <c r="C243" s="326" t="s">
        <v>1579</v>
      </c>
    </row>
    <row r="244" spans="2:3" x14ac:dyDescent="0.25">
      <c r="C244" s="326" t="s">
        <v>1580</v>
      </c>
    </row>
    <row r="246" spans="2:3" x14ac:dyDescent="0.25">
      <c r="B246" s="328" t="s">
        <v>783</v>
      </c>
      <c r="C246" s="326" t="s">
        <v>1586</v>
      </c>
    </row>
    <row r="247" spans="2:3" x14ac:dyDescent="0.25">
      <c r="C247" s="326" t="s">
        <v>1587</v>
      </c>
    </row>
  </sheetData>
  <sheetProtection formatColumns="0" formatRows="0" insertColumns="0" insertRows="0" deleteColumns="0" deleteRows="0" selectLockedCells="1" selectUnlockedCells="1"/>
  <hyperlinks>
    <hyperlink ref="C6" r:id="rId1" xr:uid="{4CF41049-751A-4FD9-A59A-0AC45A0F735A}"/>
    <hyperlink ref="C5" r:id="rId2" xr:uid="{AA0F9878-D3D0-4A80-AE0B-86C20C9CB731}"/>
  </hyperlinks>
  <pageMargins left="0.7" right="0.7" top="0.75" bottom="0.75" header="0.3" footer="0.3"/>
  <pageSetup paperSize="9" scale="78" fitToHeight="0"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2:AF374"/>
  <sheetViews>
    <sheetView zoomScale="87" zoomScaleNormal="87" workbookViewId="0">
      <selection activeCell="A21" sqref="A21"/>
    </sheetView>
  </sheetViews>
  <sheetFormatPr defaultRowHeight="12.75" x14ac:dyDescent="0.2"/>
  <cols>
    <col min="1" max="1" width="2.28515625" style="44" customWidth="1"/>
    <col min="2" max="2" width="17.28515625" style="202" customWidth="1"/>
    <col min="3" max="3" width="62.42578125" style="44" bestFit="1" customWidth="1"/>
    <col min="4" max="4" width="20" style="44" bestFit="1" customWidth="1"/>
    <col min="5" max="5" width="13.85546875" style="44" bestFit="1" customWidth="1"/>
    <col min="6" max="6" width="12.5703125" style="44" customWidth="1"/>
    <col min="7" max="7" width="17.7109375" style="44" customWidth="1"/>
    <col min="8" max="8" width="19.85546875" style="44" bestFit="1" customWidth="1"/>
    <col min="9" max="9" width="14.5703125" style="44" bestFit="1" customWidth="1"/>
    <col min="10" max="10" width="13.85546875" style="44" bestFit="1" customWidth="1"/>
    <col min="11" max="11" width="14.5703125" style="44" bestFit="1" customWidth="1"/>
    <col min="12" max="12" width="13.85546875" style="44" bestFit="1" customWidth="1"/>
    <col min="13" max="13" width="22" style="44" customWidth="1"/>
    <col min="14" max="14" width="9.140625" style="44" bestFit="1" customWidth="1"/>
    <col min="15" max="15" width="22" style="44" customWidth="1"/>
    <col min="16" max="16" width="11.5703125" style="44" customWidth="1"/>
    <col min="17" max="17" width="14.7109375" style="44" customWidth="1"/>
    <col min="18" max="18" width="16" style="44" customWidth="1"/>
    <col min="19" max="19" width="13" style="44" bestFit="1" customWidth="1"/>
    <col min="20" max="20" width="13.7109375" style="44" bestFit="1" customWidth="1"/>
    <col min="21" max="24" width="13.7109375" style="44" customWidth="1"/>
    <col min="25" max="25" width="13.5703125" style="44" customWidth="1"/>
    <col min="26" max="26" width="13.42578125" style="44" bestFit="1" customWidth="1"/>
    <col min="27" max="27" width="14.42578125" style="44" bestFit="1" customWidth="1"/>
    <col min="28" max="28" width="13.7109375" style="44" bestFit="1" customWidth="1"/>
    <col min="29" max="29" width="14.42578125" style="44" bestFit="1" customWidth="1"/>
    <col min="30" max="31" width="12.5703125" style="44" bestFit="1" customWidth="1"/>
    <col min="32" max="16384" width="9.140625" style="44"/>
  </cols>
  <sheetData>
    <row r="2" spans="3:32" ht="40.5" customHeight="1" x14ac:dyDescent="0.2">
      <c r="C2" s="153" t="str">
        <f>Criteria!E9</f>
        <v>ABC COMPANY (PROPRIETARY) LIMITED</v>
      </c>
      <c r="AB2" s="152" t="s">
        <v>96</v>
      </c>
      <c r="AC2" s="152"/>
    </row>
    <row r="3" spans="3:32" ht="12.75" customHeight="1" x14ac:dyDescent="0.2">
      <c r="C3" s="65" t="s">
        <v>95</v>
      </c>
      <c r="D3" s="65" t="str">
        <f>Criteria!E20</f>
        <v>28 FEBRUARY 2026</v>
      </c>
      <c r="E3" s="65"/>
      <c r="F3" s="65"/>
      <c r="G3" s="65"/>
    </row>
    <row r="4" spans="3:32" ht="40.5" customHeight="1" x14ac:dyDescent="0.2">
      <c r="C4" s="191" t="s">
        <v>119</v>
      </c>
      <c r="D4" s="65"/>
      <c r="E4" s="65"/>
      <c r="F4" s="65"/>
      <c r="G4" s="65"/>
      <c r="AB4" s="152" t="s">
        <v>97</v>
      </c>
      <c r="AC4" s="152"/>
    </row>
    <row r="5" spans="3:32" x14ac:dyDescent="0.2">
      <c r="C5" s="68"/>
      <c r="D5" s="68"/>
      <c r="E5" s="68"/>
      <c r="F5" s="68"/>
      <c r="G5" s="68"/>
      <c r="H5" s="68"/>
      <c r="I5" s="68"/>
      <c r="J5" s="68"/>
      <c r="K5" s="68"/>
      <c r="L5" s="68"/>
      <c r="M5" s="68"/>
      <c r="N5" s="68"/>
      <c r="O5" s="68"/>
      <c r="P5" s="68"/>
      <c r="Q5" s="68"/>
      <c r="R5" s="68"/>
      <c r="S5" s="68"/>
      <c r="T5" s="68"/>
      <c r="U5" s="68"/>
      <c r="V5" s="68"/>
      <c r="W5" s="68"/>
      <c r="X5" s="68"/>
      <c r="Y5" s="68"/>
      <c r="Z5" s="68"/>
      <c r="AA5" s="68"/>
      <c r="AB5" s="68"/>
      <c r="AC5" s="68"/>
    </row>
    <row r="7" spans="3:32" x14ac:dyDescent="0.2">
      <c r="C7" s="66" t="s">
        <v>743</v>
      </c>
      <c r="V7" s="685" t="s">
        <v>820</v>
      </c>
      <c r="W7" s="686"/>
      <c r="X7" s="687"/>
    </row>
    <row r="8" spans="3:32" x14ac:dyDescent="0.2">
      <c r="I8" s="22" t="s">
        <v>1333</v>
      </c>
      <c r="J8" s="22"/>
      <c r="K8" s="22"/>
      <c r="L8" s="22" t="s">
        <v>879</v>
      </c>
      <c r="M8" s="527" t="s">
        <v>1332</v>
      </c>
      <c r="N8" s="22"/>
      <c r="O8" s="685" t="s">
        <v>1332</v>
      </c>
      <c r="P8" s="687"/>
      <c r="Q8" s="22"/>
      <c r="R8" s="22"/>
      <c r="S8" s="22"/>
      <c r="T8" s="22"/>
      <c r="U8" s="22" t="s">
        <v>804</v>
      </c>
      <c r="V8" s="279" t="s">
        <v>811</v>
      </c>
      <c r="W8" s="280" t="s">
        <v>818</v>
      </c>
      <c r="X8" s="281" t="s">
        <v>812</v>
      </c>
      <c r="Y8" s="22"/>
      <c r="Z8" s="22"/>
      <c r="AA8" s="22" t="s">
        <v>1333</v>
      </c>
      <c r="AB8" s="22"/>
      <c r="AC8" s="22"/>
    </row>
    <row r="9" spans="3:32" x14ac:dyDescent="0.2">
      <c r="C9" s="225"/>
      <c r="D9" s="65"/>
      <c r="E9" s="65"/>
      <c r="F9" s="65"/>
      <c r="G9" s="65"/>
      <c r="H9" s="66"/>
      <c r="I9" s="24" t="s">
        <v>416</v>
      </c>
      <c r="J9" s="24" t="s">
        <v>649</v>
      </c>
      <c r="K9" s="24" t="s">
        <v>648</v>
      </c>
      <c r="L9" s="24" t="s">
        <v>301</v>
      </c>
      <c r="M9" s="528" t="s">
        <v>416</v>
      </c>
      <c r="N9" s="24"/>
      <c r="O9" s="282" t="s">
        <v>416</v>
      </c>
      <c r="P9" s="283" t="s">
        <v>649</v>
      </c>
      <c r="Q9" s="24" t="s">
        <v>650</v>
      </c>
      <c r="R9" s="24" t="s">
        <v>651</v>
      </c>
      <c r="S9" s="24" t="s">
        <v>810</v>
      </c>
      <c r="T9" s="24" t="s">
        <v>652</v>
      </c>
      <c r="U9" s="24" t="s">
        <v>1332</v>
      </c>
      <c r="V9" s="282" t="s">
        <v>813</v>
      </c>
      <c r="W9" s="24" t="s">
        <v>819</v>
      </c>
      <c r="X9" s="283" t="s">
        <v>814</v>
      </c>
      <c r="Y9" s="24" t="s">
        <v>628</v>
      </c>
      <c r="Z9" s="24" t="s">
        <v>647</v>
      </c>
      <c r="AA9" s="24" t="s">
        <v>416</v>
      </c>
      <c r="AB9" s="24" t="s">
        <v>649</v>
      </c>
      <c r="AC9" s="24" t="s">
        <v>648</v>
      </c>
    </row>
    <row r="10" spans="3:32" x14ac:dyDescent="0.2">
      <c r="C10" s="232" t="str">
        <f>B23</f>
        <v>REVALUATION</v>
      </c>
      <c r="D10" s="65"/>
      <c r="E10" s="65"/>
      <c r="F10" s="65"/>
      <c r="G10" s="65"/>
      <c r="H10" s="66"/>
      <c r="I10" s="232">
        <f>I34</f>
        <v>0</v>
      </c>
      <c r="J10" s="232"/>
      <c r="K10" s="232">
        <f t="shared" ref="K10:AC10" si="0">K34</f>
        <v>0</v>
      </c>
      <c r="L10" s="232">
        <f t="shared" si="0"/>
        <v>0</v>
      </c>
      <c r="M10" s="232"/>
      <c r="N10" s="232"/>
      <c r="O10" s="232"/>
      <c r="P10" s="232"/>
      <c r="Q10" s="232"/>
      <c r="R10" s="232"/>
      <c r="S10" s="232"/>
      <c r="T10" s="232">
        <f t="shared" si="0"/>
        <v>0</v>
      </c>
      <c r="U10" s="232">
        <f t="shared" si="0"/>
        <v>0</v>
      </c>
      <c r="V10" s="284"/>
      <c r="W10" s="232"/>
      <c r="X10" s="285"/>
      <c r="Y10" s="232">
        <f t="shared" si="0"/>
        <v>0</v>
      </c>
      <c r="Z10" s="232">
        <f t="shared" si="0"/>
        <v>0</v>
      </c>
      <c r="AA10" s="232">
        <f t="shared" si="0"/>
        <v>0</v>
      </c>
      <c r="AB10" s="232">
        <f t="shared" si="0"/>
        <v>0</v>
      </c>
      <c r="AC10" s="232">
        <f t="shared" si="0"/>
        <v>0</v>
      </c>
      <c r="AD10" s="44" t="b">
        <f>I10+L10+T10+U10=AA10</f>
        <v>1</v>
      </c>
      <c r="AF10" s="44" t="b">
        <f>I10+L10+T10+U10=AC10</f>
        <v>1</v>
      </c>
    </row>
    <row r="11" spans="3:32" x14ac:dyDescent="0.2">
      <c r="C11" s="232" t="str">
        <f>B36</f>
        <v>INVESTMENT PROPERTY</v>
      </c>
      <c r="D11" s="65"/>
      <c r="E11" s="65"/>
      <c r="F11" s="65"/>
      <c r="G11" s="65"/>
      <c r="H11" s="66"/>
      <c r="I11" s="232">
        <f>I60</f>
        <v>0</v>
      </c>
      <c r="J11" s="232"/>
      <c r="K11" s="232">
        <f>K60</f>
        <v>0</v>
      </c>
      <c r="L11" s="232">
        <f>L60</f>
        <v>0</v>
      </c>
      <c r="M11" s="232">
        <f>-M60</f>
        <v>0</v>
      </c>
      <c r="N11" s="232"/>
      <c r="O11" s="232">
        <f>O60</f>
        <v>0</v>
      </c>
      <c r="P11" s="232"/>
      <c r="Q11" s="232">
        <f>Q60</f>
        <v>0</v>
      </c>
      <c r="R11" s="232"/>
      <c r="S11" s="232">
        <f>S60</f>
        <v>0</v>
      </c>
      <c r="T11" s="232">
        <f>T60</f>
        <v>0</v>
      </c>
      <c r="U11" s="232"/>
      <c r="V11" s="284"/>
      <c r="W11" s="232">
        <f>W60</f>
        <v>0</v>
      </c>
      <c r="X11" s="285">
        <f>X60</f>
        <v>0</v>
      </c>
      <c r="Y11" s="232"/>
      <c r="Z11" s="232"/>
      <c r="AA11" s="232">
        <f>AA60</f>
        <v>0</v>
      </c>
      <c r="AB11" s="232"/>
      <c r="AC11" s="232">
        <f>AC60</f>
        <v>0</v>
      </c>
      <c r="AD11" s="44" t="b">
        <f>I11+L11+M11+O11-Q11=AA11</f>
        <v>1</v>
      </c>
      <c r="AF11" s="44" t="b">
        <f>I11+L11+M11+O11-Q11=AC11</f>
        <v>1</v>
      </c>
    </row>
    <row r="12" spans="3:32" x14ac:dyDescent="0.2">
      <c r="C12" s="44" t="str">
        <f>B63</f>
        <v>PROPERTY</v>
      </c>
      <c r="I12" s="44">
        <f t="shared" ref="I12:AC12" si="1">I149</f>
        <v>0</v>
      </c>
      <c r="J12" s="44">
        <f t="shared" si="1"/>
        <v>0</v>
      </c>
      <c r="K12" s="44">
        <f t="shared" si="1"/>
        <v>0</v>
      </c>
      <c r="L12" s="44">
        <f t="shared" si="1"/>
        <v>0</v>
      </c>
      <c r="M12" s="44">
        <f t="shared" si="1"/>
        <v>0</v>
      </c>
      <c r="O12" s="44">
        <f>-O149</f>
        <v>0</v>
      </c>
      <c r="P12" s="44">
        <f>P149</f>
        <v>0</v>
      </c>
      <c r="Q12" s="44">
        <f t="shared" ref="Q12:R12" si="2">Q149</f>
        <v>0</v>
      </c>
      <c r="R12" s="44">
        <f t="shared" si="2"/>
        <v>0</v>
      </c>
      <c r="S12" s="44">
        <f t="shared" si="1"/>
        <v>0</v>
      </c>
      <c r="T12" s="44">
        <f t="shared" si="1"/>
        <v>0</v>
      </c>
      <c r="V12" s="284">
        <f t="shared" ref="V12:X12" si="3">V149</f>
        <v>0</v>
      </c>
      <c r="W12" s="232">
        <f t="shared" ref="W12" si="4">W149</f>
        <v>0</v>
      </c>
      <c r="X12" s="285">
        <f t="shared" si="3"/>
        <v>0</v>
      </c>
      <c r="Y12" s="44">
        <f t="shared" ref="Y12" si="5">Y149</f>
        <v>0</v>
      </c>
      <c r="Z12" s="44">
        <f t="shared" si="1"/>
        <v>0</v>
      </c>
      <c r="AA12" s="44">
        <f t="shared" si="1"/>
        <v>0</v>
      </c>
      <c r="AB12" s="44">
        <f t="shared" si="1"/>
        <v>0</v>
      </c>
      <c r="AC12" s="44">
        <f t="shared" si="1"/>
        <v>0</v>
      </c>
      <c r="AD12" s="44" t="b">
        <f>I12+L12+M12+O12-Q12=AA12</f>
        <v>1</v>
      </c>
      <c r="AE12" s="44" t="b">
        <f>J12-P12-R12+Z12=AB12</f>
        <v>1</v>
      </c>
      <c r="AF12" s="44" t="b">
        <f>I12-J12+L12+M12+O12+P12-Q12+R12-Z12=AC12</f>
        <v>1</v>
      </c>
    </row>
    <row r="13" spans="3:32" x14ac:dyDescent="0.2">
      <c r="C13" s="44" t="str">
        <f>B151</f>
        <v>PLANT AND EQUIPMENT</v>
      </c>
      <c r="I13" s="44">
        <f t="shared" ref="I13:AC13" si="6">I192</f>
        <v>0</v>
      </c>
      <c r="J13" s="44">
        <f t="shared" si="6"/>
        <v>0</v>
      </c>
      <c r="K13" s="44">
        <f t="shared" si="6"/>
        <v>0</v>
      </c>
      <c r="L13" s="44">
        <f t="shared" si="6"/>
        <v>0</v>
      </c>
      <c r="Q13" s="44">
        <f t="shared" ref="Q13:R13" si="7">Q192</f>
        <v>0</v>
      </c>
      <c r="R13" s="44">
        <f t="shared" si="7"/>
        <v>0</v>
      </c>
      <c r="S13" s="44">
        <f t="shared" si="6"/>
        <v>0</v>
      </c>
      <c r="T13" s="44">
        <f t="shared" si="6"/>
        <v>0</v>
      </c>
      <c r="V13" s="284">
        <f t="shared" ref="V13:X13" si="8">V192</f>
        <v>0</v>
      </c>
      <c r="W13" s="232">
        <f t="shared" ref="W13" si="9">W192</f>
        <v>0</v>
      </c>
      <c r="X13" s="285">
        <f t="shared" si="8"/>
        <v>0</v>
      </c>
      <c r="Y13" s="44">
        <f t="shared" ref="Y13" si="10">Y192</f>
        <v>0</v>
      </c>
      <c r="Z13" s="44">
        <f t="shared" si="6"/>
        <v>0</v>
      </c>
      <c r="AA13" s="44">
        <f t="shared" si="6"/>
        <v>0</v>
      </c>
      <c r="AB13" s="44">
        <f t="shared" si="6"/>
        <v>0</v>
      </c>
      <c r="AC13" s="44">
        <f t="shared" si="6"/>
        <v>0</v>
      </c>
      <c r="AD13" s="44" t="b">
        <f>I13+L13-Q13=AA13</f>
        <v>1</v>
      </c>
      <c r="AE13" s="44" t="b">
        <f>J13-R13+Z13=AB13</f>
        <v>1</v>
      </c>
      <c r="AF13" s="44" t="b">
        <f>I13-J13+L13-Q13+R13-Z13=AC13</f>
        <v>1</v>
      </c>
    </row>
    <row r="14" spans="3:32" x14ac:dyDescent="0.2">
      <c r="C14" s="44" t="str">
        <f>B195</f>
        <v>MOTOR VEHICLES</v>
      </c>
      <c r="I14" s="44">
        <f t="shared" ref="I14:AC14" si="11">I226</f>
        <v>0</v>
      </c>
      <c r="J14" s="44">
        <f t="shared" si="11"/>
        <v>0</v>
      </c>
      <c r="K14" s="44">
        <f t="shared" si="11"/>
        <v>0</v>
      </c>
      <c r="L14" s="44">
        <f t="shared" si="11"/>
        <v>0</v>
      </c>
      <c r="Q14" s="44">
        <f t="shared" ref="Q14:R14" si="12">Q226</f>
        <v>0</v>
      </c>
      <c r="R14" s="44">
        <f t="shared" si="12"/>
        <v>0</v>
      </c>
      <c r="S14" s="44">
        <f t="shared" si="11"/>
        <v>0</v>
      </c>
      <c r="T14" s="44">
        <f t="shared" si="11"/>
        <v>0</v>
      </c>
      <c r="V14" s="284">
        <f t="shared" ref="V14:X14" si="13">V226</f>
        <v>0</v>
      </c>
      <c r="W14" s="232">
        <f t="shared" ref="W14" si="14">W226</f>
        <v>0</v>
      </c>
      <c r="X14" s="285">
        <f t="shared" si="13"/>
        <v>0</v>
      </c>
      <c r="Y14" s="44">
        <f t="shared" ref="Y14" si="15">Y226</f>
        <v>0</v>
      </c>
      <c r="Z14" s="44">
        <f t="shared" si="11"/>
        <v>0</v>
      </c>
      <c r="AA14" s="44">
        <f t="shared" si="11"/>
        <v>0</v>
      </c>
      <c r="AB14" s="44">
        <f t="shared" si="11"/>
        <v>0</v>
      </c>
      <c r="AC14" s="44">
        <f t="shared" si="11"/>
        <v>0</v>
      </c>
      <c r="AD14" s="44" t="b">
        <f t="shared" ref="AD14:AD16" si="16">I14+L14-Q14=AA14</f>
        <v>1</v>
      </c>
      <c r="AE14" s="44" t="b">
        <f t="shared" ref="AE14:AE16" si="17">J14-R14+Z14=AB14</f>
        <v>1</v>
      </c>
      <c r="AF14" s="44" t="b">
        <f>I14-J14+L14-Q14+R14-Z14=AC14</f>
        <v>1</v>
      </c>
    </row>
    <row r="15" spans="3:32" x14ac:dyDescent="0.2">
      <c r="C15" s="44" t="str">
        <f>B229</f>
        <v>ELECTRONIC EQUIPMENT</v>
      </c>
      <c r="I15" s="44">
        <f t="shared" ref="I15:AC15" si="18">I265</f>
        <v>0</v>
      </c>
      <c r="J15" s="44">
        <f t="shared" si="18"/>
        <v>0</v>
      </c>
      <c r="K15" s="44">
        <f t="shared" si="18"/>
        <v>0</v>
      </c>
      <c r="L15" s="44">
        <f t="shared" si="18"/>
        <v>0</v>
      </c>
      <c r="Q15" s="44">
        <f t="shared" ref="Q15:R15" si="19">Q265</f>
        <v>0</v>
      </c>
      <c r="R15" s="44">
        <f t="shared" si="19"/>
        <v>0</v>
      </c>
      <c r="S15" s="44">
        <f t="shared" si="18"/>
        <v>0</v>
      </c>
      <c r="T15" s="44">
        <f t="shared" si="18"/>
        <v>0</v>
      </c>
      <c r="V15" s="284">
        <f t="shared" ref="V15:X15" si="20">V265</f>
        <v>0</v>
      </c>
      <c r="W15" s="232">
        <f t="shared" ref="W15" si="21">W265</f>
        <v>0</v>
      </c>
      <c r="X15" s="285">
        <f t="shared" si="20"/>
        <v>0</v>
      </c>
      <c r="Y15" s="44">
        <f t="shared" ref="Y15" si="22">Y265</f>
        <v>0</v>
      </c>
      <c r="Z15" s="44">
        <f t="shared" si="18"/>
        <v>0</v>
      </c>
      <c r="AA15" s="44">
        <f t="shared" si="18"/>
        <v>0</v>
      </c>
      <c r="AB15" s="44">
        <f t="shared" si="18"/>
        <v>0</v>
      </c>
      <c r="AC15" s="44">
        <f t="shared" si="18"/>
        <v>0</v>
      </c>
      <c r="AD15" s="44" t="b">
        <f t="shared" si="16"/>
        <v>1</v>
      </c>
      <c r="AE15" s="44" t="b">
        <f t="shared" si="17"/>
        <v>1</v>
      </c>
      <c r="AF15" s="44" t="b">
        <f>I15-J15+L15-Q15+R15-Z15=AC15</f>
        <v>1</v>
      </c>
    </row>
    <row r="16" spans="3:32" x14ac:dyDescent="0.2">
      <c r="C16" s="44" t="str">
        <f>B268</f>
        <v>FURNITURE AND FITTINGS</v>
      </c>
      <c r="I16" s="44">
        <f t="shared" ref="I16:AC16" si="23">I370</f>
        <v>0</v>
      </c>
      <c r="J16" s="44">
        <f t="shared" si="23"/>
        <v>0</v>
      </c>
      <c r="K16" s="44">
        <f t="shared" si="23"/>
        <v>0</v>
      </c>
      <c r="L16" s="44">
        <f t="shared" si="23"/>
        <v>0</v>
      </c>
      <c r="Q16" s="44">
        <f t="shared" ref="Q16:R16" si="24">Q370</f>
        <v>0</v>
      </c>
      <c r="R16" s="44">
        <f t="shared" si="24"/>
        <v>0</v>
      </c>
      <c r="S16" s="44">
        <f t="shared" si="23"/>
        <v>0</v>
      </c>
      <c r="T16" s="44">
        <f t="shared" si="23"/>
        <v>0</v>
      </c>
      <c r="V16" s="536">
        <f t="shared" ref="V16:X16" si="25">V370</f>
        <v>0</v>
      </c>
      <c r="W16" s="68">
        <f t="shared" ref="W16" si="26">W370</f>
        <v>0</v>
      </c>
      <c r="X16" s="537">
        <f t="shared" si="25"/>
        <v>0</v>
      </c>
      <c r="Y16" s="44">
        <f t="shared" ref="Y16" si="27">Y370</f>
        <v>0</v>
      </c>
      <c r="Z16" s="44">
        <f t="shared" si="23"/>
        <v>0</v>
      </c>
      <c r="AA16" s="44">
        <f t="shared" si="23"/>
        <v>0</v>
      </c>
      <c r="AB16" s="44">
        <f t="shared" si="23"/>
        <v>0</v>
      </c>
      <c r="AC16" s="44">
        <f t="shared" si="23"/>
        <v>0</v>
      </c>
      <c r="AD16" s="44" t="b">
        <f t="shared" si="16"/>
        <v>1</v>
      </c>
      <c r="AE16" s="44" t="b">
        <f t="shared" si="17"/>
        <v>1</v>
      </c>
      <c r="AF16" s="44" t="b">
        <f>I16-J16+L16-Q16+R16-Z16=AC16</f>
        <v>1</v>
      </c>
    </row>
    <row r="17" spans="2:29" ht="13.5" thickBot="1" x14ac:dyDescent="0.25">
      <c r="I17" s="142">
        <f>SUM(I10:I16)</f>
        <v>0</v>
      </c>
      <c r="J17" s="142">
        <f t="shared" ref="J17:AC17" si="28">SUM(J10:J16)</f>
        <v>0</v>
      </c>
      <c r="K17" s="142">
        <f t="shared" si="28"/>
        <v>0</v>
      </c>
      <c r="L17" s="142">
        <f t="shared" si="28"/>
        <v>0</v>
      </c>
      <c r="M17" s="142">
        <f t="shared" si="28"/>
        <v>0</v>
      </c>
      <c r="N17" s="142">
        <f t="shared" si="28"/>
        <v>0</v>
      </c>
      <c r="O17" s="142">
        <f t="shared" si="28"/>
        <v>0</v>
      </c>
      <c r="P17" s="142">
        <f t="shared" si="28"/>
        <v>0</v>
      </c>
      <c r="Q17" s="142">
        <f t="shared" si="28"/>
        <v>0</v>
      </c>
      <c r="R17" s="142">
        <f t="shared" si="28"/>
        <v>0</v>
      </c>
      <c r="S17" s="142">
        <f t="shared" si="28"/>
        <v>0</v>
      </c>
      <c r="T17" s="142">
        <f t="shared" si="28"/>
        <v>0</v>
      </c>
      <c r="U17" s="142">
        <f t="shared" si="28"/>
        <v>0</v>
      </c>
      <c r="V17" s="142">
        <f t="shared" si="28"/>
        <v>0</v>
      </c>
      <c r="W17" s="142">
        <f t="shared" si="28"/>
        <v>0</v>
      </c>
      <c r="X17" s="142">
        <f t="shared" si="28"/>
        <v>0</v>
      </c>
      <c r="Y17" s="142">
        <f t="shared" si="28"/>
        <v>0</v>
      </c>
      <c r="Z17" s="142">
        <f t="shared" si="28"/>
        <v>0</v>
      </c>
      <c r="AA17" s="142">
        <f t="shared" si="28"/>
        <v>0</v>
      </c>
      <c r="AB17" s="142">
        <f t="shared" si="28"/>
        <v>0</v>
      </c>
      <c r="AC17" s="142">
        <f t="shared" si="28"/>
        <v>0</v>
      </c>
    </row>
    <row r="18" spans="2:29" ht="13.5" thickTop="1" x14ac:dyDescent="0.2">
      <c r="I18" s="65"/>
      <c r="J18" s="65"/>
      <c r="K18" s="65"/>
      <c r="L18" s="65"/>
      <c r="M18" s="65"/>
      <c r="N18" s="65"/>
      <c r="O18" s="65"/>
      <c r="P18" s="65"/>
      <c r="Q18" s="65"/>
      <c r="R18" s="65"/>
      <c r="S18" s="65"/>
      <c r="T18" s="65"/>
      <c r="U18" s="65"/>
      <c r="V18" s="65"/>
      <c r="W18" s="65"/>
      <c r="X18" s="65"/>
      <c r="Y18" s="65"/>
      <c r="Z18" s="65"/>
      <c r="AA18" s="65"/>
      <c r="AB18" s="65"/>
      <c r="AC18" s="65"/>
    </row>
    <row r="19" spans="2:29" x14ac:dyDescent="0.2">
      <c r="C19" s="44" t="s">
        <v>731</v>
      </c>
      <c r="I19" s="44">
        <f>TrialBalance!L230+TrialBalance!L241+TrialBalance!L247+TrialBalance!L252+TrialBalance!L260+TrialBalance!L268+TrialBalance!L276</f>
        <v>0</v>
      </c>
      <c r="J19" s="44">
        <f>-(TrialBalance!L236+TrialBalance!L256+TrialBalance!L264+TrialBalance!L272+TrialBalance!L280)</f>
        <v>0</v>
      </c>
      <c r="K19" s="44">
        <f>I19-J19</f>
        <v>0</v>
      </c>
      <c r="L19" s="44">
        <f>TrialBalance!L231+TrialBalance!L242+TrialBalance!L248+TrialBalance!L253+TrialBalance!L261+TrialBalance!L269+TrialBalance!L277</f>
        <v>0</v>
      </c>
      <c r="P19" s="44">
        <f>TrialBalance!L239</f>
        <v>0</v>
      </c>
      <c r="Q19" s="44">
        <f>-TrialBalance!L232-TrialBalance!L243-TrialBalance!L254-TrialBalance!L262-TrialBalance!L270-TrialBalance!L278</f>
        <v>0</v>
      </c>
      <c r="R19" s="44">
        <f>TrialBalance!L238+TrialBalance!L258+TrialBalance!L266+TrialBalance!L274+TrialBalance!L282</f>
        <v>0</v>
      </c>
      <c r="S19" s="44">
        <f>FS!M835</f>
        <v>0</v>
      </c>
      <c r="T19" s="44">
        <f>-TrialBalance!L94-TrialBalanceA!I94-TrialBalanceB!I94-TrialBalanceC!I94</f>
        <v>0</v>
      </c>
      <c r="U19" s="44">
        <f>TrialBalance!L250</f>
        <v>0</v>
      </c>
      <c r="Z19" s="44">
        <f>SUM(TrialBalance!L44:L46)+SUM(TrialBalance!L110:L111)+SUM(TrialBalanceA!I44:I46)+SUM(TrialBalanceA!I110:I111)+SUM(TrialBalanceB!I44:I46)+SUM(TrialBalanceB!I110:I111)+SUM(TrialBalanceC!I44:I46)+SUM(TrialBalanceC!I110:I111)</f>
        <v>0</v>
      </c>
      <c r="AA19" s="44">
        <f>SUM(TrialBalance!L230:L234)+SUM(TrialBalance!L241:L245)+SUM(TrialBalance!L247:L250)+SUM(TrialBalance!L252:L254)+SUM(TrialBalance!L260:L262)+SUM(TrialBalance!L268:L270)+SUM(TrialBalance!L276:L278)</f>
        <v>0</v>
      </c>
      <c r="AB19" s="44">
        <f>-(SUM(TrialBalance!L236:L239)+SUM(TrialBalance!L256:L258)+SUM(TrialBalance!L264:L266)+SUM(TrialBalance!L272:L274)+SUM(TrialBalance!L280:L282))</f>
        <v>0</v>
      </c>
      <c r="AC19" s="44">
        <f>AA19-AB19</f>
        <v>0</v>
      </c>
    </row>
    <row r="20" spans="2:29" ht="15" x14ac:dyDescent="0.35">
      <c r="C20" s="44" t="s">
        <v>627</v>
      </c>
      <c r="I20" s="119">
        <f>ROUND(I17-I19,0)</f>
        <v>0</v>
      </c>
      <c r="J20" s="119">
        <f t="shared" ref="J20:AC20" si="29">ROUND(J17-J19,0)</f>
        <v>0</v>
      </c>
      <c r="K20" s="119">
        <f t="shared" si="29"/>
        <v>0</v>
      </c>
      <c r="L20" s="119">
        <f t="shared" si="29"/>
        <v>0</v>
      </c>
      <c r="M20" s="119"/>
      <c r="N20" s="119"/>
      <c r="O20" s="119"/>
      <c r="P20" s="119">
        <f t="shared" si="29"/>
        <v>0</v>
      </c>
      <c r="Q20" s="119">
        <f t="shared" si="29"/>
        <v>0</v>
      </c>
      <c r="R20" s="119">
        <f t="shared" si="29"/>
        <v>0</v>
      </c>
      <c r="S20" s="119">
        <f t="shared" si="29"/>
        <v>0</v>
      </c>
      <c r="T20" s="119">
        <f t="shared" si="29"/>
        <v>0</v>
      </c>
      <c r="U20" s="119">
        <f t="shared" si="29"/>
        <v>0</v>
      </c>
      <c r="V20" s="119"/>
      <c r="W20" s="119"/>
      <c r="X20" s="119"/>
      <c r="Y20" s="119"/>
      <c r="Z20" s="119">
        <f t="shared" si="29"/>
        <v>0</v>
      </c>
      <c r="AA20" s="119">
        <f t="shared" si="29"/>
        <v>0</v>
      </c>
      <c r="AB20" s="119">
        <f t="shared" si="29"/>
        <v>0</v>
      </c>
      <c r="AC20" s="119">
        <f t="shared" si="29"/>
        <v>0</v>
      </c>
    </row>
    <row r="21" spans="2:29" x14ac:dyDescent="0.2">
      <c r="M21" s="44" t="b">
        <f>M17=-U17</f>
        <v>1</v>
      </c>
      <c r="O21" s="44" t="b">
        <f>O17=0</f>
        <v>1</v>
      </c>
    </row>
    <row r="23" spans="2:29" x14ac:dyDescent="0.2">
      <c r="B23" s="203" t="s">
        <v>1329</v>
      </c>
      <c r="I23" s="276"/>
      <c r="J23" s="276"/>
    </row>
    <row r="24" spans="2:29" x14ac:dyDescent="0.2">
      <c r="B24" s="204"/>
      <c r="I24" s="22"/>
      <c r="J24" s="22"/>
      <c r="K24" s="22"/>
      <c r="L24" s="22"/>
      <c r="M24" s="22"/>
      <c r="N24" s="22"/>
      <c r="O24" s="22"/>
      <c r="P24" s="22"/>
      <c r="Q24" s="22"/>
      <c r="R24" s="22"/>
      <c r="S24" s="22"/>
      <c r="T24" s="22" t="s">
        <v>804</v>
      </c>
      <c r="U24" s="22" t="s">
        <v>804</v>
      </c>
      <c r="V24" s="22"/>
      <c r="W24" s="22"/>
      <c r="X24" s="22"/>
      <c r="Y24" s="22"/>
      <c r="Z24" s="22"/>
      <c r="AA24" s="22"/>
      <c r="AB24" s="22"/>
      <c r="AC24" s="22"/>
    </row>
    <row r="25" spans="2:29" x14ac:dyDescent="0.2">
      <c r="B25" s="205" t="s">
        <v>26</v>
      </c>
      <c r="C25" s="69" t="s">
        <v>261</v>
      </c>
      <c r="D25" s="69"/>
      <c r="E25" s="529"/>
      <c r="F25" s="535"/>
      <c r="G25" s="529"/>
      <c r="H25" s="529"/>
      <c r="I25" s="24" t="s">
        <v>1312</v>
      </c>
      <c r="J25" s="24"/>
      <c r="K25" s="24" t="s">
        <v>648</v>
      </c>
      <c r="L25" s="24" t="s">
        <v>1312</v>
      </c>
      <c r="M25" s="24"/>
      <c r="N25" s="24"/>
      <c r="O25" s="24"/>
      <c r="P25" s="24"/>
      <c r="Q25" s="24"/>
      <c r="R25" s="24"/>
      <c r="S25" s="24"/>
      <c r="T25" s="24" t="s">
        <v>175</v>
      </c>
      <c r="U25" s="24" t="s">
        <v>1332</v>
      </c>
      <c r="V25" s="24"/>
      <c r="W25" s="24"/>
      <c r="X25" s="24"/>
      <c r="Y25" s="24"/>
      <c r="Z25" s="24"/>
      <c r="AA25" s="24" t="s">
        <v>1312</v>
      </c>
      <c r="AB25" s="24"/>
      <c r="AC25" s="24" t="s">
        <v>648</v>
      </c>
    </row>
    <row r="27" spans="2:29" x14ac:dyDescent="0.2">
      <c r="K27" s="44">
        <f t="shared" ref="K27:K33" si="30">I27-J27</f>
        <v>0</v>
      </c>
      <c r="AA27" s="44">
        <f>I27+L27+T27+U27</f>
        <v>0</v>
      </c>
      <c r="AC27" s="44">
        <f>AA27</f>
        <v>0</v>
      </c>
    </row>
    <row r="28" spans="2:29" x14ac:dyDescent="0.2">
      <c r="K28" s="44">
        <f t="shared" si="30"/>
        <v>0</v>
      </c>
      <c r="AA28" s="44">
        <f t="shared" ref="AA28:AA33" si="31">I28+L28+T28+U28</f>
        <v>0</v>
      </c>
      <c r="AC28" s="44">
        <f t="shared" ref="AC28:AC33" si="32">AA28</f>
        <v>0</v>
      </c>
    </row>
    <row r="29" spans="2:29" x14ac:dyDescent="0.2">
      <c r="K29" s="44">
        <f t="shared" si="30"/>
        <v>0</v>
      </c>
      <c r="AA29" s="44">
        <f t="shared" si="31"/>
        <v>0</v>
      </c>
      <c r="AC29" s="44">
        <f t="shared" si="32"/>
        <v>0</v>
      </c>
    </row>
    <row r="30" spans="2:29" x14ac:dyDescent="0.2">
      <c r="K30" s="44">
        <f t="shared" si="30"/>
        <v>0</v>
      </c>
      <c r="AA30" s="44">
        <f t="shared" si="31"/>
        <v>0</v>
      </c>
      <c r="AC30" s="44">
        <f t="shared" si="32"/>
        <v>0</v>
      </c>
    </row>
    <row r="31" spans="2:29" x14ac:dyDescent="0.2">
      <c r="K31" s="44">
        <f t="shared" si="30"/>
        <v>0</v>
      </c>
      <c r="AA31" s="44">
        <f t="shared" si="31"/>
        <v>0</v>
      </c>
      <c r="AC31" s="44">
        <f t="shared" si="32"/>
        <v>0</v>
      </c>
    </row>
    <row r="32" spans="2:29" x14ac:dyDescent="0.2">
      <c r="K32" s="44">
        <f t="shared" si="30"/>
        <v>0</v>
      </c>
      <c r="AA32" s="44">
        <f t="shared" si="31"/>
        <v>0</v>
      </c>
      <c r="AC32" s="44">
        <f t="shared" si="32"/>
        <v>0</v>
      </c>
    </row>
    <row r="33" spans="2:29" x14ac:dyDescent="0.2">
      <c r="K33" s="44">
        <f t="shared" si="30"/>
        <v>0</v>
      </c>
      <c r="AA33" s="44">
        <f t="shared" si="31"/>
        <v>0</v>
      </c>
      <c r="AC33" s="44">
        <f t="shared" si="32"/>
        <v>0</v>
      </c>
    </row>
    <row r="34" spans="2:29" ht="13.5" thickBot="1" x14ac:dyDescent="0.25">
      <c r="I34" s="52">
        <f>SUM(I26:I33)</f>
        <v>0</v>
      </c>
      <c r="J34" s="52"/>
      <c r="K34" s="52">
        <f t="shared" ref="K34:AC34" si="33">SUM(K26:K33)</f>
        <v>0</v>
      </c>
      <c r="L34" s="52">
        <f t="shared" si="33"/>
        <v>0</v>
      </c>
      <c r="M34" s="52"/>
      <c r="N34" s="52"/>
      <c r="O34" s="52"/>
      <c r="P34" s="52"/>
      <c r="Q34" s="52"/>
      <c r="R34" s="52"/>
      <c r="S34" s="52"/>
      <c r="T34" s="52">
        <f t="shared" si="33"/>
        <v>0</v>
      </c>
      <c r="U34" s="52">
        <f t="shared" si="33"/>
        <v>0</v>
      </c>
      <c r="V34" s="52"/>
      <c r="W34" s="52"/>
      <c r="X34" s="52"/>
      <c r="Y34" s="52"/>
      <c r="Z34" s="52"/>
      <c r="AA34" s="52">
        <f t="shared" si="33"/>
        <v>0</v>
      </c>
      <c r="AB34" s="52"/>
      <c r="AC34" s="52">
        <f t="shared" si="33"/>
        <v>0</v>
      </c>
    </row>
    <row r="35" spans="2:29" ht="13.5" thickTop="1" x14ac:dyDescent="0.2">
      <c r="I35" s="232"/>
      <c r="J35" s="232"/>
      <c r="K35" s="232"/>
      <c r="L35" s="232"/>
      <c r="M35" s="232"/>
      <c r="N35" s="232"/>
      <c r="O35" s="232"/>
      <c r="P35" s="232"/>
      <c r="Q35" s="232"/>
      <c r="R35" s="232"/>
      <c r="S35" s="232"/>
      <c r="T35" s="232"/>
      <c r="U35" s="232"/>
      <c r="V35" s="232"/>
      <c r="W35" s="232"/>
      <c r="X35" s="232"/>
      <c r="Y35" s="232"/>
      <c r="Z35" s="232"/>
      <c r="AA35" s="232"/>
      <c r="AB35" s="232"/>
      <c r="AC35" s="232"/>
    </row>
    <row r="36" spans="2:29" x14ac:dyDescent="0.2">
      <c r="B36" s="203" t="s">
        <v>1225</v>
      </c>
      <c r="I36" s="532"/>
      <c r="J36" s="276"/>
    </row>
    <row r="37" spans="2:29" x14ac:dyDescent="0.2">
      <c r="B37" s="204"/>
      <c r="F37" s="8"/>
      <c r="G37" s="8"/>
      <c r="H37" s="8"/>
      <c r="I37" s="22"/>
      <c r="J37" s="22"/>
      <c r="K37" s="22"/>
      <c r="L37" s="22"/>
      <c r="M37" s="527" t="s">
        <v>1330</v>
      </c>
      <c r="N37" s="22"/>
      <c r="O37" s="533" t="s">
        <v>1331</v>
      </c>
      <c r="P37" s="534"/>
      <c r="Q37" s="22"/>
      <c r="R37" s="22"/>
      <c r="S37" s="22"/>
      <c r="T37" s="22"/>
      <c r="U37" s="22"/>
      <c r="V37" s="280"/>
      <c r="W37" s="295" t="s">
        <v>818</v>
      </c>
      <c r="X37" s="297" t="s">
        <v>812</v>
      </c>
      <c r="Y37" s="22"/>
      <c r="Z37" s="22"/>
      <c r="AA37" s="22"/>
      <c r="AB37" s="22"/>
      <c r="AC37" s="22"/>
    </row>
    <row r="38" spans="2:29" x14ac:dyDescent="0.2">
      <c r="B38" s="205" t="s">
        <v>26</v>
      </c>
      <c r="C38" s="69" t="s">
        <v>261</v>
      </c>
      <c r="D38" s="69"/>
      <c r="E38" s="529"/>
      <c r="F38" s="530" t="s">
        <v>551</v>
      </c>
      <c r="G38" s="531" t="s">
        <v>552</v>
      </c>
      <c r="H38" s="531" t="s">
        <v>653</v>
      </c>
      <c r="I38" s="24" t="s">
        <v>416</v>
      </c>
      <c r="J38" s="24"/>
      <c r="K38" s="24" t="s">
        <v>648</v>
      </c>
      <c r="L38" s="24" t="s">
        <v>301</v>
      </c>
      <c r="M38" s="528" t="s">
        <v>416</v>
      </c>
      <c r="N38" s="24"/>
      <c r="O38" s="528" t="s">
        <v>416</v>
      </c>
      <c r="P38" s="282"/>
      <c r="Q38" s="24" t="s">
        <v>650</v>
      </c>
      <c r="R38" s="24"/>
      <c r="S38" s="24" t="s">
        <v>810</v>
      </c>
      <c r="T38" s="24" t="s">
        <v>652</v>
      </c>
      <c r="U38" s="24"/>
      <c r="V38" s="24"/>
      <c r="W38" s="282" t="s">
        <v>819</v>
      </c>
      <c r="X38" s="283" t="s">
        <v>814</v>
      </c>
      <c r="Y38" s="24"/>
      <c r="Z38" s="24"/>
      <c r="AA38" s="24" t="s">
        <v>416</v>
      </c>
      <c r="AB38" s="24"/>
      <c r="AC38" s="24" t="s">
        <v>648</v>
      </c>
    </row>
    <row r="39" spans="2:29" x14ac:dyDescent="0.2">
      <c r="AA39" s="44">
        <f>I39+L39-M39+O39-Q39</f>
        <v>0</v>
      </c>
      <c r="AC39" s="44">
        <f>AA39</f>
        <v>0</v>
      </c>
    </row>
    <row r="40" spans="2:29" x14ac:dyDescent="0.2">
      <c r="J40" s="232"/>
      <c r="K40" s="232">
        <f>I40</f>
        <v>0</v>
      </c>
      <c r="L40" s="232"/>
      <c r="M40" s="232"/>
      <c r="N40" s="232"/>
      <c r="O40" s="232"/>
      <c r="P40" s="232"/>
      <c r="Q40" s="232"/>
      <c r="R40" s="232"/>
      <c r="S40" s="232"/>
      <c r="T40" s="232"/>
      <c r="U40" s="232"/>
      <c r="V40" s="232"/>
      <c r="W40" s="232"/>
      <c r="X40" s="232"/>
      <c r="Y40" s="232"/>
      <c r="Z40" s="232"/>
      <c r="AA40" s="44">
        <f t="shared" ref="AA40:AA59" si="34">I40+L40-M40+O40-Q40</f>
        <v>0</v>
      </c>
      <c r="AC40" s="44">
        <f t="shared" ref="AC40:AC59" si="35">AA40</f>
        <v>0</v>
      </c>
    </row>
    <row r="41" spans="2:29" x14ac:dyDescent="0.2">
      <c r="J41" s="232"/>
      <c r="K41" s="232">
        <f t="shared" ref="K41:K59" si="36">I41</f>
        <v>0</v>
      </c>
      <c r="L41" s="232"/>
      <c r="M41" s="232"/>
      <c r="N41" s="232"/>
      <c r="O41" s="232"/>
      <c r="P41" s="232"/>
      <c r="U41" s="232"/>
      <c r="V41" s="232"/>
      <c r="W41" s="232"/>
      <c r="X41" s="232"/>
      <c r="Y41" s="232"/>
      <c r="Z41" s="232"/>
      <c r="AA41" s="44">
        <f>I41+L41-M41+O41-Q41</f>
        <v>0</v>
      </c>
      <c r="AC41" s="44">
        <f t="shared" si="35"/>
        <v>0</v>
      </c>
    </row>
    <row r="42" spans="2:29" x14ac:dyDescent="0.2">
      <c r="J42" s="232"/>
      <c r="K42" s="232">
        <f t="shared" si="36"/>
        <v>0</v>
      </c>
      <c r="L42" s="232"/>
      <c r="M42" s="232"/>
      <c r="N42" s="232"/>
      <c r="O42" s="232"/>
      <c r="P42" s="232"/>
      <c r="Q42" s="232"/>
      <c r="R42" s="232"/>
      <c r="S42" s="232"/>
      <c r="T42" s="232"/>
      <c r="U42" s="232"/>
      <c r="V42" s="232"/>
      <c r="W42" s="232"/>
      <c r="X42" s="232"/>
      <c r="Y42" s="232"/>
      <c r="Z42" s="232"/>
      <c r="AA42" s="44">
        <f t="shared" si="34"/>
        <v>0</v>
      </c>
      <c r="AC42" s="44">
        <f t="shared" si="35"/>
        <v>0</v>
      </c>
    </row>
    <row r="43" spans="2:29" x14ac:dyDescent="0.2">
      <c r="I43" s="232"/>
      <c r="J43" s="232"/>
      <c r="K43" s="232">
        <f t="shared" si="36"/>
        <v>0</v>
      </c>
      <c r="M43" s="232"/>
      <c r="N43" s="232"/>
      <c r="O43" s="232"/>
      <c r="P43" s="232"/>
      <c r="Q43" s="232"/>
      <c r="R43" s="232"/>
      <c r="S43" s="232"/>
      <c r="T43" s="232"/>
      <c r="U43" s="232"/>
      <c r="V43" s="232"/>
      <c r="W43" s="232"/>
      <c r="X43" s="232"/>
      <c r="Y43" s="232"/>
      <c r="Z43" s="232"/>
      <c r="AA43" s="44">
        <f t="shared" si="34"/>
        <v>0</v>
      </c>
      <c r="AC43" s="44">
        <f t="shared" si="35"/>
        <v>0</v>
      </c>
    </row>
    <row r="44" spans="2:29" x14ac:dyDescent="0.2">
      <c r="I44" s="232"/>
      <c r="J44" s="232"/>
      <c r="K44" s="232">
        <f t="shared" si="36"/>
        <v>0</v>
      </c>
      <c r="L44" s="232"/>
      <c r="M44" s="232"/>
      <c r="N44" s="232"/>
      <c r="O44" s="232"/>
      <c r="P44" s="232"/>
      <c r="Q44" s="232"/>
      <c r="R44" s="232"/>
      <c r="S44" s="232"/>
      <c r="T44" s="232"/>
      <c r="U44" s="232"/>
      <c r="V44" s="232"/>
      <c r="W44" s="232"/>
      <c r="X44" s="232"/>
      <c r="Y44" s="232"/>
      <c r="Z44" s="232"/>
      <c r="AA44" s="44">
        <f t="shared" si="34"/>
        <v>0</v>
      </c>
      <c r="AC44" s="44">
        <f t="shared" si="35"/>
        <v>0</v>
      </c>
    </row>
    <row r="45" spans="2:29" x14ac:dyDescent="0.2">
      <c r="I45" s="232"/>
      <c r="J45" s="232"/>
      <c r="K45" s="232">
        <f t="shared" si="36"/>
        <v>0</v>
      </c>
      <c r="L45" s="232"/>
      <c r="M45" s="232"/>
      <c r="N45" s="232"/>
      <c r="O45" s="232"/>
      <c r="P45" s="232"/>
      <c r="Q45" s="232"/>
      <c r="R45" s="232"/>
      <c r="S45" s="232"/>
      <c r="T45" s="232"/>
      <c r="U45" s="232"/>
      <c r="V45" s="232"/>
      <c r="W45" s="232"/>
      <c r="X45" s="232"/>
      <c r="Y45" s="232"/>
      <c r="Z45" s="232"/>
      <c r="AA45" s="44">
        <f t="shared" si="34"/>
        <v>0</v>
      </c>
      <c r="AC45" s="44">
        <f t="shared" si="35"/>
        <v>0</v>
      </c>
    </row>
    <row r="46" spans="2:29" x14ac:dyDescent="0.2">
      <c r="I46" s="232"/>
      <c r="J46" s="232"/>
      <c r="K46" s="232">
        <f t="shared" si="36"/>
        <v>0</v>
      </c>
      <c r="L46" s="232"/>
      <c r="M46" s="232"/>
      <c r="N46" s="232"/>
      <c r="O46" s="232"/>
      <c r="P46" s="232"/>
      <c r="Q46" s="232"/>
      <c r="R46" s="232"/>
      <c r="S46" s="232"/>
      <c r="T46" s="232"/>
      <c r="U46" s="232"/>
      <c r="V46" s="232"/>
      <c r="W46" s="232"/>
      <c r="X46" s="232"/>
      <c r="Y46" s="232"/>
      <c r="Z46" s="232"/>
      <c r="AA46" s="44">
        <f t="shared" si="34"/>
        <v>0</v>
      </c>
      <c r="AC46" s="44">
        <f t="shared" si="35"/>
        <v>0</v>
      </c>
    </row>
    <row r="47" spans="2:29" x14ac:dyDescent="0.2">
      <c r="I47" s="232"/>
      <c r="J47" s="232"/>
      <c r="K47" s="232">
        <f t="shared" si="36"/>
        <v>0</v>
      </c>
      <c r="L47" s="232"/>
      <c r="M47" s="232"/>
      <c r="N47" s="232"/>
      <c r="O47" s="232"/>
      <c r="P47" s="232"/>
      <c r="Q47" s="232"/>
      <c r="R47" s="232"/>
      <c r="S47" s="232"/>
      <c r="T47" s="232"/>
      <c r="U47" s="232"/>
      <c r="V47" s="232"/>
      <c r="W47" s="232"/>
      <c r="X47" s="232"/>
      <c r="Y47" s="232"/>
      <c r="Z47" s="232"/>
      <c r="AA47" s="44">
        <f t="shared" si="34"/>
        <v>0</v>
      </c>
      <c r="AC47" s="44">
        <f t="shared" si="35"/>
        <v>0</v>
      </c>
    </row>
    <row r="48" spans="2:29" x14ac:dyDescent="0.2">
      <c r="I48" s="232"/>
      <c r="J48" s="232"/>
      <c r="K48" s="232">
        <f t="shared" si="36"/>
        <v>0</v>
      </c>
      <c r="L48" s="232"/>
      <c r="M48" s="232"/>
      <c r="N48" s="232"/>
      <c r="O48" s="232"/>
      <c r="P48" s="232"/>
      <c r="Q48" s="232"/>
      <c r="R48" s="232"/>
      <c r="S48" s="232"/>
      <c r="T48" s="232"/>
      <c r="U48" s="232"/>
      <c r="V48" s="232"/>
      <c r="W48" s="232"/>
      <c r="X48" s="232"/>
      <c r="Y48" s="232"/>
      <c r="Z48" s="232"/>
      <c r="AA48" s="44">
        <f t="shared" si="34"/>
        <v>0</v>
      </c>
      <c r="AC48" s="44">
        <f t="shared" si="35"/>
        <v>0</v>
      </c>
    </row>
    <row r="49" spans="2:29" x14ac:dyDescent="0.2">
      <c r="I49" s="232"/>
      <c r="J49" s="232"/>
      <c r="K49" s="232">
        <f t="shared" si="36"/>
        <v>0</v>
      </c>
      <c r="L49" s="232"/>
      <c r="M49" s="232"/>
      <c r="N49" s="232"/>
      <c r="O49" s="232"/>
      <c r="P49" s="232"/>
      <c r="Q49" s="232"/>
      <c r="R49" s="232"/>
      <c r="S49" s="232"/>
      <c r="T49" s="232"/>
      <c r="U49" s="232"/>
      <c r="V49" s="232"/>
      <c r="W49" s="232"/>
      <c r="X49" s="232"/>
      <c r="Y49" s="232"/>
      <c r="Z49" s="232"/>
      <c r="AA49" s="44">
        <f t="shared" si="34"/>
        <v>0</v>
      </c>
      <c r="AC49" s="44">
        <f t="shared" si="35"/>
        <v>0</v>
      </c>
    </row>
    <row r="50" spans="2:29" x14ac:dyDescent="0.2">
      <c r="I50" s="232"/>
      <c r="J50" s="232"/>
      <c r="K50" s="232">
        <f t="shared" si="36"/>
        <v>0</v>
      </c>
      <c r="L50" s="232"/>
      <c r="M50" s="232"/>
      <c r="N50" s="232"/>
      <c r="O50" s="232"/>
      <c r="P50" s="232"/>
      <c r="Q50" s="232"/>
      <c r="R50" s="232"/>
      <c r="S50" s="232"/>
      <c r="T50" s="232"/>
      <c r="U50" s="232"/>
      <c r="V50" s="232"/>
      <c r="W50" s="232"/>
      <c r="X50" s="232"/>
      <c r="Y50" s="232"/>
      <c r="Z50" s="232"/>
      <c r="AA50" s="44">
        <f t="shared" si="34"/>
        <v>0</v>
      </c>
      <c r="AC50" s="44">
        <f t="shared" si="35"/>
        <v>0</v>
      </c>
    </row>
    <row r="51" spans="2:29" x14ac:dyDescent="0.2">
      <c r="I51" s="232"/>
      <c r="J51" s="232"/>
      <c r="K51" s="232">
        <f t="shared" si="36"/>
        <v>0</v>
      </c>
      <c r="L51" s="232"/>
      <c r="M51" s="232"/>
      <c r="N51" s="232"/>
      <c r="O51" s="232"/>
      <c r="P51" s="232"/>
      <c r="Q51" s="232"/>
      <c r="R51" s="232"/>
      <c r="S51" s="232"/>
      <c r="T51" s="232"/>
      <c r="U51" s="232"/>
      <c r="V51" s="232"/>
      <c r="W51" s="232"/>
      <c r="X51" s="232"/>
      <c r="Y51" s="232"/>
      <c r="Z51" s="232"/>
      <c r="AA51" s="44">
        <f t="shared" si="34"/>
        <v>0</v>
      </c>
      <c r="AC51" s="44">
        <f t="shared" si="35"/>
        <v>0</v>
      </c>
    </row>
    <row r="52" spans="2:29" x14ac:dyDescent="0.2">
      <c r="I52" s="232"/>
      <c r="J52" s="232"/>
      <c r="K52" s="232">
        <f t="shared" si="36"/>
        <v>0</v>
      </c>
      <c r="L52" s="232"/>
      <c r="M52" s="232"/>
      <c r="N52" s="232"/>
      <c r="O52" s="232"/>
      <c r="P52" s="232"/>
      <c r="Q52" s="232"/>
      <c r="R52" s="232"/>
      <c r="S52" s="232"/>
      <c r="T52" s="232"/>
      <c r="U52" s="232"/>
      <c r="V52" s="232"/>
      <c r="W52" s="232"/>
      <c r="X52" s="232"/>
      <c r="Y52" s="232"/>
      <c r="Z52" s="232"/>
      <c r="AA52" s="44">
        <f t="shared" si="34"/>
        <v>0</v>
      </c>
      <c r="AC52" s="44">
        <f t="shared" si="35"/>
        <v>0</v>
      </c>
    </row>
    <row r="53" spans="2:29" x14ac:dyDescent="0.2">
      <c r="I53" s="232"/>
      <c r="J53" s="232"/>
      <c r="K53" s="232">
        <f t="shared" si="36"/>
        <v>0</v>
      </c>
      <c r="L53" s="232"/>
      <c r="M53" s="232"/>
      <c r="N53" s="232"/>
      <c r="O53" s="232"/>
      <c r="P53" s="232"/>
      <c r="Q53" s="232"/>
      <c r="R53" s="232"/>
      <c r="S53" s="232"/>
      <c r="T53" s="232"/>
      <c r="U53" s="232"/>
      <c r="V53" s="232"/>
      <c r="W53" s="232"/>
      <c r="X53" s="232"/>
      <c r="Y53" s="232"/>
      <c r="Z53" s="232"/>
      <c r="AA53" s="44">
        <f t="shared" si="34"/>
        <v>0</v>
      </c>
      <c r="AC53" s="44">
        <f t="shared" si="35"/>
        <v>0</v>
      </c>
    </row>
    <row r="54" spans="2:29" x14ac:dyDescent="0.2">
      <c r="I54" s="232"/>
      <c r="J54" s="232"/>
      <c r="K54" s="232">
        <f t="shared" si="36"/>
        <v>0</v>
      </c>
      <c r="L54" s="232"/>
      <c r="M54" s="232"/>
      <c r="N54" s="232"/>
      <c r="O54" s="232"/>
      <c r="P54" s="232"/>
      <c r="Q54" s="232"/>
      <c r="R54" s="232"/>
      <c r="S54" s="232"/>
      <c r="T54" s="232"/>
      <c r="U54" s="232"/>
      <c r="V54" s="232"/>
      <c r="W54" s="232"/>
      <c r="X54" s="232"/>
      <c r="Y54" s="232"/>
      <c r="Z54" s="232"/>
      <c r="AA54" s="44">
        <f t="shared" si="34"/>
        <v>0</v>
      </c>
      <c r="AC54" s="44">
        <f t="shared" si="35"/>
        <v>0</v>
      </c>
    </row>
    <row r="55" spans="2:29" x14ac:dyDescent="0.2">
      <c r="I55" s="232"/>
      <c r="J55" s="232"/>
      <c r="K55" s="232">
        <f t="shared" si="36"/>
        <v>0</v>
      </c>
      <c r="L55" s="232"/>
      <c r="M55" s="232"/>
      <c r="N55" s="232"/>
      <c r="O55" s="232"/>
      <c r="P55" s="232"/>
      <c r="Q55" s="232"/>
      <c r="R55" s="232"/>
      <c r="S55" s="232"/>
      <c r="T55" s="232"/>
      <c r="U55" s="232"/>
      <c r="V55" s="232"/>
      <c r="W55" s="232"/>
      <c r="X55" s="232"/>
      <c r="Y55" s="232"/>
      <c r="Z55" s="232"/>
      <c r="AA55" s="44">
        <f t="shared" si="34"/>
        <v>0</v>
      </c>
      <c r="AC55" s="44">
        <f t="shared" si="35"/>
        <v>0</v>
      </c>
    </row>
    <row r="56" spans="2:29" x14ac:dyDescent="0.2">
      <c r="I56" s="232"/>
      <c r="J56" s="232"/>
      <c r="K56" s="232">
        <f t="shared" si="36"/>
        <v>0</v>
      </c>
      <c r="L56" s="232"/>
      <c r="M56" s="232"/>
      <c r="N56" s="232"/>
      <c r="O56" s="232"/>
      <c r="P56" s="232"/>
      <c r="Q56" s="232"/>
      <c r="R56" s="232"/>
      <c r="S56" s="232"/>
      <c r="T56" s="232"/>
      <c r="U56" s="232"/>
      <c r="V56" s="232"/>
      <c r="W56" s="232"/>
      <c r="X56" s="232"/>
      <c r="Y56" s="232"/>
      <c r="Z56" s="232"/>
      <c r="AA56" s="44">
        <f t="shared" si="34"/>
        <v>0</v>
      </c>
      <c r="AC56" s="44">
        <f t="shared" si="35"/>
        <v>0</v>
      </c>
    </row>
    <row r="57" spans="2:29" x14ac:dyDescent="0.2">
      <c r="I57" s="232"/>
      <c r="J57" s="232"/>
      <c r="K57" s="232">
        <f t="shared" si="36"/>
        <v>0</v>
      </c>
      <c r="L57" s="232"/>
      <c r="M57" s="232"/>
      <c r="N57" s="232"/>
      <c r="O57" s="232"/>
      <c r="P57" s="232"/>
      <c r="Q57" s="232"/>
      <c r="R57" s="232"/>
      <c r="S57" s="232"/>
      <c r="T57" s="232"/>
      <c r="U57" s="232"/>
      <c r="V57" s="232"/>
      <c r="W57" s="232"/>
      <c r="X57" s="232"/>
      <c r="Y57" s="232"/>
      <c r="Z57" s="232"/>
      <c r="AA57" s="44">
        <f t="shared" si="34"/>
        <v>0</v>
      </c>
      <c r="AC57" s="44">
        <f t="shared" si="35"/>
        <v>0</v>
      </c>
    </row>
    <row r="58" spans="2:29" x14ac:dyDescent="0.2">
      <c r="I58" s="232"/>
      <c r="J58" s="232"/>
      <c r="K58" s="232">
        <f t="shared" si="36"/>
        <v>0</v>
      </c>
      <c r="L58" s="232"/>
      <c r="M58" s="232"/>
      <c r="N58" s="232"/>
      <c r="O58" s="232"/>
      <c r="P58" s="232"/>
      <c r="Q58" s="232"/>
      <c r="R58" s="232"/>
      <c r="S58" s="232"/>
      <c r="T58" s="232"/>
      <c r="U58" s="232"/>
      <c r="V58" s="232"/>
      <c r="W58" s="232"/>
      <c r="X58" s="232"/>
      <c r="Y58" s="232"/>
      <c r="Z58" s="232"/>
      <c r="AA58" s="44">
        <f t="shared" si="34"/>
        <v>0</v>
      </c>
      <c r="AC58" s="44">
        <f t="shared" si="35"/>
        <v>0</v>
      </c>
    </row>
    <row r="59" spans="2:29" x14ac:dyDescent="0.2">
      <c r="I59" s="232"/>
      <c r="J59" s="232"/>
      <c r="K59" s="232">
        <f t="shared" si="36"/>
        <v>0</v>
      </c>
      <c r="L59" s="232"/>
      <c r="M59" s="232"/>
      <c r="N59" s="232"/>
      <c r="O59" s="232"/>
      <c r="P59" s="232"/>
      <c r="Q59" s="232"/>
      <c r="R59" s="232"/>
      <c r="S59" s="232"/>
      <c r="T59" s="232"/>
      <c r="U59" s="232"/>
      <c r="V59" s="232"/>
      <c r="W59" s="232"/>
      <c r="X59" s="232"/>
      <c r="Y59" s="232"/>
      <c r="Z59" s="232"/>
      <c r="AA59" s="44">
        <f t="shared" si="34"/>
        <v>0</v>
      </c>
      <c r="AC59" s="44">
        <f t="shared" si="35"/>
        <v>0</v>
      </c>
    </row>
    <row r="60" spans="2:29" ht="13.5" thickBot="1" x14ac:dyDescent="0.25">
      <c r="I60" s="52">
        <f>SUM(I39:I59)</f>
        <v>0</v>
      </c>
      <c r="J60" s="52"/>
      <c r="K60" s="52">
        <f t="shared" ref="K60:AC60" si="37">SUM(K39:K59)</f>
        <v>0</v>
      </c>
      <c r="L60" s="52">
        <f t="shared" si="37"/>
        <v>0</v>
      </c>
      <c r="M60" s="52">
        <f t="shared" si="37"/>
        <v>0</v>
      </c>
      <c r="N60" s="52"/>
      <c r="O60" s="52">
        <f t="shared" si="37"/>
        <v>0</v>
      </c>
      <c r="P60" s="52"/>
      <c r="Q60" s="52">
        <f t="shared" si="37"/>
        <v>0</v>
      </c>
      <c r="R60" s="52"/>
      <c r="S60" s="52">
        <f t="shared" si="37"/>
        <v>0</v>
      </c>
      <c r="T60" s="52">
        <f t="shared" si="37"/>
        <v>0</v>
      </c>
      <c r="U60" s="52"/>
      <c r="V60" s="52"/>
      <c r="W60" s="52">
        <f t="shared" si="37"/>
        <v>0</v>
      </c>
      <c r="X60" s="52">
        <f t="shared" si="37"/>
        <v>0</v>
      </c>
      <c r="Y60" s="52"/>
      <c r="Z60" s="52"/>
      <c r="AA60" s="52">
        <f t="shared" si="37"/>
        <v>0</v>
      </c>
      <c r="AB60" s="52"/>
      <c r="AC60" s="52">
        <f t="shared" si="37"/>
        <v>0</v>
      </c>
    </row>
    <row r="61" spans="2:29" ht="13.5" thickTop="1" x14ac:dyDescent="0.2">
      <c r="I61" s="232"/>
      <c r="J61" s="232"/>
      <c r="K61" s="232"/>
      <c r="L61" s="232"/>
      <c r="M61" s="232"/>
      <c r="N61" s="232"/>
      <c r="O61" s="232"/>
      <c r="P61" s="232"/>
      <c r="Q61" s="232"/>
      <c r="R61" s="232"/>
      <c r="S61" s="232"/>
      <c r="T61" s="232"/>
      <c r="U61" s="232"/>
      <c r="V61" s="232"/>
      <c r="W61" s="232"/>
      <c r="X61" s="232"/>
      <c r="Y61" s="232"/>
      <c r="Z61" s="232"/>
      <c r="AA61" s="232"/>
      <c r="AB61" s="232"/>
      <c r="AC61" s="232"/>
    </row>
    <row r="63" spans="2:29" x14ac:dyDescent="0.2">
      <c r="B63" s="203" t="s">
        <v>1242</v>
      </c>
      <c r="I63" s="334">
        <v>0.02</v>
      </c>
      <c r="J63" s="44" t="s">
        <v>299</v>
      </c>
    </row>
    <row r="64" spans="2:29" x14ac:dyDescent="0.2">
      <c r="B64" s="204"/>
      <c r="E64" s="8"/>
      <c r="F64" s="8"/>
      <c r="G64" s="8"/>
      <c r="H64" s="8"/>
      <c r="I64" s="22"/>
      <c r="J64" s="22"/>
      <c r="K64" s="22"/>
      <c r="L64" s="22"/>
      <c r="M64" s="527" t="s">
        <v>1327</v>
      </c>
      <c r="N64" s="22"/>
      <c r="O64" s="685" t="s">
        <v>1328</v>
      </c>
      <c r="P64" s="687"/>
      <c r="Q64" s="22"/>
      <c r="R64" s="22"/>
      <c r="S64" s="22"/>
      <c r="T64" s="22"/>
      <c r="U64" s="22"/>
      <c r="V64" s="295" t="s">
        <v>811</v>
      </c>
      <c r="W64" s="296" t="s">
        <v>818</v>
      </c>
      <c r="X64" s="297" t="s">
        <v>812</v>
      </c>
      <c r="Y64" s="22"/>
      <c r="Z64" s="22"/>
      <c r="AA64" s="22"/>
      <c r="AB64" s="22"/>
      <c r="AC64" s="22"/>
    </row>
    <row r="65" spans="2:29" x14ac:dyDescent="0.2">
      <c r="B65" s="205" t="s">
        <v>26</v>
      </c>
      <c r="C65" s="69" t="s">
        <v>261</v>
      </c>
      <c r="D65" s="69"/>
      <c r="E65" s="277" t="s">
        <v>708</v>
      </c>
      <c r="F65" s="278" t="s">
        <v>551</v>
      </c>
      <c r="G65" s="277" t="s">
        <v>552</v>
      </c>
      <c r="H65" s="277" t="s">
        <v>653</v>
      </c>
      <c r="I65" s="24" t="s">
        <v>416</v>
      </c>
      <c r="J65" s="24" t="s">
        <v>649</v>
      </c>
      <c r="K65" s="24" t="s">
        <v>648</v>
      </c>
      <c r="L65" s="24" t="s">
        <v>301</v>
      </c>
      <c r="M65" s="528" t="s">
        <v>416</v>
      </c>
      <c r="N65" s="24" t="s">
        <v>455</v>
      </c>
      <c r="O65" s="282" t="s">
        <v>416</v>
      </c>
      <c r="P65" s="283" t="s">
        <v>649</v>
      </c>
      <c r="Q65" s="24" t="s">
        <v>650</v>
      </c>
      <c r="R65" s="24" t="s">
        <v>651</v>
      </c>
      <c r="S65" s="24" t="s">
        <v>809</v>
      </c>
      <c r="T65" s="24" t="s">
        <v>652</v>
      </c>
      <c r="U65" s="24"/>
      <c r="V65" s="282" t="s">
        <v>813</v>
      </c>
      <c r="W65" s="24" t="s">
        <v>819</v>
      </c>
      <c r="X65" s="283" t="s">
        <v>814</v>
      </c>
      <c r="Y65" s="24" t="s">
        <v>628</v>
      </c>
      <c r="Z65" s="24" t="s">
        <v>647</v>
      </c>
      <c r="AA65" s="24" t="s">
        <v>416</v>
      </c>
      <c r="AB65" s="24" t="s">
        <v>649</v>
      </c>
      <c r="AC65" s="24" t="s">
        <v>648</v>
      </c>
    </row>
    <row r="67" spans="2:29" x14ac:dyDescent="0.2">
      <c r="K67" s="44">
        <f t="shared" ref="K67:K74" si="38">I67-J67</f>
        <v>0</v>
      </c>
      <c r="N67" s="44">
        <v>12</v>
      </c>
      <c r="Z67" s="197">
        <f>ROUND(IF(L67&gt;0,L67*I$63*N67/12,IF(M67&gt;0,M67*I$63*N67/12,IF(K67=0,0,IF(I67*I$63*N67/12&gt;=K67,K67-1,I67*I$63*N67/12)))),2)+Y67</f>
        <v>0</v>
      </c>
      <c r="AA67" s="44">
        <f>I67+L67-Q67-O67+M67</f>
        <v>0</v>
      </c>
      <c r="AB67" s="44">
        <f t="shared" ref="AB67:AB130" si="39">J67+Z67-R67-P67</f>
        <v>0</v>
      </c>
      <c r="AC67" s="44">
        <f t="shared" ref="AC67" si="40">AA67-AB67</f>
        <v>0</v>
      </c>
    </row>
    <row r="68" spans="2:29" x14ac:dyDescent="0.2">
      <c r="B68" s="92"/>
      <c r="C68" s="171"/>
      <c r="D68" s="171"/>
      <c r="E68" s="171"/>
      <c r="F68" s="172"/>
      <c r="G68" s="1"/>
      <c r="H68" s="171"/>
      <c r="K68" s="44">
        <f t="shared" si="38"/>
        <v>0</v>
      </c>
      <c r="N68" s="44">
        <v>12</v>
      </c>
      <c r="Z68" s="197">
        <f t="shared" ref="Z68:Z131" si="41">ROUND(IF(L68&gt;0,L68*I$63*N68/12,IF(M68&gt;0,M68*I$63*N68/12,IF(K68=0,0,IF(I68*I$63*N68/12&gt;=K68,K68-1,I68*I$63*N68/12)))),2)+Y68</f>
        <v>0</v>
      </c>
      <c r="AA68" s="44">
        <f t="shared" ref="AA68:AA131" si="42">I68+L68-Q68-O68+M68</f>
        <v>0</v>
      </c>
      <c r="AB68" s="44">
        <f t="shared" si="39"/>
        <v>0</v>
      </c>
      <c r="AC68" s="44">
        <f t="shared" ref="AC68:AC131" si="43">AA68-AB68</f>
        <v>0</v>
      </c>
    </row>
    <row r="69" spans="2:29" ht="15" x14ac:dyDescent="0.35">
      <c r="B69" s="92"/>
      <c r="C69" s="173" t="s">
        <v>553</v>
      </c>
      <c r="D69" s="173"/>
      <c r="E69" s="171"/>
      <c r="F69" s="172"/>
      <c r="G69" s="1"/>
      <c r="H69" s="171"/>
      <c r="K69" s="44">
        <f t="shared" si="38"/>
        <v>0</v>
      </c>
      <c r="N69" s="44">
        <v>12</v>
      </c>
      <c r="Z69" s="197">
        <f t="shared" si="41"/>
        <v>0</v>
      </c>
      <c r="AA69" s="44">
        <f t="shared" si="42"/>
        <v>0</v>
      </c>
      <c r="AB69" s="44">
        <f t="shared" si="39"/>
        <v>0</v>
      </c>
      <c r="AC69" s="44">
        <f t="shared" si="43"/>
        <v>0</v>
      </c>
    </row>
    <row r="70" spans="2:29" ht="15" x14ac:dyDescent="0.35">
      <c r="B70" s="92"/>
      <c r="C70" s="173"/>
      <c r="D70" s="173"/>
      <c r="E70" s="171"/>
      <c r="F70" s="172"/>
      <c r="G70" s="1"/>
      <c r="H70" s="171"/>
      <c r="K70" s="44">
        <f t="shared" si="38"/>
        <v>0</v>
      </c>
      <c r="N70" s="44">
        <v>12</v>
      </c>
      <c r="Z70" s="197">
        <f t="shared" si="41"/>
        <v>0</v>
      </c>
      <c r="AA70" s="44">
        <f t="shared" si="42"/>
        <v>0</v>
      </c>
      <c r="AB70" s="44">
        <f t="shared" si="39"/>
        <v>0</v>
      </c>
      <c r="AC70" s="44">
        <f t="shared" si="43"/>
        <v>0</v>
      </c>
    </row>
    <row r="71" spans="2:29" x14ac:dyDescent="0.2">
      <c r="B71" s="180"/>
      <c r="C71" s="171"/>
      <c r="D71" s="183"/>
      <c r="E71" s="171"/>
      <c r="F71" s="181"/>
      <c r="G71" s="1"/>
      <c r="H71" s="171"/>
      <c r="K71" s="44">
        <f t="shared" si="38"/>
        <v>0</v>
      </c>
      <c r="N71" s="44">
        <v>12</v>
      </c>
      <c r="Z71" s="197">
        <f t="shared" si="41"/>
        <v>0</v>
      </c>
      <c r="AA71" s="44">
        <f t="shared" si="42"/>
        <v>0</v>
      </c>
      <c r="AB71" s="44">
        <f t="shared" si="39"/>
        <v>0</v>
      </c>
      <c r="AC71" s="44">
        <f t="shared" si="43"/>
        <v>0</v>
      </c>
    </row>
    <row r="72" spans="2:29" x14ac:dyDescent="0.2">
      <c r="B72" s="180"/>
      <c r="C72" s="171"/>
      <c r="D72" s="228"/>
      <c r="E72" s="228"/>
      <c r="F72" s="229"/>
      <c r="G72" s="230"/>
      <c r="H72" s="231"/>
      <c r="K72" s="44">
        <f t="shared" si="38"/>
        <v>0</v>
      </c>
      <c r="N72" s="44">
        <v>12</v>
      </c>
      <c r="Z72" s="197">
        <f t="shared" si="41"/>
        <v>0</v>
      </c>
      <c r="AA72" s="44">
        <f>I72+L72-Q72-O72+M72</f>
        <v>0</v>
      </c>
      <c r="AB72" s="44">
        <f>J72+Z72-R72-P72</f>
        <v>0</v>
      </c>
      <c r="AC72" s="44">
        <f t="shared" si="43"/>
        <v>0</v>
      </c>
    </row>
    <row r="73" spans="2:29" x14ac:dyDescent="0.2">
      <c r="B73" s="180"/>
      <c r="C73" s="171"/>
      <c r="D73" s="231"/>
      <c r="E73" s="231"/>
      <c r="F73" s="229"/>
      <c r="G73" s="230"/>
      <c r="H73" s="231"/>
      <c r="K73" s="44">
        <f t="shared" si="38"/>
        <v>0</v>
      </c>
      <c r="N73" s="44">
        <v>12</v>
      </c>
      <c r="Z73" s="197">
        <f t="shared" si="41"/>
        <v>0</v>
      </c>
      <c r="AA73" s="44">
        <f t="shared" si="42"/>
        <v>0</v>
      </c>
      <c r="AB73" s="44">
        <f t="shared" si="39"/>
        <v>0</v>
      </c>
      <c r="AC73" s="44">
        <f t="shared" si="43"/>
        <v>0</v>
      </c>
    </row>
    <row r="74" spans="2:29" x14ac:dyDescent="0.2">
      <c r="B74" s="180"/>
      <c r="C74" s="171"/>
      <c r="D74" s="231"/>
      <c r="E74" s="231"/>
      <c r="F74" s="232"/>
      <c r="G74" s="233"/>
      <c r="H74" s="231"/>
      <c r="I74" s="232"/>
      <c r="J74" s="232"/>
      <c r="K74" s="44">
        <f t="shared" si="38"/>
        <v>0</v>
      </c>
      <c r="N74" s="44">
        <v>12</v>
      </c>
      <c r="Z74" s="197">
        <f t="shared" si="41"/>
        <v>0</v>
      </c>
      <c r="AA74" s="44">
        <f t="shared" si="42"/>
        <v>0</v>
      </c>
      <c r="AB74" s="44">
        <f t="shared" si="39"/>
        <v>0</v>
      </c>
      <c r="AC74" s="44">
        <f t="shared" si="43"/>
        <v>0</v>
      </c>
    </row>
    <row r="75" spans="2:29" x14ac:dyDescent="0.2">
      <c r="B75" s="180"/>
      <c r="C75" s="171"/>
      <c r="D75" s="232"/>
      <c r="E75" s="231"/>
      <c r="F75" s="232"/>
      <c r="G75" s="234"/>
      <c r="H75" s="231"/>
      <c r="I75" s="232"/>
      <c r="J75" s="232"/>
      <c r="K75" s="44">
        <f t="shared" ref="K75:K124" si="44">I75-J75</f>
        <v>0</v>
      </c>
      <c r="N75" s="44">
        <v>12</v>
      </c>
      <c r="Z75" s="197">
        <f>ROUND(IF(L75&gt;0,L75*I$63*N75/12,IF(M75&gt;0,M75*I$63*N75/12,IF(K75=0,0,IF(I75*I$63*N75/12&gt;=K75,K75-1,I75*I$63*N75/12)))),2)+Y75</f>
        <v>0</v>
      </c>
      <c r="AA75" s="44">
        <f t="shared" si="42"/>
        <v>0</v>
      </c>
      <c r="AB75" s="44">
        <f>J75+Z75-R75-P75</f>
        <v>0</v>
      </c>
      <c r="AC75" s="44">
        <f t="shared" si="43"/>
        <v>0</v>
      </c>
    </row>
    <row r="76" spans="2:29" x14ac:dyDescent="0.2">
      <c r="B76" s="180"/>
      <c r="C76" s="228"/>
      <c r="D76" s="232"/>
      <c r="E76" s="228"/>
      <c r="F76" s="232"/>
      <c r="G76" s="234"/>
      <c r="H76" s="228"/>
      <c r="I76" s="232"/>
      <c r="J76" s="232"/>
      <c r="K76" s="44">
        <f t="shared" si="44"/>
        <v>0</v>
      </c>
      <c r="N76" s="44">
        <v>12</v>
      </c>
      <c r="Z76" s="197">
        <f t="shared" si="41"/>
        <v>0</v>
      </c>
      <c r="AA76" s="44">
        <f t="shared" si="42"/>
        <v>0</v>
      </c>
      <c r="AB76" s="44">
        <f t="shared" si="39"/>
        <v>0</v>
      </c>
      <c r="AC76" s="44">
        <f t="shared" si="43"/>
        <v>0</v>
      </c>
    </row>
    <row r="77" spans="2:29" x14ac:dyDescent="0.2">
      <c r="B77" s="180"/>
      <c r="C77" s="231"/>
      <c r="D77" s="232"/>
      <c r="E77" s="231"/>
      <c r="F77" s="232"/>
      <c r="G77" s="234"/>
      <c r="H77" s="231"/>
      <c r="I77" s="232"/>
      <c r="J77" s="232"/>
      <c r="K77" s="44">
        <f t="shared" si="44"/>
        <v>0</v>
      </c>
      <c r="N77" s="44">
        <v>12</v>
      </c>
      <c r="Z77" s="197">
        <f t="shared" si="41"/>
        <v>0</v>
      </c>
      <c r="AA77" s="44">
        <f t="shared" si="42"/>
        <v>0</v>
      </c>
      <c r="AB77" s="44">
        <f t="shared" si="39"/>
        <v>0</v>
      </c>
      <c r="AC77" s="44">
        <f t="shared" si="43"/>
        <v>0</v>
      </c>
    </row>
    <row r="78" spans="2:29" x14ac:dyDescent="0.2">
      <c r="B78" s="180"/>
      <c r="C78" s="231"/>
      <c r="D78" s="232"/>
      <c r="E78" s="231"/>
      <c r="F78" s="232"/>
      <c r="G78" s="234"/>
      <c r="H78" s="231"/>
      <c r="I78" s="232"/>
      <c r="J78" s="232"/>
      <c r="K78" s="44">
        <f t="shared" si="44"/>
        <v>0</v>
      </c>
      <c r="N78" s="44">
        <v>12</v>
      </c>
      <c r="Z78" s="197">
        <f t="shared" si="41"/>
        <v>0</v>
      </c>
      <c r="AA78" s="44">
        <f t="shared" si="42"/>
        <v>0</v>
      </c>
      <c r="AB78" s="44">
        <f t="shared" si="39"/>
        <v>0</v>
      </c>
      <c r="AC78" s="44">
        <f t="shared" si="43"/>
        <v>0</v>
      </c>
    </row>
    <row r="79" spans="2:29" x14ac:dyDescent="0.2">
      <c r="B79" s="180"/>
      <c r="C79" s="231"/>
      <c r="D79" s="232"/>
      <c r="E79" s="235"/>
      <c r="F79" s="232"/>
      <c r="G79" s="233"/>
      <c r="H79" s="231"/>
      <c r="I79" s="232"/>
      <c r="J79" s="232"/>
      <c r="K79" s="44">
        <f t="shared" ref="K79:K120" si="45">I79-J79</f>
        <v>0</v>
      </c>
      <c r="N79" s="44">
        <v>12</v>
      </c>
      <c r="Z79" s="197">
        <f t="shared" si="41"/>
        <v>0</v>
      </c>
      <c r="AA79" s="44">
        <f t="shared" si="42"/>
        <v>0</v>
      </c>
      <c r="AB79" s="44">
        <f t="shared" si="39"/>
        <v>0</v>
      </c>
      <c r="AC79" s="44">
        <f t="shared" si="43"/>
        <v>0</v>
      </c>
    </row>
    <row r="80" spans="2:29" x14ac:dyDescent="0.2">
      <c r="B80" s="180"/>
      <c r="C80" s="231"/>
      <c r="D80" s="232"/>
      <c r="E80" s="231"/>
      <c r="F80" s="232"/>
      <c r="G80" s="234"/>
      <c r="H80" s="231"/>
      <c r="I80" s="232"/>
      <c r="J80" s="232"/>
      <c r="K80" s="44">
        <f t="shared" si="45"/>
        <v>0</v>
      </c>
      <c r="N80" s="44">
        <v>12</v>
      </c>
      <c r="Z80" s="197">
        <f t="shared" si="41"/>
        <v>0</v>
      </c>
      <c r="AA80" s="44">
        <f t="shared" si="42"/>
        <v>0</v>
      </c>
      <c r="AB80" s="44">
        <f t="shared" si="39"/>
        <v>0</v>
      </c>
      <c r="AC80" s="44">
        <f t="shared" si="43"/>
        <v>0</v>
      </c>
    </row>
    <row r="81" spans="2:29" x14ac:dyDescent="0.2">
      <c r="B81" s="180"/>
      <c r="C81" s="231"/>
      <c r="D81" s="232"/>
      <c r="E81" s="235"/>
      <c r="F81" s="232"/>
      <c r="G81" s="233"/>
      <c r="H81" s="231"/>
      <c r="I81" s="232"/>
      <c r="J81" s="232"/>
      <c r="K81" s="44">
        <f t="shared" si="45"/>
        <v>0</v>
      </c>
      <c r="N81" s="44">
        <v>12</v>
      </c>
      <c r="Z81" s="197">
        <f t="shared" si="41"/>
        <v>0</v>
      </c>
      <c r="AA81" s="44">
        <f t="shared" si="42"/>
        <v>0</v>
      </c>
      <c r="AB81" s="44">
        <f t="shared" si="39"/>
        <v>0</v>
      </c>
      <c r="AC81" s="44">
        <f t="shared" si="43"/>
        <v>0</v>
      </c>
    </row>
    <row r="82" spans="2:29" x14ac:dyDescent="0.2">
      <c r="B82" s="180"/>
      <c r="C82" s="231"/>
      <c r="D82" s="232"/>
      <c r="E82" s="231"/>
      <c r="F82" s="232"/>
      <c r="G82" s="234"/>
      <c r="H82" s="231"/>
      <c r="I82" s="232"/>
      <c r="J82" s="232"/>
      <c r="K82" s="44">
        <f t="shared" ref="K82:K108" si="46">I82-J82</f>
        <v>0</v>
      </c>
      <c r="N82" s="44">
        <v>12</v>
      </c>
      <c r="Z82" s="197">
        <f t="shared" si="41"/>
        <v>0</v>
      </c>
      <c r="AA82" s="44">
        <f t="shared" si="42"/>
        <v>0</v>
      </c>
      <c r="AB82" s="44">
        <f t="shared" si="39"/>
        <v>0</v>
      </c>
      <c r="AC82" s="44">
        <f t="shared" si="43"/>
        <v>0</v>
      </c>
    </row>
    <row r="83" spans="2:29" x14ac:dyDescent="0.2">
      <c r="B83" s="180"/>
      <c r="C83" s="231"/>
      <c r="D83" s="232"/>
      <c r="E83" s="235"/>
      <c r="F83" s="232"/>
      <c r="G83" s="233"/>
      <c r="H83" s="231"/>
      <c r="I83" s="232"/>
      <c r="J83" s="232"/>
      <c r="K83" s="44">
        <f t="shared" si="46"/>
        <v>0</v>
      </c>
      <c r="N83" s="44">
        <v>12</v>
      </c>
      <c r="Z83" s="197">
        <f t="shared" si="41"/>
        <v>0</v>
      </c>
      <c r="AA83" s="44">
        <f t="shared" si="42"/>
        <v>0</v>
      </c>
      <c r="AB83" s="44">
        <f t="shared" si="39"/>
        <v>0</v>
      </c>
      <c r="AC83" s="44">
        <f t="shared" si="43"/>
        <v>0</v>
      </c>
    </row>
    <row r="84" spans="2:29" x14ac:dyDescent="0.2">
      <c r="B84" s="180"/>
      <c r="C84" s="231"/>
      <c r="D84" s="232"/>
      <c r="E84" s="231"/>
      <c r="F84" s="232"/>
      <c r="G84" s="234"/>
      <c r="H84" s="231"/>
      <c r="I84" s="232"/>
      <c r="J84" s="232"/>
      <c r="K84" s="44">
        <f t="shared" si="46"/>
        <v>0</v>
      </c>
      <c r="N84" s="44">
        <v>12</v>
      </c>
      <c r="Z84" s="197">
        <f t="shared" si="41"/>
        <v>0</v>
      </c>
      <c r="AA84" s="44">
        <f t="shared" si="42"/>
        <v>0</v>
      </c>
      <c r="AB84" s="44">
        <f t="shared" si="39"/>
        <v>0</v>
      </c>
      <c r="AC84" s="44">
        <f t="shared" si="43"/>
        <v>0</v>
      </c>
    </row>
    <row r="85" spans="2:29" x14ac:dyDescent="0.2">
      <c r="B85" s="180"/>
      <c r="C85" s="231"/>
      <c r="D85" s="232"/>
      <c r="E85" s="235"/>
      <c r="F85" s="232"/>
      <c r="G85" s="233"/>
      <c r="H85" s="231"/>
      <c r="I85" s="232"/>
      <c r="J85" s="232"/>
      <c r="K85" s="44">
        <f t="shared" si="46"/>
        <v>0</v>
      </c>
      <c r="N85" s="44">
        <v>12</v>
      </c>
      <c r="Z85" s="197">
        <f t="shared" si="41"/>
        <v>0</v>
      </c>
      <c r="AA85" s="44">
        <f t="shared" si="42"/>
        <v>0</v>
      </c>
      <c r="AB85" s="44">
        <f t="shared" si="39"/>
        <v>0</v>
      </c>
      <c r="AC85" s="44">
        <f t="shared" si="43"/>
        <v>0</v>
      </c>
    </row>
    <row r="86" spans="2:29" x14ac:dyDescent="0.2">
      <c r="B86" s="180"/>
      <c r="C86" s="231"/>
      <c r="D86" s="232"/>
      <c r="E86" s="231"/>
      <c r="F86" s="232"/>
      <c r="G86" s="233"/>
      <c r="H86" s="231"/>
      <c r="I86" s="232"/>
      <c r="J86" s="232"/>
      <c r="K86" s="44">
        <f t="shared" si="46"/>
        <v>0</v>
      </c>
      <c r="N86" s="44">
        <v>12</v>
      </c>
      <c r="Z86" s="197">
        <f t="shared" si="41"/>
        <v>0</v>
      </c>
      <c r="AA86" s="44">
        <f t="shared" si="42"/>
        <v>0</v>
      </c>
      <c r="AB86" s="44">
        <f t="shared" si="39"/>
        <v>0</v>
      </c>
      <c r="AC86" s="44">
        <f t="shared" si="43"/>
        <v>0</v>
      </c>
    </row>
    <row r="87" spans="2:29" x14ac:dyDescent="0.2">
      <c r="B87" s="180"/>
      <c r="C87" s="231"/>
      <c r="D87" s="232"/>
      <c r="E87" s="235"/>
      <c r="F87" s="232"/>
      <c r="G87" s="233"/>
      <c r="H87" s="231"/>
      <c r="I87" s="232"/>
      <c r="J87" s="232"/>
      <c r="K87" s="44">
        <f t="shared" si="46"/>
        <v>0</v>
      </c>
      <c r="N87" s="44">
        <v>12</v>
      </c>
      <c r="Z87" s="197">
        <f t="shared" si="41"/>
        <v>0</v>
      </c>
      <c r="AA87" s="44">
        <f t="shared" si="42"/>
        <v>0</v>
      </c>
      <c r="AB87" s="44">
        <f t="shared" si="39"/>
        <v>0</v>
      </c>
      <c r="AC87" s="44">
        <f t="shared" si="43"/>
        <v>0</v>
      </c>
    </row>
    <row r="88" spans="2:29" x14ac:dyDescent="0.2">
      <c r="B88" s="180"/>
      <c r="C88" s="231"/>
      <c r="D88" s="232"/>
      <c r="E88" s="231"/>
      <c r="F88" s="232"/>
      <c r="G88" s="233"/>
      <c r="H88" s="231"/>
      <c r="I88" s="232"/>
      <c r="J88" s="232"/>
      <c r="K88" s="44">
        <f t="shared" si="46"/>
        <v>0</v>
      </c>
      <c r="N88" s="44">
        <v>12</v>
      </c>
      <c r="Z88" s="197">
        <f t="shared" si="41"/>
        <v>0</v>
      </c>
      <c r="AA88" s="44">
        <f t="shared" si="42"/>
        <v>0</v>
      </c>
      <c r="AB88" s="44">
        <f t="shared" si="39"/>
        <v>0</v>
      </c>
      <c r="AC88" s="44">
        <f t="shared" si="43"/>
        <v>0</v>
      </c>
    </row>
    <row r="89" spans="2:29" x14ac:dyDescent="0.2">
      <c r="B89" s="180"/>
      <c r="C89" s="231"/>
      <c r="D89" s="232"/>
      <c r="E89" s="235"/>
      <c r="F89" s="232"/>
      <c r="G89" s="233"/>
      <c r="H89" s="231"/>
      <c r="I89" s="232"/>
      <c r="J89" s="232"/>
      <c r="K89" s="44">
        <f t="shared" si="46"/>
        <v>0</v>
      </c>
      <c r="N89" s="44">
        <v>12</v>
      </c>
      <c r="Z89" s="197">
        <f t="shared" si="41"/>
        <v>0</v>
      </c>
      <c r="AA89" s="44">
        <f t="shared" si="42"/>
        <v>0</v>
      </c>
      <c r="AB89" s="44">
        <f t="shared" si="39"/>
        <v>0</v>
      </c>
      <c r="AC89" s="44">
        <f t="shared" si="43"/>
        <v>0</v>
      </c>
    </row>
    <row r="90" spans="2:29" x14ac:dyDescent="0.2">
      <c r="B90" s="180"/>
      <c r="C90" s="231"/>
      <c r="D90" s="232"/>
      <c r="E90" s="231"/>
      <c r="F90" s="232"/>
      <c r="G90" s="233"/>
      <c r="H90" s="231"/>
      <c r="I90" s="232"/>
      <c r="J90" s="232"/>
      <c r="K90" s="44">
        <f t="shared" si="46"/>
        <v>0</v>
      </c>
      <c r="N90" s="44">
        <v>12</v>
      </c>
      <c r="Z90" s="197">
        <f t="shared" si="41"/>
        <v>0</v>
      </c>
      <c r="AA90" s="44">
        <f t="shared" si="42"/>
        <v>0</v>
      </c>
      <c r="AB90" s="44">
        <f t="shared" si="39"/>
        <v>0</v>
      </c>
      <c r="AC90" s="44">
        <f t="shared" si="43"/>
        <v>0</v>
      </c>
    </row>
    <row r="91" spans="2:29" x14ac:dyDescent="0.2">
      <c r="B91" s="180"/>
      <c r="C91" s="231"/>
      <c r="D91" s="232"/>
      <c r="E91" s="235"/>
      <c r="F91" s="232"/>
      <c r="G91" s="233"/>
      <c r="H91" s="231"/>
      <c r="I91" s="232"/>
      <c r="J91" s="232"/>
      <c r="K91" s="44">
        <f t="shared" si="46"/>
        <v>0</v>
      </c>
      <c r="N91" s="44">
        <v>12</v>
      </c>
      <c r="Z91" s="197">
        <f t="shared" si="41"/>
        <v>0</v>
      </c>
      <c r="AA91" s="44">
        <f t="shared" si="42"/>
        <v>0</v>
      </c>
      <c r="AB91" s="44">
        <f t="shared" si="39"/>
        <v>0</v>
      </c>
      <c r="AC91" s="44">
        <f t="shared" si="43"/>
        <v>0</v>
      </c>
    </row>
    <row r="92" spans="2:29" x14ac:dyDescent="0.2">
      <c r="B92" s="180"/>
      <c r="C92" s="231"/>
      <c r="D92" s="232"/>
      <c r="E92" s="231"/>
      <c r="F92" s="232"/>
      <c r="G92" s="233"/>
      <c r="H92" s="231"/>
      <c r="I92" s="232"/>
      <c r="J92" s="232"/>
      <c r="K92" s="44">
        <f t="shared" si="46"/>
        <v>0</v>
      </c>
      <c r="N92" s="44">
        <v>12</v>
      </c>
      <c r="Z92" s="197">
        <f t="shared" si="41"/>
        <v>0</v>
      </c>
      <c r="AA92" s="44">
        <f t="shared" si="42"/>
        <v>0</v>
      </c>
      <c r="AB92" s="44">
        <f t="shared" si="39"/>
        <v>0</v>
      </c>
      <c r="AC92" s="44">
        <f t="shared" si="43"/>
        <v>0</v>
      </c>
    </row>
    <row r="93" spans="2:29" x14ac:dyDescent="0.2">
      <c r="B93" s="180"/>
      <c r="C93" s="231"/>
      <c r="D93" s="232"/>
      <c r="E93" s="235"/>
      <c r="F93" s="232"/>
      <c r="G93" s="233"/>
      <c r="H93" s="231"/>
      <c r="I93" s="232"/>
      <c r="J93" s="232"/>
      <c r="K93" s="44">
        <f t="shared" si="46"/>
        <v>0</v>
      </c>
      <c r="N93" s="44">
        <v>12</v>
      </c>
      <c r="Z93" s="197">
        <f t="shared" si="41"/>
        <v>0</v>
      </c>
      <c r="AA93" s="44">
        <f t="shared" si="42"/>
        <v>0</v>
      </c>
      <c r="AB93" s="44">
        <f t="shared" si="39"/>
        <v>0</v>
      </c>
      <c r="AC93" s="44">
        <f t="shared" si="43"/>
        <v>0</v>
      </c>
    </row>
    <row r="94" spans="2:29" x14ac:dyDescent="0.2">
      <c r="B94" s="180"/>
      <c r="C94" s="231"/>
      <c r="D94" s="232"/>
      <c r="E94" s="231"/>
      <c r="F94" s="232"/>
      <c r="G94" s="233"/>
      <c r="H94" s="231"/>
      <c r="I94" s="232"/>
      <c r="J94" s="232"/>
      <c r="K94" s="44">
        <f t="shared" si="46"/>
        <v>0</v>
      </c>
      <c r="N94" s="44">
        <v>12</v>
      </c>
      <c r="Z94" s="197">
        <f t="shared" si="41"/>
        <v>0</v>
      </c>
      <c r="AA94" s="44">
        <f t="shared" si="42"/>
        <v>0</v>
      </c>
      <c r="AB94" s="44">
        <f t="shared" si="39"/>
        <v>0</v>
      </c>
      <c r="AC94" s="44">
        <f t="shared" si="43"/>
        <v>0</v>
      </c>
    </row>
    <row r="95" spans="2:29" x14ac:dyDescent="0.2">
      <c r="B95" s="180"/>
      <c r="C95" s="231"/>
      <c r="D95" s="232"/>
      <c r="E95" s="235"/>
      <c r="F95" s="232"/>
      <c r="G95" s="233"/>
      <c r="H95" s="231"/>
      <c r="I95" s="232"/>
      <c r="J95" s="232"/>
      <c r="K95" s="44">
        <f t="shared" si="46"/>
        <v>0</v>
      </c>
      <c r="N95" s="44">
        <v>12</v>
      </c>
      <c r="Z95" s="197">
        <f t="shared" si="41"/>
        <v>0</v>
      </c>
      <c r="AA95" s="44">
        <f t="shared" si="42"/>
        <v>0</v>
      </c>
      <c r="AB95" s="44">
        <f t="shared" si="39"/>
        <v>0</v>
      </c>
      <c r="AC95" s="44">
        <f t="shared" si="43"/>
        <v>0</v>
      </c>
    </row>
    <row r="96" spans="2:29" x14ac:dyDescent="0.2">
      <c r="B96" s="180"/>
      <c r="C96" s="231"/>
      <c r="D96" s="232"/>
      <c r="E96" s="231"/>
      <c r="F96" s="232"/>
      <c r="G96" s="233"/>
      <c r="H96" s="231"/>
      <c r="I96" s="232"/>
      <c r="J96" s="232"/>
      <c r="K96" s="44">
        <f t="shared" si="46"/>
        <v>0</v>
      </c>
      <c r="N96" s="44">
        <v>12</v>
      </c>
      <c r="Z96" s="197">
        <f t="shared" si="41"/>
        <v>0</v>
      </c>
      <c r="AA96" s="44">
        <f t="shared" si="42"/>
        <v>0</v>
      </c>
      <c r="AB96" s="44">
        <f t="shared" si="39"/>
        <v>0</v>
      </c>
      <c r="AC96" s="44">
        <f t="shared" si="43"/>
        <v>0</v>
      </c>
    </row>
    <row r="97" spans="2:29" x14ac:dyDescent="0.2">
      <c r="B97" s="180"/>
      <c r="C97" s="231"/>
      <c r="D97" s="232"/>
      <c r="E97" s="235"/>
      <c r="F97" s="232"/>
      <c r="G97" s="233"/>
      <c r="H97" s="231"/>
      <c r="I97" s="232"/>
      <c r="J97" s="232"/>
      <c r="K97" s="44">
        <f t="shared" si="46"/>
        <v>0</v>
      </c>
      <c r="N97" s="44">
        <v>12</v>
      </c>
      <c r="Z97" s="197">
        <f t="shared" si="41"/>
        <v>0</v>
      </c>
      <c r="AA97" s="44">
        <f t="shared" si="42"/>
        <v>0</v>
      </c>
      <c r="AB97" s="44">
        <f t="shared" si="39"/>
        <v>0</v>
      </c>
      <c r="AC97" s="44">
        <f t="shared" si="43"/>
        <v>0</v>
      </c>
    </row>
    <row r="98" spans="2:29" x14ac:dyDescent="0.2">
      <c r="B98" s="180"/>
      <c r="C98" s="231"/>
      <c r="D98" s="232"/>
      <c r="E98" s="231"/>
      <c r="F98" s="232"/>
      <c r="G98" s="233"/>
      <c r="H98" s="231"/>
      <c r="I98" s="232"/>
      <c r="J98" s="232"/>
      <c r="K98" s="44">
        <f t="shared" si="46"/>
        <v>0</v>
      </c>
      <c r="N98" s="44">
        <v>12</v>
      </c>
      <c r="Z98" s="197">
        <f t="shared" si="41"/>
        <v>0</v>
      </c>
      <c r="AA98" s="44">
        <f t="shared" si="42"/>
        <v>0</v>
      </c>
      <c r="AB98" s="44">
        <f t="shared" si="39"/>
        <v>0</v>
      </c>
      <c r="AC98" s="44">
        <f t="shared" si="43"/>
        <v>0</v>
      </c>
    </row>
    <row r="99" spans="2:29" x14ac:dyDescent="0.2">
      <c r="B99" s="180"/>
      <c r="C99" s="231"/>
      <c r="D99" s="232"/>
      <c r="E99" s="235"/>
      <c r="F99" s="232"/>
      <c r="G99" s="233"/>
      <c r="H99" s="231"/>
      <c r="I99" s="232"/>
      <c r="J99" s="232"/>
      <c r="K99" s="44">
        <f t="shared" si="46"/>
        <v>0</v>
      </c>
      <c r="N99" s="44">
        <v>12</v>
      </c>
      <c r="Z99" s="197">
        <f t="shared" si="41"/>
        <v>0</v>
      </c>
      <c r="AA99" s="44">
        <f t="shared" si="42"/>
        <v>0</v>
      </c>
      <c r="AB99" s="44">
        <f t="shared" si="39"/>
        <v>0</v>
      </c>
      <c r="AC99" s="44">
        <f t="shared" si="43"/>
        <v>0</v>
      </c>
    </row>
    <row r="100" spans="2:29" x14ac:dyDescent="0.2">
      <c r="B100" s="180"/>
      <c r="C100" s="231"/>
      <c r="D100" s="232"/>
      <c r="E100" s="231"/>
      <c r="F100" s="232"/>
      <c r="G100" s="234"/>
      <c r="H100" s="231"/>
      <c r="I100" s="232"/>
      <c r="J100" s="232"/>
      <c r="K100" s="44">
        <f t="shared" si="46"/>
        <v>0</v>
      </c>
      <c r="N100" s="44">
        <v>12</v>
      </c>
      <c r="Z100" s="197">
        <f t="shared" si="41"/>
        <v>0</v>
      </c>
      <c r="AA100" s="44">
        <f t="shared" si="42"/>
        <v>0</v>
      </c>
      <c r="AB100" s="44">
        <f t="shared" si="39"/>
        <v>0</v>
      </c>
      <c r="AC100" s="44">
        <f t="shared" si="43"/>
        <v>0</v>
      </c>
    </row>
    <row r="101" spans="2:29" x14ac:dyDescent="0.2">
      <c r="B101" s="180"/>
      <c r="C101" s="231"/>
      <c r="D101" s="232"/>
      <c r="E101" s="231"/>
      <c r="F101" s="232"/>
      <c r="G101" s="234"/>
      <c r="H101" s="231"/>
      <c r="I101" s="232"/>
      <c r="J101" s="232"/>
      <c r="K101" s="44">
        <f t="shared" si="46"/>
        <v>0</v>
      </c>
      <c r="N101" s="44">
        <v>12</v>
      </c>
      <c r="Z101" s="197">
        <f t="shared" si="41"/>
        <v>0</v>
      </c>
      <c r="AA101" s="44">
        <f t="shared" si="42"/>
        <v>0</v>
      </c>
      <c r="AB101" s="44">
        <f t="shared" si="39"/>
        <v>0</v>
      </c>
      <c r="AC101" s="44">
        <f t="shared" si="43"/>
        <v>0</v>
      </c>
    </row>
    <row r="102" spans="2:29" x14ac:dyDescent="0.2">
      <c r="B102" s="180"/>
      <c r="C102" s="231"/>
      <c r="D102" s="232"/>
      <c r="E102" s="231"/>
      <c r="F102" s="232"/>
      <c r="G102" s="234"/>
      <c r="H102" s="231"/>
      <c r="I102" s="232"/>
      <c r="J102" s="232"/>
      <c r="K102" s="44">
        <f t="shared" si="46"/>
        <v>0</v>
      </c>
      <c r="N102" s="44">
        <v>12</v>
      </c>
      <c r="Z102" s="197">
        <f t="shared" si="41"/>
        <v>0</v>
      </c>
      <c r="AA102" s="44">
        <f t="shared" si="42"/>
        <v>0</v>
      </c>
      <c r="AB102" s="44">
        <f t="shared" si="39"/>
        <v>0</v>
      </c>
      <c r="AC102" s="44">
        <f t="shared" si="43"/>
        <v>0</v>
      </c>
    </row>
    <row r="103" spans="2:29" x14ac:dyDescent="0.2">
      <c r="B103" s="180"/>
      <c r="C103" s="231"/>
      <c r="D103" s="232"/>
      <c r="E103" s="231"/>
      <c r="F103" s="232"/>
      <c r="G103" s="233"/>
      <c r="H103" s="231"/>
      <c r="I103" s="232"/>
      <c r="J103" s="232"/>
      <c r="K103" s="44">
        <f t="shared" si="46"/>
        <v>0</v>
      </c>
      <c r="N103" s="44">
        <v>12</v>
      </c>
      <c r="Z103" s="197">
        <f t="shared" si="41"/>
        <v>0</v>
      </c>
      <c r="AA103" s="44">
        <f t="shared" si="42"/>
        <v>0</v>
      </c>
      <c r="AB103" s="44">
        <f t="shared" si="39"/>
        <v>0</v>
      </c>
      <c r="AC103" s="44">
        <f t="shared" si="43"/>
        <v>0</v>
      </c>
    </row>
    <row r="104" spans="2:29" x14ac:dyDescent="0.2">
      <c r="B104" s="180"/>
      <c r="C104" s="231"/>
      <c r="D104" s="232"/>
      <c r="E104" s="231"/>
      <c r="F104" s="232"/>
      <c r="G104" s="234"/>
      <c r="H104" s="231"/>
      <c r="I104" s="232"/>
      <c r="J104" s="232"/>
      <c r="K104" s="44">
        <f t="shared" si="46"/>
        <v>0</v>
      </c>
      <c r="N104" s="44">
        <v>12</v>
      </c>
      <c r="Z104" s="197">
        <f t="shared" si="41"/>
        <v>0</v>
      </c>
      <c r="AA104" s="44">
        <f t="shared" si="42"/>
        <v>0</v>
      </c>
      <c r="AB104" s="44">
        <f t="shared" si="39"/>
        <v>0</v>
      </c>
      <c r="AC104" s="44">
        <f t="shared" si="43"/>
        <v>0</v>
      </c>
    </row>
    <row r="105" spans="2:29" x14ac:dyDescent="0.2">
      <c r="B105" s="180"/>
      <c r="C105" s="231"/>
      <c r="D105" s="232"/>
      <c r="E105" s="231"/>
      <c r="F105" s="232"/>
      <c r="G105" s="233"/>
      <c r="H105" s="231"/>
      <c r="I105" s="232"/>
      <c r="J105" s="232"/>
      <c r="K105" s="44">
        <f t="shared" si="46"/>
        <v>0</v>
      </c>
      <c r="N105" s="44">
        <v>12</v>
      </c>
      <c r="Z105" s="197">
        <f t="shared" si="41"/>
        <v>0</v>
      </c>
      <c r="AA105" s="44">
        <f t="shared" si="42"/>
        <v>0</v>
      </c>
      <c r="AB105" s="44">
        <f t="shared" si="39"/>
        <v>0</v>
      </c>
      <c r="AC105" s="44">
        <f t="shared" si="43"/>
        <v>0</v>
      </c>
    </row>
    <row r="106" spans="2:29" x14ac:dyDescent="0.2">
      <c r="B106" s="92"/>
      <c r="C106" s="231"/>
      <c r="D106" s="232"/>
      <c r="E106" s="231"/>
      <c r="F106" s="236"/>
      <c r="G106" s="230"/>
      <c r="H106" s="231"/>
      <c r="I106" s="232"/>
      <c r="J106" s="232"/>
      <c r="K106" s="44">
        <f t="shared" si="46"/>
        <v>0</v>
      </c>
      <c r="N106" s="44">
        <v>12</v>
      </c>
      <c r="Z106" s="197">
        <f t="shared" si="41"/>
        <v>0</v>
      </c>
      <c r="AA106" s="44">
        <f t="shared" si="42"/>
        <v>0</v>
      </c>
      <c r="AB106" s="44">
        <f t="shared" si="39"/>
        <v>0</v>
      </c>
      <c r="AC106" s="44">
        <f t="shared" si="43"/>
        <v>0</v>
      </c>
    </row>
    <row r="107" spans="2:29" x14ac:dyDescent="0.2">
      <c r="B107" s="92"/>
      <c r="C107" s="231"/>
      <c r="D107" s="231"/>
      <c r="E107" s="231"/>
      <c r="F107" s="236"/>
      <c r="G107" s="230"/>
      <c r="H107" s="231"/>
      <c r="I107" s="232"/>
      <c r="J107" s="232"/>
      <c r="K107" s="44">
        <f t="shared" si="46"/>
        <v>0</v>
      </c>
      <c r="N107" s="44">
        <v>12</v>
      </c>
      <c r="Z107" s="197">
        <f t="shared" si="41"/>
        <v>0</v>
      </c>
      <c r="AA107" s="44">
        <f t="shared" si="42"/>
        <v>0</v>
      </c>
      <c r="AB107" s="44">
        <f t="shared" si="39"/>
        <v>0</v>
      </c>
      <c r="AC107" s="44">
        <f t="shared" si="43"/>
        <v>0</v>
      </c>
    </row>
    <row r="108" spans="2:29" x14ac:dyDescent="0.2">
      <c r="B108" s="92"/>
      <c r="C108" s="231"/>
      <c r="D108" s="237"/>
      <c r="E108" s="231"/>
      <c r="F108" s="236"/>
      <c r="G108" s="230"/>
      <c r="H108" s="231"/>
      <c r="I108" s="232"/>
      <c r="J108" s="232"/>
      <c r="K108" s="44">
        <f t="shared" si="46"/>
        <v>0</v>
      </c>
      <c r="N108" s="44">
        <v>12</v>
      </c>
      <c r="Z108" s="197">
        <f t="shared" si="41"/>
        <v>0</v>
      </c>
      <c r="AA108" s="44">
        <f t="shared" si="42"/>
        <v>0</v>
      </c>
      <c r="AB108" s="44">
        <f t="shared" si="39"/>
        <v>0</v>
      </c>
      <c r="AC108" s="44">
        <f t="shared" si="43"/>
        <v>0</v>
      </c>
    </row>
    <row r="109" spans="2:29" x14ac:dyDescent="0.2">
      <c r="B109" s="92"/>
      <c r="C109" s="231"/>
      <c r="D109" s="237"/>
      <c r="E109" s="231"/>
      <c r="F109" s="236"/>
      <c r="G109" s="230"/>
      <c r="H109" s="231"/>
      <c r="I109" s="232"/>
      <c r="J109" s="232"/>
      <c r="K109" s="44">
        <f t="shared" ref="K109:K118" si="47">I109-J109</f>
        <v>0</v>
      </c>
      <c r="N109" s="44">
        <v>12</v>
      </c>
      <c r="Z109" s="197">
        <f t="shared" si="41"/>
        <v>0</v>
      </c>
      <c r="AA109" s="44">
        <f t="shared" si="42"/>
        <v>0</v>
      </c>
      <c r="AB109" s="44">
        <f t="shared" si="39"/>
        <v>0</v>
      </c>
      <c r="AC109" s="44">
        <f t="shared" si="43"/>
        <v>0</v>
      </c>
    </row>
    <row r="110" spans="2:29" x14ac:dyDescent="0.2">
      <c r="B110" s="92"/>
      <c r="C110" s="231"/>
      <c r="D110" s="237"/>
      <c r="E110" s="231"/>
      <c r="F110" s="236"/>
      <c r="G110" s="230"/>
      <c r="H110" s="231"/>
      <c r="I110" s="232"/>
      <c r="J110" s="232"/>
      <c r="K110" s="44">
        <f t="shared" ref="K110" si="48">I110-J110</f>
        <v>0</v>
      </c>
      <c r="N110" s="44">
        <v>12</v>
      </c>
      <c r="Z110" s="197">
        <f t="shared" si="41"/>
        <v>0</v>
      </c>
      <c r="AA110" s="44">
        <f t="shared" si="42"/>
        <v>0</v>
      </c>
      <c r="AB110" s="44">
        <f t="shared" si="39"/>
        <v>0</v>
      </c>
      <c r="AC110" s="44">
        <f t="shared" si="43"/>
        <v>0</v>
      </c>
    </row>
    <row r="111" spans="2:29" x14ac:dyDescent="0.2">
      <c r="B111" s="92"/>
      <c r="C111" s="231"/>
      <c r="D111" s="237"/>
      <c r="E111" s="231"/>
      <c r="F111" s="236"/>
      <c r="G111" s="230"/>
      <c r="H111" s="231"/>
      <c r="I111" s="232"/>
      <c r="J111" s="232"/>
      <c r="K111" s="44">
        <f t="shared" si="47"/>
        <v>0</v>
      </c>
      <c r="N111" s="44">
        <v>12</v>
      </c>
      <c r="Z111" s="197">
        <f t="shared" si="41"/>
        <v>0</v>
      </c>
      <c r="AA111" s="44">
        <f t="shared" si="42"/>
        <v>0</v>
      </c>
      <c r="AB111" s="44">
        <f t="shared" si="39"/>
        <v>0</v>
      </c>
      <c r="AC111" s="44">
        <f t="shared" si="43"/>
        <v>0</v>
      </c>
    </row>
    <row r="112" spans="2:29" x14ac:dyDescent="0.2">
      <c r="B112" s="92"/>
      <c r="C112" s="231"/>
      <c r="D112" s="237"/>
      <c r="E112" s="231"/>
      <c r="F112" s="236"/>
      <c r="G112" s="230"/>
      <c r="H112" s="231"/>
      <c r="I112" s="232"/>
      <c r="J112" s="232"/>
      <c r="K112" s="44">
        <f t="shared" si="47"/>
        <v>0</v>
      </c>
      <c r="N112" s="44">
        <v>12</v>
      </c>
      <c r="Z112" s="197">
        <f t="shared" si="41"/>
        <v>0</v>
      </c>
      <c r="AA112" s="44">
        <f t="shared" si="42"/>
        <v>0</v>
      </c>
      <c r="AB112" s="44">
        <f t="shared" si="39"/>
        <v>0</v>
      </c>
      <c r="AC112" s="44">
        <f t="shared" si="43"/>
        <v>0</v>
      </c>
    </row>
    <row r="113" spans="2:29" x14ac:dyDescent="0.2">
      <c r="B113" s="92"/>
      <c r="C113" s="231"/>
      <c r="D113" s="237"/>
      <c r="E113" s="231"/>
      <c r="F113" s="236"/>
      <c r="G113" s="230"/>
      <c r="H113" s="231"/>
      <c r="I113" s="232"/>
      <c r="J113" s="232"/>
      <c r="K113" s="44">
        <f t="shared" si="47"/>
        <v>0</v>
      </c>
      <c r="N113" s="44">
        <v>12</v>
      </c>
      <c r="Z113" s="197">
        <f t="shared" si="41"/>
        <v>0</v>
      </c>
      <c r="AA113" s="44">
        <f t="shared" si="42"/>
        <v>0</v>
      </c>
      <c r="AB113" s="44">
        <f t="shared" si="39"/>
        <v>0</v>
      </c>
      <c r="AC113" s="44">
        <f t="shared" si="43"/>
        <v>0</v>
      </c>
    </row>
    <row r="114" spans="2:29" x14ac:dyDescent="0.2">
      <c r="B114" s="92"/>
      <c r="C114" s="231"/>
      <c r="D114" s="237"/>
      <c r="E114" s="231"/>
      <c r="F114" s="236"/>
      <c r="G114" s="230"/>
      <c r="H114" s="231"/>
      <c r="I114" s="232"/>
      <c r="J114" s="232"/>
      <c r="K114" s="44">
        <f t="shared" si="47"/>
        <v>0</v>
      </c>
      <c r="N114" s="44">
        <v>12</v>
      </c>
      <c r="Z114" s="197">
        <f t="shared" si="41"/>
        <v>0</v>
      </c>
      <c r="AA114" s="44">
        <f t="shared" si="42"/>
        <v>0</v>
      </c>
      <c r="AB114" s="44">
        <f t="shared" si="39"/>
        <v>0</v>
      </c>
      <c r="AC114" s="44">
        <f t="shared" si="43"/>
        <v>0</v>
      </c>
    </row>
    <row r="115" spans="2:29" x14ac:dyDescent="0.2">
      <c r="B115" s="92"/>
      <c r="C115" s="231"/>
      <c r="D115" s="237"/>
      <c r="E115" s="231"/>
      <c r="F115" s="236"/>
      <c r="G115" s="230"/>
      <c r="H115" s="231"/>
      <c r="I115" s="232"/>
      <c r="J115" s="232"/>
      <c r="K115" s="44">
        <f t="shared" si="47"/>
        <v>0</v>
      </c>
      <c r="N115" s="44">
        <v>12</v>
      </c>
      <c r="Z115" s="197">
        <f t="shared" si="41"/>
        <v>0</v>
      </c>
      <c r="AA115" s="44">
        <f t="shared" si="42"/>
        <v>0</v>
      </c>
      <c r="AB115" s="44">
        <f t="shared" si="39"/>
        <v>0</v>
      </c>
      <c r="AC115" s="44">
        <f t="shared" si="43"/>
        <v>0</v>
      </c>
    </row>
    <row r="116" spans="2:29" x14ac:dyDescent="0.2">
      <c r="B116" s="92"/>
      <c r="C116" s="231"/>
      <c r="D116" s="231"/>
      <c r="E116" s="231"/>
      <c r="F116" s="236"/>
      <c r="G116" s="230"/>
      <c r="H116" s="231"/>
      <c r="I116" s="232"/>
      <c r="J116" s="232"/>
      <c r="K116" s="44">
        <f t="shared" si="47"/>
        <v>0</v>
      </c>
      <c r="N116" s="44">
        <v>12</v>
      </c>
      <c r="Z116" s="197">
        <f t="shared" si="41"/>
        <v>0</v>
      </c>
      <c r="AA116" s="44">
        <f t="shared" si="42"/>
        <v>0</v>
      </c>
      <c r="AB116" s="44">
        <f t="shared" si="39"/>
        <v>0</v>
      </c>
      <c r="AC116" s="44">
        <f t="shared" si="43"/>
        <v>0</v>
      </c>
    </row>
    <row r="117" spans="2:29" x14ac:dyDescent="0.2">
      <c r="B117" s="92"/>
      <c r="C117" s="231"/>
      <c r="D117" s="231"/>
      <c r="E117" s="231"/>
      <c r="F117" s="236"/>
      <c r="G117" s="1"/>
      <c r="H117" s="231"/>
      <c r="I117" s="232"/>
      <c r="J117" s="232"/>
      <c r="K117" s="44">
        <f t="shared" si="47"/>
        <v>0</v>
      </c>
      <c r="N117" s="44">
        <v>12</v>
      </c>
      <c r="Z117" s="197">
        <f t="shared" si="41"/>
        <v>0</v>
      </c>
      <c r="AA117" s="44">
        <f t="shared" si="42"/>
        <v>0</v>
      </c>
      <c r="AB117" s="44">
        <f t="shared" si="39"/>
        <v>0</v>
      </c>
      <c r="AC117" s="44">
        <f t="shared" si="43"/>
        <v>0</v>
      </c>
    </row>
    <row r="118" spans="2:29" x14ac:dyDescent="0.2">
      <c r="B118" s="92"/>
      <c r="C118" s="231"/>
      <c r="D118" s="231"/>
      <c r="E118" s="235"/>
      <c r="F118" s="236"/>
      <c r="G118" s="238"/>
      <c r="H118" s="231"/>
      <c r="I118" s="232"/>
      <c r="J118" s="232"/>
      <c r="K118" s="44">
        <f t="shared" si="47"/>
        <v>0</v>
      </c>
      <c r="N118" s="44">
        <v>12</v>
      </c>
      <c r="Z118" s="197">
        <f t="shared" si="41"/>
        <v>0</v>
      </c>
      <c r="AA118" s="44">
        <f t="shared" si="42"/>
        <v>0</v>
      </c>
      <c r="AB118" s="44">
        <f t="shared" si="39"/>
        <v>0</v>
      </c>
      <c r="AC118" s="44">
        <f t="shared" si="43"/>
        <v>0</v>
      </c>
    </row>
    <row r="119" spans="2:29" x14ac:dyDescent="0.2">
      <c r="B119" s="92"/>
      <c r="C119" s="171"/>
      <c r="D119" s="171"/>
      <c r="E119" s="171"/>
      <c r="F119" s="172"/>
      <c r="G119" s="1"/>
      <c r="H119" s="171"/>
      <c r="K119" s="44">
        <f t="shared" si="45"/>
        <v>0</v>
      </c>
      <c r="N119" s="44">
        <v>12</v>
      </c>
      <c r="Z119" s="197">
        <f t="shared" si="41"/>
        <v>0</v>
      </c>
      <c r="AA119" s="44">
        <f t="shared" si="42"/>
        <v>0</v>
      </c>
      <c r="AB119" s="44">
        <f t="shared" si="39"/>
        <v>0</v>
      </c>
      <c r="AC119" s="44">
        <f t="shared" si="43"/>
        <v>0</v>
      </c>
    </row>
    <row r="120" spans="2:29" x14ac:dyDescent="0.2">
      <c r="B120" s="92"/>
      <c r="C120" s="171"/>
      <c r="D120" s="171"/>
      <c r="E120" s="171"/>
      <c r="F120" s="172"/>
      <c r="G120" s="1"/>
      <c r="H120" s="171"/>
      <c r="K120" s="44">
        <f t="shared" si="45"/>
        <v>0</v>
      </c>
      <c r="N120" s="44">
        <v>12</v>
      </c>
      <c r="Z120" s="197">
        <f t="shared" si="41"/>
        <v>0</v>
      </c>
      <c r="AA120" s="44">
        <f t="shared" si="42"/>
        <v>0</v>
      </c>
      <c r="AB120" s="44">
        <f t="shared" si="39"/>
        <v>0</v>
      </c>
      <c r="AC120" s="44">
        <f t="shared" si="43"/>
        <v>0</v>
      </c>
    </row>
    <row r="121" spans="2:29" x14ac:dyDescent="0.2">
      <c r="B121" s="92"/>
      <c r="C121" s="171"/>
      <c r="D121" s="171"/>
      <c r="E121" s="171"/>
      <c r="F121" s="172"/>
      <c r="G121" s="1"/>
      <c r="H121" s="171"/>
      <c r="K121" s="44">
        <f t="shared" si="44"/>
        <v>0</v>
      </c>
      <c r="N121" s="44">
        <v>12</v>
      </c>
      <c r="Z121" s="197">
        <f t="shared" si="41"/>
        <v>0</v>
      </c>
      <c r="AA121" s="44">
        <f t="shared" si="42"/>
        <v>0</v>
      </c>
      <c r="AB121" s="44">
        <f t="shared" si="39"/>
        <v>0</v>
      </c>
      <c r="AC121" s="44">
        <f t="shared" si="43"/>
        <v>0</v>
      </c>
    </row>
    <row r="122" spans="2:29" ht="15" x14ac:dyDescent="0.35">
      <c r="B122" s="92"/>
      <c r="C122" s="173" t="s">
        <v>554</v>
      </c>
      <c r="D122" s="173"/>
      <c r="E122" s="171"/>
      <c r="F122" s="172"/>
      <c r="G122" s="1"/>
      <c r="H122" s="171"/>
      <c r="K122" s="44">
        <f t="shared" si="44"/>
        <v>0</v>
      </c>
      <c r="N122" s="44">
        <v>12</v>
      </c>
      <c r="Z122" s="197">
        <f t="shared" si="41"/>
        <v>0</v>
      </c>
      <c r="AA122" s="44">
        <f t="shared" si="42"/>
        <v>0</v>
      </c>
      <c r="AB122" s="44">
        <f t="shared" si="39"/>
        <v>0</v>
      </c>
      <c r="AC122" s="44">
        <f t="shared" si="43"/>
        <v>0</v>
      </c>
    </row>
    <row r="123" spans="2:29" ht="15" x14ac:dyDescent="0.35">
      <c r="B123" s="92"/>
      <c r="C123" s="173"/>
      <c r="D123" s="173"/>
      <c r="E123" s="171"/>
      <c r="F123" s="172"/>
      <c r="G123" s="1"/>
      <c r="H123" s="171"/>
      <c r="K123" s="44">
        <f t="shared" si="44"/>
        <v>0</v>
      </c>
      <c r="N123" s="44">
        <v>12</v>
      </c>
      <c r="Z123" s="197">
        <f t="shared" si="41"/>
        <v>0</v>
      </c>
      <c r="AA123" s="44">
        <f t="shared" si="42"/>
        <v>0</v>
      </c>
      <c r="AB123" s="44">
        <f t="shared" si="39"/>
        <v>0</v>
      </c>
      <c r="AC123" s="44">
        <f t="shared" si="43"/>
        <v>0</v>
      </c>
    </row>
    <row r="124" spans="2:29" x14ac:dyDescent="0.2">
      <c r="B124" s="180"/>
      <c r="C124" s="231"/>
      <c r="D124" s="231"/>
      <c r="E124" s="231"/>
      <c r="F124" s="232"/>
      <c r="G124" s="180"/>
      <c r="H124" s="231"/>
      <c r="I124" s="239"/>
      <c r="J124" s="232"/>
      <c r="K124" s="44">
        <f t="shared" si="44"/>
        <v>0</v>
      </c>
      <c r="N124" s="44">
        <v>12</v>
      </c>
      <c r="Z124" s="197">
        <f t="shared" si="41"/>
        <v>0</v>
      </c>
      <c r="AA124" s="44">
        <f t="shared" si="42"/>
        <v>0</v>
      </c>
      <c r="AB124" s="44">
        <f t="shared" si="39"/>
        <v>0</v>
      </c>
      <c r="AC124" s="44">
        <f t="shared" si="43"/>
        <v>0</v>
      </c>
    </row>
    <row r="125" spans="2:29" x14ac:dyDescent="0.2">
      <c r="B125" s="180"/>
      <c r="C125" s="231"/>
      <c r="D125" s="231"/>
      <c r="E125" s="231"/>
      <c r="F125" s="232"/>
      <c r="G125" s="229"/>
      <c r="H125" s="240"/>
      <c r="I125" s="239"/>
      <c r="J125" s="232"/>
      <c r="K125" s="44">
        <f t="shared" ref="K125:K128" si="49">I125-J125</f>
        <v>0</v>
      </c>
      <c r="N125" s="44">
        <v>12</v>
      </c>
      <c r="Z125" s="197">
        <f t="shared" si="41"/>
        <v>0</v>
      </c>
      <c r="AA125" s="44">
        <f t="shared" si="42"/>
        <v>0</v>
      </c>
      <c r="AB125" s="44">
        <f t="shared" si="39"/>
        <v>0</v>
      </c>
      <c r="AC125" s="44">
        <f t="shared" si="43"/>
        <v>0</v>
      </c>
    </row>
    <row r="126" spans="2:29" x14ac:dyDescent="0.2">
      <c r="B126" s="180"/>
      <c r="C126" s="231"/>
      <c r="D126" s="231"/>
      <c r="E126" s="231"/>
      <c r="F126" s="232"/>
      <c r="G126" s="180"/>
      <c r="H126" s="240"/>
      <c r="I126" s="239"/>
      <c r="J126" s="232"/>
      <c r="K126" s="44">
        <f t="shared" si="49"/>
        <v>0</v>
      </c>
      <c r="N126" s="44">
        <v>12</v>
      </c>
      <c r="Z126" s="197">
        <f t="shared" si="41"/>
        <v>0</v>
      </c>
      <c r="AA126" s="44">
        <f t="shared" si="42"/>
        <v>0</v>
      </c>
      <c r="AB126" s="44">
        <f t="shared" si="39"/>
        <v>0</v>
      </c>
      <c r="AC126" s="44">
        <f t="shared" si="43"/>
        <v>0</v>
      </c>
    </row>
    <row r="127" spans="2:29" x14ac:dyDescent="0.2">
      <c r="B127" s="180"/>
      <c r="C127" s="231"/>
      <c r="D127" s="231"/>
      <c r="E127" s="231"/>
      <c r="F127" s="232"/>
      <c r="G127" s="229"/>
      <c r="H127" s="240"/>
      <c r="I127" s="239"/>
      <c r="J127" s="232"/>
      <c r="K127" s="44">
        <f t="shared" si="49"/>
        <v>0</v>
      </c>
      <c r="N127" s="44">
        <v>12</v>
      </c>
      <c r="Z127" s="197">
        <f t="shared" si="41"/>
        <v>0</v>
      </c>
      <c r="AA127" s="44">
        <f t="shared" si="42"/>
        <v>0</v>
      </c>
      <c r="AB127" s="44">
        <f t="shared" si="39"/>
        <v>0</v>
      </c>
      <c r="AC127" s="44">
        <f t="shared" si="43"/>
        <v>0</v>
      </c>
    </row>
    <row r="128" spans="2:29" x14ac:dyDescent="0.2">
      <c r="B128" s="180"/>
      <c r="C128" s="231"/>
      <c r="D128" s="231"/>
      <c r="E128" s="231"/>
      <c r="F128" s="232"/>
      <c r="G128" s="180"/>
      <c r="H128" s="240"/>
      <c r="I128" s="239"/>
      <c r="J128" s="232"/>
      <c r="K128" s="44">
        <f t="shared" si="49"/>
        <v>0</v>
      </c>
      <c r="N128" s="44">
        <v>12</v>
      </c>
      <c r="Z128" s="197">
        <f t="shared" si="41"/>
        <v>0</v>
      </c>
      <c r="AA128" s="44">
        <f t="shared" si="42"/>
        <v>0</v>
      </c>
      <c r="AB128" s="44">
        <f t="shared" si="39"/>
        <v>0</v>
      </c>
      <c r="AC128" s="44">
        <f t="shared" si="43"/>
        <v>0</v>
      </c>
    </row>
    <row r="129" spans="2:29" x14ac:dyDescent="0.2">
      <c r="B129" s="180"/>
      <c r="C129" s="231"/>
      <c r="D129" s="231"/>
      <c r="E129" s="231"/>
      <c r="F129" s="232"/>
      <c r="G129" s="180"/>
      <c r="H129" s="240"/>
      <c r="I129" s="239"/>
      <c r="J129" s="232"/>
      <c r="K129" s="44">
        <f t="shared" ref="K129:K147" si="50">I129-J129</f>
        <v>0</v>
      </c>
      <c r="N129" s="44">
        <v>12</v>
      </c>
      <c r="Z129" s="197">
        <f t="shared" si="41"/>
        <v>0</v>
      </c>
      <c r="AA129" s="44">
        <f t="shared" si="42"/>
        <v>0</v>
      </c>
      <c r="AB129" s="44">
        <f t="shared" si="39"/>
        <v>0</v>
      </c>
      <c r="AC129" s="44">
        <f t="shared" si="43"/>
        <v>0</v>
      </c>
    </row>
    <row r="130" spans="2:29" x14ac:dyDescent="0.2">
      <c r="B130" s="180"/>
      <c r="C130" s="231"/>
      <c r="D130" s="231"/>
      <c r="E130" s="231"/>
      <c r="F130" s="232"/>
      <c r="G130" s="180"/>
      <c r="H130" s="240"/>
      <c r="I130" s="239"/>
      <c r="J130" s="232"/>
      <c r="K130" s="44">
        <f t="shared" si="50"/>
        <v>0</v>
      </c>
      <c r="N130" s="44">
        <v>12</v>
      </c>
      <c r="Z130" s="197">
        <f t="shared" si="41"/>
        <v>0</v>
      </c>
      <c r="AA130" s="44">
        <f t="shared" si="42"/>
        <v>0</v>
      </c>
      <c r="AB130" s="44">
        <f t="shared" si="39"/>
        <v>0</v>
      </c>
      <c r="AC130" s="44">
        <f t="shared" si="43"/>
        <v>0</v>
      </c>
    </row>
    <row r="131" spans="2:29" x14ac:dyDescent="0.2">
      <c r="B131" s="180"/>
      <c r="C131" s="231"/>
      <c r="D131" s="231"/>
      <c r="E131" s="231"/>
      <c r="F131" s="232"/>
      <c r="G131" s="180"/>
      <c r="H131" s="240"/>
      <c r="I131" s="239"/>
      <c r="J131" s="232"/>
      <c r="K131" s="44">
        <f t="shared" si="50"/>
        <v>0</v>
      </c>
      <c r="N131" s="44">
        <v>12</v>
      </c>
      <c r="Z131" s="197">
        <f t="shared" si="41"/>
        <v>0</v>
      </c>
      <c r="AA131" s="44">
        <f t="shared" si="42"/>
        <v>0</v>
      </c>
      <c r="AB131" s="44">
        <f t="shared" ref="AB131:AB147" si="51">J131+Z131-R131-P131</f>
        <v>0</v>
      </c>
      <c r="AC131" s="44">
        <f t="shared" si="43"/>
        <v>0</v>
      </c>
    </row>
    <row r="132" spans="2:29" x14ac:dyDescent="0.2">
      <c r="B132" s="180"/>
      <c r="C132" s="231"/>
      <c r="D132" s="231"/>
      <c r="E132" s="231"/>
      <c r="F132" s="232"/>
      <c r="G132" s="180"/>
      <c r="H132" s="240"/>
      <c r="I132" s="232"/>
      <c r="J132" s="232"/>
      <c r="K132" s="44">
        <f t="shared" si="50"/>
        <v>0</v>
      </c>
      <c r="N132" s="44">
        <v>12</v>
      </c>
      <c r="Z132" s="197">
        <f t="shared" ref="Z132:Z147" si="52">ROUND(IF(L132&gt;0,L132*I$63*N132/12,IF(M132&gt;0,M132*I$63*N132/12,IF(K132=0,0,IF(I132*I$63*N132/12&gt;=K132,K132-1,I132*I$63*N132/12)))),2)+Y132</f>
        <v>0</v>
      </c>
      <c r="AA132" s="44">
        <f t="shared" ref="AA132:AA147" si="53">I132+L132-Q132-O132+M132</f>
        <v>0</v>
      </c>
      <c r="AB132" s="44">
        <f t="shared" si="51"/>
        <v>0</v>
      </c>
      <c r="AC132" s="44">
        <f t="shared" ref="AC132:AC147" si="54">AA132-AB132</f>
        <v>0</v>
      </c>
    </row>
    <row r="133" spans="2:29" x14ac:dyDescent="0.2">
      <c r="B133" s="180"/>
      <c r="C133" s="231"/>
      <c r="D133" s="231"/>
      <c r="E133" s="231"/>
      <c r="F133" s="232"/>
      <c r="G133" s="180"/>
      <c r="H133" s="240"/>
      <c r="I133" s="232"/>
      <c r="J133" s="232"/>
      <c r="K133" s="44">
        <f t="shared" si="50"/>
        <v>0</v>
      </c>
      <c r="N133" s="44">
        <v>12</v>
      </c>
      <c r="Z133" s="197">
        <f t="shared" si="52"/>
        <v>0</v>
      </c>
      <c r="AA133" s="44">
        <f t="shared" si="53"/>
        <v>0</v>
      </c>
      <c r="AB133" s="44">
        <f t="shared" si="51"/>
        <v>0</v>
      </c>
      <c r="AC133" s="44">
        <f t="shared" si="54"/>
        <v>0</v>
      </c>
    </row>
    <row r="134" spans="2:29" x14ac:dyDescent="0.2">
      <c r="B134" s="180"/>
      <c r="C134" s="231"/>
      <c r="D134" s="231"/>
      <c r="E134" s="231"/>
      <c r="F134" s="232"/>
      <c r="G134" s="180"/>
      <c r="H134" s="240"/>
      <c r="I134" s="232"/>
      <c r="J134" s="232"/>
      <c r="K134" s="44">
        <f t="shared" si="50"/>
        <v>0</v>
      </c>
      <c r="N134" s="44">
        <v>12</v>
      </c>
      <c r="Z134" s="197">
        <f t="shared" si="52"/>
        <v>0</v>
      </c>
      <c r="AA134" s="44">
        <f t="shared" si="53"/>
        <v>0</v>
      </c>
      <c r="AB134" s="44">
        <f t="shared" si="51"/>
        <v>0</v>
      </c>
      <c r="AC134" s="44">
        <f t="shared" si="54"/>
        <v>0</v>
      </c>
    </row>
    <row r="135" spans="2:29" x14ac:dyDescent="0.2">
      <c r="B135" s="180"/>
      <c r="C135" s="231"/>
      <c r="D135" s="231"/>
      <c r="E135" s="231"/>
      <c r="F135" s="232"/>
      <c r="G135" s="180"/>
      <c r="H135" s="240"/>
      <c r="I135" s="232"/>
      <c r="J135" s="232"/>
      <c r="K135" s="44">
        <f t="shared" si="50"/>
        <v>0</v>
      </c>
      <c r="N135" s="44">
        <v>12</v>
      </c>
      <c r="Z135" s="197">
        <f t="shared" si="52"/>
        <v>0</v>
      </c>
      <c r="AA135" s="44">
        <f t="shared" si="53"/>
        <v>0</v>
      </c>
      <c r="AB135" s="44">
        <f t="shared" si="51"/>
        <v>0</v>
      </c>
      <c r="AC135" s="44">
        <f t="shared" si="54"/>
        <v>0</v>
      </c>
    </row>
    <row r="136" spans="2:29" x14ac:dyDescent="0.2">
      <c r="B136" s="180"/>
      <c r="C136" s="231"/>
      <c r="D136" s="231"/>
      <c r="E136" s="231"/>
      <c r="F136" s="232"/>
      <c r="G136" s="180"/>
      <c r="H136" s="240"/>
      <c r="I136" s="232"/>
      <c r="J136" s="232"/>
      <c r="K136" s="44">
        <f t="shared" si="50"/>
        <v>0</v>
      </c>
      <c r="N136" s="44">
        <v>12</v>
      </c>
      <c r="Z136" s="197">
        <f t="shared" si="52"/>
        <v>0</v>
      </c>
      <c r="AA136" s="44">
        <f t="shared" si="53"/>
        <v>0</v>
      </c>
      <c r="AB136" s="44">
        <f t="shared" si="51"/>
        <v>0</v>
      </c>
      <c r="AC136" s="44">
        <f t="shared" si="54"/>
        <v>0</v>
      </c>
    </row>
    <row r="137" spans="2:29" x14ac:dyDescent="0.2">
      <c r="B137" s="180"/>
      <c r="C137" s="231"/>
      <c r="D137" s="231"/>
      <c r="E137" s="231"/>
      <c r="F137" s="232"/>
      <c r="G137" s="180"/>
      <c r="H137" s="240"/>
      <c r="I137" s="232"/>
      <c r="J137" s="232"/>
      <c r="K137" s="44">
        <f t="shared" si="50"/>
        <v>0</v>
      </c>
      <c r="N137" s="44">
        <v>12</v>
      </c>
      <c r="Z137" s="197">
        <f t="shared" si="52"/>
        <v>0</v>
      </c>
      <c r="AA137" s="44">
        <f t="shared" si="53"/>
        <v>0</v>
      </c>
      <c r="AB137" s="44">
        <f t="shared" si="51"/>
        <v>0</v>
      </c>
      <c r="AC137" s="44">
        <f t="shared" si="54"/>
        <v>0</v>
      </c>
    </row>
    <row r="138" spans="2:29" x14ac:dyDescent="0.2">
      <c r="B138" s="180"/>
      <c r="C138" s="231"/>
      <c r="D138" s="231"/>
      <c r="E138" s="231"/>
      <c r="F138" s="232"/>
      <c r="G138" s="180"/>
      <c r="H138" s="240"/>
      <c r="I138" s="232"/>
      <c r="J138" s="232"/>
      <c r="K138" s="44">
        <f t="shared" si="50"/>
        <v>0</v>
      </c>
      <c r="N138" s="44">
        <v>12</v>
      </c>
      <c r="Z138" s="197">
        <f t="shared" si="52"/>
        <v>0</v>
      </c>
      <c r="AA138" s="44">
        <f t="shared" si="53"/>
        <v>0</v>
      </c>
      <c r="AB138" s="44">
        <f t="shared" si="51"/>
        <v>0</v>
      </c>
      <c r="AC138" s="44">
        <f t="shared" si="54"/>
        <v>0</v>
      </c>
    </row>
    <row r="139" spans="2:29" x14ac:dyDescent="0.2">
      <c r="B139" s="180"/>
      <c r="C139" s="231"/>
      <c r="D139" s="231"/>
      <c r="E139" s="231"/>
      <c r="F139" s="232"/>
      <c r="G139" s="180"/>
      <c r="H139" s="240"/>
      <c r="I139" s="232"/>
      <c r="J139" s="232"/>
      <c r="K139" s="44">
        <f t="shared" si="50"/>
        <v>0</v>
      </c>
      <c r="N139" s="44">
        <v>12</v>
      </c>
      <c r="Z139" s="197">
        <f t="shared" si="52"/>
        <v>0</v>
      </c>
      <c r="AA139" s="44">
        <f t="shared" si="53"/>
        <v>0</v>
      </c>
      <c r="AB139" s="44">
        <f t="shared" si="51"/>
        <v>0</v>
      </c>
      <c r="AC139" s="44">
        <f t="shared" si="54"/>
        <v>0</v>
      </c>
    </row>
    <row r="140" spans="2:29" x14ac:dyDescent="0.2">
      <c r="B140" s="180"/>
      <c r="C140" s="231"/>
      <c r="D140" s="231"/>
      <c r="E140" s="231"/>
      <c r="F140" s="232"/>
      <c r="G140" s="180"/>
      <c r="H140" s="240"/>
      <c r="I140" s="232"/>
      <c r="J140" s="232"/>
      <c r="K140" s="44">
        <f t="shared" si="50"/>
        <v>0</v>
      </c>
      <c r="N140" s="44">
        <v>12</v>
      </c>
      <c r="Z140" s="197">
        <f t="shared" si="52"/>
        <v>0</v>
      </c>
      <c r="AA140" s="44">
        <f t="shared" si="53"/>
        <v>0</v>
      </c>
      <c r="AB140" s="44">
        <f t="shared" si="51"/>
        <v>0</v>
      </c>
      <c r="AC140" s="44">
        <f t="shared" si="54"/>
        <v>0</v>
      </c>
    </row>
    <row r="141" spans="2:29" x14ac:dyDescent="0.2">
      <c r="B141" s="180"/>
      <c r="C141" s="231"/>
      <c r="D141" s="231"/>
      <c r="E141" s="231"/>
      <c r="F141" s="232"/>
      <c r="G141" s="180"/>
      <c r="H141" s="240"/>
      <c r="I141" s="232"/>
      <c r="J141" s="232"/>
      <c r="K141" s="44">
        <f t="shared" si="50"/>
        <v>0</v>
      </c>
      <c r="N141" s="44">
        <v>12</v>
      </c>
      <c r="Z141" s="197">
        <f t="shared" si="52"/>
        <v>0</v>
      </c>
      <c r="AA141" s="44">
        <f t="shared" si="53"/>
        <v>0</v>
      </c>
      <c r="AB141" s="44">
        <f t="shared" si="51"/>
        <v>0</v>
      </c>
      <c r="AC141" s="44">
        <f t="shared" si="54"/>
        <v>0</v>
      </c>
    </row>
    <row r="142" spans="2:29" x14ac:dyDescent="0.2">
      <c r="B142" s="180"/>
      <c r="C142" s="231"/>
      <c r="D142" s="231"/>
      <c r="E142" s="231"/>
      <c r="F142" s="232"/>
      <c r="G142" s="180"/>
      <c r="H142" s="240"/>
      <c r="I142" s="232"/>
      <c r="J142" s="232"/>
      <c r="K142" s="44">
        <f t="shared" si="50"/>
        <v>0</v>
      </c>
      <c r="N142" s="44">
        <v>12</v>
      </c>
      <c r="Z142" s="197">
        <f t="shared" si="52"/>
        <v>0</v>
      </c>
      <c r="AA142" s="44">
        <f t="shared" si="53"/>
        <v>0</v>
      </c>
      <c r="AB142" s="44">
        <f t="shared" si="51"/>
        <v>0</v>
      </c>
      <c r="AC142" s="44">
        <f t="shared" si="54"/>
        <v>0</v>
      </c>
    </row>
    <row r="143" spans="2:29" x14ac:dyDescent="0.2">
      <c r="B143" s="180"/>
      <c r="C143" s="231"/>
      <c r="D143" s="231"/>
      <c r="E143" s="231"/>
      <c r="F143" s="232"/>
      <c r="G143" s="180"/>
      <c r="H143" s="240"/>
      <c r="I143" s="232"/>
      <c r="J143" s="232"/>
      <c r="K143" s="44">
        <f t="shared" si="50"/>
        <v>0</v>
      </c>
      <c r="N143" s="44">
        <v>12</v>
      </c>
      <c r="Z143" s="197">
        <f t="shared" si="52"/>
        <v>0</v>
      </c>
      <c r="AA143" s="44">
        <f t="shared" si="53"/>
        <v>0</v>
      </c>
      <c r="AB143" s="44">
        <f t="shared" si="51"/>
        <v>0</v>
      </c>
      <c r="AC143" s="44">
        <f t="shared" si="54"/>
        <v>0</v>
      </c>
    </row>
    <row r="144" spans="2:29" x14ac:dyDescent="0.2">
      <c r="B144" s="180"/>
      <c r="C144" s="231"/>
      <c r="D144" s="231"/>
      <c r="E144" s="231"/>
      <c r="F144" s="232"/>
      <c r="G144" s="180"/>
      <c r="H144" s="240"/>
      <c r="I144" s="232"/>
      <c r="J144" s="232"/>
      <c r="K144" s="44">
        <f t="shared" si="50"/>
        <v>0</v>
      </c>
      <c r="N144" s="44">
        <v>12</v>
      </c>
      <c r="Z144" s="197">
        <f t="shared" si="52"/>
        <v>0</v>
      </c>
      <c r="AA144" s="44">
        <f t="shared" si="53"/>
        <v>0</v>
      </c>
      <c r="AB144" s="44">
        <f t="shared" si="51"/>
        <v>0</v>
      </c>
      <c r="AC144" s="44">
        <f t="shared" si="54"/>
        <v>0</v>
      </c>
    </row>
    <row r="145" spans="2:31" x14ac:dyDescent="0.2">
      <c r="B145" s="180"/>
      <c r="C145" s="231"/>
      <c r="D145" s="231"/>
      <c r="E145" s="231"/>
      <c r="F145" s="232"/>
      <c r="G145" s="180"/>
      <c r="H145" s="240"/>
      <c r="I145" s="232"/>
      <c r="J145" s="232"/>
      <c r="K145" s="44">
        <f t="shared" si="50"/>
        <v>0</v>
      </c>
      <c r="N145" s="44">
        <v>12</v>
      </c>
      <c r="Z145" s="197">
        <f t="shared" si="52"/>
        <v>0</v>
      </c>
      <c r="AA145" s="44">
        <f t="shared" si="53"/>
        <v>0</v>
      </c>
      <c r="AB145" s="44">
        <f t="shared" si="51"/>
        <v>0</v>
      </c>
      <c r="AC145" s="44">
        <f t="shared" si="54"/>
        <v>0</v>
      </c>
    </row>
    <row r="146" spans="2:31" x14ac:dyDescent="0.2">
      <c r="B146" s="180"/>
      <c r="C146" s="231"/>
      <c r="D146" s="231"/>
      <c r="E146" s="231"/>
      <c r="F146" s="232"/>
      <c r="G146" s="180"/>
      <c r="H146" s="240"/>
      <c r="I146" s="232"/>
      <c r="J146" s="232"/>
      <c r="K146" s="44">
        <f t="shared" si="50"/>
        <v>0</v>
      </c>
      <c r="N146" s="44">
        <v>12</v>
      </c>
      <c r="Z146" s="197">
        <f t="shared" si="52"/>
        <v>0</v>
      </c>
      <c r="AA146" s="44">
        <f t="shared" si="53"/>
        <v>0</v>
      </c>
      <c r="AB146" s="44">
        <f t="shared" si="51"/>
        <v>0</v>
      </c>
      <c r="AC146" s="44">
        <f t="shared" si="54"/>
        <v>0</v>
      </c>
    </row>
    <row r="147" spans="2:31" x14ac:dyDescent="0.2">
      <c r="B147" s="180"/>
      <c r="C147" s="235"/>
      <c r="D147" s="231"/>
      <c r="E147" s="231"/>
      <c r="F147" s="232"/>
      <c r="G147" s="180"/>
      <c r="H147" s="240"/>
      <c r="I147" s="232"/>
      <c r="J147" s="232"/>
      <c r="K147" s="44">
        <f t="shared" si="50"/>
        <v>0</v>
      </c>
      <c r="N147" s="44">
        <v>12</v>
      </c>
      <c r="Z147" s="197">
        <f t="shared" si="52"/>
        <v>0</v>
      </c>
      <c r="AA147" s="44">
        <f t="shared" si="53"/>
        <v>0</v>
      </c>
      <c r="AB147" s="44">
        <f t="shared" si="51"/>
        <v>0</v>
      </c>
      <c r="AC147" s="44">
        <f t="shared" si="54"/>
        <v>0</v>
      </c>
    </row>
    <row r="149" spans="2:31" ht="13.5" thickBot="1" x14ac:dyDescent="0.25">
      <c r="C149" s="44" t="s">
        <v>383</v>
      </c>
      <c r="I149" s="52">
        <f>SUM(I66:I148)</f>
        <v>0</v>
      </c>
      <c r="J149" s="52">
        <f t="shared" ref="J149:AC149" si="55">SUM(J66:J148)</f>
        <v>0</v>
      </c>
      <c r="K149" s="52">
        <f t="shared" si="55"/>
        <v>0</v>
      </c>
      <c r="L149" s="52">
        <f t="shared" si="55"/>
        <v>0</v>
      </c>
      <c r="M149" s="52">
        <f t="shared" si="55"/>
        <v>0</v>
      </c>
      <c r="N149" s="52"/>
      <c r="O149" s="52">
        <f t="shared" si="55"/>
        <v>0</v>
      </c>
      <c r="P149" s="52">
        <f t="shared" si="55"/>
        <v>0</v>
      </c>
      <c r="Q149" s="52">
        <f t="shared" si="55"/>
        <v>0</v>
      </c>
      <c r="R149" s="52">
        <f t="shared" si="55"/>
        <v>0</v>
      </c>
      <c r="S149" s="52">
        <f t="shared" si="55"/>
        <v>0</v>
      </c>
      <c r="T149" s="52">
        <f t="shared" si="55"/>
        <v>0</v>
      </c>
      <c r="U149" s="52"/>
      <c r="V149" s="52">
        <f t="shared" si="55"/>
        <v>0</v>
      </c>
      <c r="W149" s="52">
        <f t="shared" si="55"/>
        <v>0</v>
      </c>
      <c r="X149" s="52">
        <f t="shared" si="55"/>
        <v>0</v>
      </c>
      <c r="Y149" s="52">
        <f t="shared" si="55"/>
        <v>0</v>
      </c>
      <c r="Z149" s="52">
        <f t="shared" si="55"/>
        <v>0</v>
      </c>
      <c r="AA149" s="52">
        <f t="shared" si="55"/>
        <v>0</v>
      </c>
      <c r="AB149" s="52">
        <f t="shared" si="55"/>
        <v>0</v>
      </c>
      <c r="AC149" s="52">
        <f t="shared" si="55"/>
        <v>0</v>
      </c>
    </row>
    <row r="150" spans="2:31" ht="13.5" thickTop="1" x14ac:dyDescent="0.2"/>
    <row r="151" spans="2:31" x14ac:dyDescent="0.2">
      <c r="B151" s="203" t="s">
        <v>188</v>
      </c>
      <c r="I151" s="334">
        <v>0.2</v>
      </c>
      <c r="J151" s="44" t="s">
        <v>299</v>
      </c>
    </row>
    <row r="152" spans="2:31" x14ac:dyDescent="0.2">
      <c r="B152" s="204"/>
      <c r="I152" s="22"/>
      <c r="J152" s="22"/>
      <c r="K152" s="22"/>
      <c r="L152" s="22"/>
      <c r="M152" s="22"/>
      <c r="N152" s="22"/>
      <c r="O152" s="22"/>
      <c r="P152" s="22"/>
      <c r="Q152" s="22"/>
      <c r="R152" s="22"/>
      <c r="S152" s="22"/>
      <c r="T152" s="22"/>
      <c r="U152" s="22"/>
      <c r="V152" s="295" t="s">
        <v>811</v>
      </c>
      <c r="W152" s="296" t="s">
        <v>818</v>
      </c>
      <c r="X152" s="297" t="s">
        <v>812</v>
      </c>
      <c r="Y152" s="22"/>
      <c r="Z152" s="22"/>
      <c r="AA152" s="22"/>
      <c r="AB152" s="22"/>
      <c r="AC152" s="22"/>
    </row>
    <row r="153" spans="2:31" x14ac:dyDescent="0.2">
      <c r="B153" s="205" t="s">
        <v>26</v>
      </c>
      <c r="C153" s="69" t="s">
        <v>261</v>
      </c>
      <c r="D153" s="69"/>
      <c r="E153" s="109"/>
      <c r="F153" s="110"/>
      <c r="G153" s="109"/>
      <c r="H153" s="109"/>
      <c r="I153" s="24" t="s">
        <v>416</v>
      </c>
      <c r="J153" s="24" t="s">
        <v>649</v>
      </c>
      <c r="K153" s="24" t="s">
        <v>648</v>
      </c>
      <c r="L153" s="24" t="s">
        <v>301</v>
      </c>
      <c r="M153" s="24"/>
      <c r="N153" s="24" t="s">
        <v>455</v>
      </c>
      <c r="O153" s="24"/>
      <c r="P153" s="24"/>
      <c r="Q153" s="24" t="s">
        <v>650</v>
      </c>
      <c r="R153" s="24" t="s">
        <v>651</v>
      </c>
      <c r="S153" s="24" t="s">
        <v>810</v>
      </c>
      <c r="T153" s="24" t="s">
        <v>652</v>
      </c>
      <c r="U153" s="24"/>
      <c r="V153" s="282" t="s">
        <v>813</v>
      </c>
      <c r="W153" s="24" t="s">
        <v>819</v>
      </c>
      <c r="X153" s="283" t="s">
        <v>814</v>
      </c>
      <c r="Y153" s="24" t="s">
        <v>628</v>
      </c>
      <c r="Z153" s="24" t="s">
        <v>647</v>
      </c>
      <c r="AA153" s="24" t="s">
        <v>416</v>
      </c>
      <c r="AB153" s="24" t="s">
        <v>649</v>
      </c>
      <c r="AC153" s="24" t="s">
        <v>648</v>
      </c>
      <c r="AE153" s="65"/>
    </row>
    <row r="155" spans="2:31" x14ac:dyDescent="0.2">
      <c r="B155" s="92"/>
      <c r="C155" s="1"/>
      <c r="D155" s="1"/>
      <c r="E155" s="1"/>
      <c r="F155" s="1"/>
      <c r="G155" s="1"/>
      <c r="H155" s="18"/>
      <c r="I155" s="103"/>
      <c r="K155" s="44">
        <f>+I155-J155</f>
        <v>0</v>
      </c>
      <c r="L155" s="103"/>
      <c r="M155" s="103"/>
      <c r="N155" s="103">
        <v>12</v>
      </c>
      <c r="O155" s="103"/>
      <c r="P155" s="103"/>
      <c r="Q155" s="103"/>
      <c r="R155" s="103"/>
      <c r="Z155" s="197">
        <f t="shared" ref="Z155:Z190" si="56">ROUND(IF(L155&gt;0,L155*I$151*N155/12,IF(K155=0,0,IF(I155*I$151*N155/12&gt;=K155,K155-1,I155*I$151*N155/12))),2)+Y155</f>
        <v>0</v>
      </c>
      <c r="AA155" s="44">
        <f>I155+L155-Q155</f>
        <v>0</v>
      </c>
      <c r="AB155" s="44">
        <f>J155+Z155-R155</f>
        <v>0</v>
      </c>
      <c r="AC155" s="44">
        <f t="shared" ref="AC155" si="57">+AA155-AB155</f>
        <v>0</v>
      </c>
    </row>
    <row r="156" spans="2:31" x14ac:dyDescent="0.2">
      <c r="B156" s="208"/>
      <c r="C156" s="198"/>
      <c r="D156" s="198"/>
      <c r="E156" s="198"/>
      <c r="F156" s="198"/>
      <c r="G156" s="198"/>
      <c r="H156" s="18"/>
      <c r="I156" s="103"/>
      <c r="K156" s="44">
        <f>+I156-J156</f>
        <v>0</v>
      </c>
      <c r="L156" s="103"/>
      <c r="M156" s="103"/>
      <c r="N156" s="103">
        <v>12</v>
      </c>
      <c r="O156" s="103"/>
      <c r="P156" s="103"/>
      <c r="Q156" s="103"/>
      <c r="R156" s="103"/>
      <c r="Z156" s="197">
        <f t="shared" si="56"/>
        <v>0</v>
      </c>
      <c r="AA156" s="44">
        <f t="shared" ref="AA156:AA190" si="58">I156+L156-Q156</f>
        <v>0</v>
      </c>
      <c r="AB156" s="44">
        <f t="shared" ref="AB156:AB190" si="59">J156+Z156-R156</f>
        <v>0</v>
      </c>
      <c r="AC156" s="44">
        <f t="shared" ref="AC156:AC190" si="60">+AA156-AB156</f>
        <v>0</v>
      </c>
    </row>
    <row r="157" spans="2:31" x14ac:dyDescent="0.2">
      <c r="B157" s="208"/>
      <c r="C157" s="198"/>
      <c r="D157" s="198"/>
      <c r="E157" s="198"/>
      <c r="F157" s="198"/>
      <c r="G157" s="198"/>
      <c r="H157" s="18"/>
      <c r="I157" s="103"/>
      <c r="K157" s="44">
        <f>+I157-J157</f>
        <v>0</v>
      </c>
      <c r="L157" s="103"/>
      <c r="M157" s="103"/>
      <c r="N157" s="103">
        <v>12</v>
      </c>
      <c r="O157" s="103"/>
      <c r="P157" s="103"/>
      <c r="Q157" s="103"/>
      <c r="R157" s="103"/>
      <c r="Z157" s="197">
        <f t="shared" si="56"/>
        <v>0</v>
      </c>
      <c r="AA157" s="44">
        <f t="shared" si="58"/>
        <v>0</v>
      </c>
      <c r="AB157" s="44">
        <f t="shared" si="59"/>
        <v>0</v>
      </c>
      <c r="AC157" s="44">
        <f t="shared" si="60"/>
        <v>0</v>
      </c>
    </row>
    <row r="158" spans="2:31" x14ac:dyDescent="0.2">
      <c r="B158" s="92"/>
      <c r="C158" s="1"/>
      <c r="D158" s="1"/>
      <c r="E158" s="1"/>
      <c r="F158" s="1"/>
      <c r="G158" s="1"/>
      <c r="K158" s="44">
        <f t="shared" ref="K158:K190" si="61">+I158-J158</f>
        <v>0</v>
      </c>
      <c r="N158" s="103">
        <v>12</v>
      </c>
      <c r="O158" s="103"/>
      <c r="P158" s="103"/>
      <c r="Q158" s="103"/>
      <c r="R158" s="103"/>
      <c r="Z158" s="197">
        <f t="shared" si="56"/>
        <v>0</v>
      </c>
      <c r="AA158" s="44">
        <f t="shared" si="58"/>
        <v>0</v>
      </c>
      <c r="AB158" s="44">
        <f t="shared" si="59"/>
        <v>0</v>
      </c>
      <c r="AC158" s="44">
        <f t="shared" si="60"/>
        <v>0</v>
      </c>
    </row>
    <row r="159" spans="2:31" x14ac:dyDescent="0.2">
      <c r="B159" s="57"/>
      <c r="C159" s="1"/>
      <c r="D159" s="1"/>
      <c r="E159" s="1"/>
      <c r="F159" s="1"/>
      <c r="G159" s="1"/>
      <c r="K159" s="44">
        <f t="shared" si="61"/>
        <v>0</v>
      </c>
      <c r="N159" s="103">
        <v>12</v>
      </c>
      <c r="O159" s="103"/>
      <c r="P159" s="103"/>
      <c r="Q159" s="103"/>
      <c r="R159" s="103"/>
      <c r="Z159" s="197">
        <f t="shared" si="56"/>
        <v>0</v>
      </c>
      <c r="AA159" s="44">
        <f t="shared" si="58"/>
        <v>0</v>
      </c>
      <c r="AB159" s="44">
        <f t="shared" si="59"/>
        <v>0</v>
      </c>
      <c r="AC159" s="44">
        <f t="shared" si="60"/>
        <v>0</v>
      </c>
    </row>
    <row r="160" spans="2:31" x14ac:dyDescent="0.2">
      <c r="B160" s="92"/>
      <c r="C160" s="1"/>
      <c r="D160" s="1"/>
      <c r="E160" s="1"/>
      <c r="F160" s="1"/>
      <c r="G160" s="1"/>
      <c r="K160" s="44">
        <f t="shared" si="61"/>
        <v>0</v>
      </c>
      <c r="N160" s="103">
        <v>12</v>
      </c>
      <c r="O160" s="103"/>
      <c r="P160" s="103"/>
      <c r="Q160" s="103"/>
      <c r="R160" s="103"/>
      <c r="Z160" s="197">
        <f t="shared" si="56"/>
        <v>0</v>
      </c>
      <c r="AA160" s="44">
        <f t="shared" si="58"/>
        <v>0</v>
      </c>
      <c r="AB160" s="44">
        <f t="shared" si="59"/>
        <v>0</v>
      </c>
      <c r="AC160" s="44">
        <f t="shared" si="60"/>
        <v>0</v>
      </c>
    </row>
    <row r="161" spans="2:29" x14ac:dyDescent="0.2">
      <c r="B161" s="92"/>
      <c r="C161" s="1"/>
      <c r="D161" s="1"/>
      <c r="E161" s="1"/>
      <c r="F161" s="1"/>
      <c r="G161" s="1"/>
      <c r="K161" s="44">
        <f t="shared" si="61"/>
        <v>0</v>
      </c>
      <c r="N161" s="103">
        <v>12</v>
      </c>
      <c r="O161" s="103"/>
      <c r="P161" s="103"/>
      <c r="Q161" s="103"/>
      <c r="R161" s="103"/>
      <c r="Z161" s="197">
        <f t="shared" si="56"/>
        <v>0</v>
      </c>
      <c r="AA161" s="44">
        <f t="shared" si="58"/>
        <v>0</v>
      </c>
      <c r="AB161" s="44">
        <f t="shared" si="59"/>
        <v>0</v>
      </c>
      <c r="AC161" s="44">
        <f t="shared" si="60"/>
        <v>0</v>
      </c>
    </row>
    <row r="162" spans="2:29" x14ac:dyDescent="0.2">
      <c r="B162" s="92"/>
      <c r="C162" s="1"/>
      <c r="D162" s="1"/>
      <c r="E162" s="1"/>
      <c r="F162" s="1"/>
      <c r="G162" s="1"/>
      <c r="K162" s="44">
        <f t="shared" si="61"/>
        <v>0</v>
      </c>
      <c r="N162" s="103">
        <v>12</v>
      </c>
      <c r="O162" s="103"/>
      <c r="P162" s="103"/>
      <c r="Q162" s="103"/>
      <c r="R162" s="103"/>
      <c r="Z162" s="197">
        <f t="shared" si="56"/>
        <v>0</v>
      </c>
      <c r="AA162" s="44">
        <f t="shared" si="58"/>
        <v>0</v>
      </c>
      <c r="AB162" s="44">
        <f t="shared" si="59"/>
        <v>0</v>
      </c>
      <c r="AC162" s="44">
        <f t="shared" si="60"/>
        <v>0</v>
      </c>
    </row>
    <row r="163" spans="2:29" x14ac:dyDescent="0.2">
      <c r="B163" s="206"/>
      <c r="K163" s="44">
        <f t="shared" si="61"/>
        <v>0</v>
      </c>
      <c r="N163" s="103">
        <v>12</v>
      </c>
      <c r="O163" s="103"/>
      <c r="P163" s="103"/>
      <c r="Q163" s="103"/>
      <c r="R163" s="103"/>
      <c r="Z163" s="197">
        <f t="shared" si="56"/>
        <v>0</v>
      </c>
      <c r="AA163" s="44">
        <f t="shared" si="58"/>
        <v>0</v>
      </c>
      <c r="AB163" s="44">
        <f t="shared" si="59"/>
        <v>0</v>
      </c>
      <c r="AC163" s="44">
        <f t="shared" si="60"/>
        <v>0</v>
      </c>
    </row>
    <row r="164" spans="2:29" x14ac:dyDescent="0.2">
      <c r="B164" s="206"/>
      <c r="K164" s="44">
        <f t="shared" si="61"/>
        <v>0</v>
      </c>
      <c r="N164" s="103">
        <v>12</v>
      </c>
      <c r="O164" s="103"/>
      <c r="P164" s="103"/>
      <c r="Q164" s="103"/>
      <c r="R164" s="103"/>
      <c r="Z164" s="197">
        <f t="shared" si="56"/>
        <v>0</v>
      </c>
      <c r="AA164" s="44">
        <f t="shared" si="58"/>
        <v>0</v>
      </c>
      <c r="AB164" s="44">
        <f t="shared" si="59"/>
        <v>0</v>
      </c>
      <c r="AC164" s="44">
        <f t="shared" si="60"/>
        <v>0</v>
      </c>
    </row>
    <row r="165" spans="2:29" x14ac:dyDescent="0.2">
      <c r="B165" s="206"/>
      <c r="K165" s="44">
        <f t="shared" si="61"/>
        <v>0</v>
      </c>
      <c r="N165" s="103">
        <v>12</v>
      </c>
      <c r="O165" s="103"/>
      <c r="P165" s="103"/>
      <c r="Q165" s="103"/>
      <c r="R165" s="103"/>
      <c r="Z165" s="197">
        <f t="shared" si="56"/>
        <v>0</v>
      </c>
      <c r="AA165" s="44">
        <f t="shared" si="58"/>
        <v>0</v>
      </c>
      <c r="AB165" s="44">
        <f t="shared" si="59"/>
        <v>0</v>
      </c>
      <c r="AC165" s="44">
        <f t="shared" si="60"/>
        <v>0</v>
      </c>
    </row>
    <row r="166" spans="2:29" x14ac:dyDescent="0.2">
      <c r="B166" s="206"/>
      <c r="K166" s="44">
        <f t="shared" si="61"/>
        <v>0</v>
      </c>
      <c r="N166" s="103">
        <v>12</v>
      </c>
      <c r="O166" s="103"/>
      <c r="P166" s="103"/>
      <c r="Q166" s="103"/>
      <c r="R166" s="103"/>
      <c r="Z166" s="197">
        <f t="shared" si="56"/>
        <v>0</v>
      </c>
      <c r="AA166" s="44">
        <f t="shared" si="58"/>
        <v>0</v>
      </c>
      <c r="AB166" s="44">
        <f t="shared" si="59"/>
        <v>0</v>
      </c>
      <c r="AC166" s="44">
        <f t="shared" si="60"/>
        <v>0</v>
      </c>
    </row>
    <row r="167" spans="2:29" x14ac:dyDescent="0.2">
      <c r="B167" s="206"/>
      <c r="K167" s="44">
        <f t="shared" si="61"/>
        <v>0</v>
      </c>
      <c r="N167" s="103">
        <v>12</v>
      </c>
      <c r="O167" s="103"/>
      <c r="P167" s="103"/>
      <c r="Q167" s="103"/>
      <c r="R167" s="103"/>
      <c r="Z167" s="197">
        <f t="shared" si="56"/>
        <v>0</v>
      </c>
      <c r="AA167" s="44">
        <f t="shared" si="58"/>
        <v>0</v>
      </c>
      <c r="AB167" s="44">
        <f t="shared" si="59"/>
        <v>0</v>
      </c>
      <c r="AC167" s="44">
        <f t="shared" si="60"/>
        <v>0</v>
      </c>
    </row>
    <row r="168" spans="2:29" x14ac:dyDescent="0.2">
      <c r="B168" s="206"/>
      <c r="K168" s="44">
        <f t="shared" si="61"/>
        <v>0</v>
      </c>
      <c r="N168" s="103">
        <v>12</v>
      </c>
      <c r="O168" s="103"/>
      <c r="P168" s="103"/>
      <c r="Q168" s="103"/>
      <c r="R168" s="103"/>
      <c r="Z168" s="197">
        <f t="shared" si="56"/>
        <v>0</v>
      </c>
      <c r="AA168" s="44">
        <f t="shared" si="58"/>
        <v>0</v>
      </c>
      <c r="AB168" s="44">
        <f t="shared" si="59"/>
        <v>0</v>
      </c>
      <c r="AC168" s="44">
        <f t="shared" si="60"/>
        <v>0</v>
      </c>
    </row>
    <row r="169" spans="2:29" x14ac:dyDescent="0.2">
      <c r="B169" s="206"/>
      <c r="K169" s="44">
        <f t="shared" si="61"/>
        <v>0</v>
      </c>
      <c r="N169" s="103">
        <v>12</v>
      </c>
      <c r="O169" s="103"/>
      <c r="P169" s="103"/>
      <c r="Q169" s="103"/>
      <c r="R169" s="103"/>
      <c r="Z169" s="197">
        <f t="shared" si="56"/>
        <v>0</v>
      </c>
      <c r="AA169" s="44">
        <f t="shared" si="58"/>
        <v>0</v>
      </c>
      <c r="AB169" s="44">
        <f t="shared" si="59"/>
        <v>0</v>
      </c>
      <c r="AC169" s="44">
        <f t="shared" si="60"/>
        <v>0</v>
      </c>
    </row>
    <row r="170" spans="2:29" x14ac:dyDescent="0.2">
      <c r="B170" s="206"/>
      <c r="K170" s="44">
        <f t="shared" si="61"/>
        <v>0</v>
      </c>
      <c r="N170" s="103">
        <v>12</v>
      </c>
      <c r="O170" s="103"/>
      <c r="P170" s="103"/>
      <c r="Q170" s="103"/>
      <c r="R170" s="103"/>
      <c r="Z170" s="197">
        <f t="shared" si="56"/>
        <v>0</v>
      </c>
      <c r="AA170" s="44">
        <f t="shared" si="58"/>
        <v>0</v>
      </c>
      <c r="AB170" s="44">
        <f t="shared" si="59"/>
        <v>0</v>
      </c>
      <c r="AC170" s="44">
        <f t="shared" si="60"/>
        <v>0</v>
      </c>
    </row>
    <row r="171" spans="2:29" x14ac:dyDescent="0.2">
      <c r="B171" s="206"/>
      <c r="K171" s="44">
        <f t="shared" si="61"/>
        <v>0</v>
      </c>
      <c r="N171" s="103">
        <v>12</v>
      </c>
      <c r="O171" s="103"/>
      <c r="P171" s="103"/>
      <c r="Q171" s="103"/>
      <c r="R171" s="103"/>
      <c r="Z171" s="197">
        <f t="shared" si="56"/>
        <v>0</v>
      </c>
      <c r="AA171" s="44">
        <f t="shared" si="58"/>
        <v>0</v>
      </c>
      <c r="AB171" s="44">
        <f t="shared" si="59"/>
        <v>0</v>
      </c>
      <c r="AC171" s="44">
        <f t="shared" si="60"/>
        <v>0</v>
      </c>
    </row>
    <row r="172" spans="2:29" x14ac:dyDescent="0.2">
      <c r="B172" s="206"/>
      <c r="K172" s="44">
        <f t="shared" si="61"/>
        <v>0</v>
      </c>
      <c r="N172" s="103">
        <v>12</v>
      </c>
      <c r="O172" s="103"/>
      <c r="P172" s="103"/>
      <c r="Q172" s="103"/>
      <c r="R172" s="103"/>
      <c r="Z172" s="197">
        <f t="shared" si="56"/>
        <v>0</v>
      </c>
      <c r="AA172" s="44">
        <f t="shared" si="58"/>
        <v>0</v>
      </c>
      <c r="AB172" s="44">
        <f t="shared" si="59"/>
        <v>0</v>
      </c>
      <c r="AC172" s="44">
        <f t="shared" si="60"/>
        <v>0</v>
      </c>
    </row>
    <row r="173" spans="2:29" x14ac:dyDescent="0.2">
      <c r="B173" s="206"/>
      <c r="K173" s="44">
        <f t="shared" si="61"/>
        <v>0</v>
      </c>
      <c r="N173" s="103">
        <v>12</v>
      </c>
      <c r="O173" s="103"/>
      <c r="P173" s="103"/>
      <c r="Q173" s="103"/>
      <c r="R173" s="103"/>
      <c r="Z173" s="197">
        <f t="shared" si="56"/>
        <v>0</v>
      </c>
      <c r="AA173" s="44">
        <f t="shared" si="58"/>
        <v>0</v>
      </c>
      <c r="AB173" s="44">
        <f t="shared" si="59"/>
        <v>0</v>
      </c>
      <c r="AC173" s="44">
        <f t="shared" si="60"/>
        <v>0</v>
      </c>
    </row>
    <row r="174" spans="2:29" x14ac:dyDescent="0.2">
      <c r="B174" s="206"/>
      <c r="K174" s="44">
        <f t="shared" ref="K174:K189" si="62">+I174-J174</f>
        <v>0</v>
      </c>
      <c r="N174" s="103">
        <v>12</v>
      </c>
      <c r="O174" s="103"/>
      <c r="P174" s="103"/>
      <c r="Q174" s="103"/>
      <c r="R174" s="103"/>
      <c r="Z174" s="197">
        <f t="shared" si="56"/>
        <v>0</v>
      </c>
      <c r="AA174" s="44">
        <f t="shared" si="58"/>
        <v>0</v>
      </c>
      <c r="AB174" s="44">
        <f t="shared" si="59"/>
        <v>0</v>
      </c>
      <c r="AC174" s="44">
        <f t="shared" si="60"/>
        <v>0</v>
      </c>
    </row>
    <row r="175" spans="2:29" x14ac:dyDescent="0.2">
      <c r="B175" s="206"/>
      <c r="K175" s="44">
        <f t="shared" si="62"/>
        <v>0</v>
      </c>
      <c r="N175" s="103">
        <v>12</v>
      </c>
      <c r="O175" s="103"/>
      <c r="P175" s="103"/>
      <c r="Q175" s="103"/>
      <c r="R175" s="103"/>
      <c r="Z175" s="197">
        <f t="shared" si="56"/>
        <v>0</v>
      </c>
      <c r="AA175" s="44">
        <f t="shared" si="58"/>
        <v>0</v>
      </c>
      <c r="AB175" s="44">
        <f t="shared" si="59"/>
        <v>0</v>
      </c>
      <c r="AC175" s="44">
        <f t="shared" si="60"/>
        <v>0</v>
      </c>
    </row>
    <row r="176" spans="2:29" x14ac:dyDescent="0.2">
      <c r="B176" s="206"/>
      <c r="K176" s="44">
        <f t="shared" si="62"/>
        <v>0</v>
      </c>
      <c r="N176" s="103">
        <v>12</v>
      </c>
      <c r="O176" s="103"/>
      <c r="P176" s="103"/>
      <c r="Q176" s="103"/>
      <c r="R176" s="103"/>
      <c r="Z176" s="197">
        <f t="shared" si="56"/>
        <v>0</v>
      </c>
      <c r="AA176" s="44">
        <f t="shared" si="58"/>
        <v>0</v>
      </c>
      <c r="AB176" s="44">
        <f t="shared" si="59"/>
        <v>0</v>
      </c>
      <c r="AC176" s="44">
        <f t="shared" si="60"/>
        <v>0</v>
      </c>
    </row>
    <row r="177" spans="2:29" x14ac:dyDescent="0.2">
      <c r="B177" s="206"/>
      <c r="K177" s="44">
        <f t="shared" si="62"/>
        <v>0</v>
      </c>
      <c r="N177" s="103">
        <v>12</v>
      </c>
      <c r="O177" s="103"/>
      <c r="P177" s="103"/>
      <c r="Q177" s="103"/>
      <c r="R177" s="103"/>
      <c r="Z177" s="197">
        <f t="shared" si="56"/>
        <v>0</v>
      </c>
      <c r="AA177" s="44">
        <f t="shared" si="58"/>
        <v>0</v>
      </c>
      <c r="AB177" s="44">
        <f t="shared" si="59"/>
        <v>0</v>
      </c>
      <c r="AC177" s="44">
        <f t="shared" si="60"/>
        <v>0</v>
      </c>
    </row>
    <row r="178" spans="2:29" x14ac:dyDescent="0.2">
      <c r="B178" s="206"/>
      <c r="K178" s="44">
        <f t="shared" si="62"/>
        <v>0</v>
      </c>
      <c r="N178" s="103">
        <v>12</v>
      </c>
      <c r="O178" s="103"/>
      <c r="P178" s="103"/>
      <c r="Q178" s="103"/>
      <c r="R178" s="103"/>
      <c r="Z178" s="197">
        <f t="shared" si="56"/>
        <v>0</v>
      </c>
      <c r="AA178" s="44">
        <f t="shared" si="58"/>
        <v>0</v>
      </c>
      <c r="AB178" s="44">
        <f t="shared" si="59"/>
        <v>0</v>
      </c>
      <c r="AC178" s="44">
        <f t="shared" si="60"/>
        <v>0</v>
      </c>
    </row>
    <row r="179" spans="2:29" x14ac:dyDescent="0.2">
      <c r="B179" s="206"/>
      <c r="K179" s="44">
        <f t="shared" si="62"/>
        <v>0</v>
      </c>
      <c r="N179" s="103">
        <v>12</v>
      </c>
      <c r="O179" s="103"/>
      <c r="P179" s="103"/>
      <c r="Q179" s="103"/>
      <c r="R179" s="103"/>
      <c r="Z179" s="197">
        <f t="shared" si="56"/>
        <v>0</v>
      </c>
      <c r="AA179" s="44">
        <f t="shared" si="58"/>
        <v>0</v>
      </c>
      <c r="AB179" s="44">
        <f t="shared" si="59"/>
        <v>0</v>
      </c>
      <c r="AC179" s="44">
        <f t="shared" si="60"/>
        <v>0</v>
      </c>
    </row>
    <row r="180" spans="2:29" x14ac:dyDescent="0.2">
      <c r="B180" s="206"/>
      <c r="K180" s="44">
        <f t="shared" si="62"/>
        <v>0</v>
      </c>
      <c r="N180" s="103">
        <v>12</v>
      </c>
      <c r="O180" s="103"/>
      <c r="P180" s="103"/>
      <c r="Q180" s="103"/>
      <c r="R180" s="103"/>
      <c r="Z180" s="197">
        <f t="shared" si="56"/>
        <v>0</v>
      </c>
      <c r="AA180" s="44">
        <f t="shared" si="58"/>
        <v>0</v>
      </c>
      <c r="AB180" s="44">
        <f t="shared" si="59"/>
        <v>0</v>
      </c>
      <c r="AC180" s="44">
        <f t="shared" si="60"/>
        <v>0</v>
      </c>
    </row>
    <row r="181" spans="2:29" x14ac:dyDescent="0.2">
      <c r="B181" s="206"/>
      <c r="K181" s="44">
        <f t="shared" si="62"/>
        <v>0</v>
      </c>
      <c r="N181" s="103">
        <v>12</v>
      </c>
      <c r="O181" s="103"/>
      <c r="P181" s="103"/>
      <c r="Q181" s="103"/>
      <c r="R181" s="103"/>
      <c r="Z181" s="197">
        <f t="shared" si="56"/>
        <v>0</v>
      </c>
      <c r="AA181" s="44">
        <f t="shared" si="58"/>
        <v>0</v>
      </c>
      <c r="AB181" s="44">
        <f t="shared" si="59"/>
        <v>0</v>
      </c>
      <c r="AC181" s="44">
        <f t="shared" si="60"/>
        <v>0</v>
      </c>
    </row>
    <row r="182" spans="2:29" x14ac:dyDescent="0.2">
      <c r="B182" s="206"/>
      <c r="K182" s="44">
        <f t="shared" si="62"/>
        <v>0</v>
      </c>
      <c r="N182" s="103">
        <v>12</v>
      </c>
      <c r="O182" s="103"/>
      <c r="P182" s="103"/>
      <c r="Q182" s="103"/>
      <c r="R182" s="103"/>
      <c r="Z182" s="197">
        <f t="shared" si="56"/>
        <v>0</v>
      </c>
      <c r="AA182" s="44">
        <f t="shared" si="58"/>
        <v>0</v>
      </c>
      <c r="AB182" s="44">
        <f t="shared" si="59"/>
        <v>0</v>
      </c>
      <c r="AC182" s="44">
        <f t="shared" si="60"/>
        <v>0</v>
      </c>
    </row>
    <row r="183" spans="2:29" x14ac:dyDescent="0.2">
      <c r="B183" s="206"/>
      <c r="K183" s="44">
        <f t="shared" si="62"/>
        <v>0</v>
      </c>
      <c r="N183" s="103">
        <v>12</v>
      </c>
      <c r="O183" s="103"/>
      <c r="P183" s="103"/>
      <c r="Q183" s="103"/>
      <c r="R183" s="103"/>
      <c r="Z183" s="197">
        <f t="shared" si="56"/>
        <v>0</v>
      </c>
      <c r="AA183" s="44">
        <f t="shared" si="58"/>
        <v>0</v>
      </c>
      <c r="AB183" s="44">
        <f t="shared" si="59"/>
        <v>0</v>
      </c>
      <c r="AC183" s="44">
        <f t="shared" si="60"/>
        <v>0</v>
      </c>
    </row>
    <row r="184" spans="2:29" x14ac:dyDescent="0.2">
      <c r="B184" s="206"/>
      <c r="K184" s="44">
        <f t="shared" si="62"/>
        <v>0</v>
      </c>
      <c r="N184" s="103">
        <v>12</v>
      </c>
      <c r="O184" s="103"/>
      <c r="P184" s="103"/>
      <c r="Q184" s="103"/>
      <c r="R184" s="103"/>
      <c r="Z184" s="197">
        <f t="shared" si="56"/>
        <v>0</v>
      </c>
      <c r="AA184" s="44">
        <f t="shared" si="58"/>
        <v>0</v>
      </c>
      <c r="AB184" s="44">
        <f t="shared" si="59"/>
        <v>0</v>
      </c>
      <c r="AC184" s="44">
        <f t="shared" si="60"/>
        <v>0</v>
      </c>
    </row>
    <row r="185" spans="2:29" x14ac:dyDescent="0.2">
      <c r="B185" s="206"/>
      <c r="K185" s="44">
        <f t="shared" si="62"/>
        <v>0</v>
      </c>
      <c r="N185" s="103">
        <v>12</v>
      </c>
      <c r="O185" s="103"/>
      <c r="P185" s="103"/>
      <c r="Q185" s="103"/>
      <c r="R185" s="103"/>
      <c r="Z185" s="197">
        <f t="shared" si="56"/>
        <v>0</v>
      </c>
      <c r="AA185" s="44">
        <f t="shared" si="58"/>
        <v>0</v>
      </c>
      <c r="AB185" s="44">
        <f t="shared" si="59"/>
        <v>0</v>
      </c>
      <c r="AC185" s="44">
        <f t="shared" si="60"/>
        <v>0</v>
      </c>
    </row>
    <row r="186" spans="2:29" x14ac:dyDescent="0.2">
      <c r="B186" s="206"/>
      <c r="K186" s="44">
        <f t="shared" si="62"/>
        <v>0</v>
      </c>
      <c r="N186" s="103">
        <v>12</v>
      </c>
      <c r="O186" s="103"/>
      <c r="P186" s="103"/>
      <c r="Q186" s="103"/>
      <c r="R186" s="103"/>
      <c r="Z186" s="197">
        <f t="shared" si="56"/>
        <v>0</v>
      </c>
      <c r="AA186" s="44">
        <f t="shared" si="58"/>
        <v>0</v>
      </c>
      <c r="AB186" s="44">
        <f t="shared" si="59"/>
        <v>0</v>
      </c>
      <c r="AC186" s="44">
        <f t="shared" si="60"/>
        <v>0</v>
      </c>
    </row>
    <row r="187" spans="2:29" x14ac:dyDescent="0.2">
      <c r="B187" s="206"/>
      <c r="K187" s="44">
        <f t="shared" si="62"/>
        <v>0</v>
      </c>
      <c r="N187" s="103">
        <v>12</v>
      </c>
      <c r="O187" s="103"/>
      <c r="P187" s="103"/>
      <c r="Q187" s="103"/>
      <c r="R187" s="103"/>
      <c r="Z187" s="197">
        <f t="shared" si="56"/>
        <v>0</v>
      </c>
      <c r="AA187" s="44">
        <f t="shared" si="58"/>
        <v>0</v>
      </c>
      <c r="AB187" s="44">
        <f t="shared" si="59"/>
        <v>0</v>
      </c>
      <c r="AC187" s="44">
        <f t="shared" si="60"/>
        <v>0</v>
      </c>
    </row>
    <row r="188" spans="2:29" x14ac:dyDescent="0.2">
      <c r="B188" s="206"/>
      <c r="K188" s="44">
        <f t="shared" si="62"/>
        <v>0</v>
      </c>
      <c r="N188" s="103">
        <v>12</v>
      </c>
      <c r="O188" s="103"/>
      <c r="P188" s="103"/>
      <c r="Q188" s="103"/>
      <c r="R188" s="103"/>
      <c r="Z188" s="197">
        <f t="shared" si="56"/>
        <v>0</v>
      </c>
      <c r="AA188" s="44">
        <f t="shared" si="58"/>
        <v>0</v>
      </c>
      <c r="AB188" s="44">
        <f t="shared" si="59"/>
        <v>0</v>
      </c>
      <c r="AC188" s="44">
        <f t="shared" si="60"/>
        <v>0</v>
      </c>
    </row>
    <row r="189" spans="2:29" x14ac:dyDescent="0.2">
      <c r="B189" s="206"/>
      <c r="K189" s="44">
        <f t="shared" si="62"/>
        <v>0</v>
      </c>
      <c r="N189" s="103">
        <v>12</v>
      </c>
      <c r="O189" s="103"/>
      <c r="P189" s="103"/>
      <c r="Q189" s="103"/>
      <c r="R189" s="103"/>
      <c r="Z189" s="197">
        <f t="shared" si="56"/>
        <v>0</v>
      </c>
      <c r="AA189" s="44">
        <f t="shared" si="58"/>
        <v>0</v>
      </c>
      <c r="AB189" s="44">
        <f t="shared" si="59"/>
        <v>0</v>
      </c>
      <c r="AC189" s="44">
        <f t="shared" si="60"/>
        <v>0</v>
      </c>
    </row>
    <row r="190" spans="2:29" x14ac:dyDescent="0.2">
      <c r="B190" s="206"/>
      <c r="K190" s="44">
        <f t="shared" si="61"/>
        <v>0</v>
      </c>
      <c r="N190" s="103">
        <v>12</v>
      </c>
      <c r="O190" s="103"/>
      <c r="P190" s="103"/>
      <c r="Q190" s="103"/>
      <c r="R190" s="103"/>
      <c r="Z190" s="197">
        <f t="shared" si="56"/>
        <v>0</v>
      </c>
      <c r="AA190" s="44">
        <f t="shared" si="58"/>
        <v>0</v>
      </c>
      <c r="AB190" s="44">
        <f t="shared" si="59"/>
        <v>0</v>
      </c>
      <c r="AC190" s="44">
        <f t="shared" si="60"/>
        <v>0</v>
      </c>
    </row>
    <row r="192" spans="2:29" ht="13.5" thickBot="1" x14ac:dyDescent="0.25">
      <c r="C192" s="44" t="s">
        <v>383</v>
      </c>
      <c r="I192" s="52">
        <f>SUM(I154:I191)</f>
        <v>0</v>
      </c>
      <c r="J192" s="52">
        <f>SUM(J154:J191)</f>
        <v>0</v>
      </c>
      <c r="K192" s="52">
        <f>SUM(K154:K191)</f>
        <v>0</v>
      </c>
      <c r="L192" s="52">
        <f>SUM(L154:L191)</f>
        <v>0</v>
      </c>
      <c r="M192" s="52"/>
      <c r="N192" s="52"/>
      <c r="O192" s="52"/>
      <c r="P192" s="52"/>
      <c r="Q192" s="52">
        <f t="shared" ref="Q192:AC192" si="63">SUM(Q154:Q191)</f>
        <v>0</v>
      </c>
      <c r="R192" s="52">
        <f t="shared" si="63"/>
        <v>0</v>
      </c>
      <c r="S192" s="52">
        <f t="shared" si="63"/>
        <v>0</v>
      </c>
      <c r="T192" s="52">
        <f t="shared" si="63"/>
        <v>0</v>
      </c>
      <c r="U192" s="52"/>
      <c r="V192" s="52">
        <f t="shared" si="63"/>
        <v>0</v>
      </c>
      <c r="W192" s="52">
        <f t="shared" si="63"/>
        <v>0</v>
      </c>
      <c r="X192" s="52">
        <f t="shared" si="63"/>
        <v>0</v>
      </c>
      <c r="Y192" s="52">
        <f t="shared" si="63"/>
        <v>0</v>
      </c>
      <c r="Z192" s="52">
        <f t="shared" si="63"/>
        <v>0</v>
      </c>
      <c r="AA192" s="52">
        <f t="shared" si="63"/>
        <v>0</v>
      </c>
      <c r="AB192" s="52">
        <f t="shared" si="63"/>
        <v>0</v>
      </c>
      <c r="AC192" s="52">
        <f t="shared" si="63"/>
        <v>0</v>
      </c>
    </row>
    <row r="193" spans="2:29" ht="13.5" thickTop="1" x14ac:dyDescent="0.2"/>
    <row r="195" spans="2:29" x14ac:dyDescent="0.2">
      <c r="B195" s="203" t="s">
        <v>384</v>
      </c>
      <c r="I195" s="334">
        <v>0.2</v>
      </c>
      <c r="J195" s="44" t="s">
        <v>299</v>
      </c>
    </row>
    <row r="196" spans="2:29" x14ac:dyDescent="0.2">
      <c r="B196" s="204"/>
      <c r="I196" s="22"/>
      <c r="J196" s="22"/>
      <c r="K196" s="22"/>
      <c r="L196" s="22"/>
      <c r="M196" s="22"/>
      <c r="N196" s="22"/>
      <c r="O196" s="22"/>
      <c r="P196" s="22"/>
      <c r="Q196" s="22"/>
      <c r="R196" s="22"/>
      <c r="S196" s="22"/>
      <c r="T196" s="22"/>
      <c r="U196" s="22"/>
      <c r="V196" s="295" t="s">
        <v>811</v>
      </c>
      <c r="W196" s="296" t="s">
        <v>818</v>
      </c>
      <c r="X196" s="297" t="s">
        <v>812</v>
      </c>
      <c r="Y196" s="22"/>
      <c r="Z196" s="22"/>
      <c r="AA196" s="22"/>
      <c r="AB196" s="22"/>
      <c r="AC196" s="22"/>
    </row>
    <row r="197" spans="2:29" x14ac:dyDescent="0.2">
      <c r="B197" s="205" t="s">
        <v>26</v>
      </c>
      <c r="C197" s="69" t="s">
        <v>261</v>
      </c>
      <c r="D197" s="69"/>
      <c r="E197" s="109"/>
      <c r="F197" s="110"/>
      <c r="G197" s="109"/>
      <c r="H197" s="109"/>
      <c r="I197" s="24" t="s">
        <v>416</v>
      </c>
      <c r="J197" s="24" t="s">
        <v>649</v>
      </c>
      <c r="K197" s="24" t="s">
        <v>648</v>
      </c>
      <c r="L197" s="24" t="s">
        <v>301</v>
      </c>
      <c r="M197" s="24"/>
      <c r="N197" s="24" t="s">
        <v>455</v>
      </c>
      <c r="O197" s="24"/>
      <c r="P197" s="24"/>
      <c r="Q197" s="24" t="s">
        <v>650</v>
      </c>
      <c r="R197" s="24" t="s">
        <v>651</v>
      </c>
      <c r="S197" s="24" t="s">
        <v>810</v>
      </c>
      <c r="T197" s="24" t="s">
        <v>652</v>
      </c>
      <c r="U197" s="24"/>
      <c r="V197" s="282" t="s">
        <v>813</v>
      </c>
      <c r="W197" s="24" t="s">
        <v>819</v>
      </c>
      <c r="X197" s="283" t="s">
        <v>814</v>
      </c>
      <c r="Y197" s="24" t="s">
        <v>628</v>
      </c>
      <c r="Z197" s="24" t="s">
        <v>647</v>
      </c>
      <c r="AA197" s="24" t="s">
        <v>416</v>
      </c>
      <c r="AB197" s="24" t="s">
        <v>649</v>
      </c>
      <c r="AC197" s="24" t="s">
        <v>648</v>
      </c>
    </row>
    <row r="199" spans="2:29" x14ac:dyDescent="0.2">
      <c r="B199" s="209"/>
      <c r="C199" s="198"/>
      <c r="D199" s="198"/>
      <c r="E199" s="198"/>
      <c r="F199" s="198"/>
      <c r="G199" s="198"/>
      <c r="H199" s="1"/>
      <c r="I199" s="73"/>
      <c r="K199" s="44">
        <f>+I199-J199</f>
        <v>0</v>
      </c>
      <c r="N199" s="103">
        <v>12</v>
      </c>
      <c r="O199" s="103"/>
      <c r="P199" s="103"/>
      <c r="Q199" s="103"/>
      <c r="R199" s="103"/>
      <c r="Z199" s="197">
        <f t="shared" ref="Z199:Z224" si="64">ROUND(IF(L199&gt;0,L199*I$195*N199/12,IF(K199=0,0,IF(I199*I$195*N199/12&gt;=K199,K199-1,I199*I$195*N199/12))),2)+Y199</f>
        <v>0</v>
      </c>
      <c r="AA199" s="44">
        <f>I199+L199-Q199</f>
        <v>0</v>
      </c>
      <c r="AB199" s="44">
        <f>J199+Z199-R199</f>
        <v>0</v>
      </c>
      <c r="AC199" s="44">
        <f>+AA199-AB199</f>
        <v>0</v>
      </c>
    </row>
    <row r="200" spans="2:29" x14ac:dyDescent="0.2">
      <c r="B200" s="57"/>
      <c r="C200" s="1"/>
      <c r="D200" s="1"/>
      <c r="E200" s="1"/>
      <c r="F200" s="1"/>
      <c r="G200" s="1"/>
      <c r="H200" s="1"/>
      <c r="I200" s="73"/>
      <c r="K200" s="44">
        <f>+I200-J200</f>
        <v>0</v>
      </c>
      <c r="N200" s="103">
        <v>12</v>
      </c>
      <c r="O200" s="103"/>
      <c r="P200" s="103"/>
      <c r="Q200" s="103"/>
      <c r="R200" s="103"/>
      <c r="Z200" s="197">
        <f t="shared" si="64"/>
        <v>0</v>
      </c>
      <c r="AA200" s="44">
        <f t="shared" ref="AA200:AA224" si="65">I200+L200-Q200</f>
        <v>0</v>
      </c>
      <c r="AB200" s="44">
        <f t="shared" ref="AB200:AB224" si="66">J200+Z200-R200</f>
        <v>0</v>
      </c>
      <c r="AC200" s="44">
        <f t="shared" ref="AC200:AC224" si="67">+AA200-AB200</f>
        <v>0</v>
      </c>
    </row>
    <row r="201" spans="2:29" x14ac:dyDescent="0.2">
      <c r="B201" s="57"/>
      <c r="C201" s="1"/>
      <c r="D201" s="1"/>
      <c r="E201" s="1"/>
      <c r="F201" s="1"/>
      <c r="G201" s="1"/>
      <c r="H201" s="1"/>
      <c r="I201" s="73"/>
      <c r="K201" s="44">
        <f>+I201-J201</f>
        <v>0</v>
      </c>
      <c r="N201" s="103">
        <v>12</v>
      </c>
      <c r="O201" s="103"/>
      <c r="P201" s="103"/>
      <c r="Q201" s="103"/>
      <c r="R201" s="103"/>
      <c r="Z201" s="197">
        <f t="shared" si="64"/>
        <v>0</v>
      </c>
      <c r="AA201" s="44">
        <f t="shared" si="65"/>
        <v>0</v>
      </c>
      <c r="AB201" s="44">
        <f t="shared" si="66"/>
        <v>0</v>
      </c>
      <c r="AC201" s="44">
        <f t="shared" si="67"/>
        <v>0</v>
      </c>
    </row>
    <row r="202" spans="2:29" x14ac:dyDescent="0.2">
      <c r="B202" s="57"/>
      <c r="C202" s="1"/>
      <c r="D202" s="1"/>
      <c r="E202" s="1"/>
      <c r="F202" s="1"/>
      <c r="G202" s="1"/>
      <c r="H202" s="1"/>
      <c r="I202" s="73"/>
      <c r="K202" s="44">
        <f t="shared" ref="K202:K223" si="68">+I202-J202</f>
        <v>0</v>
      </c>
      <c r="N202" s="103">
        <v>12</v>
      </c>
      <c r="O202" s="103"/>
      <c r="P202" s="103"/>
      <c r="Q202" s="103"/>
      <c r="R202" s="103"/>
      <c r="Z202" s="197">
        <f t="shared" si="64"/>
        <v>0</v>
      </c>
      <c r="AA202" s="44">
        <f t="shared" si="65"/>
        <v>0</v>
      </c>
      <c r="AB202" s="44">
        <f t="shared" si="66"/>
        <v>0</v>
      </c>
      <c r="AC202" s="44">
        <f t="shared" si="67"/>
        <v>0</v>
      </c>
    </row>
    <row r="203" spans="2:29" x14ac:dyDescent="0.2">
      <c r="B203" s="57"/>
      <c r="C203" s="1"/>
      <c r="D203" s="1"/>
      <c r="E203" s="1"/>
      <c r="F203" s="1"/>
      <c r="G203" s="1"/>
      <c r="H203" s="1"/>
      <c r="I203" s="73"/>
      <c r="K203" s="44">
        <f t="shared" si="68"/>
        <v>0</v>
      </c>
      <c r="N203" s="103">
        <v>12</v>
      </c>
      <c r="O203" s="103"/>
      <c r="P203" s="103"/>
      <c r="Q203" s="103"/>
      <c r="R203" s="103"/>
      <c r="Z203" s="197">
        <f t="shared" si="64"/>
        <v>0</v>
      </c>
      <c r="AA203" s="44">
        <f t="shared" si="65"/>
        <v>0</v>
      </c>
      <c r="AB203" s="44">
        <f t="shared" si="66"/>
        <v>0</v>
      </c>
      <c r="AC203" s="44">
        <f t="shared" si="67"/>
        <v>0</v>
      </c>
    </row>
    <row r="204" spans="2:29" x14ac:dyDescent="0.2">
      <c r="B204" s="57"/>
      <c r="C204" s="1"/>
      <c r="D204" s="1"/>
      <c r="E204" s="1"/>
      <c r="F204" s="1"/>
      <c r="G204" s="1"/>
      <c r="H204" s="1"/>
      <c r="I204" s="73"/>
      <c r="K204" s="44">
        <f t="shared" si="68"/>
        <v>0</v>
      </c>
      <c r="N204" s="103">
        <v>12</v>
      </c>
      <c r="O204" s="103"/>
      <c r="P204" s="103"/>
      <c r="Q204" s="103"/>
      <c r="R204" s="103"/>
      <c r="Z204" s="197">
        <f t="shared" si="64"/>
        <v>0</v>
      </c>
      <c r="AA204" s="44">
        <f t="shared" si="65"/>
        <v>0</v>
      </c>
      <c r="AB204" s="44">
        <f t="shared" si="66"/>
        <v>0</v>
      </c>
      <c r="AC204" s="44">
        <f t="shared" si="67"/>
        <v>0</v>
      </c>
    </row>
    <row r="205" spans="2:29" x14ac:dyDescent="0.2">
      <c r="B205" s="57"/>
      <c r="C205" s="1"/>
      <c r="D205" s="1"/>
      <c r="E205" s="1"/>
      <c r="F205" s="1"/>
      <c r="G205" s="1"/>
      <c r="H205" s="1"/>
      <c r="I205" s="73"/>
      <c r="K205" s="44">
        <f t="shared" si="68"/>
        <v>0</v>
      </c>
      <c r="N205" s="103">
        <v>12</v>
      </c>
      <c r="O205" s="103"/>
      <c r="P205" s="103"/>
      <c r="Q205" s="103"/>
      <c r="R205" s="103"/>
      <c r="Z205" s="197">
        <f t="shared" si="64"/>
        <v>0</v>
      </c>
      <c r="AA205" s="44">
        <f t="shared" si="65"/>
        <v>0</v>
      </c>
      <c r="AB205" s="44">
        <f t="shared" si="66"/>
        <v>0</v>
      </c>
      <c r="AC205" s="44">
        <f t="shared" si="67"/>
        <v>0</v>
      </c>
    </row>
    <row r="206" spans="2:29" x14ac:dyDescent="0.2">
      <c r="B206" s="57"/>
      <c r="C206" s="1"/>
      <c r="D206" s="1"/>
      <c r="E206" s="1"/>
      <c r="F206" s="1"/>
      <c r="G206" s="1"/>
      <c r="H206" s="1"/>
      <c r="I206" s="73"/>
      <c r="K206" s="44">
        <f t="shared" si="68"/>
        <v>0</v>
      </c>
      <c r="N206" s="103">
        <v>12</v>
      </c>
      <c r="O206" s="103"/>
      <c r="P206" s="103"/>
      <c r="Q206" s="103"/>
      <c r="R206" s="103"/>
      <c r="Z206" s="197">
        <f t="shared" si="64"/>
        <v>0</v>
      </c>
      <c r="AA206" s="44">
        <f t="shared" si="65"/>
        <v>0</v>
      </c>
      <c r="AB206" s="44">
        <f t="shared" si="66"/>
        <v>0</v>
      </c>
      <c r="AC206" s="44">
        <f t="shared" si="67"/>
        <v>0</v>
      </c>
    </row>
    <row r="207" spans="2:29" x14ac:dyDescent="0.2">
      <c r="B207" s="57"/>
      <c r="C207" s="1"/>
      <c r="D207" s="1"/>
      <c r="E207" s="1"/>
      <c r="F207" s="1"/>
      <c r="G207" s="1"/>
      <c r="H207" s="1"/>
      <c r="I207" s="73"/>
      <c r="K207" s="44">
        <f t="shared" si="68"/>
        <v>0</v>
      </c>
      <c r="N207" s="103">
        <v>12</v>
      </c>
      <c r="O207" s="103"/>
      <c r="P207" s="103"/>
      <c r="Q207" s="103"/>
      <c r="R207" s="103"/>
      <c r="Z207" s="197">
        <f t="shared" si="64"/>
        <v>0</v>
      </c>
      <c r="AA207" s="44">
        <f t="shared" si="65"/>
        <v>0</v>
      </c>
      <c r="AB207" s="44">
        <f t="shared" si="66"/>
        <v>0</v>
      </c>
      <c r="AC207" s="44">
        <f t="shared" si="67"/>
        <v>0</v>
      </c>
    </row>
    <row r="208" spans="2:29" x14ac:dyDescent="0.2">
      <c r="B208" s="57"/>
      <c r="C208" s="1"/>
      <c r="D208" s="1"/>
      <c r="E208" s="1"/>
      <c r="F208" s="1"/>
      <c r="G208" s="1"/>
      <c r="H208" s="1"/>
      <c r="I208" s="73"/>
      <c r="K208" s="44">
        <f t="shared" si="68"/>
        <v>0</v>
      </c>
      <c r="N208" s="103">
        <v>12</v>
      </c>
      <c r="O208" s="103"/>
      <c r="P208" s="103"/>
      <c r="Q208" s="103"/>
      <c r="R208" s="103"/>
      <c r="Z208" s="197">
        <f t="shared" si="64"/>
        <v>0</v>
      </c>
      <c r="AA208" s="44">
        <f t="shared" si="65"/>
        <v>0</v>
      </c>
      <c r="AB208" s="44">
        <f t="shared" si="66"/>
        <v>0</v>
      </c>
      <c r="AC208" s="44">
        <f t="shared" si="67"/>
        <v>0</v>
      </c>
    </row>
    <row r="209" spans="2:29" x14ac:dyDescent="0.2">
      <c r="B209" s="57"/>
      <c r="C209" s="1"/>
      <c r="D209" s="1"/>
      <c r="E209" s="1"/>
      <c r="F209" s="1"/>
      <c r="G209" s="1"/>
      <c r="H209" s="1"/>
      <c r="I209" s="73"/>
      <c r="K209" s="44">
        <f t="shared" si="68"/>
        <v>0</v>
      </c>
      <c r="N209" s="103">
        <v>12</v>
      </c>
      <c r="O209" s="103"/>
      <c r="P209" s="103"/>
      <c r="Q209" s="103"/>
      <c r="R209" s="103"/>
      <c r="Z209" s="197">
        <f t="shared" si="64"/>
        <v>0</v>
      </c>
      <c r="AA209" s="44">
        <f t="shared" si="65"/>
        <v>0</v>
      </c>
      <c r="AB209" s="44">
        <f t="shared" si="66"/>
        <v>0</v>
      </c>
      <c r="AC209" s="44">
        <f t="shared" si="67"/>
        <v>0</v>
      </c>
    </row>
    <row r="210" spans="2:29" x14ac:dyDescent="0.2">
      <c r="B210" s="57"/>
      <c r="C210" s="1"/>
      <c r="D210" s="1"/>
      <c r="E210" s="1"/>
      <c r="F210" s="1"/>
      <c r="G210" s="1"/>
      <c r="H210" s="1"/>
      <c r="I210" s="73"/>
      <c r="K210" s="44">
        <f t="shared" si="68"/>
        <v>0</v>
      </c>
      <c r="N210" s="103">
        <v>12</v>
      </c>
      <c r="O210" s="103"/>
      <c r="P210" s="103"/>
      <c r="Q210" s="103"/>
      <c r="R210" s="103"/>
      <c r="Z210" s="197">
        <f t="shared" si="64"/>
        <v>0</v>
      </c>
      <c r="AA210" s="44">
        <f t="shared" si="65"/>
        <v>0</v>
      </c>
      <c r="AB210" s="44">
        <f t="shared" si="66"/>
        <v>0</v>
      </c>
      <c r="AC210" s="44">
        <f t="shared" si="67"/>
        <v>0</v>
      </c>
    </row>
    <row r="211" spans="2:29" x14ac:dyDescent="0.2">
      <c r="B211" s="57"/>
      <c r="C211" s="1"/>
      <c r="D211" s="1"/>
      <c r="E211" s="1"/>
      <c r="F211" s="1"/>
      <c r="G211" s="1"/>
      <c r="H211" s="1"/>
      <c r="I211" s="73"/>
      <c r="K211" s="44">
        <f t="shared" si="68"/>
        <v>0</v>
      </c>
      <c r="N211" s="103">
        <v>12</v>
      </c>
      <c r="O211" s="103"/>
      <c r="P211" s="103"/>
      <c r="Q211" s="103"/>
      <c r="R211" s="103"/>
      <c r="Z211" s="197">
        <f t="shared" si="64"/>
        <v>0</v>
      </c>
      <c r="AA211" s="44">
        <f t="shared" si="65"/>
        <v>0</v>
      </c>
      <c r="AB211" s="44">
        <f t="shared" si="66"/>
        <v>0</v>
      </c>
      <c r="AC211" s="44">
        <f t="shared" si="67"/>
        <v>0</v>
      </c>
    </row>
    <row r="212" spans="2:29" x14ac:dyDescent="0.2">
      <c r="B212" s="57"/>
      <c r="C212" s="1"/>
      <c r="D212" s="1"/>
      <c r="E212" s="1"/>
      <c r="F212" s="1"/>
      <c r="G212" s="1"/>
      <c r="H212" s="1"/>
      <c r="I212" s="73"/>
      <c r="K212" s="44">
        <f t="shared" si="68"/>
        <v>0</v>
      </c>
      <c r="N212" s="103">
        <v>12</v>
      </c>
      <c r="O212" s="103"/>
      <c r="P212" s="103"/>
      <c r="Q212" s="103"/>
      <c r="R212" s="103"/>
      <c r="Z212" s="197">
        <f t="shared" si="64"/>
        <v>0</v>
      </c>
      <c r="AA212" s="44">
        <f t="shared" si="65"/>
        <v>0</v>
      </c>
      <c r="AB212" s="44">
        <f t="shared" si="66"/>
        <v>0</v>
      </c>
      <c r="AC212" s="44">
        <f t="shared" si="67"/>
        <v>0</v>
      </c>
    </row>
    <row r="213" spans="2:29" x14ac:dyDescent="0.2">
      <c r="B213" s="57"/>
      <c r="C213" s="1"/>
      <c r="D213" s="1"/>
      <c r="E213" s="1"/>
      <c r="F213" s="1"/>
      <c r="G213" s="1"/>
      <c r="H213" s="1"/>
      <c r="I213" s="73"/>
      <c r="K213" s="44">
        <f t="shared" si="68"/>
        <v>0</v>
      </c>
      <c r="N213" s="103">
        <v>12</v>
      </c>
      <c r="O213" s="103"/>
      <c r="P213" s="103"/>
      <c r="Q213" s="103"/>
      <c r="R213" s="103"/>
      <c r="Z213" s="197">
        <f t="shared" si="64"/>
        <v>0</v>
      </c>
      <c r="AA213" s="44">
        <f t="shared" si="65"/>
        <v>0</v>
      </c>
      <c r="AB213" s="44">
        <f t="shared" si="66"/>
        <v>0</v>
      </c>
      <c r="AC213" s="44">
        <f t="shared" si="67"/>
        <v>0</v>
      </c>
    </row>
    <row r="214" spans="2:29" x14ac:dyDescent="0.2">
      <c r="B214" s="57"/>
      <c r="C214" s="1"/>
      <c r="D214" s="1"/>
      <c r="E214" s="1"/>
      <c r="F214" s="1"/>
      <c r="G214" s="1"/>
      <c r="H214" s="1"/>
      <c r="I214" s="73"/>
      <c r="K214" s="44">
        <f t="shared" si="68"/>
        <v>0</v>
      </c>
      <c r="N214" s="103">
        <v>12</v>
      </c>
      <c r="O214" s="103"/>
      <c r="P214" s="103"/>
      <c r="Q214" s="103"/>
      <c r="R214" s="103"/>
      <c r="Z214" s="197">
        <f t="shared" si="64"/>
        <v>0</v>
      </c>
      <c r="AA214" s="44">
        <f t="shared" si="65"/>
        <v>0</v>
      </c>
      <c r="AB214" s="44">
        <f t="shared" si="66"/>
        <v>0</v>
      </c>
      <c r="AC214" s="44">
        <f t="shared" si="67"/>
        <v>0</v>
      </c>
    </row>
    <row r="215" spans="2:29" x14ac:dyDescent="0.2">
      <c r="B215" s="57"/>
      <c r="C215" s="1"/>
      <c r="D215" s="1"/>
      <c r="E215" s="1"/>
      <c r="F215" s="1"/>
      <c r="G215" s="1"/>
      <c r="H215" s="1"/>
      <c r="I215" s="73"/>
      <c r="K215" s="44">
        <f t="shared" si="68"/>
        <v>0</v>
      </c>
      <c r="N215" s="103">
        <v>12</v>
      </c>
      <c r="O215" s="103"/>
      <c r="P215" s="103"/>
      <c r="Q215" s="103"/>
      <c r="R215" s="103"/>
      <c r="Z215" s="197">
        <f t="shared" si="64"/>
        <v>0</v>
      </c>
      <c r="AA215" s="44">
        <f t="shared" si="65"/>
        <v>0</v>
      </c>
      <c r="AB215" s="44">
        <f t="shared" si="66"/>
        <v>0</v>
      </c>
      <c r="AC215" s="44">
        <f t="shared" si="67"/>
        <v>0</v>
      </c>
    </row>
    <row r="216" spans="2:29" x14ac:dyDescent="0.2">
      <c r="B216" s="57"/>
      <c r="C216" s="1"/>
      <c r="D216" s="1"/>
      <c r="E216" s="1"/>
      <c r="F216" s="1"/>
      <c r="G216" s="1"/>
      <c r="H216" s="1"/>
      <c r="I216" s="73"/>
      <c r="K216" s="44">
        <f t="shared" si="68"/>
        <v>0</v>
      </c>
      <c r="N216" s="103">
        <v>12</v>
      </c>
      <c r="O216" s="103"/>
      <c r="P216" s="103"/>
      <c r="Q216" s="103"/>
      <c r="R216" s="103"/>
      <c r="Z216" s="197">
        <f t="shared" si="64"/>
        <v>0</v>
      </c>
      <c r="AA216" s="44">
        <f t="shared" si="65"/>
        <v>0</v>
      </c>
      <c r="AB216" s="44">
        <f t="shared" si="66"/>
        <v>0</v>
      </c>
      <c r="AC216" s="44">
        <f t="shared" si="67"/>
        <v>0</v>
      </c>
    </row>
    <row r="217" spans="2:29" x14ac:dyDescent="0.2">
      <c r="B217" s="57"/>
      <c r="C217" s="1"/>
      <c r="D217" s="1"/>
      <c r="E217" s="1"/>
      <c r="F217" s="1"/>
      <c r="G217" s="1"/>
      <c r="H217" s="1"/>
      <c r="I217" s="73"/>
      <c r="K217" s="44">
        <f t="shared" si="68"/>
        <v>0</v>
      </c>
      <c r="N217" s="103">
        <v>12</v>
      </c>
      <c r="O217" s="103"/>
      <c r="P217" s="103"/>
      <c r="Q217" s="103"/>
      <c r="R217" s="103"/>
      <c r="Z217" s="197">
        <f t="shared" si="64"/>
        <v>0</v>
      </c>
      <c r="AA217" s="44">
        <f t="shared" si="65"/>
        <v>0</v>
      </c>
      <c r="AB217" s="44">
        <f t="shared" si="66"/>
        <v>0</v>
      </c>
      <c r="AC217" s="44">
        <f t="shared" si="67"/>
        <v>0</v>
      </c>
    </row>
    <row r="218" spans="2:29" x14ac:dyDescent="0.2">
      <c r="B218" s="57"/>
      <c r="C218" s="1"/>
      <c r="D218" s="1"/>
      <c r="E218" s="1"/>
      <c r="F218" s="1"/>
      <c r="G218" s="1"/>
      <c r="H218" s="1"/>
      <c r="I218" s="73"/>
      <c r="K218" s="44">
        <f t="shared" si="68"/>
        <v>0</v>
      </c>
      <c r="N218" s="103">
        <v>12</v>
      </c>
      <c r="O218" s="103"/>
      <c r="P218" s="103"/>
      <c r="Q218" s="103"/>
      <c r="R218" s="103"/>
      <c r="Z218" s="197">
        <f t="shared" si="64"/>
        <v>0</v>
      </c>
      <c r="AA218" s="44">
        <f t="shared" si="65"/>
        <v>0</v>
      </c>
      <c r="AB218" s="44">
        <f t="shared" si="66"/>
        <v>0</v>
      </c>
      <c r="AC218" s="44">
        <f t="shared" si="67"/>
        <v>0</v>
      </c>
    </row>
    <row r="219" spans="2:29" x14ac:dyDescent="0.2">
      <c r="B219" s="57"/>
      <c r="C219" s="1"/>
      <c r="D219" s="1"/>
      <c r="E219" s="1"/>
      <c r="F219" s="1"/>
      <c r="G219" s="1"/>
      <c r="H219" s="1"/>
      <c r="I219" s="73"/>
      <c r="K219" s="44">
        <f t="shared" si="68"/>
        <v>0</v>
      </c>
      <c r="N219" s="103">
        <v>12</v>
      </c>
      <c r="O219" s="103"/>
      <c r="P219" s="103"/>
      <c r="Q219" s="103"/>
      <c r="R219" s="103"/>
      <c r="Z219" s="197">
        <f t="shared" si="64"/>
        <v>0</v>
      </c>
      <c r="AA219" s="44">
        <f t="shared" si="65"/>
        <v>0</v>
      </c>
      <c r="AB219" s="44">
        <f t="shared" si="66"/>
        <v>0</v>
      </c>
      <c r="AC219" s="44">
        <f t="shared" si="67"/>
        <v>0</v>
      </c>
    </row>
    <row r="220" spans="2:29" x14ac:dyDescent="0.2">
      <c r="B220" s="57"/>
      <c r="C220" s="1"/>
      <c r="D220" s="1"/>
      <c r="E220" s="1"/>
      <c r="F220" s="1"/>
      <c r="G220" s="1"/>
      <c r="H220" s="1"/>
      <c r="I220" s="73"/>
      <c r="K220" s="44">
        <f t="shared" si="68"/>
        <v>0</v>
      </c>
      <c r="N220" s="103">
        <v>12</v>
      </c>
      <c r="O220" s="103"/>
      <c r="P220" s="103"/>
      <c r="Q220" s="103"/>
      <c r="R220" s="103"/>
      <c r="Z220" s="197">
        <f t="shared" si="64"/>
        <v>0</v>
      </c>
      <c r="AA220" s="44">
        <f t="shared" si="65"/>
        <v>0</v>
      </c>
      <c r="AB220" s="44">
        <f t="shared" si="66"/>
        <v>0</v>
      </c>
      <c r="AC220" s="44">
        <f t="shared" si="67"/>
        <v>0</v>
      </c>
    </row>
    <row r="221" spans="2:29" x14ac:dyDescent="0.2">
      <c r="B221" s="57"/>
      <c r="C221" s="1"/>
      <c r="D221" s="1"/>
      <c r="E221" s="1"/>
      <c r="F221" s="1"/>
      <c r="G221" s="1"/>
      <c r="H221" s="1"/>
      <c r="I221" s="73"/>
      <c r="K221" s="44">
        <f t="shared" si="68"/>
        <v>0</v>
      </c>
      <c r="N221" s="103">
        <v>12</v>
      </c>
      <c r="O221" s="103"/>
      <c r="P221" s="103"/>
      <c r="Q221" s="103"/>
      <c r="R221" s="103"/>
      <c r="Z221" s="197">
        <f t="shared" si="64"/>
        <v>0</v>
      </c>
      <c r="AA221" s="44">
        <f t="shared" si="65"/>
        <v>0</v>
      </c>
      <c r="AB221" s="44">
        <f t="shared" si="66"/>
        <v>0</v>
      </c>
      <c r="AC221" s="44">
        <f t="shared" si="67"/>
        <v>0</v>
      </c>
    </row>
    <row r="222" spans="2:29" x14ac:dyDescent="0.2">
      <c r="B222" s="57"/>
      <c r="C222" s="1"/>
      <c r="D222" s="1"/>
      <c r="E222" s="1"/>
      <c r="F222" s="1"/>
      <c r="G222" s="1"/>
      <c r="H222" s="1"/>
      <c r="I222" s="73"/>
      <c r="K222" s="44">
        <f t="shared" si="68"/>
        <v>0</v>
      </c>
      <c r="N222" s="103">
        <v>12</v>
      </c>
      <c r="O222" s="103"/>
      <c r="P222" s="103"/>
      <c r="Q222" s="103"/>
      <c r="R222" s="103"/>
      <c r="Z222" s="197">
        <f t="shared" si="64"/>
        <v>0</v>
      </c>
      <c r="AA222" s="44">
        <f t="shared" si="65"/>
        <v>0</v>
      </c>
      <c r="AB222" s="44">
        <f t="shared" si="66"/>
        <v>0</v>
      </c>
      <c r="AC222" s="44">
        <f t="shared" si="67"/>
        <v>0</v>
      </c>
    </row>
    <row r="223" spans="2:29" x14ac:dyDescent="0.2">
      <c r="B223" s="57"/>
      <c r="C223" s="1"/>
      <c r="D223" s="1"/>
      <c r="E223" s="1"/>
      <c r="F223" s="1"/>
      <c r="G223" s="1"/>
      <c r="H223" s="1"/>
      <c r="I223" s="73"/>
      <c r="K223" s="44">
        <f t="shared" si="68"/>
        <v>0</v>
      </c>
      <c r="N223" s="103">
        <v>12</v>
      </c>
      <c r="O223" s="103"/>
      <c r="P223" s="103"/>
      <c r="Q223" s="103"/>
      <c r="R223" s="103"/>
      <c r="Z223" s="197">
        <f t="shared" si="64"/>
        <v>0</v>
      </c>
      <c r="AA223" s="44">
        <f t="shared" si="65"/>
        <v>0</v>
      </c>
      <c r="AB223" s="44">
        <f t="shared" si="66"/>
        <v>0</v>
      </c>
      <c r="AC223" s="44">
        <f t="shared" si="67"/>
        <v>0</v>
      </c>
    </row>
    <row r="224" spans="2:29" x14ac:dyDescent="0.2">
      <c r="B224" s="57"/>
      <c r="C224" s="1"/>
      <c r="D224" s="1"/>
      <c r="E224" s="1"/>
      <c r="F224" s="1"/>
      <c r="G224" s="1"/>
      <c r="H224" s="1"/>
      <c r="I224" s="73"/>
      <c r="K224" s="44">
        <f>+I224-J224</f>
        <v>0</v>
      </c>
      <c r="N224" s="103">
        <v>12</v>
      </c>
      <c r="O224" s="103"/>
      <c r="P224" s="103"/>
      <c r="Q224" s="103"/>
      <c r="R224" s="103"/>
      <c r="Z224" s="197">
        <f t="shared" si="64"/>
        <v>0</v>
      </c>
      <c r="AA224" s="44">
        <f t="shared" si="65"/>
        <v>0</v>
      </c>
      <c r="AB224" s="44">
        <f t="shared" si="66"/>
        <v>0</v>
      </c>
      <c r="AC224" s="44">
        <f t="shared" si="67"/>
        <v>0</v>
      </c>
    </row>
    <row r="226" spans="2:29" ht="13.5" thickBot="1" x14ac:dyDescent="0.25">
      <c r="C226" s="44" t="s">
        <v>383</v>
      </c>
      <c r="I226" s="52">
        <f>SUM(I198:I225)</f>
        <v>0</v>
      </c>
      <c r="J226" s="52">
        <f>SUM(J198:J225)</f>
        <v>0</v>
      </c>
      <c r="K226" s="52">
        <f>SUM(K198:K225)</f>
        <v>0</v>
      </c>
      <c r="L226" s="52">
        <f>SUM(L198:L225)</f>
        <v>0</v>
      </c>
      <c r="M226" s="52"/>
      <c r="N226" s="52"/>
      <c r="O226" s="52"/>
      <c r="P226" s="52"/>
      <c r="Q226" s="52">
        <f t="shared" ref="Q226:AC226" si="69">SUM(Q198:Q225)</f>
        <v>0</v>
      </c>
      <c r="R226" s="52">
        <f t="shared" si="69"/>
        <v>0</v>
      </c>
      <c r="S226" s="52">
        <f t="shared" si="69"/>
        <v>0</v>
      </c>
      <c r="T226" s="52">
        <f t="shared" si="69"/>
        <v>0</v>
      </c>
      <c r="U226" s="52"/>
      <c r="V226" s="52">
        <f t="shared" si="69"/>
        <v>0</v>
      </c>
      <c r="W226" s="52">
        <f t="shared" si="69"/>
        <v>0</v>
      </c>
      <c r="X226" s="52">
        <f t="shared" si="69"/>
        <v>0</v>
      </c>
      <c r="Y226" s="52">
        <f t="shared" si="69"/>
        <v>0</v>
      </c>
      <c r="Z226" s="52">
        <f t="shared" si="69"/>
        <v>0</v>
      </c>
      <c r="AA226" s="52">
        <f t="shared" si="69"/>
        <v>0</v>
      </c>
      <c r="AB226" s="52">
        <f t="shared" si="69"/>
        <v>0</v>
      </c>
      <c r="AC226" s="52">
        <f t="shared" si="69"/>
        <v>0</v>
      </c>
    </row>
    <row r="227" spans="2:29" ht="13.5" thickTop="1" x14ac:dyDescent="0.2"/>
    <row r="229" spans="2:29" x14ac:dyDescent="0.2">
      <c r="B229" s="203" t="s">
        <v>385</v>
      </c>
      <c r="I229" s="334">
        <v>0.33339999999999997</v>
      </c>
      <c r="J229" s="44" t="s">
        <v>299</v>
      </c>
    </row>
    <row r="230" spans="2:29" x14ac:dyDescent="0.2">
      <c r="B230" s="204"/>
      <c r="I230" s="22"/>
      <c r="J230" s="22"/>
      <c r="K230" s="22"/>
      <c r="L230" s="22"/>
      <c r="M230" s="22"/>
      <c r="N230" s="22"/>
      <c r="O230" s="22"/>
      <c r="P230" s="22"/>
      <c r="Q230" s="22"/>
      <c r="R230" s="22"/>
      <c r="S230" s="22"/>
      <c r="T230" s="22"/>
      <c r="U230" s="22"/>
      <c r="V230" s="295" t="s">
        <v>811</v>
      </c>
      <c r="W230" s="296" t="s">
        <v>818</v>
      </c>
      <c r="X230" s="297" t="s">
        <v>812</v>
      </c>
      <c r="Y230" s="22"/>
      <c r="Z230" s="22"/>
      <c r="AA230" s="22"/>
      <c r="AB230" s="22"/>
      <c r="AC230" s="22"/>
    </row>
    <row r="231" spans="2:29" x14ac:dyDescent="0.2">
      <c r="B231" s="205" t="s">
        <v>26</v>
      </c>
      <c r="C231" s="69" t="s">
        <v>261</v>
      </c>
      <c r="D231" s="69"/>
      <c r="E231" s="109"/>
      <c r="F231" s="110"/>
      <c r="G231" s="109"/>
      <c r="H231" s="109"/>
      <c r="I231" s="24" t="s">
        <v>416</v>
      </c>
      <c r="J231" s="24" t="s">
        <v>649</v>
      </c>
      <c r="K231" s="24" t="s">
        <v>648</v>
      </c>
      <c r="L231" s="24" t="s">
        <v>301</v>
      </c>
      <c r="M231" s="24"/>
      <c r="N231" s="24" t="s">
        <v>455</v>
      </c>
      <c r="O231" s="24"/>
      <c r="P231" s="24"/>
      <c r="Q231" s="24" t="s">
        <v>650</v>
      </c>
      <c r="R231" s="24" t="s">
        <v>651</v>
      </c>
      <c r="S231" s="24" t="s">
        <v>810</v>
      </c>
      <c r="T231" s="24" t="s">
        <v>652</v>
      </c>
      <c r="U231" s="24"/>
      <c r="V231" s="282" t="s">
        <v>813</v>
      </c>
      <c r="W231" s="24" t="s">
        <v>819</v>
      </c>
      <c r="X231" s="283" t="s">
        <v>814</v>
      </c>
      <c r="Y231" s="24" t="s">
        <v>628</v>
      </c>
      <c r="Z231" s="24" t="s">
        <v>647</v>
      </c>
      <c r="AA231" s="24" t="s">
        <v>416</v>
      </c>
      <c r="AB231" s="24" t="s">
        <v>649</v>
      </c>
      <c r="AC231" s="24" t="s">
        <v>648</v>
      </c>
    </row>
    <row r="233" spans="2:29" x14ac:dyDescent="0.2">
      <c r="B233" s="92"/>
      <c r="C233" s="1"/>
      <c r="D233" s="1"/>
      <c r="E233" s="1"/>
      <c r="F233" s="1"/>
      <c r="G233" s="1"/>
      <c r="H233" s="18"/>
      <c r="I233" s="103"/>
      <c r="K233" s="44">
        <f>+I233-J233</f>
        <v>0</v>
      </c>
      <c r="L233" s="103"/>
      <c r="M233" s="103"/>
      <c r="N233" s="103">
        <v>12</v>
      </c>
      <c r="O233" s="103"/>
      <c r="P233" s="103"/>
      <c r="Q233" s="103"/>
      <c r="R233" s="103"/>
      <c r="Z233" s="197">
        <f t="shared" ref="Z233:Z263" si="70">ROUND(IF(L233&gt;0,L233*I$229*N233/12,IF(K233=0,0,IF(I233*I$229*N233/12&gt;=K233,K233-1,I233*I$229*N233/12))),2)+Y233</f>
        <v>0</v>
      </c>
      <c r="AA233" s="44">
        <f>I233+L233-Q233</f>
        <v>0</v>
      </c>
      <c r="AB233" s="44">
        <f>J233+Z233-R233</f>
        <v>0</v>
      </c>
      <c r="AC233" s="44">
        <f>+AA233-AB233</f>
        <v>0</v>
      </c>
    </row>
    <row r="234" spans="2:29" x14ac:dyDescent="0.2">
      <c r="B234" s="92"/>
      <c r="C234" s="1"/>
      <c r="D234" s="1"/>
      <c r="E234" s="1"/>
      <c r="F234" s="1"/>
      <c r="G234" s="1"/>
      <c r="H234" s="18"/>
      <c r="I234" s="103"/>
      <c r="K234" s="44">
        <f t="shared" ref="K234:K261" si="71">+I234-J234</f>
        <v>0</v>
      </c>
      <c r="L234" s="103"/>
      <c r="M234" s="103"/>
      <c r="N234" s="103">
        <v>12</v>
      </c>
      <c r="O234" s="103"/>
      <c r="P234" s="103"/>
      <c r="Q234" s="103"/>
      <c r="R234" s="103"/>
      <c r="Z234" s="197">
        <f t="shared" si="70"/>
        <v>0</v>
      </c>
      <c r="AA234" s="44">
        <f t="shared" ref="AA234:AA263" si="72">I234+L234-Q234</f>
        <v>0</v>
      </c>
      <c r="AB234" s="44">
        <f t="shared" ref="AB234:AB263" si="73">J234+Z234-R234</f>
        <v>0</v>
      </c>
      <c r="AC234" s="44">
        <f t="shared" ref="AC234:AC263" si="74">+AA234-AB234</f>
        <v>0</v>
      </c>
    </row>
    <row r="235" spans="2:29" x14ac:dyDescent="0.2">
      <c r="B235" s="92"/>
      <c r="C235" s="1"/>
      <c r="D235" s="1"/>
      <c r="E235" s="1"/>
      <c r="F235" s="1"/>
      <c r="G235" s="1"/>
      <c r="H235" s="18"/>
      <c r="I235" s="103"/>
      <c r="K235" s="44">
        <f t="shared" si="71"/>
        <v>0</v>
      </c>
      <c r="L235" s="103"/>
      <c r="M235" s="103"/>
      <c r="N235" s="103">
        <v>12</v>
      </c>
      <c r="O235" s="103"/>
      <c r="P235" s="103"/>
      <c r="Q235" s="103"/>
      <c r="R235" s="103"/>
      <c r="Z235" s="197">
        <f t="shared" si="70"/>
        <v>0</v>
      </c>
      <c r="AA235" s="44">
        <f t="shared" si="72"/>
        <v>0</v>
      </c>
      <c r="AB235" s="44">
        <f t="shared" si="73"/>
        <v>0</v>
      </c>
      <c r="AC235" s="44">
        <f t="shared" si="74"/>
        <v>0</v>
      </c>
    </row>
    <row r="236" spans="2:29" x14ac:dyDescent="0.2">
      <c r="B236" s="92"/>
      <c r="C236" s="1"/>
      <c r="D236" s="1"/>
      <c r="E236" s="1"/>
      <c r="F236" s="1"/>
      <c r="G236" s="1"/>
      <c r="H236" s="18"/>
      <c r="I236" s="103"/>
      <c r="K236" s="44">
        <f t="shared" si="71"/>
        <v>0</v>
      </c>
      <c r="L236" s="103"/>
      <c r="M236" s="103"/>
      <c r="N236" s="103">
        <v>12</v>
      </c>
      <c r="O236" s="103"/>
      <c r="P236" s="103"/>
      <c r="Q236" s="103"/>
      <c r="R236" s="103"/>
      <c r="Z236" s="197">
        <f t="shared" si="70"/>
        <v>0</v>
      </c>
      <c r="AA236" s="44">
        <f t="shared" si="72"/>
        <v>0</v>
      </c>
      <c r="AB236" s="44">
        <f t="shared" si="73"/>
        <v>0</v>
      </c>
      <c r="AC236" s="44">
        <f t="shared" si="74"/>
        <v>0</v>
      </c>
    </row>
    <row r="237" spans="2:29" x14ac:dyDescent="0.2">
      <c r="B237" s="92"/>
      <c r="C237" s="1"/>
      <c r="D237" s="1"/>
      <c r="E237" s="1"/>
      <c r="F237" s="1"/>
      <c r="G237" s="1"/>
      <c r="H237" s="18"/>
      <c r="I237" s="103"/>
      <c r="K237" s="44">
        <f t="shared" si="71"/>
        <v>0</v>
      </c>
      <c r="L237" s="103"/>
      <c r="M237" s="103"/>
      <c r="N237" s="103">
        <v>12</v>
      </c>
      <c r="O237" s="103"/>
      <c r="P237" s="103"/>
      <c r="Q237" s="103"/>
      <c r="R237" s="103"/>
      <c r="Z237" s="197">
        <f t="shared" si="70"/>
        <v>0</v>
      </c>
      <c r="AA237" s="44">
        <f t="shared" si="72"/>
        <v>0</v>
      </c>
      <c r="AB237" s="44">
        <f t="shared" si="73"/>
        <v>0</v>
      </c>
      <c r="AC237" s="44">
        <f t="shared" si="74"/>
        <v>0</v>
      </c>
    </row>
    <row r="238" spans="2:29" x14ac:dyDescent="0.2">
      <c r="B238" s="92"/>
      <c r="C238" s="1"/>
      <c r="D238" s="1"/>
      <c r="E238" s="1"/>
      <c r="F238" s="1"/>
      <c r="G238" s="1"/>
      <c r="H238" s="18"/>
      <c r="I238" s="103"/>
      <c r="K238" s="44">
        <f t="shared" si="71"/>
        <v>0</v>
      </c>
      <c r="L238" s="103"/>
      <c r="M238" s="103"/>
      <c r="N238" s="103">
        <v>12</v>
      </c>
      <c r="O238" s="103"/>
      <c r="P238" s="103"/>
      <c r="Q238" s="103"/>
      <c r="R238" s="103"/>
      <c r="Z238" s="197">
        <f t="shared" si="70"/>
        <v>0</v>
      </c>
      <c r="AA238" s="44">
        <f t="shared" si="72"/>
        <v>0</v>
      </c>
      <c r="AB238" s="44">
        <f t="shared" si="73"/>
        <v>0</v>
      </c>
      <c r="AC238" s="44">
        <f t="shared" si="74"/>
        <v>0</v>
      </c>
    </row>
    <row r="239" spans="2:29" x14ac:dyDescent="0.2">
      <c r="B239" s="92"/>
      <c r="C239" s="1"/>
      <c r="D239" s="1"/>
      <c r="E239" s="1"/>
      <c r="F239" s="1"/>
      <c r="G239" s="1"/>
      <c r="H239" s="18"/>
      <c r="I239" s="103"/>
      <c r="K239" s="44">
        <f t="shared" si="71"/>
        <v>0</v>
      </c>
      <c r="L239" s="103"/>
      <c r="M239" s="103"/>
      <c r="N239" s="103">
        <v>12</v>
      </c>
      <c r="O239" s="103"/>
      <c r="P239" s="103"/>
      <c r="Q239" s="103"/>
      <c r="R239" s="103"/>
      <c r="Z239" s="197">
        <f t="shared" si="70"/>
        <v>0</v>
      </c>
      <c r="AA239" s="44">
        <f t="shared" si="72"/>
        <v>0</v>
      </c>
      <c r="AB239" s="44">
        <f t="shared" si="73"/>
        <v>0</v>
      </c>
      <c r="AC239" s="44">
        <f t="shared" si="74"/>
        <v>0</v>
      </c>
    </row>
    <row r="240" spans="2:29" x14ac:dyDescent="0.2">
      <c r="B240" s="92"/>
      <c r="C240" s="1"/>
      <c r="D240" s="1"/>
      <c r="E240" s="1"/>
      <c r="F240" s="1"/>
      <c r="G240" s="1"/>
      <c r="H240" s="18"/>
      <c r="I240" s="103"/>
      <c r="K240" s="44">
        <f t="shared" si="71"/>
        <v>0</v>
      </c>
      <c r="L240" s="103"/>
      <c r="M240" s="103"/>
      <c r="N240" s="103">
        <v>12</v>
      </c>
      <c r="O240" s="103"/>
      <c r="P240" s="103"/>
      <c r="Q240" s="103"/>
      <c r="R240" s="103"/>
      <c r="Z240" s="197">
        <f t="shared" si="70"/>
        <v>0</v>
      </c>
      <c r="AA240" s="44">
        <f t="shared" si="72"/>
        <v>0</v>
      </c>
      <c r="AB240" s="44">
        <f t="shared" si="73"/>
        <v>0</v>
      </c>
      <c r="AC240" s="44">
        <f t="shared" si="74"/>
        <v>0</v>
      </c>
    </row>
    <row r="241" spans="2:29" x14ac:dyDescent="0.2">
      <c r="B241" s="92"/>
      <c r="C241" s="1"/>
      <c r="D241" s="1"/>
      <c r="E241" s="1"/>
      <c r="F241" s="1"/>
      <c r="G241" s="1"/>
      <c r="H241" s="18"/>
      <c r="I241" s="103"/>
      <c r="K241" s="44">
        <f t="shared" si="71"/>
        <v>0</v>
      </c>
      <c r="L241" s="103"/>
      <c r="M241" s="103"/>
      <c r="N241" s="103">
        <v>12</v>
      </c>
      <c r="O241" s="103"/>
      <c r="P241" s="103"/>
      <c r="Q241" s="103"/>
      <c r="R241" s="103"/>
      <c r="Z241" s="197">
        <f t="shared" si="70"/>
        <v>0</v>
      </c>
      <c r="AA241" s="44">
        <f t="shared" si="72"/>
        <v>0</v>
      </c>
      <c r="AB241" s="44">
        <f t="shared" si="73"/>
        <v>0</v>
      </c>
      <c r="AC241" s="44">
        <f t="shared" si="74"/>
        <v>0</v>
      </c>
    </row>
    <row r="242" spans="2:29" x14ac:dyDescent="0.2">
      <c r="B242" s="92"/>
      <c r="C242" s="1"/>
      <c r="D242" s="1"/>
      <c r="E242" s="1"/>
      <c r="F242" s="1"/>
      <c r="G242" s="1"/>
      <c r="H242" s="18"/>
      <c r="I242" s="103"/>
      <c r="K242" s="44">
        <f t="shared" si="71"/>
        <v>0</v>
      </c>
      <c r="L242" s="103"/>
      <c r="M242" s="103"/>
      <c r="N242" s="103">
        <v>12</v>
      </c>
      <c r="O242" s="103"/>
      <c r="P242" s="103"/>
      <c r="Q242" s="103"/>
      <c r="R242" s="103"/>
      <c r="Z242" s="197">
        <f t="shared" si="70"/>
        <v>0</v>
      </c>
      <c r="AA242" s="44">
        <f t="shared" si="72"/>
        <v>0</v>
      </c>
      <c r="AB242" s="44">
        <f t="shared" si="73"/>
        <v>0</v>
      </c>
      <c r="AC242" s="44">
        <f t="shared" si="74"/>
        <v>0</v>
      </c>
    </row>
    <row r="243" spans="2:29" x14ac:dyDescent="0.2">
      <c r="B243" s="92"/>
      <c r="C243" s="1"/>
      <c r="D243" s="1"/>
      <c r="E243" s="1"/>
      <c r="F243" s="1"/>
      <c r="G243" s="1"/>
      <c r="H243" s="18"/>
      <c r="I243" s="103"/>
      <c r="K243" s="44">
        <f t="shared" si="71"/>
        <v>0</v>
      </c>
      <c r="L243" s="103"/>
      <c r="M243" s="103"/>
      <c r="N243" s="103">
        <v>12</v>
      </c>
      <c r="O243" s="103"/>
      <c r="P243" s="103"/>
      <c r="Q243" s="103"/>
      <c r="R243" s="103"/>
      <c r="Z243" s="197">
        <f t="shared" si="70"/>
        <v>0</v>
      </c>
      <c r="AA243" s="44">
        <f t="shared" si="72"/>
        <v>0</v>
      </c>
      <c r="AB243" s="44">
        <f t="shared" si="73"/>
        <v>0</v>
      </c>
      <c r="AC243" s="44">
        <f t="shared" si="74"/>
        <v>0</v>
      </c>
    </row>
    <row r="244" spans="2:29" x14ac:dyDescent="0.2">
      <c r="B244" s="92"/>
      <c r="C244" s="1"/>
      <c r="D244" s="1"/>
      <c r="E244" s="1"/>
      <c r="F244" s="1"/>
      <c r="G244" s="1"/>
      <c r="H244" s="18"/>
      <c r="I244" s="103"/>
      <c r="K244" s="44">
        <f t="shared" si="71"/>
        <v>0</v>
      </c>
      <c r="L244" s="103"/>
      <c r="M244" s="103"/>
      <c r="N244" s="103">
        <v>12</v>
      </c>
      <c r="O244" s="103"/>
      <c r="P244" s="103"/>
      <c r="Q244" s="103"/>
      <c r="R244" s="103"/>
      <c r="Z244" s="197">
        <f t="shared" si="70"/>
        <v>0</v>
      </c>
      <c r="AA244" s="44">
        <f t="shared" si="72"/>
        <v>0</v>
      </c>
      <c r="AB244" s="44">
        <f t="shared" si="73"/>
        <v>0</v>
      </c>
      <c r="AC244" s="44">
        <f t="shared" si="74"/>
        <v>0</v>
      </c>
    </row>
    <row r="245" spans="2:29" x14ac:dyDescent="0.2">
      <c r="B245" s="92"/>
      <c r="C245" s="1"/>
      <c r="D245" s="1"/>
      <c r="E245" s="1"/>
      <c r="F245" s="1"/>
      <c r="G245" s="1"/>
      <c r="H245" s="18"/>
      <c r="I245" s="103"/>
      <c r="K245" s="44">
        <f t="shared" si="71"/>
        <v>0</v>
      </c>
      <c r="L245" s="103"/>
      <c r="M245" s="103"/>
      <c r="N245" s="103">
        <v>12</v>
      </c>
      <c r="O245" s="103"/>
      <c r="P245" s="103"/>
      <c r="Q245" s="103"/>
      <c r="R245" s="103"/>
      <c r="Z245" s="197">
        <f t="shared" si="70"/>
        <v>0</v>
      </c>
      <c r="AA245" s="44">
        <f t="shared" si="72"/>
        <v>0</v>
      </c>
      <c r="AB245" s="44">
        <f t="shared" si="73"/>
        <v>0</v>
      </c>
      <c r="AC245" s="44">
        <f t="shared" si="74"/>
        <v>0</v>
      </c>
    </row>
    <row r="246" spans="2:29" x14ac:dyDescent="0.2">
      <c r="B246" s="92"/>
      <c r="C246" s="1"/>
      <c r="D246" s="1"/>
      <c r="E246" s="1"/>
      <c r="F246" s="1"/>
      <c r="G246" s="1"/>
      <c r="H246" s="18"/>
      <c r="I246" s="103"/>
      <c r="K246" s="44">
        <f t="shared" si="71"/>
        <v>0</v>
      </c>
      <c r="L246" s="103"/>
      <c r="M246" s="103"/>
      <c r="N246" s="103">
        <v>12</v>
      </c>
      <c r="O246" s="103"/>
      <c r="P246" s="103"/>
      <c r="Q246" s="103"/>
      <c r="R246" s="103"/>
      <c r="Z246" s="197">
        <f t="shared" si="70"/>
        <v>0</v>
      </c>
      <c r="AA246" s="44">
        <f t="shared" si="72"/>
        <v>0</v>
      </c>
      <c r="AB246" s="44">
        <f t="shared" si="73"/>
        <v>0</v>
      </c>
      <c r="AC246" s="44">
        <f t="shared" si="74"/>
        <v>0</v>
      </c>
    </row>
    <row r="247" spans="2:29" x14ac:dyDescent="0.2">
      <c r="B247" s="92"/>
      <c r="C247" s="1"/>
      <c r="D247" s="1"/>
      <c r="E247" s="1"/>
      <c r="F247" s="1"/>
      <c r="G247" s="1"/>
      <c r="H247" s="18"/>
      <c r="I247" s="103"/>
      <c r="K247" s="44">
        <f t="shared" si="71"/>
        <v>0</v>
      </c>
      <c r="L247" s="103"/>
      <c r="M247" s="103"/>
      <c r="N247" s="103">
        <v>12</v>
      </c>
      <c r="O247" s="103"/>
      <c r="P247" s="103"/>
      <c r="Q247" s="103"/>
      <c r="R247" s="103"/>
      <c r="Z247" s="197">
        <f t="shared" si="70"/>
        <v>0</v>
      </c>
      <c r="AA247" s="44">
        <f t="shared" si="72"/>
        <v>0</v>
      </c>
      <c r="AB247" s="44">
        <f t="shared" si="73"/>
        <v>0</v>
      </c>
      <c r="AC247" s="44">
        <f t="shared" si="74"/>
        <v>0</v>
      </c>
    </row>
    <row r="248" spans="2:29" x14ac:dyDescent="0.2">
      <c r="B248" s="92"/>
      <c r="C248" s="1"/>
      <c r="D248" s="1"/>
      <c r="E248" s="1"/>
      <c r="F248" s="1"/>
      <c r="G248" s="1"/>
      <c r="H248" s="18"/>
      <c r="I248" s="103"/>
      <c r="K248" s="44">
        <f t="shared" si="71"/>
        <v>0</v>
      </c>
      <c r="L248" s="103"/>
      <c r="M248" s="103"/>
      <c r="N248" s="103">
        <v>12</v>
      </c>
      <c r="O248" s="103"/>
      <c r="P248" s="103"/>
      <c r="Q248" s="103"/>
      <c r="R248" s="103"/>
      <c r="Z248" s="197">
        <f t="shared" si="70"/>
        <v>0</v>
      </c>
      <c r="AA248" s="44">
        <f t="shared" si="72"/>
        <v>0</v>
      </c>
      <c r="AB248" s="44">
        <f t="shared" si="73"/>
        <v>0</v>
      </c>
      <c r="AC248" s="44">
        <f t="shared" si="74"/>
        <v>0</v>
      </c>
    </row>
    <row r="249" spans="2:29" x14ac:dyDescent="0.2">
      <c r="B249" s="92"/>
      <c r="C249" s="1"/>
      <c r="D249" s="1"/>
      <c r="E249" s="1"/>
      <c r="F249" s="1"/>
      <c r="G249" s="1"/>
      <c r="H249" s="18"/>
      <c r="I249" s="103"/>
      <c r="K249" s="44">
        <f t="shared" si="71"/>
        <v>0</v>
      </c>
      <c r="L249" s="103"/>
      <c r="M249" s="103"/>
      <c r="N249" s="103">
        <v>12</v>
      </c>
      <c r="O249" s="103"/>
      <c r="P249" s="103"/>
      <c r="Q249" s="103"/>
      <c r="R249" s="103"/>
      <c r="Z249" s="197">
        <f t="shared" si="70"/>
        <v>0</v>
      </c>
      <c r="AA249" s="44">
        <f t="shared" si="72"/>
        <v>0</v>
      </c>
      <c r="AB249" s="44">
        <f t="shared" si="73"/>
        <v>0</v>
      </c>
      <c r="AC249" s="44">
        <f t="shared" si="74"/>
        <v>0</v>
      </c>
    </row>
    <row r="250" spans="2:29" x14ac:dyDescent="0.2">
      <c r="B250" s="92"/>
      <c r="C250" s="1"/>
      <c r="D250" s="1"/>
      <c r="E250" s="1"/>
      <c r="F250" s="1"/>
      <c r="G250" s="1"/>
      <c r="H250" s="18"/>
      <c r="I250" s="103"/>
      <c r="K250" s="44">
        <f t="shared" si="71"/>
        <v>0</v>
      </c>
      <c r="L250" s="103"/>
      <c r="M250" s="103"/>
      <c r="N250" s="103">
        <v>12</v>
      </c>
      <c r="O250" s="103"/>
      <c r="P250" s="103"/>
      <c r="Q250" s="103"/>
      <c r="R250" s="103"/>
      <c r="Z250" s="197">
        <f t="shared" si="70"/>
        <v>0</v>
      </c>
      <c r="AA250" s="44">
        <f t="shared" si="72"/>
        <v>0</v>
      </c>
      <c r="AB250" s="44">
        <f t="shared" si="73"/>
        <v>0</v>
      </c>
      <c r="AC250" s="44">
        <f t="shared" si="74"/>
        <v>0</v>
      </c>
    </row>
    <row r="251" spans="2:29" x14ac:dyDescent="0.2">
      <c r="B251" s="92"/>
      <c r="C251" s="1"/>
      <c r="D251" s="1"/>
      <c r="E251" s="1"/>
      <c r="F251" s="1"/>
      <c r="G251" s="1"/>
      <c r="H251" s="18"/>
      <c r="I251" s="103"/>
      <c r="K251" s="44">
        <f t="shared" si="71"/>
        <v>0</v>
      </c>
      <c r="L251" s="103"/>
      <c r="M251" s="103"/>
      <c r="N251" s="103">
        <v>12</v>
      </c>
      <c r="O251" s="103"/>
      <c r="P251" s="103"/>
      <c r="Q251" s="103"/>
      <c r="R251" s="103"/>
      <c r="Z251" s="197">
        <f t="shared" si="70"/>
        <v>0</v>
      </c>
      <c r="AA251" s="44">
        <f t="shared" si="72"/>
        <v>0</v>
      </c>
      <c r="AB251" s="44">
        <f t="shared" si="73"/>
        <v>0</v>
      </c>
      <c r="AC251" s="44">
        <f t="shared" si="74"/>
        <v>0</v>
      </c>
    </row>
    <row r="252" spans="2:29" x14ac:dyDescent="0.2">
      <c r="B252" s="92"/>
      <c r="C252" s="1"/>
      <c r="D252" s="1"/>
      <c r="E252" s="1"/>
      <c r="F252" s="1"/>
      <c r="G252" s="1"/>
      <c r="H252" s="18"/>
      <c r="I252" s="103"/>
      <c r="K252" s="44">
        <f t="shared" si="71"/>
        <v>0</v>
      </c>
      <c r="L252" s="103"/>
      <c r="M252" s="103"/>
      <c r="N252" s="103">
        <v>12</v>
      </c>
      <c r="O252" s="103"/>
      <c r="P252" s="103"/>
      <c r="Q252" s="103"/>
      <c r="R252" s="103"/>
      <c r="Z252" s="197">
        <f t="shared" si="70"/>
        <v>0</v>
      </c>
      <c r="AA252" s="44">
        <f t="shared" si="72"/>
        <v>0</v>
      </c>
      <c r="AB252" s="44">
        <f t="shared" si="73"/>
        <v>0</v>
      </c>
      <c r="AC252" s="44">
        <f t="shared" si="74"/>
        <v>0</v>
      </c>
    </row>
    <row r="253" spans="2:29" x14ac:dyDescent="0.2">
      <c r="B253" s="92"/>
      <c r="C253" s="1"/>
      <c r="D253" s="1"/>
      <c r="E253" s="1"/>
      <c r="F253" s="1"/>
      <c r="G253" s="1"/>
      <c r="H253" s="18"/>
      <c r="I253" s="103"/>
      <c r="K253" s="44">
        <f t="shared" si="71"/>
        <v>0</v>
      </c>
      <c r="L253" s="103"/>
      <c r="M253" s="103"/>
      <c r="N253" s="103">
        <v>12</v>
      </c>
      <c r="O253" s="103"/>
      <c r="P253" s="103"/>
      <c r="Q253" s="103"/>
      <c r="R253" s="103"/>
      <c r="Z253" s="197">
        <f t="shared" si="70"/>
        <v>0</v>
      </c>
      <c r="AA253" s="44">
        <f t="shared" si="72"/>
        <v>0</v>
      </c>
      <c r="AB253" s="44">
        <f t="shared" si="73"/>
        <v>0</v>
      </c>
      <c r="AC253" s="44">
        <f t="shared" si="74"/>
        <v>0</v>
      </c>
    </row>
    <row r="254" spans="2:29" x14ac:dyDescent="0.2">
      <c r="B254" s="92"/>
      <c r="C254" s="1"/>
      <c r="D254" s="1"/>
      <c r="E254" s="1"/>
      <c r="F254" s="1"/>
      <c r="G254" s="1"/>
      <c r="H254" s="18"/>
      <c r="I254" s="103"/>
      <c r="K254" s="44">
        <f t="shared" si="71"/>
        <v>0</v>
      </c>
      <c r="L254" s="103"/>
      <c r="M254" s="103"/>
      <c r="N254" s="103">
        <v>12</v>
      </c>
      <c r="O254" s="103"/>
      <c r="P254" s="103"/>
      <c r="Q254" s="103"/>
      <c r="R254" s="103"/>
      <c r="Z254" s="197">
        <f t="shared" si="70"/>
        <v>0</v>
      </c>
      <c r="AA254" s="44">
        <f t="shared" si="72"/>
        <v>0</v>
      </c>
      <c r="AB254" s="44">
        <f t="shared" si="73"/>
        <v>0</v>
      </c>
      <c r="AC254" s="44">
        <f t="shared" si="74"/>
        <v>0</v>
      </c>
    </row>
    <row r="255" spans="2:29" x14ac:dyDescent="0.2">
      <c r="B255" s="92"/>
      <c r="C255" s="1"/>
      <c r="D255" s="1"/>
      <c r="E255" s="1"/>
      <c r="F255" s="1"/>
      <c r="G255" s="1"/>
      <c r="H255" s="18"/>
      <c r="I255" s="103"/>
      <c r="K255" s="44">
        <f t="shared" si="71"/>
        <v>0</v>
      </c>
      <c r="L255" s="103"/>
      <c r="M255" s="103"/>
      <c r="N255" s="103">
        <v>12</v>
      </c>
      <c r="O255" s="103"/>
      <c r="P255" s="103"/>
      <c r="Q255" s="103"/>
      <c r="R255" s="103"/>
      <c r="Z255" s="197">
        <f t="shared" si="70"/>
        <v>0</v>
      </c>
      <c r="AA255" s="44">
        <f t="shared" si="72"/>
        <v>0</v>
      </c>
      <c r="AB255" s="44">
        <f t="shared" si="73"/>
        <v>0</v>
      </c>
      <c r="AC255" s="44">
        <f t="shared" si="74"/>
        <v>0</v>
      </c>
    </row>
    <row r="256" spans="2:29" x14ac:dyDescent="0.2">
      <c r="B256" s="92"/>
      <c r="C256" s="1"/>
      <c r="D256" s="1"/>
      <c r="E256" s="1"/>
      <c r="F256" s="1"/>
      <c r="G256" s="1"/>
      <c r="H256" s="18"/>
      <c r="I256" s="103"/>
      <c r="K256" s="44">
        <f t="shared" si="71"/>
        <v>0</v>
      </c>
      <c r="L256" s="103"/>
      <c r="M256" s="103"/>
      <c r="N256" s="103">
        <v>12</v>
      </c>
      <c r="O256" s="103"/>
      <c r="P256" s="103"/>
      <c r="Q256" s="103"/>
      <c r="R256" s="103"/>
      <c r="Z256" s="197">
        <f t="shared" si="70"/>
        <v>0</v>
      </c>
      <c r="AA256" s="44">
        <f t="shared" si="72"/>
        <v>0</v>
      </c>
      <c r="AB256" s="44">
        <f t="shared" si="73"/>
        <v>0</v>
      </c>
      <c r="AC256" s="44">
        <f t="shared" si="74"/>
        <v>0</v>
      </c>
    </row>
    <row r="257" spans="2:29" x14ac:dyDescent="0.2">
      <c r="B257" s="92"/>
      <c r="C257" s="1"/>
      <c r="D257" s="1"/>
      <c r="E257" s="1"/>
      <c r="F257" s="1"/>
      <c r="G257" s="1"/>
      <c r="H257" s="18"/>
      <c r="I257" s="103"/>
      <c r="K257" s="44">
        <f t="shared" si="71"/>
        <v>0</v>
      </c>
      <c r="L257" s="103"/>
      <c r="M257" s="103"/>
      <c r="N257" s="103">
        <v>12</v>
      </c>
      <c r="O257" s="103"/>
      <c r="P257" s="103"/>
      <c r="Q257" s="103"/>
      <c r="R257" s="103"/>
      <c r="Z257" s="197">
        <f t="shared" si="70"/>
        <v>0</v>
      </c>
      <c r="AA257" s="44">
        <f t="shared" si="72"/>
        <v>0</v>
      </c>
      <c r="AB257" s="44">
        <f t="shared" si="73"/>
        <v>0</v>
      </c>
      <c r="AC257" s="44">
        <f t="shared" si="74"/>
        <v>0</v>
      </c>
    </row>
    <row r="258" spans="2:29" x14ac:dyDescent="0.2">
      <c r="B258" s="92"/>
      <c r="C258" s="1"/>
      <c r="D258" s="1"/>
      <c r="E258" s="1"/>
      <c r="F258" s="1"/>
      <c r="G258" s="1"/>
      <c r="H258" s="18"/>
      <c r="I258" s="103"/>
      <c r="K258" s="44">
        <f t="shared" si="71"/>
        <v>0</v>
      </c>
      <c r="L258" s="103"/>
      <c r="M258" s="103"/>
      <c r="N258" s="103">
        <v>12</v>
      </c>
      <c r="O258" s="103"/>
      <c r="P258" s="103"/>
      <c r="Q258" s="103"/>
      <c r="R258" s="103"/>
      <c r="Z258" s="197">
        <f t="shared" si="70"/>
        <v>0</v>
      </c>
      <c r="AA258" s="44">
        <f t="shared" si="72"/>
        <v>0</v>
      </c>
      <c r="AB258" s="44">
        <f t="shared" si="73"/>
        <v>0</v>
      </c>
      <c r="AC258" s="44">
        <f t="shared" si="74"/>
        <v>0</v>
      </c>
    </row>
    <row r="259" spans="2:29" x14ac:dyDescent="0.2">
      <c r="B259" s="92"/>
      <c r="C259" s="1"/>
      <c r="D259" s="1"/>
      <c r="E259" s="1"/>
      <c r="F259" s="1"/>
      <c r="G259" s="1"/>
      <c r="H259" s="18"/>
      <c r="I259" s="103"/>
      <c r="K259" s="44">
        <f t="shared" si="71"/>
        <v>0</v>
      </c>
      <c r="L259" s="103"/>
      <c r="M259" s="103"/>
      <c r="N259" s="103">
        <v>12</v>
      </c>
      <c r="O259" s="103"/>
      <c r="P259" s="103"/>
      <c r="Q259" s="103"/>
      <c r="R259" s="103"/>
      <c r="Z259" s="197">
        <f t="shared" si="70"/>
        <v>0</v>
      </c>
      <c r="AA259" s="44">
        <f t="shared" si="72"/>
        <v>0</v>
      </c>
      <c r="AB259" s="44">
        <f t="shared" si="73"/>
        <v>0</v>
      </c>
      <c r="AC259" s="44">
        <f t="shared" si="74"/>
        <v>0</v>
      </c>
    </row>
    <row r="260" spans="2:29" x14ac:dyDescent="0.2">
      <c r="B260" s="92"/>
      <c r="C260" s="1"/>
      <c r="D260" s="1"/>
      <c r="E260" s="1"/>
      <c r="F260" s="1"/>
      <c r="G260" s="1"/>
      <c r="H260" s="18"/>
      <c r="I260" s="103"/>
      <c r="K260" s="44">
        <f t="shared" si="71"/>
        <v>0</v>
      </c>
      <c r="L260" s="103"/>
      <c r="M260" s="103"/>
      <c r="N260" s="103">
        <v>12</v>
      </c>
      <c r="O260" s="103"/>
      <c r="P260" s="103"/>
      <c r="Q260" s="103"/>
      <c r="R260" s="103"/>
      <c r="Z260" s="197">
        <f t="shared" si="70"/>
        <v>0</v>
      </c>
      <c r="AA260" s="44">
        <f t="shared" si="72"/>
        <v>0</v>
      </c>
      <c r="AB260" s="44">
        <f t="shared" si="73"/>
        <v>0</v>
      </c>
      <c r="AC260" s="44">
        <f t="shared" si="74"/>
        <v>0</v>
      </c>
    </row>
    <row r="261" spans="2:29" x14ac:dyDescent="0.2">
      <c r="B261" s="92"/>
      <c r="C261" s="1"/>
      <c r="D261" s="1"/>
      <c r="E261" s="1"/>
      <c r="F261" s="1"/>
      <c r="G261" s="1"/>
      <c r="H261" s="18"/>
      <c r="I261" s="103"/>
      <c r="K261" s="44">
        <f t="shared" si="71"/>
        <v>0</v>
      </c>
      <c r="L261" s="103"/>
      <c r="M261" s="103"/>
      <c r="N261" s="103">
        <v>12</v>
      </c>
      <c r="O261" s="103"/>
      <c r="P261" s="103"/>
      <c r="Q261" s="103"/>
      <c r="R261" s="103"/>
      <c r="Z261" s="197">
        <f t="shared" si="70"/>
        <v>0</v>
      </c>
      <c r="AA261" s="44">
        <f t="shared" si="72"/>
        <v>0</v>
      </c>
      <c r="AB261" s="44">
        <f t="shared" si="73"/>
        <v>0</v>
      </c>
      <c r="AC261" s="44">
        <f t="shared" si="74"/>
        <v>0</v>
      </c>
    </row>
    <row r="262" spans="2:29" x14ac:dyDescent="0.2">
      <c r="B262" s="208"/>
      <c r="C262" s="1"/>
      <c r="D262" s="1"/>
      <c r="E262" s="1"/>
      <c r="F262" s="1"/>
      <c r="G262" s="1"/>
      <c r="H262" s="18"/>
      <c r="I262" s="103"/>
      <c r="K262" s="44">
        <f>+I262-J262</f>
        <v>0</v>
      </c>
      <c r="L262" s="103"/>
      <c r="M262" s="103"/>
      <c r="N262" s="103">
        <v>12</v>
      </c>
      <c r="O262" s="103"/>
      <c r="P262" s="103"/>
      <c r="Q262" s="103"/>
      <c r="R262" s="103"/>
      <c r="Z262" s="197">
        <f t="shared" si="70"/>
        <v>0</v>
      </c>
      <c r="AA262" s="44">
        <f t="shared" si="72"/>
        <v>0</v>
      </c>
      <c r="AB262" s="44">
        <f t="shared" si="73"/>
        <v>0</v>
      </c>
      <c r="AC262" s="44">
        <f t="shared" si="74"/>
        <v>0</v>
      </c>
    </row>
    <row r="263" spans="2:29" x14ac:dyDescent="0.2">
      <c r="B263" s="208"/>
      <c r="C263" s="1"/>
      <c r="D263" s="1"/>
      <c r="E263" s="1"/>
      <c r="F263" s="1"/>
      <c r="G263" s="1"/>
      <c r="H263" s="18"/>
      <c r="I263" s="103"/>
      <c r="K263" s="44">
        <f>+I263-J263</f>
        <v>0</v>
      </c>
      <c r="L263" s="103"/>
      <c r="M263" s="103"/>
      <c r="N263" s="103">
        <v>12</v>
      </c>
      <c r="O263" s="103"/>
      <c r="P263" s="103"/>
      <c r="Q263" s="103"/>
      <c r="R263" s="103"/>
      <c r="Z263" s="197">
        <f t="shared" si="70"/>
        <v>0</v>
      </c>
      <c r="AA263" s="44">
        <f t="shared" si="72"/>
        <v>0</v>
      </c>
      <c r="AB263" s="44">
        <f t="shared" si="73"/>
        <v>0</v>
      </c>
      <c r="AC263" s="44">
        <f t="shared" si="74"/>
        <v>0</v>
      </c>
    </row>
    <row r="265" spans="2:29" ht="13.5" thickBot="1" x14ac:dyDescent="0.25">
      <c r="C265" s="44" t="s">
        <v>383</v>
      </c>
      <c r="I265" s="52">
        <f>SUM(I232:I264)</f>
        <v>0</v>
      </c>
      <c r="J265" s="52">
        <f>SUM(J232:J264)</f>
        <v>0</v>
      </c>
      <c r="K265" s="52">
        <f>SUM(K232:K264)</f>
        <v>0</v>
      </c>
      <c r="L265" s="52">
        <f>SUM(L232:L264)</f>
        <v>0</v>
      </c>
      <c r="M265" s="52"/>
      <c r="N265" s="52"/>
      <c r="O265" s="52"/>
      <c r="P265" s="52"/>
      <c r="Q265" s="52">
        <f t="shared" ref="Q265:AC265" si="75">SUM(Q232:Q264)</f>
        <v>0</v>
      </c>
      <c r="R265" s="52">
        <f t="shared" si="75"/>
        <v>0</v>
      </c>
      <c r="S265" s="52">
        <f t="shared" si="75"/>
        <v>0</v>
      </c>
      <c r="T265" s="52">
        <f t="shared" si="75"/>
        <v>0</v>
      </c>
      <c r="U265" s="52"/>
      <c r="V265" s="52">
        <f t="shared" si="75"/>
        <v>0</v>
      </c>
      <c r="W265" s="52">
        <f t="shared" si="75"/>
        <v>0</v>
      </c>
      <c r="X265" s="52">
        <f t="shared" si="75"/>
        <v>0</v>
      </c>
      <c r="Y265" s="52">
        <f t="shared" si="75"/>
        <v>0</v>
      </c>
      <c r="Z265" s="52">
        <f t="shared" si="75"/>
        <v>0</v>
      </c>
      <c r="AA265" s="52">
        <f t="shared" si="75"/>
        <v>0</v>
      </c>
      <c r="AB265" s="52">
        <f t="shared" si="75"/>
        <v>0</v>
      </c>
      <c r="AC265" s="52">
        <f t="shared" si="75"/>
        <v>0</v>
      </c>
    </row>
    <row r="266" spans="2:29" ht="13.5" thickTop="1" x14ac:dyDescent="0.2"/>
    <row r="268" spans="2:29" ht="14.25" x14ac:dyDescent="0.2">
      <c r="B268" s="207" t="s">
        <v>379</v>
      </c>
      <c r="I268" s="334">
        <v>0.2</v>
      </c>
      <c r="J268" s="44" t="s">
        <v>299</v>
      </c>
    </row>
    <row r="269" spans="2:29" x14ac:dyDescent="0.2">
      <c r="B269" s="204"/>
      <c r="I269" s="22"/>
      <c r="J269" s="22"/>
      <c r="K269" s="22"/>
      <c r="L269" s="22"/>
      <c r="M269" s="22"/>
      <c r="N269" s="22"/>
      <c r="O269" s="22"/>
      <c r="P269" s="22"/>
      <c r="Q269" s="22"/>
      <c r="R269" s="22"/>
      <c r="S269" s="22"/>
      <c r="T269" s="22"/>
      <c r="U269" s="22"/>
      <c r="V269" s="295" t="s">
        <v>811</v>
      </c>
      <c r="W269" s="296" t="s">
        <v>818</v>
      </c>
      <c r="X269" s="297" t="s">
        <v>812</v>
      </c>
      <c r="Y269" s="22"/>
      <c r="Z269" s="22"/>
      <c r="AA269" s="22"/>
      <c r="AB269" s="22"/>
      <c r="AC269" s="22"/>
    </row>
    <row r="270" spans="2:29" x14ac:dyDescent="0.2">
      <c r="B270" s="205" t="s">
        <v>26</v>
      </c>
      <c r="C270" s="69" t="s">
        <v>261</v>
      </c>
      <c r="D270" s="69"/>
      <c r="E270" s="109"/>
      <c r="F270" s="110"/>
      <c r="G270" s="109"/>
      <c r="H270" s="109"/>
      <c r="I270" s="24" t="s">
        <v>416</v>
      </c>
      <c r="J270" s="24" t="s">
        <v>649</v>
      </c>
      <c r="K270" s="24" t="s">
        <v>648</v>
      </c>
      <c r="L270" s="24" t="s">
        <v>301</v>
      </c>
      <c r="M270" s="24"/>
      <c r="N270" s="24" t="s">
        <v>455</v>
      </c>
      <c r="O270" s="24"/>
      <c r="P270" s="24"/>
      <c r="Q270" s="24" t="s">
        <v>650</v>
      </c>
      <c r="R270" s="24" t="s">
        <v>651</v>
      </c>
      <c r="S270" s="24" t="s">
        <v>810</v>
      </c>
      <c r="T270" s="24" t="s">
        <v>652</v>
      </c>
      <c r="U270" s="24"/>
      <c r="V270" s="282" t="s">
        <v>813</v>
      </c>
      <c r="W270" s="24" t="s">
        <v>819</v>
      </c>
      <c r="X270" s="283" t="s">
        <v>814</v>
      </c>
      <c r="Y270" s="24" t="s">
        <v>628</v>
      </c>
      <c r="Z270" s="24" t="s">
        <v>647</v>
      </c>
      <c r="AA270" s="24" t="s">
        <v>416</v>
      </c>
      <c r="AB270" s="24" t="s">
        <v>649</v>
      </c>
      <c r="AC270" s="24" t="s">
        <v>648</v>
      </c>
    </row>
    <row r="272" spans="2:29" ht="15" x14ac:dyDescent="0.35">
      <c r="C272" s="115"/>
      <c r="K272" s="44">
        <f t="shared" ref="K272:K277" si="76">+I272-J272</f>
        <v>0</v>
      </c>
      <c r="N272" s="103">
        <v>12</v>
      </c>
      <c r="O272" s="103"/>
      <c r="P272" s="103"/>
      <c r="Z272" s="197">
        <f t="shared" ref="Z272:Z303" si="77">ROUND(IF(L272&gt;0,L272*I$268*N272/12,IF(K272=0,0,IF(I272*I$268*N272/12&gt;=K272,K272-1,I272*I$268*N272/12))),2)+Y272</f>
        <v>0</v>
      </c>
      <c r="AA272" s="44">
        <f>I272+L272-Q272</f>
        <v>0</v>
      </c>
      <c r="AB272" s="44">
        <f>J272+Z272-R272</f>
        <v>0</v>
      </c>
      <c r="AC272" s="44">
        <f t="shared" ref="AC272" si="78">+AA272-AB272</f>
        <v>0</v>
      </c>
    </row>
    <row r="273" spans="2:29" x14ac:dyDescent="0.2">
      <c r="C273" s="182"/>
      <c r="K273" s="44">
        <f t="shared" si="76"/>
        <v>0</v>
      </c>
      <c r="N273" s="103">
        <v>12</v>
      </c>
      <c r="O273" s="103"/>
      <c r="P273" s="103"/>
      <c r="Z273" s="197">
        <f t="shared" si="77"/>
        <v>0</v>
      </c>
      <c r="AA273" s="44">
        <f t="shared" ref="AA273:AA336" si="79">I273+L273-Q273</f>
        <v>0</v>
      </c>
      <c r="AB273" s="44">
        <f t="shared" ref="AB273:AB336" si="80">J273+Z273-R273</f>
        <v>0</v>
      </c>
      <c r="AC273" s="44">
        <f t="shared" ref="AC273:AC336" si="81">+AA273-AB273</f>
        <v>0</v>
      </c>
    </row>
    <row r="274" spans="2:29" x14ac:dyDescent="0.2">
      <c r="B274" s="57"/>
      <c r="C274" s="1"/>
      <c r="D274" s="1"/>
      <c r="E274" s="1"/>
      <c r="F274" s="1"/>
      <c r="G274" s="1"/>
      <c r="K274" s="44">
        <f t="shared" si="76"/>
        <v>0</v>
      </c>
      <c r="N274" s="103">
        <v>12</v>
      </c>
      <c r="O274" s="103"/>
      <c r="P274" s="103"/>
      <c r="Q274" s="103"/>
      <c r="R274" s="103"/>
      <c r="Z274" s="197">
        <f t="shared" si="77"/>
        <v>0</v>
      </c>
      <c r="AA274" s="44">
        <f t="shared" si="79"/>
        <v>0</v>
      </c>
      <c r="AB274" s="44">
        <f t="shared" si="80"/>
        <v>0</v>
      </c>
      <c r="AC274" s="44">
        <f t="shared" si="81"/>
        <v>0</v>
      </c>
    </row>
    <row r="275" spans="2:29" x14ac:dyDescent="0.2">
      <c r="B275" s="57"/>
      <c r="C275" s="1"/>
      <c r="D275" s="1"/>
      <c r="E275" s="1"/>
      <c r="F275" s="1"/>
      <c r="G275" s="1"/>
      <c r="K275" s="44">
        <f t="shared" si="76"/>
        <v>0</v>
      </c>
      <c r="N275" s="103">
        <v>12</v>
      </c>
      <c r="O275" s="103"/>
      <c r="P275" s="103"/>
      <c r="Q275" s="103"/>
      <c r="R275" s="103"/>
      <c r="Z275" s="197">
        <f t="shared" si="77"/>
        <v>0</v>
      </c>
      <c r="AA275" s="44">
        <f t="shared" si="79"/>
        <v>0</v>
      </c>
      <c r="AB275" s="44">
        <f t="shared" si="80"/>
        <v>0</v>
      </c>
      <c r="AC275" s="44">
        <f t="shared" si="81"/>
        <v>0</v>
      </c>
    </row>
    <row r="276" spans="2:29" x14ac:dyDescent="0.2">
      <c r="B276" s="57"/>
      <c r="C276" s="30"/>
      <c r="D276" s="1"/>
      <c r="E276" s="1"/>
      <c r="F276" s="1"/>
      <c r="G276" s="1"/>
      <c r="K276" s="44">
        <f t="shared" si="76"/>
        <v>0</v>
      </c>
      <c r="N276" s="103">
        <v>12</v>
      </c>
      <c r="O276" s="103"/>
      <c r="P276" s="103"/>
      <c r="Q276" s="103"/>
      <c r="R276" s="103"/>
      <c r="Z276" s="197">
        <f t="shared" si="77"/>
        <v>0</v>
      </c>
      <c r="AA276" s="44">
        <f t="shared" si="79"/>
        <v>0</v>
      </c>
      <c r="AB276" s="44">
        <f t="shared" si="80"/>
        <v>0</v>
      </c>
      <c r="AC276" s="44">
        <f t="shared" si="81"/>
        <v>0</v>
      </c>
    </row>
    <row r="277" spans="2:29" x14ac:dyDescent="0.2">
      <c r="B277" s="57"/>
      <c r="C277" s="1"/>
      <c r="D277" s="1"/>
      <c r="E277" s="1"/>
      <c r="F277" s="1"/>
      <c r="G277" s="1"/>
      <c r="K277" s="44">
        <f t="shared" si="76"/>
        <v>0</v>
      </c>
      <c r="N277" s="103">
        <v>12</v>
      </c>
      <c r="O277" s="103"/>
      <c r="P277" s="103"/>
      <c r="Q277" s="103"/>
      <c r="R277" s="103"/>
      <c r="Z277" s="197">
        <f t="shared" si="77"/>
        <v>0</v>
      </c>
      <c r="AA277" s="44">
        <f t="shared" si="79"/>
        <v>0</v>
      </c>
      <c r="AB277" s="44">
        <f t="shared" si="80"/>
        <v>0</v>
      </c>
      <c r="AC277" s="44">
        <f t="shared" si="81"/>
        <v>0</v>
      </c>
    </row>
    <row r="278" spans="2:29" x14ac:dyDescent="0.2">
      <c r="B278" s="57"/>
      <c r="C278" s="1"/>
      <c r="D278" s="30"/>
      <c r="E278" s="30"/>
      <c r="F278" s="30"/>
      <c r="G278" s="30"/>
      <c r="K278" s="44">
        <f t="shared" ref="K278:K279" si="82">+I278-J278</f>
        <v>0</v>
      </c>
      <c r="N278" s="103">
        <v>12</v>
      </c>
      <c r="O278" s="103"/>
      <c r="P278" s="103"/>
      <c r="Q278" s="103"/>
      <c r="R278" s="103"/>
      <c r="Z278" s="197">
        <f t="shared" si="77"/>
        <v>0</v>
      </c>
      <c r="AA278" s="44">
        <f t="shared" si="79"/>
        <v>0</v>
      </c>
      <c r="AB278" s="44">
        <f t="shared" si="80"/>
        <v>0</v>
      </c>
      <c r="AC278" s="44">
        <f t="shared" si="81"/>
        <v>0</v>
      </c>
    </row>
    <row r="279" spans="2:29" x14ac:dyDescent="0.2">
      <c r="B279" s="57"/>
      <c r="C279" s="1"/>
      <c r="D279" s="30"/>
      <c r="E279" s="30"/>
      <c r="F279" s="30"/>
      <c r="G279" s="30"/>
      <c r="K279" s="44">
        <f t="shared" si="82"/>
        <v>0</v>
      </c>
      <c r="N279" s="103">
        <v>12</v>
      </c>
      <c r="O279" s="103"/>
      <c r="P279" s="103"/>
      <c r="Q279" s="103"/>
      <c r="R279" s="103"/>
      <c r="Z279" s="197">
        <f t="shared" si="77"/>
        <v>0</v>
      </c>
      <c r="AA279" s="44">
        <f t="shared" si="79"/>
        <v>0</v>
      </c>
      <c r="AB279" s="44">
        <f t="shared" si="80"/>
        <v>0</v>
      </c>
      <c r="AC279" s="44">
        <f t="shared" si="81"/>
        <v>0</v>
      </c>
    </row>
    <row r="280" spans="2:29" ht="15" x14ac:dyDescent="0.25">
      <c r="B280" s="57"/>
      <c r="C280" s="30"/>
      <c r="D280" s="199"/>
      <c r="E280" s="199"/>
      <c r="F280" s="200"/>
      <c r="G280" s="199"/>
      <c r="K280" s="44">
        <f>+I280-J280</f>
        <v>0</v>
      </c>
      <c r="N280" s="103">
        <v>12</v>
      </c>
      <c r="O280" s="103"/>
      <c r="P280" s="103"/>
      <c r="Q280" s="103"/>
      <c r="R280" s="103"/>
      <c r="Z280" s="197">
        <f t="shared" si="77"/>
        <v>0</v>
      </c>
      <c r="AA280" s="44">
        <f t="shared" si="79"/>
        <v>0</v>
      </c>
      <c r="AB280" s="44">
        <f t="shared" si="80"/>
        <v>0</v>
      </c>
      <c r="AC280" s="44">
        <f t="shared" si="81"/>
        <v>0</v>
      </c>
    </row>
    <row r="281" spans="2:29" ht="15" x14ac:dyDescent="0.25">
      <c r="B281" s="210"/>
      <c r="C281" s="182"/>
      <c r="D281" s="199"/>
      <c r="E281" s="199"/>
      <c r="F281" s="200"/>
      <c r="G281" s="199"/>
      <c r="K281" s="44">
        <f>+I281-J281</f>
        <v>0</v>
      </c>
      <c r="N281" s="103">
        <v>12</v>
      </c>
      <c r="O281" s="103"/>
      <c r="P281" s="103"/>
      <c r="Q281" s="103"/>
      <c r="R281" s="103"/>
      <c r="Z281" s="197">
        <f t="shared" si="77"/>
        <v>0</v>
      </c>
      <c r="AA281" s="44">
        <f t="shared" si="79"/>
        <v>0</v>
      </c>
      <c r="AB281" s="44">
        <f t="shared" si="80"/>
        <v>0</v>
      </c>
      <c r="AC281" s="44">
        <f t="shared" si="81"/>
        <v>0</v>
      </c>
    </row>
    <row r="282" spans="2:29" ht="15" x14ac:dyDescent="0.25">
      <c r="B282" s="210"/>
      <c r="C282" s="199"/>
      <c r="D282" s="199"/>
      <c r="E282" s="199"/>
      <c r="F282" s="200"/>
      <c r="G282" s="199"/>
      <c r="K282" s="44">
        <f>+I282-J282</f>
        <v>0</v>
      </c>
      <c r="N282" s="103">
        <v>12</v>
      </c>
      <c r="O282" s="103"/>
      <c r="P282" s="103"/>
      <c r="Q282" s="103"/>
      <c r="R282" s="103"/>
      <c r="Z282" s="197">
        <f t="shared" si="77"/>
        <v>0</v>
      </c>
      <c r="AA282" s="44">
        <f t="shared" si="79"/>
        <v>0</v>
      </c>
      <c r="AB282" s="44">
        <f t="shared" si="80"/>
        <v>0</v>
      </c>
      <c r="AC282" s="44">
        <f t="shared" si="81"/>
        <v>0</v>
      </c>
    </row>
    <row r="283" spans="2:29" ht="15" x14ac:dyDescent="0.25">
      <c r="B283" s="210"/>
      <c r="C283" s="199"/>
      <c r="D283" s="199"/>
      <c r="E283" s="199"/>
      <c r="F283" s="200"/>
      <c r="G283" s="199"/>
      <c r="K283" s="44">
        <f>+I283-J283</f>
        <v>0</v>
      </c>
      <c r="N283" s="103">
        <v>12</v>
      </c>
      <c r="O283" s="103"/>
      <c r="P283" s="103"/>
      <c r="Q283" s="103"/>
      <c r="R283" s="103"/>
      <c r="Z283" s="197">
        <f t="shared" si="77"/>
        <v>0</v>
      </c>
      <c r="AA283" s="44">
        <f t="shared" si="79"/>
        <v>0</v>
      </c>
      <c r="AB283" s="44">
        <f t="shared" si="80"/>
        <v>0</v>
      </c>
      <c r="AC283" s="44">
        <f t="shared" si="81"/>
        <v>0</v>
      </c>
    </row>
    <row r="284" spans="2:29" ht="15" x14ac:dyDescent="0.25">
      <c r="B284" s="210"/>
      <c r="C284" s="199"/>
      <c r="D284" s="199"/>
      <c r="E284" s="199"/>
      <c r="F284" s="200"/>
      <c r="G284" s="199"/>
      <c r="K284" s="44">
        <f>+I284-J284</f>
        <v>0</v>
      </c>
      <c r="N284" s="103">
        <v>12</v>
      </c>
      <c r="O284" s="103"/>
      <c r="P284" s="103"/>
      <c r="Q284" s="103"/>
      <c r="R284" s="103"/>
      <c r="Z284" s="197">
        <f t="shared" si="77"/>
        <v>0</v>
      </c>
      <c r="AA284" s="44">
        <f t="shared" si="79"/>
        <v>0</v>
      </c>
      <c r="AB284" s="44">
        <f t="shared" si="80"/>
        <v>0</v>
      </c>
      <c r="AC284" s="44">
        <f t="shared" si="81"/>
        <v>0</v>
      </c>
    </row>
    <row r="285" spans="2:29" ht="15" x14ac:dyDescent="0.25">
      <c r="B285" s="210"/>
      <c r="C285" s="199"/>
      <c r="D285" s="199"/>
      <c r="E285" s="199"/>
      <c r="F285" s="200"/>
      <c r="G285" s="199"/>
      <c r="K285" s="44">
        <f t="shared" ref="K285:K368" si="83">+I285-J285</f>
        <v>0</v>
      </c>
      <c r="N285" s="103">
        <v>12</v>
      </c>
      <c r="O285" s="103"/>
      <c r="P285" s="103"/>
      <c r="Q285" s="103"/>
      <c r="R285" s="103"/>
      <c r="Z285" s="197">
        <f t="shared" si="77"/>
        <v>0</v>
      </c>
      <c r="AA285" s="44">
        <f t="shared" si="79"/>
        <v>0</v>
      </c>
      <c r="AB285" s="44">
        <f t="shared" si="80"/>
        <v>0</v>
      </c>
      <c r="AC285" s="44">
        <f t="shared" si="81"/>
        <v>0</v>
      </c>
    </row>
    <row r="286" spans="2:29" ht="15" x14ac:dyDescent="0.25">
      <c r="B286" s="210"/>
      <c r="C286" s="199"/>
      <c r="D286" s="199"/>
      <c r="E286" s="199"/>
      <c r="F286" s="200"/>
      <c r="G286" s="199"/>
      <c r="K286" s="44">
        <f t="shared" si="83"/>
        <v>0</v>
      </c>
      <c r="N286" s="103">
        <v>12</v>
      </c>
      <c r="O286" s="103"/>
      <c r="P286" s="103"/>
      <c r="Q286" s="103"/>
      <c r="R286" s="103"/>
      <c r="Z286" s="197">
        <f t="shared" si="77"/>
        <v>0</v>
      </c>
      <c r="AA286" s="44">
        <f t="shared" si="79"/>
        <v>0</v>
      </c>
      <c r="AB286" s="44">
        <f t="shared" si="80"/>
        <v>0</v>
      </c>
      <c r="AC286" s="44">
        <f t="shared" si="81"/>
        <v>0</v>
      </c>
    </row>
    <row r="287" spans="2:29" ht="15" x14ac:dyDescent="0.25">
      <c r="B287" s="210"/>
      <c r="C287" s="201"/>
      <c r="D287" s="199"/>
      <c r="E287" s="199"/>
      <c r="F287" s="200"/>
      <c r="G287" s="199"/>
      <c r="K287" s="44">
        <f t="shared" si="83"/>
        <v>0</v>
      </c>
      <c r="N287" s="103">
        <v>12</v>
      </c>
      <c r="O287" s="103"/>
      <c r="P287" s="103"/>
      <c r="Q287" s="103"/>
      <c r="R287" s="103"/>
      <c r="Z287" s="197">
        <f t="shared" si="77"/>
        <v>0</v>
      </c>
      <c r="AA287" s="44">
        <f t="shared" si="79"/>
        <v>0</v>
      </c>
      <c r="AB287" s="44">
        <f t="shared" si="80"/>
        <v>0</v>
      </c>
      <c r="AC287" s="44">
        <f t="shared" si="81"/>
        <v>0</v>
      </c>
    </row>
    <row r="288" spans="2:29" ht="15" x14ac:dyDescent="0.25">
      <c r="B288" s="210"/>
      <c r="C288" s="199"/>
      <c r="D288" s="199"/>
      <c r="E288" s="199"/>
      <c r="F288" s="200"/>
      <c r="G288" s="199"/>
      <c r="K288" s="44">
        <f t="shared" si="83"/>
        <v>0</v>
      </c>
      <c r="N288" s="103">
        <v>12</v>
      </c>
      <c r="O288" s="103"/>
      <c r="P288" s="103"/>
      <c r="Q288" s="103"/>
      <c r="R288" s="103"/>
      <c r="Z288" s="197">
        <f t="shared" si="77"/>
        <v>0</v>
      </c>
      <c r="AA288" s="44">
        <f t="shared" si="79"/>
        <v>0</v>
      </c>
      <c r="AB288" s="44">
        <f t="shared" si="80"/>
        <v>0</v>
      </c>
      <c r="AC288" s="44">
        <f t="shared" si="81"/>
        <v>0</v>
      </c>
    </row>
    <row r="289" spans="2:29" ht="15" x14ac:dyDescent="0.25">
      <c r="B289" s="210"/>
      <c r="C289" s="199"/>
      <c r="D289" s="199"/>
      <c r="E289" s="199"/>
      <c r="F289" s="200"/>
      <c r="G289" s="199"/>
      <c r="K289" s="44">
        <f t="shared" si="83"/>
        <v>0</v>
      </c>
      <c r="N289" s="103">
        <v>12</v>
      </c>
      <c r="O289" s="103"/>
      <c r="P289" s="103"/>
      <c r="Q289" s="103"/>
      <c r="R289" s="103"/>
      <c r="Z289" s="197">
        <f t="shared" si="77"/>
        <v>0</v>
      </c>
      <c r="AA289" s="44">
        <f t="shared" si="79"/>
        <v>0</v>
      </c>
      <c r="AB289" s="44">
        <f t="shared" si="80"/>
        <v>0</v>
      </c>
      <c r="AC289" s="44">
        <f t="shared" si="81"/>
        <v>0</v>
      </c>
    </row>
    <row r="290" spans="2:29" ht="15" x14ac:dyDescent="0.25">
      <c r="B290" s="210"/>
      <c r="C290" s="199"/>
      <c r="D290" s="199"/>
      <c r="E290" s="199"/>
      <c r="F290" s="200"/>
      <c r="G290" s="199"/>
      <c r="K290" s="44">
        <f t="shared" si="83"/>
        <v>0</v>
      </c>
      <c r="N290" s="103">
        <v>12</v>
      </c>
      <c r="O290" s="103"/>
      <c r="P290" s="103"/>
      <c r="Q290" s="103"/>
      <c r="R290" s="103"/>
      <c r="Z290" s="197">
        <f t="shared" si="77"/>
        <v>0</v>
      </c>
      <c r="AA290" s="44">
        <f t="shared" si="79"/>
        <v>0</v>
      </c>
      <c r="AB290" s="44">
        <f t="shared" si="80"/>
        <v>0</v>
      </c>
      <c r="AC290" s="44">
        <f t="shared" si="81"/>
        <v>0</v>
      </c>
    </row>
    <row r="291" spans="2:29" ht="15" x14ac:dyDescent="0.25">
      <c r="B291" s="210"/>
      <c r="C291" s="199"/>
      <c r="D291" s="199"/>
      <c r="E291" s="199"/>
      <c r="F291" s="200"/>
      <c r="G291" s="199"/>
      <c r="K291" s="44">
        <f t="shared" si="83"/>
        <v>0</v>
      </c>
      <c r="N291" s="103">
        <v>12</v>
      </c>
      <c r="O291" s="103"/>
      <c r="P291" s="103"/>
      <c r="Q291" s="103"/>
      <c r="R291" s="103"/>
      <c r="Z291" s="197">
        <f t="shared" si="77"/>
        <v>0</v>
      </c>
      <c r="AA291" s="44">
        <f t="shared" si="79"/>
        <v>0</v>
      </c>
      <c r="AB291" s="44">
        <f t="shared" si="80"/>
        <v>0</v>
      </c>
      <c r="AC291" s="44">
        <f t="shared" si="81"/>
        <v>0</v>
      </c>
    </row>
    <row r="292" spans="2:29" ht="15" x14ac:dyDescent="0.25">
      <c r="B292" s="210"/>
      <c r="C292" s="199"/>
      <c r="D292" s="199"/>
      <c r="E292" s="199"/>
      <c r="F292" s="200"/>
      <c r="G292" s="199"/>
      <c r="K292" s="44">
        <f t="shared" si="83"/>
        <v>0</v>
      </c>
      <c r="N292" s="103">
        <v>12</v>
      </c>
      <c r="O292" s="103"/>
      <c r="P292" s="103"/>
      <c r="Q292" s="103"/>
      <c r="R292" s="103"/>
      <c r="Z292" s="197">
        <f t="shared" si="77"/>
        <v>0</v>
      </c>
      <c r="AA292" s="44">
        <f t="shared" si="79"/>
        <v>0</v>
      </c>
      <c r="AB292" s="44">
        <f t="shared" si="80"/>
        <v>0</v>
      </c>
      <c r="AC292" s="44">
        <f t="shared" si="81"/>
        <v>0</v>
      </c>
    </row>
    <row r="293" spans="2:29" ht="15" x14ac:dyDescent="0.25">
      <c r="B293" s="210"/>
      <c r="C293" s="199"/>
      <c r="D293" s="199"/>
      <c r="E293" s="199"/>
      <c r="F293" s="200"/>
      <c r="G293" s="199"/>
      <c r="K293" s="44">
        <f t="shared" si="83"/>
        <v>0</v>
      </c>
      <c r="N293" s="103">
        <v>12</v>
      </c>
      <c r="O293" s="103"/>
      <c r="P293" s="103"/>
      <c r="Q293" s="103"/>
      <c r="R293" s="103"/>
      <c r="Z293" s="197">
        <f t="shared" si="77"/>
        <v>0</v>
      </c>
      <c r="AA293" s="44">
        <f t="shared" si="79"/>
        <v>0</v>
      </c>
      <c r="AB293" s="44">
        <f t="shared" si="80"/>
        <v>0</v>
      </c>
      <c r="AC293" s="44">
        <f t="shared" si="81"/>
        <v>0</v>
      </c>
    </row>
    <row r="294" spans="2:29" ht="15" x14ac:dyDescent="0.25">
      <c r="B294" s="210"/>
      <c r="C294" s="199"/>
      <c r="D294" s="199"/>
      <c r="E294" s="199"/>
      <c r="F294" s="200"/>
      <c r="G294" s="199"/>
      <c r="K294" s="44">
        <f t="shared" ref="K294:K357" si="84">+I294-J294</f>
        <v>0</v>
      </c>
      <c r="N294" s="103">
        <v>12</v>
      </c>
      <c r="O294" s="103"/>
      <c r="P294" s="103"/>
      <c r="Q294" s="103"/>
      <c r="R294" s="103"/>
      <c r="Z294" s="197">
        <f t="shared" si="77"/>
        <v>0</v>
      </c>
      <c r="AA294" s="44">
        <f t="shared" si="79"/>
        <v>0</v>
      </c>
      <c r="AB294" s="44">
        <f t="shared" si="80"/>
        <v>0</v>
      </c>
      <c r="AC294" s="44">
        <f t="shared" si="81"/>
        <v>0</v>
      </c>
    </row>
    <row r="295" spans="2:29" ht="15" x14ac:dyDescent="0.25">
      <c r="B295" s="210"/>
      <c r="C295" s="199"/>
      <c r="D295" s="199"/>
      <c r="E295" s="199"/>
      <c r="F295" s="200"/>
      <c r="G295" s="199"/>
      <c r="K295" s="44">
        <f t="shared" si="84"/>
        <v>0</v>
      </c>
      <c r="N295" s="103">
        <v>12</v>
      </c>
      <c r="O295" s="103"/>
      <c r="P295" s="103"/>
      <c r="Q295" s="103"/>
      <c r="R295" s="103"/>
      <c r="Z295" s="197">
        <f t="shared" si="77"/>
        <v>0</v>
      </c>
      <c r="AA295" s="44">
        <f t="shared" si="79"/>
        <v>0</v>
      </c>
      <c r="AB295" s="44">
        <f t="shared" si="80"/>
        <v>0</v>
      </c>
      <c r="AC295" s="44">
        <f t="shared" si="81"/>
        <v>0</v>
      </c>
    </row>
    <row r="296" spans="2:29" ht="15" x14ac:dyDescent="0.25">
      <c r="B296" s="210"/>
      <c r="C296" s="199"/>
      <c r="D296" s="199"/>
      <c r="E296" s="199"/>
      <c r="F296" s="200"/>
      <c r="G296" s="199"/>
      <c r="K296" s="44">
        <f t="shared" si="84"/>
        <v>0</v>
      </c>
      <c r="N296" s="103">
        <v>12</v>
      </c>
      <c r="O296" s="103"/>
      <c r="P296" s="103"/>
      <c r="Q296" s="103"/>
      <c r="R296" s="103"/>
      <c r="Z296" s="197">
        <f t="shared" si="77"/>
        <v>0</v>
      </c>
      <c r="AA296" s="44">
        <f t="shared" si="79"/>
        <v>0</v>
      </c>
      <c r="AB296" s="44">
        <f t="shared" si="80"/>
        <v>0</v>
      </c>
      <c r="AC296" s="44">
        <f t="shared" si="81"/>
        <v>0</v>
      </c>
    </row>
    <row r="297" spans="2:29" ht="15" x14ac:dyDescent="0.25">
      <c r="B297" s="210"/>
      <c r="C297" s="199"/>
      <c r="D297" s="199"/>
      <c r="E297" s="199"/>
      <c r="F297" s="200"/>
      <c r="G297" s="199"/>
      <c r="K297" s="44">
        <f t="shared" si="84"/>
        <v>0</v>
      </c>
      <c r="N297" s="103">
        <v>12</v>
      </c>
      <c r="O297" s="103"/>
      <c r="P297" s="103"/>
      <c r="Q297" s="103"/>
      <c r="R297" s="103"/>
      <c r="Z297" s="197">
        <f t="shared" si="77"/>
        <v>0</v>
      </c>
      <c r="AA297" s="44">
        <f t="shared" si="79"/>
        <v>0</v>
      </c>
      <c r="AB297" s="44">
        <f t="shared" si="80"/>
        <v>0</v>
      </c>
      <c r="AC297" s="44">
        <f t="shared" si="81"/>
        <v>0</v>
      </c>
    </row>
    <row r="298" spans="2:29" ht="15" x14ac:dyDescent="0.25">
      <c r="B298" s="210"/>
      <c r="C298" s="199"/>
      <c r="D298" s="199"/>
      <c r="E298" s="199"/>
      <c r="F298" s="200"/>
      <c r="G298" s="199"/>
      <c r="K298" s="44">
        <f t="shared" si="84"/>
        <v>0</v>
      </c>
      <c r="N298" s="103">
        <v>12</v>
      </c>
      <c r="O298" s="103"/>
      <c r="P298" s="103"/>
      <c r="Q298" s="103"/>
      <c r="R298" s="103"/>
      <c r="Z298" s="197">
        <f t="shared" si="77"/>
        <v>0</v>
      </c>
      <c r="AA298" s="44">
        <f t="shared" si="79"/>
        <v>0</v>
      </c>
      <c r="AB298" s="44">
        <f t="shared" si="80"/>
        <v>0</v>
      </c>
      <c r="AC298" s="44">
        <f t="shared" si="81"/>
        <v>0</v>
      </c>
    </row>
    <row r="299" spans="2:29" ht="15" x14ac:dyDescent="0.25">
      <c r="B299" s="210"/>
      <c r="C299" s="199"/>
      <c r="D299" s="199"/>
      <c r="E299" s="199"/>
      <c r="F299" s="200"/>
      <c r="G299" s="199"/>
      <c r="K299" s="44">
        <f t="shared" si="84"/>
        <v>0</v>
      </c>
      <c r="N299" s="103">
        <v>12</v>
      </c>
      <c r="O299" s="103"/>
      <c r="P299" s="103"/>
      <c r="Q299" s="103"/>
      <c r="R299" s="103"/>
      <c r="Z299" s="197">
        <f t="shared" si="77"/>
        <v>0</v>
      </c>
      <c r="AA299" s="44">
        <f t="shared" si="79"/>
        <v>0</v>
      </c>
      <c r="AB299" s="44">
        <f t="shared" si="80"/>
        <v>0</v>
      </c>
      <c r="AC299" s="44">
        <f t="shared" si="81"/>
        <v>0</v>
      </c>
    </row>
    <row r="300" spans="2:29" ht="15" x14ac:dyDescent="0.25">
      <c r="B300" s="210"/>
      <c r="C300" s="199"/>
      <c r="D300" s="199"/>
      <c r="E300" s="199"/>
      <c r="F300" s="200"/>
      <c r="G300" s="199"/>
      <c r="K300" s="44">
        <f t="shared" si="84"/>
        <v>0</v>
      </c>
      <c r="N300" s="103">
        <v>12</v>
      </c>
      <c r="O300" s="103"/>
      <c r="P300" s="103"/>
      <c r="Q300" s="103"/>
      <c r="R300" s="103"/>
      <c r="Z300" s="197">
        <f t="shared" si="77"/>
        <v>0</v>
      </c>
      <c r="AA300" s="44">
        <f t="shared" si="79"/>
        <v>0</v>
      </c>
      <c r="AB300" s="44">
        <f t="shared" si="80"/>
        <v>0</v>
      </c>
      <c r="AC300" s="44">
        <f t="shared" si="81"/>
        <v>0</v>
      </c>
    </row>
    <row r="301" spans="2:29" ht="15" x14ac:dyDescent="0.25">
      <c r="B301" s="210"/>
      <c r="C301" s="199"/>
      <c r="D301" s="199"/>
      <c r="E301" s="199"/>
      <c r="F301" s="200"/>
      <c r="G301" s="199"/>
      <c r="K301" s="44">
        <f t="shared" si="84"/>
        <v>0</v>
      </c>
      <c r="N301" s="103">
        <v>12</v>
      </c>
      <c r="O301" s="103"/>
      <c r="P301" s="103"/>
      <c r="Q301" s="103"/>
      <c r="R301" s="103"/>
      <c r="Z301" s="197">
        <f t="shared" si="77"/>
        <v>0</v>
      </c>
      <c r="AA301" s="44">
        <f t="shared" si="79"/>
        <v>0</v>
      </c>
      <c r="AB301" s="44">
        <f t="shared" si="80"/>
        <v>0</v>
      </c>
      <c r="AC301" s="44">
        <f t="shared" si="81"/>
        <v>0</v>
      </c>
    </row>
    <row r="302" spans="2:29" ht="15" x14ac:dyDescent="0.25">
      <c r="B302" s="210"/>
      <c r="C302" s="199"/>
      <c r="D302" s="199"/>
      <c r="E302" s="199"/>
      <c r="F302" s="200"/>
      <c r="G302" s="199"/>
      <c r="K302" s="44">
        <f t="shared" si="84"/>
        <v>0</v>
      </c>
      <c r="N302" s="103">
        <v>12</v>
      </c>
      <c r="O302" s="103"/>
      <c r="P302" s="103"/>
      <c r="Q302" s="103"/>
      <c r="R302" s="103"/>
      <c r="Z302" s="197">
        <f t="shared" si="77"/>
        <v>0</v>
      </c>
      <c r="AA302" s="44">
        <f t="shared" si="79"/>
        <v>0</v>
      </c>
      <c r="AB302" s="44">
        <f t="shared" si="80"/>
        <v>0</v>
      </c>
      <c r="AC302" s="44">
        <f t="shared" si="81"/>
        <v>0</v>
      </c>
    </row>
    <row r="303" spans="2:29" ht="15" x14ac:dyDescent="0.25">
      <c r="B303" s="210"/>
      <c r="C303" s="199"/>
      <c r="D303" s="199"/>
      <c r="E303" s="199"/>
      <c r="F303" s="200"/>
      <c r="G303" s="199"/>
      <c r="K303" s="44">
        <f t="shared" si="84"/>
        <v>0</v>
      </c>
      <c r="N303" s="103">
        <v>12</v>
      </c>
      <c r="O303" s="103"/>
      <c r="P303" s="103"/>
      <c r="Q303" s="103"/>
      <c r="R303" s="103"/>
      <c r="Z303" s="197">
        <f t="shared" si="77"/>
        <v>0</v>
      </c>
      <c r="AA303" s="44">
        <f t="shared" si="79"/>
        <v>0</v>
      </c>
      <c r="AB303" s="44">
        <f t="shared" si="80"/>
        <v>0</v>
      </c>
      <c r="AC303" s="44">
        <f t="shared" si="81"/>
        <v>0</v>
      </c>
    </row>
    <row r="304" spans="2:29" ht="15" x14ac:dyDescent="0.25">
      <c r="B304" s="210"/>
      <c r="C304" s="199"/>
      <c r="D304" s="199"/>
      <c r="E304" s="199"/>
      <c r="F304" s="200"/>
      <c r="G304" s="199"/>
      <c r="K304" s="44">
        <f t="shared" si="84"/>
        <v>0</v>
      </c>
      <c r="N304" s="103">
        <v>12</v>
      </c>
      <c r="O304" s="103"/>
      <c r="P304" s="103"/>
      <c r="Q304" s="103"/>
      <c r="R304" s="103"/>
      <c r="Z304" s="197">
        <f t="shared" ref="Z304:Z335" si="85">ROUND(IF(L304&gt;0,L304*I$268*N304/12,IF(K304=0,0,IF(I304*I$268*N304/12&gt;=K304,K304-1,I304*I$268*N304/12))),2)+Y304</f>
        <v>0</v>
      </c>
      <c r="AA304" s="44">
        <f t="shared" si="79"/>
        <v>0</v>
      </c>
      <c r="AB304" s="44">
        <f t="shared" si="80"/>
        <v>0</v>
      </c>
      <c r="AC304" s="44">
        <f t="shared" si="81"/>
        <v>0</v>
      </c>
    </row>
    <row r="305" spans="2:29" ht="15" x14ac:dyDescent="0.25">
      <c r="B305" s="210"/>
      <c r="C305" s="199"/>
      <c r="D305" s="199"/>
      <c r="E305" s="199"/>
      <c r="F305" s="200"/>
      <c r="G305" s="199"/>
      <c r="K305" s="44">
        <f t="shared" si="84"/>
        <v>0</v>
      </c>
      <c r="N305" s="103">
        <v>12</v>
      </c>
      <c r="O305" s="103"/>
      <c r="P305" s="103"/>
      <c r="Q305" s="103"/>
      <c r="R305" s="103"/>
      <c r="Z305" s="197">
        <f t="shared" si="85"/>
        <v>0</v>
      </c>
      <c r="AA305" s="44">
        <f t="shared" si="79"/>
        <v>0</v>
      </c>
      <c r="AB305" s="44">
        <f t="shared" si="80"/>
        <v>0</v>
      </c>
      <c r="AC305" s="44">
        <f t="shared" si="81"/>
        <v>0</v>
      </c>
    </row>
    <row r="306" spans="2:29" ht="15" x14ac:dyDescent="0.25">
      <c r="B306" s="210"/>
      <c r="C306" s="199"/>
      <c r="D306" s="199"/>
      <c r="E306" s="199"/>
      <c r="F306" s="200"/>
      <c r="G306" s="199"/>
      <c r="K306" s="44">
        <f t="shared" si="84"/>
        <v>0</v>
      </c>
      <c r="N306" s="103">
        <v>12</v>
      </c>
      <c r="O306" s="103"/>
      <c r="P306" s="103"/>
      <c r="Q306" s="103"/>
      <c r="R306" s="103"/>
      <c r="Z306" s="197">
        <f t="shared" si="85"/>
        <v>0</v>
      </c>
      <c r="AA306" s="44">
        <f t="shared" si="79"/>
        <v>0</v>
      </c>
      <c r="AB306" s="44">
        <f t="shared" si="80"/>
        <v>0</v>
      </c>
      <c r="AC306" s="44">
        <f t="shared" si="81"/>
        <v>0</v>
      </c>
    </row>
    <row r="307" spans="2:29" ht="15" x14ac:dyDescent="0.25">
      <c r="B307" s="210"/>
      <c r="C307" s="199"/>
      <c r="D307" s="199"/>
      <c r="E307" s="199"/>
      <c r="F307" s="200"/>
      <c r="G307" s="199"/>
      <c r="K307" s="44">
        <f t="shared" si="84"/>
        <v>0</v>
      </c>
      <c r="N307" s="103">
        <v>12</v>
      </c>
      <c r="O307" s="103"/>
      <c r="P307" s="103"/>
      <c r="Q307" s="103"/>
      <c r="R307" s="103"/>
      <c r="Z307" s="197">
        <f t="shared" si="85"/>
        <v>0</v>
      </c>
      <c r="AA307" s="44">
        <f t="shared" si="79"/>
        <v>0</v>
      </c>
      <c r="AB307" s="44">
        <f t="shared" si="80"/>
        <v>0</v>
      </c>
      <c r="AC307" s="44">
        <f t="shared" si="81"/>
        <v>0</v>
      </c>
    </row>
    <row r="308" spans="2:29" ht="15" x14ac:dyDescent="0.25">
      <c r="B308" s="210"/>
      <c r="C308" s="199"/>
      <c r="D308" s="199"/>
      <c r="E308" s="199"/>
      <c r="F308" s="200"/>
      <c r="G308" s="199"/>
      <c r="K308" s="44">
        <f t="shared" si="84"/>
        <v>0</v>
      </c>
      <c r="N308" s="103">
        <v>12</v>
      </c>
      <c r="O308" s="103"/>
      <c r="P308" s="103"/>
      <c r="Q308" s="103"/>
      <c r="R308" s="103"/>
      <c r="Z308" s="197">
        <f t="shared" si="85"/>
        <v>0</v>
      </c>
      <c r="AA308" s="44">
        <f t="shared" si="79"/>
        <v>0</v>
      </c>
      <c r="AB308" s="44">
        <f t="shared" si="80"/>
        <v>0</v>
      </c>
      <c r="AC308" s="44">
        <f t="shared" si="81"/>
        <v>0</v>
      </c>
    </row>
    <row r="309" spans="2:29" ht="15" x14ac:dyDescent="0.25">
      <c r="B309" s="210"/>
      <c r="C309" s="199"/>
      <c r="D309" s="199"/>
      <c r="E309" s="199"/>
      <c r="F309" s="200"/>
      <c r="G309" s="199"/>
      <c r="K309" s="44">
        <f t="shared" si="84"/>
        <v>0</v>
      </c>
      <c r="N309" s="103">
        <v>12</v>
      </c>
      <c r="O309" s="103"/>
      <c r="P309" s="103"/>
      <c r="Q309" s="103"/>
      <c r="R309" s="103"/>
      <c r="Z309" s="197">
        <f t="shared" si="85"/>
        <v>0</v>
      </c>
      <c r="AA309" s="44">
        <f t="shared" si="79"/>
        <v>0</v>
      </c>
      <c r="AB309" s="44">
        <f t="shared" si="80"/>
        <v>0</v>
      </c>
      <c r="AC309" s="44">
        <f t="shared" si="81"/>
        <v>0</v>
      </c>
    </row>
    <row r="310" spans="2:29" ht="15" x14ac:dyDescent="0.25">
      <c r="B310" s="210"/>
      <c r="C310" s="199"/>
      <c r="D310" s="199"/>
      <c r="E310" s="199"/>
      <c r="F310" s="200"/>
      <c r="G310" s="199"/>
      <c r="K310" s="44">
        <f t="shared" si="84"/>
        <v>0</v>
      </c>
      <c r="N310" s="103">
        <v>12</v>
      </c>
      <c r="O310" s="103"/>
      <c r="P310" s="103"/>
      <c r="Q310" s="103"/>
      <c r="R310" s="103"/>
      <c r="Z310" s="197">
        <f t="shared" si="85"/>
        <v>0</v>
      </c>
      <c r="AA310" s="44">
        <f t="shared" si="79"/>
        <v>0</v>
      </c>
      <c r="AB310" s="44">
        <f t="shared" si="80"/>
        <v>0</v>
      </c>
      <c r="AC310" s="44">
        <f t="shared" si="81"/>
        <v>0</v>
      </c>
    </row>
    <row r="311" spans="2:29" ht="15" x14ac:dyDescent="0.25">
      <c r="B311" s="210"/>
      <c r="C311" s="199"/>
      <c r="D311" s="199"/>
      <c r="E311" s="199"/>
      <c r="F311" s="200"/>
      <c r="G311" s="199"/>
      <c r="K311" s="44">
        <f t="shared" si="84"/>
        <v>0</v>
      </c>
      <c r="N311" s="103">
        <v>12</v>
      </c>
      <c r="O311" s="103"/>
      <c r="P311" s="103"/>
      <c r="Q311" s="103"/>
      <c r="R311" s="103"/>
      <c r="Z311" s="197">
        <f t="shared" si="85"/>
        <v>0</v>
      </c>
      <c r="AA311" s="44">
        <f t="shared" si="79"/>
        <v>0</v>
      </c>
      <c r="AB311" s="44">
        <f t="shared" si="80"/>
        <v>0</v>
      </c>
      <c r="AC311" s="44">
        <f t="shared" si="81"/>
        <v>0</v>
      </c>
    </row>
    <row r="312" spans="2:29" ht="15" x14ac:dyDescent="0.25">
      <c r="B312" s="210"/>
      <c r="C312" s="199"/>
      <c r="D312" s="199"/>
      <c r="E312" s="199"/>
      <c r="F312" s="200"/>
      <c r="G312" s="199"/>
      <c r="K312" s="44">
        <f t="shared" si="84"/>
        <v>0</v>
      </c>
      <c r="N312" s="103">
        <v>12</v>
      </c>
      <c r="O312" s="103"/>
      <c r="P312" s="103"/>
      <c r="Q312" s="103"/>
      <c r="R312" s="103"/>
      <c r="Z312" s="197">
        <f t="shared" si="85"/>
        <v>0</v>
      </c>
      <c r="AA312" s="44">
        <f t="shared" si="79"/>
        <v>0</v>
      </c>
      <c r="AB312" s="44">
        <f t="shared" si="80"/>
        <v>0</v>
      </c>
      <c r="AC312" s="44">
        <f t="shared" si="81"/>
        <v>0</v>
      </c>
    </row>
    <row r="313" spans="2:29" ht="15" x14ac:dyDescent="0.25">
      <c r="B313" s="210"/>
      <c r="C313" s="199"/>
      <c r="D313" s="199"/>
      <c r="E313" s="199"/>
      <c r="F313" s="200"/>
      <c r="G313" s="199"/>
      <c r="K313" s="44">
        <f t="shared" si="84"/>
        <v>0</v>
      </c>
      <c r="N313" s="103">
        <v>12</v>
      </c>
      <c r="O313" s="103"/>
      <c r="P313" s="103"/>
      <c r="Q313" s="103"/>
      <c r="R313" s="103"/>
      <c r="Z313" s="197">
        <f t="shared" si="85"/>
        <v>0</v>
      </c>
      <c r="AA313" s="44">
        <f t="shared" si="79"/>
        <v>0</v>
      </c>
      <c r="AB313" s="44">
        <f t="shared" si="80"/>
        <v>0</v>
      </c>
      <c r="AC313" s="44">
        <f t="shared" si="81"/>
        <v>0</v>
      </c>
    </row>
    <row r="314" spans="2:29" ht="15" x14ac:dyDescent="0.25">
      <c r="B314" s="210"/>
      <c r="C314" s="199"/>
      <c r="D314" s="199"/>
      <c r="E314" s="199"/>
      <c r="F314" s="200"/>
      <c r="G314" s="199"/>
      <c r="K314" s="44">
        <f t="shared" si="84"/>
        <v>0</v>
      </c>
      <c r="N314" s="103">
        <v>12</v>
      </c>
      <c r="O314" s="103"/>
      <c r="P314" s="103"/>
      <c r="Q314" s="103"/>
      <c r="R314" s="103"/>
      <c r="Z314" s="197">
        <f t="shared" si="85"/>
        <v>0</v>
      </c>
      <c r="AA314" s="44">
        <f t="shared" si="79"/>
        <v>0</v>
      </c>
      <c r="AB314" s="44">
        <f t="shared" si="80"/>
        <v>0</v>
      </c>
      <c r="AC314" s="44">
        <f t="shared" si="81"/>
        <v>0</v>
      </c>
    </row>
    <row r="315" spans="2:29" ht="15" x14ac:dyDescent="0.25">
      <c r="B315" s="210"/>
      <c r="C315" s="199"/>
      <c r="D315" s="199"/>
      <c r="E315" s="199"/>
      <c r="F315" s="200"/>
      <c r="G315" s="199"/>
      <c r="K315" s="44">
        <f t="shared" si="84"/>
        <v>0</v>
      </c>
      <c r="N315" s="103">
        <v>12</v>
      </c>
      <c r="O315" s="103"/>
      <c r="P315" s="103"/>
      <c r="Q315" s="103"/>
      <c r="R315" s="103"/>
      <c r="Z315" s="197">
        <f t="shared" si="85"/>
        <v>0</v>
      </c>
      <c r="AA315" s="44">
        <f t="shared" si="79"/>
        <v>0</v>
      </c>
      <c r="AB315" s="44">
        <f t="shared" si="80"/>
        <v>0</v>
      </c>
      <c r="AC315" s="44">
        <f t="shared" si="81"/>
        <v>0</v>
      </c>
    </row>
    <row r="316" spans="2:29" ht="15" x14ac:dyDescent="0.25">
      <c r="B316" s="210"/>
      <c r="C316" s="199"/>
      <c r="D316" s="199"/>
      <c r="E316" s="199"/>
      <c r="F316" s="200"/>
      <c r="G316" s="199"/>
      <c r="K316" s="44">
        <f t="shared" si="84"/>
        <v>0</v>
      </c>
      <c r="N316" s="103">
        <v>12</v>
      </c>
      <c r="O316" s="103"/>
      <c r="P316" s="103"/>
      <c r="Q316" s="103"/>
      <c r="R316" s="103"/>
      <c r="Z316" s="197">
        <f t="shared" si="85"/>
        <v>0</v>
      </c>
      <c r="AA316" s="44">
        <f t="shared" si="79"/>
        <v>0</v>
      </c>
      <c r="AB316" s="44">
        <f t="shared" si="80"/>
        <v>0</v>
      </c>
      <c r="AC316" s="44">
        <f t="shared" si="81"/>
        <v>0</v>
      </c>
    </row>
    <row r="317" spans="2:29" ht="15" x14ac:dyDescent="0.25">
      <c r="B317" s="210"/>
      <c r="C317" s="199"/>
      <c r="D317" s="199"/>
      <c r="E317" s="199"/>
      <c r="F317" s="200"/>
      <c r="G317" s="199"/>
      <c r="K317" s="44">
        <f t="shared" si="84"/>
        <v>0</v>
      </c>
      <c r="N317" s="103">
        <v>12</v>
      </c>
      <c r="O317" s="103"/>
      <c r="P317" s="103"/>
      <c r="Q317" s="103"/>
      <c r="R317" s="103"/>
      <c r="Z317" s="197">
        <f t="shared" si="85"/>
        <v>0</v>
      </c>
      <c r="AA317" s="44">
        <f t="shared" si="79"/>
        <v>0</v>
      </c>
      <c r="AB317" s="44">
        <f t="shared" si="80"/>
        <v>0</v>
      </c>
      <c r="AC317" s="44">
        <f t="shared" si="81"/>
        <v>0</v>
      </c>
    </row>
    <row r="318" spans="2:29" ht="15" x14ac:dyDescent="0.25">
      <c r="B318" s="210"/>
      <c r="C318" s="199"/>
      <c r="D318" s="199"/>
      <c r="E318" s="199"/>
      <c r="F318" s="200"/>
      <c r="G318" s="199"/>
      <c r="K318" s="44">
        <f t="shared" si="84"/>
        <v>0</v>
      </c>
      <c r="N318" s="103">
        <v>12</v>
      </c>
      <c r="O318" s="103"/>
      <c r="P318" s="103"/>
      <c r="Q318" s="103"/>
      <c r="R318" s="103"/>
      <c r="Z318" s="197">
        <f t="shared" si="85"/>
        <v>0</v>
      </c>
      <c r="AA318" s="44">
        <f t="shared" si="79"/>
        <v>0</v>
      </c>
      <c r="AB318" s="44">
        <f t="shared" si="80"/>
        <v>0</v>
      </c>
      <c r="AC318" s="44">
        <f t="shared" si="81"/>
        <v>0</v>
      </c>
    </row>
    <row r="319" spans="2:29" ht="15" x14ac:dyDescent="0.25">
      <c r="B319" s="210"/>
      <c r="C319" s="199"/>
      <c r="D319" s="199"/>
      <c r="E319" s="199"/>
      <c r="F319" s="200"/>
      <c r="G319" s="199"/>
      <c r="K319" s="44">
        <f t="shared" si="84"/>
        <v>0</v>
      </c>
      <c r="N319" s="103">
        <v>12</v>
      </c>
      <c r="O319" s="103"/>
      <c r="P319" s="103"/>
      <c r="Q319" s="103"/>
      <c r="R319" s="103"/>
      <c r="Z319" s="197">
        <f t="shared" si="85"/>
        <v>0</v>
      </c>
      <c r="AA319" s="44">
        <f t="shared" si="79"/>
        <v>0</v>
      </c>
      <c r="AB319" s="44">
        <f t="shared" si="80"/>
        <v>0</v>
      </c>
      <c r="AC319" s="44">
        <f t="shared" si="81"/>
        <v>0</v>
      </c>
    </row>
    <row r="320" spans="2:29" ht="15" x14ac:dyDescent="0.25">
      <c r="B320" s="210"/>
      <c r="C320" s="199"/>
      <c r="D320" s="199"/>
      <c r="E320" s="199"/>
      <c r="F320" s="200"/>
      <c r="G320" s="199"/>
      <c r="K320" s="44">
        <f t="shared" si="84"/>
        <v>0</v>
      </c>
      <c r="N320" s="103">
        <v>12</v>
      </c>
      <c r="O320" s="103"/>
      <c r="P320" s="103"/>
      <c r="Q320" s="103"/>
      <c r="R320" s="103"/>
      <c r="Z320" s="197">
        <f t="shared" si="85"/>
        <v>0</v>
      </c>
      <c r="AA320" s="44">
        <f t="shared" si="79"/>
        <v>0</v>
      </c>
      <c r="AB320" s="44">
        <f t="shared" si="80"/>
        <v>0</v>
      </c>
      <c r="AC320" s="44">
        <f t="shared" si="81"/>
        <v>0</v>
      </c>
    </row>
    <row r="321" spans="2:29" ht="15" x14ac:dyDescent="0.25">
      <c r="B321" s="210"/>
      <c r="C321" s="199"/>
      <c r="D321" s="199"/>
      <c r="E321" s="199"/>
      <c r="F321" s="200"/>
      <c r="G321" s="199"/>
      <c r="K321" s="44">
        <f t="shared" si="84"/>
        <v>0</v>
      </c>
      <c r="N321" s="103">
        <v>12</v>
      </c>
      <c r="O321" s="103"/>
      <c r="P321" s="103"/>
      <c r="Q321" s="103"/>
      <c r="R321" s="103"/>
      <c r="Z321" s="197">
        <f t="shared" si="85"/>
        <v>0</v>
      </c>
      <c r="AA321" s="44">
        <f t="shared" si="79"/>
        <v>0</v>
      </c>
      <c r="AB321" s="44">
        <f t="shared" si="80"/>
        <v>0</v>
      </c>
      <c r="AC321" s="44">
        <f t="shared" si="81"/>
        <v>0</v>
      </c>
    </row>
    <row r="322" spans="2:29" ht="15" x14ac:dyDescent="0.25">
      <c r="B322" s="210"/>
      <c r="C322" s="199"/>
      <c r="D322" s="199"/>
      <c r="E322" s="199"/>
      <c r="F322" s="200"/>
      <c r="G322" s="199"/>
      <c r="K322" s="44">
        <f t="shared" si="84"/>
        <v>0</v>
      </c>
      <c r="N322" s="103">
        <v>12</v>
      </c>
      <c r="O322" s="103"/>
      <c r="P322" s="103"/>
      <c r="Q322" s="103"/>
      <c r="R322" s="103"/>
      <c r="Z322" s="197">
        <f t="shared" si="85"/>
        <v>0</v>
      </c>
      <c r="AA322" s="44">
        <f t="shared" si="79"/>
        <v>0</v>
      </c>
      <c r="AB322" s="44">
        <f t="shared" si="80"/>
        <v>0</v>
      </c>
      <c r="AC322" s="44">
        <f t="shared" si="81"/>
        <v>0</v>
      </c>
    </row>
    <row r="323" spans="2:29" ht="15" x14ac:dyDescent="0.25">
      <c r="B323" s="210"/>
      <c r="C323" s="199"/>
      <c r="D323" s="199"/>
      <c r="E323" s="199"/>
      <c r="F323" s="200"/>
      <c r="G323" s="199"/>
      <c r="K323" s="44">
        <f t="shared" si="84"/>
        <v>0</v>
      </c>
      <c r="N323" s="103">
        <v>12</v>
      </c>
      <c r="O323" s="103"/>
      <c r="P323" s="103"/>
      <c r="Q323" s="103"/>
      <c r="R323" s="103"/>
      <c r="Z323" s="197">
        <f t="shared" si="85"/>
        <v>0</v>
      </c>
      <c r="AA323" s="44">
        <f t="shared" si="79"/>
        <v>0</v>
      </c>
      <c r="AB323" s="44">
        <f t="shared" si="80"/>
        <v>0</v>
      </c>
      <c r="AC323" s="44">
        <f t="shared" si="81"/>
        <v>0</v>
      </c>
    </row>
    <row r="324" spans="2:29" ht="15" x14ac:dyDescent="0.25">
      <c r="B324" s="210"/>
      <c r="C324" s="199"/>
      <c r="D324" s="199"/>
      <c r="E324" s="199"/>
      <c r="F324" s="200"/>
      <c r="G324" s="199"/>
      <c r="K324" s="44">
        <f t="shared" si="84"/>
        <v>0</v>
      </c>
      <c r="N324" s="103">
        <v>12</v>
      </c>
      <c r="O324" s="103"/>
      <c r="P324" s="103"/>
      <c r="Q324" s="103"/>
      <c r="R324" s="103"/>
      <c r="Z324" s="197">
        <f t="shared" si="85"/>
        <v>0</v>
      </c>
      <c r="AA324" s="44">
        <f t="shared" si="79"/>
        <v>0</v>
      </c>
      <c r="AB324" s="44">
        <f t="shared" si="80"/>
        <v>0</v>
      </c>
      <c r="AC324" s="44">
        <f t="shared" si="81"/>
        <v>0</v>
      </c>
    </row>
    <row r="325" spans="2:29" ht="15" x14ac:dyDescent="0.25">
      <c r="B325" s="210"/>
      <c r="C325" s="199"/>
      <c r="D325" s="199"/>
      <c r="E325" s="199"/>
      <c r="F325" s="200"/>
      <c r="G325" s="199"/>
      <c r="K325" s="44">
        <f t="shared" si="84"/>
        <v>0</v>
      </c>
      <c r="N325" s="103">
        <v>12</v>
      </c>
      <c r="O325" s="103"/>
      <c r="P325" s="103"/>
      <c r="Q325" s="103"/>
      <c r="R325" s="103"/>
      <c r="Z325" s="197">
        <f t="shared" si="85"/>
        <v>0</v>
      </c>
      <c r="AA325" s="44">
        <f t="shared" si="79"/>
        <v>0</v>
      </c>
      <c r="AB325" s="44">
        <f t="shared" si="80"/>
        <v>0</v>
      </c>
      <c r="AC325" s="44">
        <f t="shared" si="81"/>
        <v>0</v>
      </c>
    </row>
    <row r="326" spans="2:29" ht="15" x14ac:dyDescent="0.25">
      <c r="B326" s="210"/>
      <c r="C326" s="199"/>
      <c r="D326" s="199"/>
      <c r="E326" s="199"/>
      <c r="F326" s="200"/>
      <c r="G326" s="199"/>
      <c r="K326" s="44">
        <f t="shared" si="84"/>
        <v>0</v>
      </c>
      <c r="N326" s="103">
        <v>12</v>
      </c>
      <c r="O326" s="103"/>
      <c r="P326" s="103"/>
      <c r="Q326" s="103"/>
      <c r="R326" s="103"/>
      <c r="Z326" s="197">
        <f t="shared" si="85"/>
        <v>0</v>
      </c>
      <c r="AA326" s="44">
        <f t="shared" si="79"/>
        <v>0</v>
      </c>
      <c r="AB326" s="44">
        <f t="shared" si="80"/>
        <v>0</v>
      </c>
      <c r="AC326" s="44">
        <f t="shared" si="81"/>
        <v>0</v>
      </c>
    </row>
    <row r="327" spans="2:29" ht="15" x14ac:dyDescent="0.25">
      <c r="B327" s="210"/>
      <c r="C327" s="199"/>
      <c r="D327" s="199"/>
      <c r="E327" s="199"/>
      <c r="F327" s="200"/>
      <c r="G327" s="199"/>
      <c r="K327" s="44">
        <f t="shared" si="84"/>
        <v>0</v>
      </c>
      <c r="N327" s="103">
        <v>12</v>
      </c>
      <c r="O327" s="103"/>
      <c r="P327" s="103"/>
      <c r="Q327" s="103"/>
      <c r="R327" s="103"/>
      <c r="Z327" s="197">
        <f t="shared" si="85"/>
        <v>0</v>
      </c>
      <c r="AA327" s="44">
        <f t="shared" si="79"/>
        <v>0</v>
      </c>
      <c r="AB327" s="44">
        <f t="shared" si="80"/>
        <v>0</v>
      </c>
      <c r="AC327" s="44">
        <f t="shared" si="81"/>
        <v>0</v>
      </c>
    </row>
    <row r="328" spans="2:29" ht="15" x14ac:dyDescent="0.25">
      <c r="B328" s="210"/>
      <c r="C328" s="199"/>
      <c r="D328" s="199"/>
      <c r="E328" s="199"/>
      <c r="F328" s="200"/>
      <c r="G328" s="199"/>
      <c r="K328" s="44">
        <f t="shared" si="84"/>
        <v>0</v>
      </c>
      <c r="N328" s="103">
        <v>12</v>
      </c>
      <c r="O328" s="103"/>
      <c r="P328" s="103"/>
      <c r="Q328" s="103"/>
      <c r="R328" s="103"/>
      <c r="Z328" s="197">
        <f t="shared" si="85"/>
        <v>0</v>
      </c>
      <c r="AA328" s="44">
        <f t="shared" si="79"/>
        <v>0</v>
      </c>
      <c r="AB328" s="44">
        <f t="shared" si="80"/>
        <v>0</v>
      </c>
      <c r="AC328" s="44">
        <f t="shared" si="81"/>
        <v>0</v>
      </c>
    </row>
    <row r="329" spans="2:29" ht="15" x14ac:dyDescent="0.25">
      <c r="B329" s="210"/>
      <c r="C329" s="199"/>
      <c r="D329" s="199"/>
      <c r="E329" s="199"/>
      <c r="F329" s="200"/>
      <c r="G329" s="199"/>
      <c r="K329" s="44">
        <f t="shared" si="84"/>
        <v>0</v>
      </c>
      <c r="N329" s="103">
        <v>12</v>
      </c>
      <c r="O329" s="103"/>
      <c r="P329" s="103"/>
      <c r="Q329" s="103"/>
      <c r="R329" s="103"/>
      <c r="Z329" s="197">
        <f t="shared" si="85"/>
        <v>0</v>
      </c>
      <c r="AA329" s="44">
        <f t="shared" si="79"/>
        <v>0</v>
      </c>
      <c r="AB329" s="44">
        <f t="shared" si="80"/>
        <v>0</v>
      </c>
      <c r="AC329" s="44">
        <f t="shared" si="81"/>
        <v>0</v>
      </c>
    </row>
    <row r="330" spans="2:29" ht="15" x14ac:dyDescent="0.25">
      <c r="B330" s="210"/>
      <c r="C330" s="199"/>
      <c r="D330" s="199"/>
      <c r="E330" s="199"/>
      <c r="F330" s="200"/>
      <c r="G330" s="199"/>
      <c r="K330" s="44">
        <f t="shared" si="84"/>
        <v>0</v>
      </c>
      <c r="N330" s="103">
        <v>12</v>
      </c>
      <c r="O330" s="103"/>
      <c r="P330" s="103"/>
      <c r="Q330" s="103"/>
      <c r="R330" s="103"/>
      <c r="Z330" s="197">
        <f t="shared" si="85"/>
        <v>0</v>
      </c>
      <c r="AA330" s="44">
        <f t="shared" si="79"/>
        <v>0</v>
      </c>
      <c r="AB330" s="44">
        <f t="shared" si="80"/>
        <v>0</v>
      </c>
      <c r="AC330" s="44">
        <f t="shared" si="81"/>
        <v>0</v>
      </c>
    </row>
    <row r="331" spans="2:29" ht="15" x14ac:dyDescent="0.25">
      <c r="B331" s="210"/>
      <c r="C331" s="199"/>
      <c r="D331" s="199"/>
      <c r="E331" s="199"/>
      <c r="F331" s="200"/>
      <c r="G331" s="199"/>
      <c r="K331" s="44">
        <f t="shared" si="84"/>
        <v>0</v>
      </c>
      <c r="N331" s="103">
        <v>12</v>
      </c>
      <c r="O331" s="103"/>
      <c r="P331" s="103"/>
      <c r="Q331" s="103"/>
      <c r="R331" s="103"/>
      <c r="Z331" s="197">
        <f t="shared" si="85"/>
        <v>0</v>
      </c>
      <c r="AA331" s="44">
        <f t="shared" si="79"/>
        <v>0</v>
      </c>
      <c r="AB331" s="44">
        <f t="shared" si="80"/>
        <v>0</v>
      </c>
      <c r="AC331" s="44">
        <f t="shared" si="81"/>
        <v>0</v>
      </c>
    </row>
    <row r="332" spans="2:29" ht="15" x14ac:dyDescent="0.25">
      <c r="B332" s="210"/>
      <c r="C332" s="199"/>
      <c r="D332" s="199"/>
      <c r="E332" s="199"/>
      <c r="F332" s="200"/>
      <c r="G332" s="199"/>
      <c r="K332" s="44">
        <f t="shared" si="84"/>
        <v>0</v>
      </c>
      <c r="N332" s="103">
        <v>12</v>
      </c>
      <c r="O332" s="103"/>
      <c r="P332" s="103"/>
      <c r="Q332" s="103"/>
      <c r="R332" s="103"/>
      <c r="Z332" s="197">
        <f t="shared" si="85"/>
        <v>0</v>
      </c>
      <c r="AA332" s="44">
        <f t="shared" si="79"/>
        <v>0</v>
      </c>
      <c r="AB332" s="44">
        <f t="shared" si="80"/>
        <v>0</v>
      </c>
      <c r="AC332" s="44">
        <f t="shared" si="81"/>
        <v>0</v>
      </c>
    </row>
    <row r="333" spans="2:29" ht="15" x14ac:dyDescent="0.25">
      <c r="B333" s="210"/>
      <c r="C333" s="199"/>
      <c r="D333" s="199"/>
      <c r="E333" s="199"/>
      <c r="F333" s="200"/>
      <c r="G333" s="199"/>
      <c r="K333" s="44">
        <f t="shared" si="84"/>
        <v>0</v>
      </c>
      <c r="N333" s="103">
        <v>12</v>
      </c>
      <c r="O333" s="103"/>
      <c r="P333" s="103"/>
      <c r="Q333" s="103"/>
      <c r="R333" s="103"/>
      <c r="Z333" s="197">
        <f t="shared" si="85"/>
        <v>0</v>
      </c>
      <c r="AA333" s="44">
        <f t="shared" si="79"/>
        <v>0</v>
      </c>
      <c r="AB333" s="44">
        <f t="shared" si="80"/>
        <v>0</v>
      </c>
      <c r="AC333" s="44">
        <f t="shared" si="81"/>
        <v>0</v>
      </c>
    </row>
    <row r="334" spans="2:29" ht="15" x14ac:dyDescent="0.25">
      <c r="B334" s="210"/>
      <c r="C334" s="199"/>
      <c r="D334" s="199"/>
      <c r="E334" s="199"/>
      <c r="F334" s="200"/>
      <c r="G334" s="199"/>
      <c r="K334" s="44">
        <f t="shared" si="84"/>
        <v>0</v>
      </c>
      <c r="N334" s="103">
        <v>12</v>
      </c>
      <c r="O334" s="103"/>
      <c r="P334" s="103"/>
      <c r="Q334" s="103"/>
      <c r="R334" s="103"/>
      <c r="Z334" s="197">
        <f t="shared" si="85"/>
        <v>0</v>
      </c>
      <c r="AA334" s="44">
        <f t="shared" si="79"/>
        <v>0</v>
      </c>
      <c r="AB334" s="44">
        <f t="shared" si="80"/>
        <v>0</v>
      </c>
      <c r="AC334" s="44">
        <f t="shared" si="81"/>
        <v>0</v>
      </c>
    </row>
    <row r="335" spans="2:29" ht="15" x14ac:dyDescent="0.25">
      <c r="B335" s="210"/>
      <c r="C335" s="199"/>
      <c r="D335" s="199"/>
      <c r="E335" s="199"/>
      <c r="F335" s="200"/>
      <c r="G335" s="199"/>
      <c r="K335" s="44">
        <f t="shared" si="84"/>
        <v>0</v>
      </c>
      <c r="N335" s="103">
        <v>12</v>
      </c>
      <c r="O335" s="103"/>
      <c r="P335" s="103"/>
      <c r="Q335" s="103"/>
      <c r="R335" s="103"/>
      <c r="Z335" s="197">
        <f t="shared" si="85"/>
        <v>0</v>
      </c>
      <c r="AA335" s="44">
        <f t="shared" si="79"/>
        <v>0</v>
      </c>
      <c r="AB335" s="44">
        <f t="shared" si="80"/>
        <v>0</v>
      </c>
      <c r="AC335" s="44">
        <f t="shared" si="81"/>
        <v>0</v>
      </c>
    </row>
    <row r="336" spans="2:29" ht="15" x14ac:dyDescent="0.25">
      <c r="B336" s="210"/>
      <c r="C336" s="199"/>
      <c r="D336" s="199"/>
      <c r="E336" s="199"/>
      <c r="F336" s="200"/>
      <c r="G336" s="199"/>
      <c r="K336" s="44">
        <f t="shared" si="84"/>
        <v>0</v>
      </c>
      <c r="N336" s="103">
        <v>12</v>
      </c>
      <c r="O336" s="103"/>
      <c r="P336" s="103"/>
      <c r="Q336" s="103"/>
      <c r="R336" s="103"/>
      <c r="Z336" s="197">
        <f t="shared" ref="Z336:Z367" si="86">ROUND(IF(L336&gt;0,L336*I$268*N336/12,IF(K336=0,0,IF(I336*I$268*N336/12&gt;=K336,K336-1,I336*I$268*N336/12))),2)+Y336</f>
        <v>0</v>
      </c>
      <c r="AA336" s="44">
        <f t="shared" si="79"/>
        <v>0</v>
      </c>
      <c r="AB336" s="44">
        <f t="shared" si="80"/>
        <v>0</v>
      </c>
      <c r="AC336" s="44">
        <f t="shared" si="81"/>
        <v>0</v>
      </c>
    </row>
    <row r="337" spans="2:29" ht="15" x14ac:dyDescent="0.25">
      <c r="B337" s="210"/>
      <c r="C337" s="199"/>
      <c r="D337" s="199"/>
      <c r="E337" s="199"/>
      <c r="F337" s="200"/>
      <c r="G337" s="199"/>
      <c r="K337" s="44">
        <f t="shared" si="84"/>
        <v>0</v>
      </c>
      <c r="N337" s="103">
        <v>12</v>
      </c>
      <c r="O337" s="103"/>
      <c r="P337" s="103"/>
      <c r="Q337" s="103"/>
      <c r="R337" s="103"/>
      <c r="Z337" s="197">
        <f t="shared" si="86"/>
        <v>0</v>
      </c>
      <c r="AA337" s="44">
        <f t="shared" ref="AA337:AA368" si="87">I337+L337-Q337</f>
        <v>0</v>
      </c>
      <c r="AB337" s="44">
        <f t="shared" ref="AB337:AB368" si="88">J337+Z337-R337</f>
        <v>0</v>
      </c>
      <c r="AC337" s="44">
        <f t="shared" ref="AC337:AC368" si="89">+AA337-AB337</f>
        <v>0</v>
      </c>
    </row>
    <row r="338" spans="2:29" ht="15" x14ac:dyDescent="0.25">
      <c r="B338" s="210"/>
      <c r="C338" s="199"/>
      <c r="D338" s="199"/>
      <c r="E338" s="199"/>
      <c r="F338" s="200"/>
      <c r="G338" s="199"/>
      <c r="K338" s="44">
        <f t="shared" si="84"/>
        <v>0</v>
      </c>
      <c r="N338" s="103">
        <v>12</v>
      </c>
      <c r="O338" s="103"/>
      <c r="P338" s="103"/>
      <c r="Q338" s="103"/>
      <c r="R338" s="103"/>
      <c r="Z338" s="197">
        <f t="shared" si="86"/>
        <v>0</v>
      </c>
      <c r="AA338" s="44">
        <f t="shared" si="87"/>
        <v>0</v>
      </c>
      <c r="AB338" s="44">
        <f t="shared" si="88"/>
        <v>0</v>
      </c>
      <c r="AC338" s="44">
        <f t="shared" si="89"/>
        <v>0</v>
      </c>
    </row>
    <row r="339" spans="2:29" ht="15" x14ac:dyDescent="0.25">
      <c r="B339" s="210"/>
      <c r="C339" s="199"/>
      <c r="D339" s="199"/>
      <c r="E339" s="199"/>
      <c r="F339" s="200"/>
      <c r="G339" s="199"/>
      <c r="K339" s="44">
        <f t="shared" si="84"/>
        <v>0</v>
      </c>
      <c r="N339" s="103">
        <v>12</v>
      </c>
      <c r="O339" s="103"/>
      <c r="P339" s="103"/>
      <c r="Q339" s="103"/>
      <c r="R339" s="103"/>
      <c r="Z339" s="197">
        <f t="shared" si="86"/>
        <v>0</v>
      </c>
      <c r="AA339" s="44">
        <f t="shared" si="87"/>
        <v>0</v>
      </c>
      <c r="AB339" s="44">
        <f t="shared" si="88"/>
        <v>0</v>
      </c>
      <c r="AC339" s="44">
        <f t="shared" si="89"/>
        <v>0</v>
      </c>
    </row>
    <row r="340" spans="2:29" ht="15" x14ac:dyDescent="0.25">
      <c r="B340" s="210"/>
      <c r="C340" s="199"/>
      <c r="D340" s="199"/>
      <c r="E340" s="199"/>
      <c r="F340" s="200"/>
      <c r="G340" s="199"/>
      <c r="K340" s="44">
        <f t="shared" si="84"/>
        <v>0</v>
      </c>
      <c r="N340" s="103">
        <v>12</v>
      </c>
      <c r="O340" s="103"/>
      <c r="P340" s="103"/>
      <c r="Q340" s="103"/>
      <c r="R340" s="103"/>
      <c r="Z340" s="197">
        <f t="shared" si="86"/>
        <v>0</v>
      </c>
      <c r="AA340" s="44">
        <f t="shared" si="87"/>
        <v>0</v>
      </c>
      <c r="AB340" s="44">
        <f t="shared" si="88"/>
        <v>0</v>
      </c>
      <c r="AC340" s="44">
        <f t="shared" si="89"/>
        <v>0</v>
      </c>
    </row>
    <row r="341" spans="2:29" ht="15" x14ac:dyDescent="0.25">
      <c r="B341" s="210"/>
      <c r="C341" s="199"/>
      <c r="D341" s="199"/>
      <c r="E341" s="199"/>
      <c r="F341" s="200"/>
      <c r="G341" s="199"/>
      <c r="K341" s="44">
        <f t="shared" si="84"/>
        <v>0</v>
      </c>
      <c r="N341" s="103">
        <v>12</v>
      </c>
      <c r="O341" s="103"/>
      <c r="P341" s="103"/>
      <c r="Q341" s="103"/>
      <c r="R341" s="103"/>
      <c r="Z341" s="197">
        <f t="shared" si="86"/>
        <v>0</v>
      </c>
      <c r="AA341" s="44">
        <f t="shared" si="87"/>
        <v>0</v>
      </c>
      <c r="AB341" s="44">
        <f t="shared" si="88"/>
        <v>0</v>
      </c>
      <c r="AC341" s="44">
        <f t="shared" si="89"/>
        <v>0</v>
      </c>
    </row>
    <row r="342" spans="2:29" ht="15" x14ac:dyDescent="0.25">
      <c r="B342" s="210"/>
      <c r="C342" s="199"/>
      <c r="D342" s="199"/>
      <c r="E342" s="199"/>
      <c r="F342" s="200"/>
      <c r="G342" s="199"/>
      <c r="K342" s="44">
        <f t="shared" si="84"/>
        <v>0</v>
      </c>
      <c r="N342" s="103">
        <v>12</v>
      </c>
      <c r="O342" s="103"/>
      <c r="P342" s="103"/>
      <c r="Q342" s="103"/>
      <c r="R342" s="103"/>
      <c r="Z342" s="197">
        <f t="shared" si="86"/>
        <v>0</v>
      </c>
      <c r="AA342" s="44">
        <f t="shared" si="87"/>
        <v>0</v>
      </c>
      <c r="AB342" s="44">
        <f t="shared" si="88"/>
        <v>0</v>
      </c>
      <c r="AC342" s="44">
        <f t="shared" si="89"/>
        <v>0</v>
      </c>
    </row>
    <row r="343" spans="2:29" ht="15" x14ac:dyDescent="0.25">
      <c r="B343" s="210"/>
      <c r="C343" s="199"/>
      <c r="D343" s="199"/>
      <c r="E343" s="199"/>
      <c r="F343" s="200"/>
      <c r="G343" s="199"/>
      <c r="K343" s="44">
        <f t="shared" si="84"/>
        <v>0</v>
      </c>
      <c r="N343" s="103">
        <v>12</v>
      </c>
      <c r="O343" s="103"/>
      <c r="P343" s="103"/>
      <c r="Q343" s="103"/>
      <c r="R343" s="103"/>
      <c r="Z343" s="197">
        <f t="shared" si="86"/>
        <v>0</v>
      </c>
      <c r="AA343" s="44">
        <f t="shared" si="87"/>
        <v>0</v>
      </c>
      <c r="AB343" s="44">
        <f t="shared" si="88"/>
        <v>0</v>
      </c>
      <c r="AC343" s="44">
        <f t="shared" si="89"/>
        <v>0</v>
      </c>
    </row>
    <row r="344" spans="2:29" ht="15" x14ac:dyDescent="0.25">
      <c r="B344" s="210"/>
      <c r="C344" s="199"/>
      <c r="D344" s="199"/>
      <c r="E344" s="199"/>
      <c r="F344" s="200"/>
      <c r="G344" s="199"/>
      <c r="K344" s="44">
        <f t="shared" si="84"/>
        <v>0</v>
      </c>
      <c r="N344" s="103">
        <v>12</v>
      </c>
      <c r="O344" s="103"/>
      <c r="P344" s="103"/>
      <c r="Q344" s="103"/>
      <c r="R344" s="103"/>
      <c r="Z344" s="197">
        <f t="shared" si="86"/>
        <v>0</v>
      </c>
      <c r="AA344" s="44">
        <f t="shared" si="87"/>
        <v>0</v>
      </c>
      <c r="AB344" s="44">
        <f t="shared" si="88"/>
        <v>0</v>
      </c>
      <c r="AC344" s="44">
        <f t="shared" si="89"/>
        <v>0</v>
      </c>
    </row>
    <row r="345" spans="2:29" ht="15" x14ac:dyDescent="0.25">
      <c r="B345" s="210"/>
      <c r="C345" s="199"/>
      <c r="D345" s="199"/>
      <c r="E345" s="199"/>
      <c r="F345" s="200"/>
      <c r="G345" s="199"/>
      <c r="K345" s="44">
        <f t="shared" si="84"/>
        <v>0</v>
      </c>
      <c r="N345" s="103">
        <v>12</v>
      </c>
      <c r="O345" s="103"/>
      <c r="P345" s="103"/>
      <c r="Q345" s="103"/>
      <c r="R345" s="103"/>
      <c r="Z345" s="197">
        <f t="shared" si="86"/>
        <v>0</v>
      </c>
      <c r="AA345" s="44">
        <f t="shared" si="87"/>
        <v>0</v>
      </c>
      <c r="AB345" s="44">
        <f t="shared" si="88"/>
        <v>0</v>
      </c>
      <c r="AC345" s="44">
        <f t="shared" si="89"/>
        <v>0</v>
      </c>
    </row>
    <row r="346" spans="2:29" ht="15" x14ac:dyDescent="0.25">
      <c r="B346" s="210"/>
      <c r="C346" s="199"/>
      <c r="D346" s="199"/>
      <c r="E346" s="199"/>
      <c r="F346" s="200"/>
      <c r="G346" s="199"/>
      <c r="K346" s="44">
        <f t="shared" si="84"/>
        <v>0</v>
      </c>
      <c r="N346" s="103">
        <v>12</v>
      </c>
      <c r="O346" s="103"/>
      <c r="P346" s="103"/>
      <c r="Q346" s="103"/>
      <c r="R346" s="103"/>
      <c r="Z346" s="197">
        <f t="shared" si="86"/>
        <v>0</v>
      </c>
      <c r="AA346" s="44">
        <f t="shared" si="87"/>
        <v>0</v>
      </c>
      <c r="AB346" s="44">
        <f t="shared" si="88"/>
        <v>0</v>
      </c>
      <c r="AC346" s="44">
        <f t="shared" si="89"/>
        <v>0</v>
      </c>
    </row>
    <row r="347" spans="2:29" ht="15" x14ac:dyDescent="0.25">
      <c r="B347" s="210"/>
      <c r="C347" s="199"/>
      <c r="D347" s="199"/>
      <c r="E347" s="199"/>
      <c r="F347" s="200"/>
      <c r="G347" s="199"/>
      <c r="K347" s="44">
        <f t="shared" si="84"/>
        <v>0</v>
      </c>
      <c r="N347" s="103">
        <v>12</v>
      </c>
      <c r="O347" s="103"/>
      <c r="P347" s="103"/>
      <c r="Q347" s="103"/>
      <c r="R347" s="103"/>
      <c r="Z347" s="197">
        <f t="shared" si="86"/>
        <v>0</v>
      </c>
      <c r="AA347" s="44">
        <f t="shared" si="87"/>
        <v>0</v>
      </c>
      <c r="AB347" s="44">
        <f t="shared" si="88"/>
        <v>0</v>
      </c>
      <c r="AC347" s="44">
        <f t="shared" si="89"/>
        <v>0</v>
      </c>
    </row>
    <row r="348" spans="2:29" ht="15" x14ac:dyDescent="0.25">
      <c r="B348" s="210"/>
      <c r="C348" s="199"/>
      <c r="D348" s="199"/>
      <c r="E348" s="199"/>
      <c r="F348" s="200"/>
      <c r="G348" s="199"/>
      <c r="K348" s="44">
        <f t="shared" si="84"/>
        <v>0</v>
      </c>
      <c r="N348" s="103">
        <v>12</v>
      </c>
      <c r="O348" s="103"/>
      <c r="P348" s="103"/>
      <c r="Q348" s="103"/>
      <c r="R348" s="103"/>
      <c r="Z348" s="197">
        <f t="shared" si="86"/>
        <v>0</v>
      </c>
      <c r="AA348" s="44">
        <f t="shared" si="87"/>
        <v>0</v>
      </c>
      <c r="AB348" s="44">
        <f t="shared" si="88"/>
        <v>0</v>
      </c>
      <c r="AC348" s="44">
        <f t="shared" si="89"/>
        <v>0</v>
      </c>
    </row>
    <row r="349" spans="2:29" ht="15" x14ac:dyDescent="0.25">
      <c r="B349" s="210"/>
      <c r="C349" s="199"/>
      <c r="D349" s="199"/>
      <c r="E349" s="199"/>
      <c r="F349" s="200"/>
      <c r="G349" s="199"/>
      <c r="K349" s="44">
        <f t="shared" si="84"/>
        <v>0</v>
      </c>
      <c r="N349" s="103">
        <v>12</v>
      </c>
      <c r="O349" s="103"/>
      <c r="P349" s="103"/>
      <c r="Q349" s="103"/>
      <c r="R349" s="103"/>
      <c r="Z349" s="197">
        <f t="shared" si="86"/>
        <v>0</v>
      </c>
      <c r="AA349" s="44">
        <f t="shared" si="87"/>
        <v>0</v>
      </c>
      <c r="AB349" s="44">
        <f t="shared" si="88"/>
        <v>0</v>
      </c>
      <c r="AC349" s="44">
        <f t="shared" si="89"/>
        <v>0</v>
      </c>
    </row>
    <row r="350" spans="2:29" ht="15" x14ac:dyDescent="0.25">
      <c r="B350" s="210"/>
      <c r="C350" s="199"/>
      <c r="D350" s="199"/>
      <c r="E350" s="199"/>
      <c r="F350" s="200"/>
      <c r="G350" s="199"/>
      <c r="K350" s="44">
        <f t="shared" si="84"/>
        <v>0</v>
      </c>
      <c r="N350" s="103">
        <v>12</v>
      </c>
      <c r="O350" s="103"/>
      <c r="P350" s="103"/>
      <c r="Q350" s="103"/>
      <c r="R350" s="103"/>
      <c r="Z350" s="197">
        <f t="shared" si="86"/>
        <v>0</v>
      </c>
      <c r="AA350" s="44">
        <f t="shared" si="87"/>
        <v>0</v>
      </c>
      <c r="AB350" s="44">
        <f t="shared" si="88"/>
        <v>0</v>
      </c>
      <c r="AC350" s="44">
        <f t="shared" si="89"/>
        <v>0</v>
      </c>
    </row>
    <row r="351" spans="2:29" ht="15" x14ac:dyDescent="0.25">
      <c r="B351" s="210"/>
      <c r="C351" s="199"/>
      <c r="D351" s="199"/>
      <c r="E351" s="199"/>
      <c r="F351" s="200"/>
      <c r="G351" s="199"/>
      <c r="K351" s="44">
        <f t="shared" si="84"/>
        <v>0</v>
      </c>
      <c r="N351" s="103">
        <v>12</v>
      </c>
      <c r="O351" s="103"/>
      <c r="P351" s="103"/>
      <c r="Q351" s="103"/>
      <c r="R351" s="103"/>
      <c r="Z351" s="197">
        <f t="shared" si="86"/>
        <v>0</v>
      </c>
      <c r="AA351" s="44">
        <f t="shared" si="87"/>
        <v>0</v>
      </c>
      <c r="AB351" s="44">
        <f t="shared" si="88"/>
        <v>0</v>
      </c>
      <c r="AC351" s="44">
        <f t="shared" si="89"/>
        <v>0</v>
      </c>
    </row>
    <row r="352" spans="2:29" ht="15" x14ac:dyDescent="0.25">
      <c r="B352" s="210"/>
      <c r="C352" s="199"/>
      <c r="D352" s="199"/>
      <c r="E352" s="199"/>
      <c r="F352" s="200"/>
      <c r="G352" s="199"/>
      <c r="K352" s="44">
        <f t="shared" si="84"/>
        <v>0</v>
      </c>
      <c r="N352" s="103">
        <v>12</v>
      </c>
      <c r="O352" s="103"/>
      <c r="P352" s="103"/>
      <c r="Q352" s="103"/>
      <c r="R352" s="103"/>
      <c r="Z352" s="197">
        <f t="shared" si="86"/>
        <v>0</v>
      </c>
      <c r="AA352" s="44">
        <f t="shared" si="87"/>
        <v>0</v>
      </c>
      <c r="AB352" s="44">
        <f t="shared" si="88"/>
        <v>0</v>
      </c>
      <c r="AC352" s="44">
        <f t="shared" si="89"/>
        <v>0</v>
      </c>
    </row>
    <row r="353" spans="2:29" ht="15" x14ac:dyDescent="0.25">
      <c r="B353" s="210"/>
      <c r="C353" s="199"/>
      <c r="D353" s="199"/>
      <c r="E353" s="199"/>
      <c r="F353" s="200"/>
      <c r="G353" s="199"/>
      <c r="K353" s="44">
        <f t="shared" si="84"/>
        <v>0</v>
      </c>
      <c r="N353" s="103">
        <v>12</v>
      </c>
      <c r="O353" s="103"/>
      <c r="P353" s="103"/>
      <c r="Q353" s="103"/>
      <c r="R353" s="103"/>
      <c r="Z353" s="197">
        <f t="shared" si="86"/>
        <v>0</v>
      </c>
      <c r="AA353" s="44">
        <f t="shared" si="87"/>
        <v>0</v>
      </c>
      <c r="AB353" s="44">
        <f t="shared" si="88"/>
        <v>0</v>
      </c>
      <c r="AC353" s="44">
        <f t="shared" si="89"/>
        <v>0</v>
      </c>
    </row>
    <row r="354" spans="2:29" ht="15" x14ac:dyDescent="0.25">
      <c r="B354" s="210"/>
      <c r="C354" s="199"/>
      <c r="D354" s="199"/>
      <c r="E354" s="199"/>
      <c r="F354" s="200"/>
      <c r="G354" s="199"/>
      <c r="K354" s="44">
        <f t="shared" si="84"/>
        <v>0</v>
      </c>
      <c r="N354" s="103">
        <v>12</v>
      </c>
      <c r="O354" s="103"/>
      <c r="P354" s="103"/>
      <c r="Q354" s="103"/>
      <c r="R354" s="103"/>
      <c r="Z354" s="197">
        <f t="shared" si="86"/>
        <v>0</v>
      </c>
      <c r="AA354" s="44">
        <f t="shared" si="87"/>
        <v>0</v>
      </c>
      <c r="AB354" s="44">
        <f t="shared" si="88"/>
        <v>0</v>
      </c>
      <c r="AC354" s="44">
        <f t="shared" si="89"/>
        <v>0</v>
      </c>
    </row>
    <row r="355" spans="2:29" ht="15" x14ac:dyDescent="0.25">
      <c r="B355" s="210"/>
      <c r="C355" s="199"/>
      <c r="D355" s="199"/>
      <c r="E355" s="199"/>
      <c r="F355" s="200"/>
      <c r="G355" s="199"/>
      <c r="K355" s="44">
        <f t="shared" si="84"/>
        <v>0</v>
      </c>
      <c r="N355" s="103">
        <v>12</v>
      </c>
      <c r="O355" s="103"/>
      <c r="P355" s="103"/>
      <c r="Q355" s="103"/>
      <c r="R355" s="103"/>
      <c r="Z355" s="197">
        <f t="shared" si="86"/>
        <v>0</v>
      </c>
      <c r="AA355" s="44">
        <f t="shared" si="87"/>
        <v>0</v>
      </c>
      <c r="AB355" s="44">
        <f t="shared" si="88"/>
        <v>0</v>
      </c>
      <c r="AC355" s="44">
        <f t="shared" si="89"/>
        <v>0</v>
      </c>
    </row>
    <row r="356" spans="2:29" ht="15" x14ac:dyDescent="0.25">
      <c r="B356" s="210"/>
      <c r="C356" s="199"/>
      <c r="D356" s="199"/>
      <c r="E356" s="199"/>
      <c r="F356" s="200"/>
      <c r="G356" s="199"/>
      <c r="K356" s="44">
        <f t="shared" si="84"/>
        <v>0</v>
      </c>
      <c r="N356" s="103">
        <v>12</v>
      </c>
      <c r="O356" s="103"/>
      <c r="P356" s="103"/>
      <c r="Q356" s="103"/>
      <c r="R356" s="103"/>
      <c r="Z356" s="197">
        <f t="shared" si="86"/>
        <v>0</v>
      </c>
      <c r="AA356" s="44">
        <f t="shared" si="87"/>
        <v>0</v>
      </c>
      <c r="AB356" s="44">
        <f t="shared" si="88"/>
        <v>0</v>
      </c>
      <c r="AC356" s="44">
        <f t="shared" si="89"/>
        <v>0</v>
      </c>
    </row>
    <row r="357" spans="2:29" ht="15" x14ac:dyDescent="0.25">
      <c r="B357" s="210"/>
      <c r="C357" s="199"/>
      <c r="D357" s="199"/>
      <c r="E357" s="199"/>
      <c r="F357" s="200"/>
      <c r="G357" s="199"/>
      <c r="K357" s="44">
        <f t="shared" si="84"/>
        <v>0</v>
      </c>
      <c r="N357" s="103">
        <v>12</v>
      </c>
      <c r="O357" s="103"/>
      <c r="P357" s="103"/>
      <c r="Q357" s="103"/>
      <c r="R357" s="103"/>
      <c r="Z357" s="197">
        <f t="shared" si="86"/>
        <v>0</v>
      </c>
      <c r="AA357" s="44">
        <f t="shared" si="87"/>
        <v>0</v>
      </c>
      <c r="AB357" s="44">
        <f t="shared" si="88"/>
        <v>0</v>
      </c>
      <c r="AC357" s="44">
        <f t="shared" si="89"/>
        <v>0</v>
      </c>
    </row>
    <row r="358" spans="2:29" ht="15" x14ac:dyDescent="0.25">
      <c r="B358" s="210"/>
      <c r="C358" s="199"/>
      <c r="D358" s="199"/>
      <c r="E358" s="199"/>
      <c r="F358" s="200"/>
      <c r="G358" s="199"/>
      <c r="K358" s="44">
        <f t="shared" ref="K358:K366" si="90">+I358-J358</f>
        <v>0</v>
      </c>
      <c r="N358" s="103">
        <v>12</v>
      </c>
      <c r="O358" s="103"/>
      <c r="P358" s="103"/>
      <c r="Q358" s="103"/>
      <c r="R358" s="103"/>
      <c r="Z358" s="197">
        <f t="shared" si="86"/>
        <v>0</v>
      </c>
      <c r="AA358" s="44">
        <f t="shared" si="87"/>
        <v>0</v>
      </c>
      <c r="AB358" s="44">
        <f t="shared" si="88"/>
        <v>0</v>
      </c>
      <c r="AC358" s="44">
        <f t="shared" si="89"/>
        <v>0</v>
      </c>
    </row>
    <row r="359" spans="2:29" ht="15" x14ac:dyDescent="0.25">
      <c r="B359" s="210"/>
      <c r="C359" s="199"/>
      <c r="D359" s="199"/>
      <c r="E359" s="199"/>
      <c r="F359" s="200"/>
      <c r="G359" s="199"/>
      <c r="K359" s="44">
        <f t="shared" si="90"/>
        <v>0</v>
      </c>
      <c r="N359" s="103">
        <v>12</v>
      </c>
      <c r="O359" s="103"/>
      <c r="P359" s="103"/>
      <c r="Q359" s="103"/>
      <c r="R359" s="103"/>
      <c r="Z359" s="197">
        <f t="shared" si="86"/>
        <v>0</v>
      </c>
      <c r="AA359" s="44">
        <f t="shared" si="87"/>
        <v>0</v>
      </c>
      <c r="AB359" s="44">
        <f t="shared" si="88"/>
        <v>0</v>
      </c>
      <c r="AC359" s="44">
        <f t="shared" si="89"/>
        <v>0</v>
      </c>
    </row>
    <row r="360" spans="2:29" ht="15" x14ac:dyDescent="0.25">
      <c r="B360" s="210"/>
      <c r="C360" s="199"/>
      <c r="D360" s="199"/>
      <c r="E360" s="199"/>
      <c r="F360" s="200"/>
      <c r="G360" s="199"/>
      <c r="K360" s="44">
        <f t="shared" si="90"/>
        <v>0</v>
      </c>
      <c r="N360" s="103">
        <v>12</v>
      </c>
      <c r="O360" s="103"/>
      <c r="P360" s="103"/>
      <c r="Q360" s="103"/>
      <c r="R360" s="103"/>
      <c r="Z360" s="197">
        <f t="shared" si="86"/>
        <v>0</v>
      </c>
      <c r="AA360" s="44">
        <f t="shared" si="87"/>
        <v>0</v>
      </c>
      <c r="AB360" s="44">
        <f t="shared" si="88"/>
        <v>0</v>
      </c>
      <c r="AC360" s="44">
        <f t="shared" si="89"/>
        <v>0</v>
      </c>
    </row>
    <row r="361" spans="2:29" ht="15" x14ac:dyDescent="0.25">
      <c r="B361" s="210"/>
      <c r="C361" s="199"/>
      <c r="D361" s="199"/>
      <c r="E361" s="199"/>
      <c r="F361" s="200"/>
      <c r="G361" s="199"/>
      <c r="K361" s="44">
        <f t="shared" si="90"/>
        <v>0</v>
      </c>
      <c r="N361" s="103">
        <v>12</v>
      </c>
      <c r="O361" s="103"/>
      <c r="P361" s="103"/>
      <c r="Q361" s="103"/>
      <c r="R361" s="103"/>
      <c r="Z361" s="197">
        <f t="shared" si="86"/>
        <v>0</v>
      </c>
      <c r="AA361" s="44">
        <f t="shared" si="87"/>
        <v>0</v>
      </c>
      <c r="AB361" s="44">
        <f t="shared" si="88"/>
        <v>0</v>
      </c>
      <c r="AC361" s="44">
        <f t="shared" si="89"/>
        <v>0</v>
      </c>
    </row>
    <row r="362" spans="2:29" ht="15" x14ac:dyDescent="0.25">
      <c r="B362" s="210"/>
      <c r="C362" s="199"/>
      <c r="D362" s="199"/>
      <c r="E362" s="199"/>
      <c r="F362" s="200"/>
      <c r="G362" s="199"/>
      <c r="K362" s="44">
        <f t="shared" si="90"/>
        <v>0</v>
      </c>
      <c r="N362" s="103">
        <v>12</v>
      </c>
      <c r="O362" s="103"/>
      <c r="P362" s="103"/>
      <c r="Q362" s="103"/>
      <c r="R362" s="103"/>
      <c r="Z362" s="197">
        <f t="shared" si="86"/>
        <v>0</v>
      </c>
      <c r="AA362" s="44">
        <f t="shared" si="87"/>
        <v>0</v>
      </c>
      <c r="AB362" s="44">
        <f t="shared" si="88"/>
        <v>0</v>
      </c>
      <c r="AC362" s="44">
        <f t="shared" si="89"/>
        <v>0</v>
      </c>
    </row>
    <row r="363" spans="2:29" ht="15" x14ac:dyDescent="0.25">
      <c r="B363" s="210"/>
      <c r="C363" s="199"/>
      <c r="D363" s="199"/>
      <c r="E363" s="199"/>
      <c r="F363" s="200"/>
      <c r="G363" s="199"/>
      <c r="K363" s="44">
        <f t="shared" si="90"/>
        <v>0</v>
      </c>
      <c r="N363" s="103">
        <v>12</v>
      </c>
      <c r="O363" s="103"/>
      <c r="P363" s="103"/>
      <c r="Q363" s="103"/>
      <c r="R363" s="103"/>
      <c r="Z363" s="197">
        <f t="shared" si="86"/>
        <v>0</v>
      </c>
      <c r="AA363" s="44">
        <f t="shared" si="87"/>
        <v>0</v>
      </c>
      <c r="AB363" s="44">
        <f t="shared" si="88"/>
        <v>0</v>
      </c>
      <c r="AC363" s="44">
        <f t="shared" si="89"/>
        <v>0</v>
      </c>
    </row>
    <row r="364" spans="2:29" ht="15" x14ac:dyDescent="0.25">
      <c r="B364" s="210"/>
      <c r="C364" s="199"/>
      <c r="D364" s="199"/>
      <c r="E364" s="199"/>
      <c r="F364" s="200"/>
      <c r="G364" s="199"/>
      <c r="K364" s="44">
        <f t="shared" si="90"/>
        <v>0</v>
      </c>
      <c r="N364" s="103">
        <v>12</v>
      </c>
      <c r="O364" s="103"/>
      <c r="P364" s="103"/>
      <c r="Q364" s="103"/>
      <c r="R364" s="103"/>
      <c r="Z364" s="197">
        <f t="shared" si="86"/>
        <v>0</v>
      </c>
      <c r="AA364" s="44">
        <f t="shared" si="87"/>
        <v>0</v>
      </c>
      <c r="AB364" s="44">
        <f t="shared" si="88"/>
        <v>0</v>
      </c>
      <c r="AC364" s="44">
        <f t="shared" si="89"/>
        <v>0</v>
      </c>
    </row>
    <row r="365" spans="2:29" ht="15" x14ac:dyDescent="0.25">
      <c r="B365" s="210"/>
      <c r="C365" s="199"/>
      <c r="D365" s="199"/>
      <c r="E365" s="199"/>
      <c r="F365" s="200"/>
      <c r="G365" s="199"/>
      <c r="K365" s="44">
        <f t="shared" si="90"/>
        <v>0</v>
      </c>
      <c r="N365" s="103">
        <v>12</v>
      </c>
      <c r="O365" s="103"/>
      <c r="P365" s="103"/>
      <c r="Q365" s="103"/>
      <c r="R365" s="103"/>
      <c r="Z365" s="197">
        <f t="shared" si="86"/>
        <v>0</v>
      </c>
      <c r="AA365" s="44">
        <f t="shared" si="87"/>
        <v>0</v>
      </c>
      <c r="AB365" s="44">
        <f t="shared" si="88"/>
        <v>0</v>
      </c>
      <c r="AC365" s="44">
        <f t="shared" si="89"/>
        <v>0</v>
      </c>
    </row>
    <row r="366" spans="2:29" ht="15" x14ac:dyDescent="0.25">
      <c r="B366" s="210"/>
      <c r="C366" s="199"/>
      <c r="D366" s="199"/>
      <c r="E366" s="199"/>
      <c r="F366" s="200"/>
      <c r="G366" s="199"/>
      <c r="K366" s="44">
        <f t="shared" si="90"/>
        <v>0</v>
      </c>
      <c r="N366" s="103">
        <v>12</v>
      </c>
      <c r="O366" s="103"/>
      <c r="P366" s="103"/>
      <c r="Q366" s="103"/>
      <c r="R366" s="103"/>
      <c r="Z366" s="197">
        <f t="shared" si="86"/>
        <v>0</v>
      </c>
      <c r="AA366" s="44">
        <f t="shared" si="87"/>
        <v>0</v>
      </c>
      <c r="AB366" s="44">
        <f t="shared" si="88"/>
        <v>0</v>
      </c>
      <c r="AC366" s="44">
        <f t="shared" si="89"/>
        <v>0</v>
      </c>
    </row>
    <row r="367" spans="2:29" ht="15" x14ac:dyDescent="0.25">
      <c r="B367" s="210"/>
      <c r="C367" s="199"/>
      <c r="D367" s="199"/>
      <c r="E367" s="199"/>
      <c r="F367" s="200"/>
      <c r="G367" s="199"/>
      <c r="K367" s="44">
        <f t="shared" si="83"/>
        <v>0</v>
      </c>
      <c r="N367" s="103">
        <v>12</v>
      </c>
      <c r="O367" s="103"/>
      <c r="P367" s="103"/>
      <c r="Q367" s="103"/>
      <c r="R367" s="103"/>
      <c r="Z367" s="197">
        <f t="shared" si="86"/>
        <v>0</v>
      </c>
      <c r="AA367" s="44">
        <f t="shared" si="87"/>
        <v>0</v>
      </c>
      <c r="AB367" s="44">
        <f t="shared" si="88"/>
        <v>0</v>
      </c>
      <c r="AC367" s="44">
        <f t="shared" si="89"/>
        <v>0</v>
      </c>
    </row>
    <row r="368" spans="2:29" ht="15" x14ac:dyDescent="0.25">
      <c r="B368" s="210"/>
      <c r="C368" s="199"/>
      <c r="D368" s="199"/>
      <c r="E368" s="199"/>
      <c r="F368" s="200"/>
      <c r="G368" s="199"/>
      <c r="K368" s="44">
        <f t="shared" si="83"/>
        <v>0</v>
      </c>
      <c r="N368" s="103">
        <v>12</v>
      </c>
      <c r="O368" s="103"/>
      <c r="P368" s="103"/>
      <c r="Q368" s="103"/>
      <c r="R368" s="103"/>
      <c r="Z368" s="197">
        <f t="shared" ref="Z368" si="91">ROUND(IF(L368&gt;0,L368*I$268*N368/12,IF(K368=0,0,IF(I368*I$268*N368/12&gt;=K368,K368-1,I368*I$268*N368/12))),2)+Y368</f>
        <v>0</v>
      </c>
      <c r="AA368" s="44">
        <f t="shared" si="87"/>
        <v>0</v>
      </c>
      <c r="AB368" s="44">
        <f t="shared" si="88"/>
        <v>0</v>
      </c>
      <c r="AC368" s="44">
        <f t="shared" si="89"/>
        <v>0</v>
      </c>
    </row>
    <row r="370" spans="3:29" ht="13.5" thickBot="1" x14ac:dyDescent="0.25">
      <c r="C370" s="44" t="s">
        <v>383</v>
      </c>
      <c r="I370" s="52">
        <f>SUM(I271:I369)</f>
        <v>0</v>
      </c>
      <c r="J370" s="52">
        <f t="shared" ref="J370:AC370" si="92">SUM(J271:J369)</f>
        <v>0</v>
      </c>
      <c r="K370" s="52">
        <f t="shared" si="92"/>
        <v>0</v>
      </c>
      <c r="L370" s="52">
        <f t="shared" si="92"/>
        <v>0</v>
      </c>
      <c r="M370" s="52"/>
      <c r="N370" s="52"/>
      <c r="O370" s="52"/>
      <c r="P370" s="52"/>
      <c r="Q370" s="52">
        <f t="shared" si="92"/>
        <v>0</v>
      </c>
      <c r="R370" s="52">
        <f t="shared" si="92"/>
        <v>0</v>
      </c>
      <c r="S370" s="52">
        <f t="shared" si="92"/>
        <v>0</v>
      </c>
      <c r="T370" s="52">
        <f t="shared" si="92"/>
        <v>0</v>
      </c>
      <c r="U370" s="52"/>
      <c r="V370" s="52">
        <f t="shared" si="92"/>
        <v>0</v>
      </c>
      <c r="W370" s="52">
        <f t="shared" si="92"/>
        <v>0</v>
      </c>
      <c r="X370" s="52">
        <f t="shared" si="92"/>
        <v>0</v>
      </c>
      <c r="Y370" s="52">
        <f t="shared" si="92"/>
        <v>0</v>
      </c>
      <c r="Z370" s="52">
        <f t="shared" si="92"/>
        <v>0</v>
      </c>
      <c r="AA370" s="52">
        <f t="shared" si="92"/>
        <v>0</v>
      </c>
      <c r="AB370" s="52">
        <f t="shared" si="92"/>
        <v>0</v>
      </c>
      <c r="AC370" s="52">
        <f t="shared" si="92"/>
        <v>0</v>
      </c>
    </row>
    <row r="371" spans="3:29" ht="13.5" thickTop="1" x14ac:dyDescent="0.2"/>
    <row r="373" spans="3:29" ht="13.5" thickBot="1" x14ac:dyDescent="0.25">
      <c r="C373" s="65" t="s">
        <v>367</v>
      </c>
      <c r="D373" s="65"/>
      <c r="E373" s="65"/>
      <c r="F373" s="65"/>
      <c r="G373" s="65"/>
      <c r="I373" s="52">
        <f>SUM(I34+I60+I149+I192+I226+I265+I370)</f>
        <v>0</v>
      </c>
      <c r="J373" s="52">
        <f t="shared" ref="J373:AC373" si="93">SUM(J34+J60+J149+J192+J226+J265+J370)</f>
        <v>0</v>
      </c>
      <c r="K373" s="52">
        <f t="shared" si="93"/>
        <v>0</v>
      </c>
      <c r="L373" s="52">
        <f t="shared" si="93"/>
        <v>0</v>
      </c>
      <c r="M373" s="52">
        <f t="shared" si="93"/>
        <v>0</v>
      </c>
      <c r="N373" s="52"/>
      <c r="O373" s="52">
        <f t="shared" si="93"/>
        <v>0</v>
      </c>
      <c r="P373" s="52">
        <f t="shared" si="93"/>
        <v>0</v>
      </c>
      <c r="Q373" s="52">
        <f t="shared" si="93"/>
        <v>0</v>
      </c>
      <c r="R373" s="52">
        <f t="shared" si="93"/>
        <v>0</v>
      </c>
      <c r="S373" s="52">
        <f t="shared" si="93"/>
        <v>0</v>
      </c>
      <c r="T373" s="52">
        <f t="shared" si="93"/>
        <v>0</v>
      </c>
      <c r="U373" s="52">
        <f t="shared" si="93"/>
        <v>0</v>
      </c>
      <c r="V373" s="52">
        <f t="shared" si="93"/>
        <v>0</v>
      </c>
      <c r="W373" s="52">
        <f t="shared" si="93"/>
        <v>0</v>
      </c>
      <c r="X373" s="52">
        <f t="shared" si="93"/>
        <v>0</v>
      </c>
      <c r="Y373" s="52">
        <f t="shared" si="93"/>
        <v>0</v>
      </c>
      <c r="Z373" s="52">
        <f t="shared" si="93"/>
        <v>0</v>
      </c>
      <c r="AA373" s="52">
        <f t="shared" si="93"/>
        <v>0</v>
      </c>
      <c r="AB373" s="52">
        <f t="shared" si="93"/>
        <v>0</v>
      </c>
      <c r="AC373" s="52">
        <f t="shared" si="93"/>
        <v>0</v>
      </c>
    </row>
    <row r="374" spans="3:29" ht="13.5" thickTop="1" x14ac:dyDescent="0.2">
      <c r="C374" s="65"/>
      <c r="D374" s="65"/>
      <c r="E374" s="65"/>
      <c r="F374" s="65"/>
      <c r="G374" s="65"/>
      <c r="I374" s="44">
        <f>I373-I17</f>
        <v>0</v>
      </c>
      <c r="J374" s="44">
        <f>J373-J17</f>
        <v>0</v>
      </c>
      <c r="K374" s="44">
        <f>K373-K17</f>
        <v>0</v>
      </c>
      <c r="L374" s="44">
        <f>L373-L17</f>
        <v>0</v>
      </c>
      <c r="Q374" s="44">
        <f>Q373-Q17</f>
        <v>0</v>
      </c>
      <c r="R374" s="44">
        <f>R373-R17</f>
        <v>0</v>
      </c>
      <c r="S374" s="44">
        <f>S373-S17</f>
        <v>0</v>
      </c>
      <c r="T374" s="44">
        <f>T373-T17</f>
        <v>0</v>
      </c>
      <c r="V374" s="44">
        <f t="shared" ref="V374:AC374" si="94">V373-V17</f>
        <v>0</v>
      </c>
      <c r="W374" s="44">
        <f t="shared" si="94"/>
        <v>0</v>
      </c>
      <c r="X374" s="44">
        <f t="shared" si="94"/>
        <v>0</v>
      </c>
      <c r="Y374" s="44">
        <f t="shared" si="94"/>
        <v>0</v>
      </c>
      <c r="Z374" s="44">
        <f t="shared" si="94"/>
        <v>0</v>
      </c>
      <c r="AA374" s="44">
        <f t="shared" si="94"/>
        <v>0</v>
      </c>
      <c r="AB374" s="44">
        <f t="shared" si="94"/>
        <v>0</v>
      </c>
      <c r="AC374" s="44">
        <f t="shared" si="94"/>
        <v>0</v>
      </c>
    </row>
  </sheetData>
  <mergeCells count="3">
    <mergeCell ref="V7:X7"/>
    <mergeCell ref="O64:P64"/>
    <mergeCell ref="O8:P8"/>
  </mergeCells>
  <phoneticPr fontId="0" type="noConversion"/>
  <hyperlinks>
    <hyperlink ref="C4" location="TrialBalance!A1" display="FIXED ASSETS" xr:uid="{22E4EF01-96B7-4DE9-B0C0-29C12C12E6B2}"/>
  </hyperlinks>
  <pageMargins left="0" right="0" top="0" bottom="0.75" header="0.3" footer="0.3"/>
  <pageSetup paperSize="9" scale="42" fitToHeight="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5DCE6-548C-4466-8563-382B3ABE7CE7}">
  <sheetPr>
    <pageSetUpPr fitToPage="1"/>
  </sheetPr>
  <dimension ref="B2:Y309"/>
  <sheetViews>
    <sheetView zoomScale="87" zoomScaleNormal="87" workbookViewId="0">
      <selection activeCell="A14" sqref="A14"/>
    </sheetView>
  </sheetViews>
  <sheetFormatPr defaultRowHeight="12.75" x14ac:dyDescent="0.2"/>
  <cols>
    <col min="1" max="1" width="2.28515625" style="44" customWidth="1"/>
    <col min="2" max="2" width="17.28515625" style="202" customWidth="1"/>
    <col min="3" max="3" width="62.42578125" style="44" bestFit="1" customWidth="1"/>
    <col min="4" max="4" width="20" style="44" bestFit="1" customWidth="1"/>
    <col min="5" max="5" width="13.85546875" style="44" bestFit="1" customWidth="1"/>
    <col min="6" max="6" width="12.5703125" style="44" customWidth="1"/>
    <col min="7" max="7" width="17.7109375" style="44" customWidth="1"/>
    <col min="8" max="8" width="19.85546875" style="44" bestFit="1" customWidth="1"/>
    <col min="9" max="9" width="14.5703125" style="44" bestFit="1" customWidth="1"/>
    <col min="10" max="10" width="13.85546875" style="44" bestFit="1" customWidth="1"/>
    <col min="11" max="11" width="14.5703125" style="44" bestFit="1" customWidth="1"/>
    <col min="12" max="12" width="13.85546875" style="44" bestFit="1" customWidth="1"/>
    <col min="13" max="13" width="9.140625" style="44" bestFit="1" customWidth="1"/>
    <col min="14" max="14" width="14.7109375" style="44" customWidth="1"/>
    <col min="15" max="15" width="16" style="44" customWidth="1"/>
    <col min="16" max="16" width="13" style="44" bestFit="1" customWidth="1"/>
    <col min="17" max="19" width="13.7109375" style="44" customWidth="1"/>
    <col min="20" max="20" width="13.42578125" style="44" bestFit="1" customWidth="1"/>
    <col min="21" max="21" width="14.42578125" style="44" bestFit="1" customWidth="1"/>
    <col min="22" max="22" width="13.7109375" style="44" bestFit="1" customWidth="1"/>
    <col min="23" max="23" width="14.42578125" style="44" bestFit="1" customWidth="1"/>
    <col min="24" max="25" width="12.5703125" style="44" bestFit="1" customWidth="1"/>
    <col min="26" max="16384" width="9.140625" style="44"/>
  </cols>
  <sheetData>
    <row r="2" spans="3:23" ht="40.5" customHeight="1" x14ac:dyDescent="0.2">
      <c r="C2" s="153" t="str">
        <f>Criteria!E9</f>
        <v>ABC COMPANY (PROPRIETARY) LIMITED</v>
      </c>
      <c r="V2" s="152" t="s">
        <v>96</v>
      </c>
      <c r="W2" s="152"/>
    </row>
    <row r="3" spans="3:23" ht="12.75" customHeight="1" x14ac:dyDescent="0.2">
      <c r="C3" s="65" t="s">
        <v>95</v>
      </c>
      <c r="D3" s="65" t="str">
        <f>Criteria!E20</f>
        <v>28 FEBRUARY 2026</v>
      </c>
      <c r="E3" s="65"/>
      <c r="F3" s="65"/>
      <c r="G3" s="65"/>
    </row>
    <row r="4" spans="3:23" ht="40.5" customHeight="1" x14ac:dyDescent="0.2">
      <c r="C4" s="191" t="s">
        <v>815</v>
      </c>
      <c r="D4" s="65"/>
      <c r="E4" s="65"/>
      <c r="F4" s="65"/>
      <c r="G4" s="65"/>
      <c r="V4" s="152" t="s">
        <v>97</v>
      </c>
      <c r="W4" s="152"/>
    </row>
    <row r="5" spans="3:23" x14ac:dyDescent="0.2">
      <c r="C5" s="68"/>
      <c r="D5" s="68"/>
      <c r="E5" s="68"/>
      <c r="F5" s="68"/>
      <c r="G5" s="68"/>
      <c r="H5" s="68"/>
      <c r="I5" s="68"/>
      <c r="J5" s="68"/>
      <c r="K5" s="68"/>
      <c r="L5" s="68"/>
      <c r="M5" s="68"/>
      <c r="N5" s="68"/>
      <c r="O5" s="68"/>
      <c r="P5" s="68"/>
      <c r="Q5" s="68"/>
      <c r="R5" s="68"/>
      <c r="S5" s="68"/>
      <c r="T5" s="68"/>
      <c r="U5" s="68"/>
      <c r="V5" s="68"/>
      <c r="W5" s="68"/>
    </row>
    <row r="7" spans="3:23" x14ac:dyDescent="0.2">
      <c r="C7" s="66" t="s">
        <v>743</v>
      </c>
      <c r="Q7" s="685" t="s">
        <v>820</v>
      </c>
      <c r="R7" s="686"/>
      <c r="S7" s="687"/>
    </row>
    <row r="8" spans="3:23" x14ac:dyDescent="0.2">
      <c r="I8" s="22"/>
      <c r="J8" s="22"/>
      <c r="K8" s="22"/>
      <c r="L8" s="22"/>
      <c r="M8" s="22"/>
      <c r="N8" s="22"/>
      <c r="O8" s="22" t="s">
        <v>175</v>
      </c>
      <c r="P8" s="22"/>
      <c r="Q8" s="279" t="s">
        <v>811</v>
      </c>
      <c r="R8" s="280" t="s">
        <v>818</v>
      </c>
      <c r="S8" s="281" t="s">
        <v>812</v>
      </c>
      <c r="T8" s="22"/>
      <c r="U8" s="22"/>
      <c r="V8" s="22"/>
      <c r="W8" s="22"/>
    </row>
    <row r="9" spans="3:23" x14ac:dyDescent="0.2">
      <c r="C9" s="225"/>
      <c r="D9" s="65"/>
      <c r="E9" s="65"/>
      <c r="F9" s="65"/>
      <c r="G9" s="65"/>
      <c r="H9" s="66"/>
      <c r="I9" s="24" t="s">
        <v>416</v>
      </c>
      <c r="J9" s="24" t="s">
        <v>821</v>
      </c>
      <c r="K9" s="24" t="s">
        <v>648</v>
      </c>
      <c r="L9" s="24" t="s">
        <v>301</v>
      </c>
      <c r="M9" s="24"/>
      <c r="N9" s="24" t="s">
        <v>650</v>
      </c>
      <c r="O9" s="24" t="s">
        <v>822</v>
      </c>
      <c r="P9" s="24" t="s">
        <v>810</v>
      </c>
      <c r="Q9" s="282" t="s">
        <v>813</v>
      </c>
      <c r="R9" s="24" t="s">
        <v>819</v>
      </c>
      <c r="S9" s="283" t="s">
        <v>814</v>
      </c>
      <c r="T9" s="24" t="s">
        <v>817</v>
      </c>
      <c r="U9" s="24" t="s">
        <v>416</v>
      </c>
      <c r="V9" s="24" t="s">
        <v>816</v>
      </c>
      <c r="W9" s="24" t="s">
        <v>648</v>
      </c>
    </row>
    <row r="10" spans="3:23" x14ac:dyDescent="0.2">
      <c r="C10" s="44" t="str">
        <f>B19</f>
        <v>PROPERTY</v>
      </c>
      <c r="I10" s="44">
        <f t="shared" ref="I10:W10" si="0">I84</f>
        <v>0</v>
      </c>
      <c r="J10" s="44">
        <f t="shared" si="0"/>
        <v>0</v>
      </c>
      <c r="K10" s="44">
        <f t="shared" si="0"/>
        <v>0</v>
      </c>
      <c r="L10" s="44">
        <f t="shared" si="0"/>
        <v>0</v>
      </c>
      <c r="N10" s="44">
        <f t="shared" ref="N10:O10" si="1">N84</f>
        <v>0</v>
      </c>
      <c r="O10" s="44">
        <f t="shared" si="1"/>
        <v>0</v>
      </c>
      <c r="P10" s="44">
        <f t="shared" si="0"/>
        <v>0</v>
      </c>
      <c r="Q10" s="284">
        <f t="shared" si="0"/>
        <v>0</v>
      </c>
      <c r="R10" s="232">
        <f t="shared" si="0"/>
        <v>0</v>
      </c>
      <c r="S10" s="285">
        <f t="shared" si="0"/>
        <v>0</v>
      </c>
      <c r="T10" s="44">
        <f t="shared" si="0"/>
        <v>0</v>
      </c>
      <c r="U10" s="44">
        <f t="shared" si="0"/>
        <v>0</v>
      </c>
      <c r="V10" s="44">
        <f t="shared" si="0"/>
        <v>0</v>
      </c>
      <c r="W10" s="44">
        <f t="shared" si="0"/>
        <v>0</v>
      </c>
    </row>
    <row r="11" spans="3:23" x14ac:dyDescent="0.2">
      <c r="C11" s="44" t="str">
        <f>B86</f>
        <v>PLANT AND EQUIPMENT</v>
      </c>
      <c r="I11" s="44">
        <f t="shared" ref="I11:W11" si="2">I127</f>
        <v>0</v>
      </c>
      <c r="J11" s="44">
        <f t="shared" si="2"/>
        <v>0</v>
      </c>
      <c r="K11" s="44">
        <f t="shared" si="2"/>
        <v>0</v>
      </c>
      <c r="L11" s="44">
        <f t="shared" si="2"/>
        <v>0</v>
      </c>
      <c r="N11" s="44">
        <f t="shared" ref="N11:O11" si="3">N127</f>
        <v>0</v>
      </c>
      <c r="O11" s="44">
        <f t="shared" si="3"/>
        <v>0</v>
      </c>
      <c r="P11" s="44">
        <f t="shared" si="2"/>
        <v>0</v>
      </c>
      <c r="Q11" s="284">
        <f t="shared" si="2"/>
        <v>0</v>
      </c>
      <c r="R11" s="232">
        <f t="shared" si="2"/>
        <v>0</v>
      </c>
      <c r="S11" s="285">
        <f t="shared" si="2"/>
        <v>0</v>
      </c>
      <c r="T11" s="44">
        <f t="shared" si="2"/>
        <v>0</v>
      </c>
      <c r="U11" s="44">
        <f t="shared" si="2"/>
        <v>0</v>
      </c>
      <c r="V11" s="44">
        <f t="shared" si="2"/>
        <v>0</v>
      </c>
      <c r="W11" s="44">
        <f t="shared" si="2"/>
        <v>0</v>
      </c>
    </row>
    <row r="12" spans="3:23" x14ac:dyDescent="0.2">
      <c r="C12" s="44" t="str">
        <f>B130</f>
        <v>MOTOR VEHICLES</v>
      </c>
      <c r="I12" s="44">
        <f t="shared" ref="I12:W12" si="4">I161</f>
        <v>0</v>
      </c>
      <c r="J12" s="44">
        <f t="shared" si="4"/>
        <v>0</v>
      </c>
      <c r="K12" s="44">
        <f t="shared" si="4"/>
        <v>0</v>
      </c>
      <c r="L12" s="44">
        <f t="shared" si="4"/>
        <v>0</v>
      </c>
      <c r="N12" s="44">
        <f t="shared" ref="N12:O12" si="5">N161</f>
        <v>0</v>
      </c>
      <c r="O12" s="44">
        <f t="shared" si="5"/>
        <v>0</v>
      </c>
      <c r="P12" s="44">
        <f t="shared" si="4"/>
        <v>0</v>
      </c>
      <c r="Q12" s="284">
        <f t="shared" si="4"/>
        <v>0</v>
      </c>
      <c r="R12" s="232">
        <f t="shared" si="4"/>
        <v>0</v>
      </c>
      <c r="S12" s="285">
        <f t="shared" si="4"/>
        <v>0</v>
      </c>
      <c r="T12" s="44">
        <f t="shared" si="4"/>
        <v>0</v>
      </c>
      <c r="U12" s="44">
        <f t="shared" si="4"/>
        <v>0</v>
      </c>
      <c r="V12" s="44">
        <f t="shared" si="4"/>
        <v>0</v>
      </c>
      <c r="W12" s="44">
        <f t="shared" si="4"/>
        <v>0</v>
      </c>
    </row>
    <row r="13" spans="3:23" x14ac:dyDescent="0.2">
      <c r="C13" s="44" t="str">
        <f>B164</f>
        <v>ELECTRONIC EQUIPMENT</v>
      </c>
      <c r="I13" s="44">
        <f t="shared" ref="I13:W13" si="6">I200</f>
        <v>0</v>
      </c>
      <c r="J13" s="44">
        <f t="shared" si="6"/>
        <v>0</v>
      </c>
      <c r="K13" s="44">
        <f t="shared" si="6"/>
        <v>0</v>
      </c>
      <c r="L13" s="44">
        <f t="shared" si="6"/>
        <v>0</v>
      </c>
      <c r="N13" s="44">
        <f t="shared" ref="N13:O13" si="7">N200</f>
        <v>0</v>
      </c>
      <c r="O13" s="44">
        <f t="shared" si="7"/>
        <v>0</v>
      </c>
      <c r="P13" s="44">
        <f t="shared" si="6"/>
        <v>0</v>
      </c>
      <c r="Q13" s="284">
        <f t="shared" si="6"/>
        <v>0</v>
      </c>
      <c r="R13" s="232">
        <f t="shared" si="6"/>
        <v>0</v>
      </c>
      <c r="S13" s="285">
        <f t="shared" si="6"/>
        <v>0</v>
      </c>
      <c r="T13" s="44">
        <f t="shared" si="6"/>
        <v>0</v>
      </c>
      <c r="U13" s="44">
        <f t="shared" si="6"/>
        <v>0</v>
      </c>
      <c r="V13" s="44">
        <f t="shared" si="6"/>
        <v>0</v>
      </c>
      <c r="W13" s="44">
        <f t="shared" si="6"/>
        <v>0</v>
      </c>
    </row>
    <row r="14" spans="3:23" x14ac:dyDescent="0.2">
      <c r="C14" s="44" t="str">
        <f>B203</f>
        <v>FURNITURE AND FITTINGS</v>
      </c>
      <c r="I14" s="44">
        <f t="shared" ref="I14:W14" si="8">I305</f>
        <v>0</v>
      </c>
      <c r="J14" s="44">
        <f t="shared" si="8"/>
        <v>0</v>
      </c>
      <c r="K14" s="44">
        <f t="shared" si="8"/>
        <v>0</v>
      </c>
      <c r="L14" s="44">
        <f t="shared" si="8"/>
        <v>0</v>
      </c>
      <c r="N14" s="44">
        <f t="shared" ref="N14:O14" si="9">N305</f>
        <v>0</v>
      </c>
      <c r="O14" s="44">
        <f t="shared" si="9"/>
        <v>0</v>
      </c>
      <c r="P14" s="44">
        <f t="shared" si="8"/>
        <v>0</v>
      </c>
      <c r="Q14" s="284">
        <f t="shared" si="8"/>
        <v>0</v>
      </c>
      <c r="R14" s="232">
        <f t="shared" si="8"/>
        <v>0</v>
      </c>
      <c r="S14" s="285">
        <f t="shared" si="8"/>
        <v>0</v>
      </c>
      <c r="T14" s="44">
        <f t="shared" si="8"/>
        <v>0</v>
      </c>
      <c r="U14" s="44">
        <f t="shared" si="8"/>
        <v>0</v>
      </c>
      <c r="V14" s="44">
        <f t="shared" si="8"/>
        <v>0</v>
      </c>
      <c r="W14" s="44">
        <f t="shared" si="8"/>
        <v>0</v>
      </c>
    </row>
    <row r="15" spans="3:23" ht="13.5" thickBot="1" x14ac:dyDescent="0.25">
      <c r="I15" s="142">
        <f t="shared" ref="I15:W15" si="10">SUM(I10:I14)</f>
        <v>0</v>
      </c>
      <c r="J15" s="142">
        <f t="shared" si="10"/>
        <v>0</v>
      </c>
      <c r="K15" s="142">
        <f t="shared" si="10"/>
        <v>0</v>
      </c>
      <c r="L15" s="142">
        <f t="shared" si="10"/>
        <v>0</v>
      </c>
      <c r="M15" s="142">
        <f t="shared" si="10"/>
        <v>0</v>
      </c>
      <c r="N15" s="142">
        <f t="shared" si="10"/>
        <v>0</v>
      </c>
      <c r="O15" s="142">
        <f t="shared" si="10"/>
        <v>0</v>
      </c>
      <c r="P15" s="142">
        <f t="shared" si="10"/>
        <v>0</v>
      </c>
      <c r="Q15" s="286">
        <f t="shared" si="10"/>
        <v>0</v>
      </c>
      <c r="R15" s="142">
        <f t="shared" si="10"/>
        <v>0</v>
      </c>
      <c r="S15" s="287">
        <f t="shared" si="10"/>
        <v>0</v>
      </c>
      <c r="T15" s="142">
        <f t="shared" si="10"/>
        <v>0</v>
      </c>
      <c r="U15" s="142">
        <f t="shared" si="10"/>
        <v>0</v>
      </c>
      <c r="V15" s="142">
        <f t="shared" si="10"/>
        <v>0</v>
      </c>
      <c r="W15" s="142">
        <f t="shared" si="10"/>
        <v>0</v>
      </c>
    </row>
    <row r="16" spans="3:23" ht="13.5" thickTop="1" x14ac:dyDescent="0.2">
      <c r="D16" s="44" t="s">
        <v>1077</v>
      </c>
      <c r="I16" s="336">
        <f>I15-SUM(FARegister!I11:I16)</f>
        <v>0</v>
      </c>
      <c r="J16" s="336"/>
      <c r="K16" s="336"/>
      <c r="L16" s="336">
        <f>L15-SUM(FARegister!L11:L16)</f>
        <v>0</v>
      </c>
      <c r="M16" s="336"/>
      <c r="N16" s="336">
        <f>N15-SUM(FARegister!Q11:Q16)</f>
        <v>0</v>
      </c>
      <c r="O16" s="336"/>
      <c r="P16" s="336">
        <f>P15-SUM(FARegister!S11:S16)</f>
        <v>0</v>
      </c>
      <c r="Q16" s="336"/>
      <c r="R16" s="336"/>
      <c r="S16" s="336"/>
      <c r="T16" s="336"/>
      <c r="U16" s="336">
        <f>U15-SUM(FARegister!AA11:AA16)</f>
        <v>0</v>
      </c>
      <c r="V16" s="336"/>
      <c r="W16" s="336"/>
    </row>
    <row r="19" spans="2:23" x14ac:dyDescent="0.2">
      <c r="B19" s="203" t="s">
        <v>1242</v>
      </c>
      <c r="I19" s="276"/>
      <c r="J19" s="276"/>
    </row>
    <row r="20" spans="2:23" x14ac:dyDescent="0.2">
      <c r="B20" s="204"/>
      <c r="E20" s="8"/>
      <c r="F20" s="8"/>
      <c r="G20" s="8"/>
      <c r="H20" s="8"/>
      <c r="I20" s="22"/>
      <c r="J20" s="22"/>
      <c r="K20" s="22"/>
      <c r="L20" s="22"/>
      <c r="M20" s="22"/>
      <c r="N20" s="22"/>
      <c r="O20" s="22" t="s">
        <v>175</v>
      </c>
      <c r="P20" s="22"/>
      <c r="Q20" s="295" t="s">
        <v>811</v>
      </c>
      <c r="R20" s="296" t="s">
        <v>818</v>
      </c>
      <c r="S20" s="297" t="s">
        <v>812</v>
      </c>
      <c r="T20" s="22"/>
      <c r="U20" s="22"/>
      <c r="V20" s="22"/>
      <c r="W20" s="22"/>
    </row>
    <row r="21" spans="2:23" x14ac:dyDescent="0.2">
      <c r="B21" s="205" t="s">
        <v>26</v>
      </c>
      <c r="C21" s="69" t="s">
        <v>261</v>
      </c>
      <c r="D21" s="69"/>
      <c r="E21" s="277" t="s">
        <v>708</v>
      </c>
      <c r="F21" s="278" t="s">
        <v>551</v>
      </c>
      <c r="G21" s="277" t="s">
        <v>552</v>
      </c>
      <c r="H21" s="277" t="s">
        <v>653</v>
      </c>
      <c r="I21" s="24" t="s">
        <v>416</v>
      </c>
      <c r="J21" s="24" t="s">
        <v>821</v>
      </c>
      <c r="K21" s="24" t="s">
        <v>648</v>
      </c>
      <c r="L21" s="24" t="s">
        <v>301</v>
      </c>
      <c r="M21" s="24" t="s">
        <v>455</v>
      </c>
      <c r="N21" s="24" t="s">
        <v>650</v>
      </c>
      <c r="O21" s="24" t="s">
        <v>822</v>
      </c>
      <c r="P21" s="24" t="s">
        <v>809</v>
      </c>
      <c r="Q21" s="282" t="s">
        <v>813</v>
      </c>
      <c r="R21" s="24" t="s">
        <v>819</v>
      </c>
      <c r="S21" s="283" t="s">
        <v>814</v>
      </c>
      <c r="T21" s="24" t="s">
        <v>817</v>
      </c>
      <c r="U21" s="24" t="s">
        <v>416</v>
      </c>
      <c r="V21" s="24" t="s">
        <v>816</v>
      </c>
      <c r="W21" s="24" t="s">
        <v>648</v>
      </c>
    </row>
    <row r="23" spans="2:23" x14ac:dyDescent="0.2">
      <c r="B23" s="92"/>
      <c r="C23" s="289" t="s">
        <v>1379</v>
      </c>
      <c r="D23" s="171"/>
      <c r="E23" s="171"/>
      <c r="F23" s="172"/>
      <c r="G23" s="1"/>
      <c r="H23" s="171"/>
      <c r="I23" s="290">
        <f>FARegister!I60</f>
        <v>0</v>
      </c>
      <c r="J23" s="290">
        <f>FARegister!J60</f>
        <v>0</v>
      </c>
      <c r="K23" s="289">
        <f>+I23-J23</f>
        <v>0</v>
      </c>
      <c r="L23" s="290">
        <f>FARegister!L60</f>
        <v>0</v>
      </c>
      <c r="M23" s="290">
        <v>12</v>
      </c>
      <c r="N23" s="290">
        <f>FARegister!Q60</f>
        <v>0</v>
      </c>
      <c r="O23" s="290">
        <f>FARegister!R60</f>
        <v>0</v>
      </c>
      <c r="P23" s="290">
        <f>FARegister!S60</f>
        <v>0</v>
      </c>
      <c r="Q23" s="290">
        <f>FARegister!V60</f>
        <v>0</v>
      </c>
      <c r="R23" s="290">
        <f>FARegister!W60</f>
        <v>0</v>
      </c>
      <c r="S23" s="290">
        <f>FARegister!X60</f>
        <v>0</v>
      </c>
      <c r="T23" s="290">
        <f>FARegister!Z60</f>
        <v>0</v>
      </c>
      <c r="U23" s="44">
        <f>I23+L23-N23</f>
        <v>0</v>
      </c>
      <c r="V23" s="44">
        <f>J23+T23-O23</f>
        <v>0</v>
      </c>
      <c r="W23" s="44">
        <f>U23-V23</f>
        <v>0</v>
      </c>
    </row>
    <row r="24" spans="2:23" x14ac:dyDescent="0.2">
      <c r="B24" s="92"/>
      <c r="C24" s="289" t="s">
        <v>1380</v>
      </c>
      <c r="D24" s="171"/>
      <c r="E24" s="171"/>
      <c r="F24" s="172"/>
      <c r="G24" s="1"/>
      <c r="H24" s="171"/>
      <c r="I24" s="290">
        <f>FARegister!I149</f>
        <v>0</v>
      </c>
      <c r="J24" s="290">
        <f>FARegister!J149</f>
        <v>0</v>
      </c>
      <c r="K24" s="289">
        <f>+I24-J24</f>
        <v>0</v>
      </c>
      <c r="L24" s="290">
        <f>FARegister!L149</f>
        <v>0</v>
      </c>
      <c r="M24" s="290">
        <v>12</v>
      </c>
      <c r="N24" s="290">
        <f>FARegister!Q149</f>
        <v>0</v>
      </c>
      <c r="O24" s="290">
        <f>FARegister!R149</f>
        <v>0</v>
      </c>
      <c r="P24" s="290">
        <f>FARegister!S149</f>
        <v>0</v>
      </c>
      <c r="Q24" s="290">
        <f>FARegister!V149</f>
        <v>0</v>
      </c>
      <c r="R24" s="290">
        <f>FARegister!W149</f>
        <v>0</v>
      </c>
      <c r="S24" s="290">
        <f>FARegister!X149</f>
        <v>0</v>
      </c>
      <c r="T24" s="290">
        <f>FARegister!Z149</f>
        <v>0</v>
      </c>
      <c r="U24" s="44">
        <f>I24+L24-N24</f>
        <v>0</v>
      </c>
      <c r="V24" s="44">
        <f>J24+T24-O24</f>
        <v>0</v>
      </c>
      <c r="W24" s="44">
        <f>U24-V24</f>
        <v>0</v>
      </c>
    </row>
    <row r="25" spans="2:23" ht="15" x14ac:dyDescent="0.35">
      <c r="B25" s="92"/>
      <c r="C25" s="173" t="s">
        <v>553</v>
      </c>
      <c r="D25" s="173"/>
      <c r="E25" s="171"/>
      <c r="F25" s="172"/>
      <c r="G25" s="1"/>
      <c r="H25" s="171"/>
      <c r="K25" s="44">
        <f t="shared" ref="K25:K65" si="11">I25-J25</f>
        <v>0</v>
      </c>
      <c r="M25" s="44">
        <v>0</v>
      </c>
      <c r="T25" s="197"/>
      <c r="U25" s="44">
        <f t="shared" ref="U25:U54" si="12">I25+L25-N25</f>
        <v>0</v>
      </c>
      <c r="V25" s="44">
        <f t="shared" ref="V25:V54" si="13">J25+T25-O25</f>
        <v>0</v>
      </c>
      <c r="W25" s="44">
        <f t="shared" ref="W25:W66" si="14">U25-V25</f>
        <v>0</v>
      </c>
    </row>
    <row r="26" spans="2:23" ht="15" x14ac:dyDescent="0.35">
      <c r="B26" s="92"/>
      <c r="C26" s="173"/>
      <c r="D26" s="173"/>
      <c r="E26" s="171"/>
      <c r="F26" s="172"/>
      <c r="G26" s="1"/>
      <c r="H26" s="171"/>
      <c r="K26" s="44">
        <f t="shared" si="11"/>
        <v>0</v>
      </c>
      <c r="M26" s="44">
        <v>0</v>
      </c>
      <c r="T26" s="197"/>
      <c r="U26" s="44">
        <f t="shared" si="12"/>
        <v>0</v>
      </c>
      <c r="V26" s="44">
        <f t="shared" si="13"/>
        <v>0</v>
      </c>
      <c r="W26" s="44">
        <f t="shared" si="14"/>
        <v>0</v>
      </c>
    </row>
    <row r="27" spans="2:23" x14ac:dyDescent="0.2">
      <c r="B27" s="180"/>
      <c r="C27" s="171"/>
      <c r="D27" s="183"/>
      <c r="E27" s="171"/>
      <c r="F27" s="181"/>
      <c r="G27" s="1"/>
      <c r="H27" s="171"/>
      <c r="K27" s="44">
        <f t="shared" si="11"/>
        <v>0</v>
      </c>
      <c r="M27" s="44">
        <v>0</v>
      </c>
      <c r="T27" s="197"/>
      <c r="U27" s="44">
        <f t="shared" si="12"/>
        <v>0</v>
      </c>
      <c r="V27" s="44">
        <f t="shared" si="13"/>
        <v>0</v>
      </c>
      <c r="W27" s="44">
        <f t="shared" si="14"/>
        <v>0</v>
      </c>
    </row>
    <row r="28" spans="2:23" x14ac:dyDescent="0.2">
      <c r="B28" s="180"/>
      <c r="C28" s="171"/>
      <c r="D28" s="228"/>
      <c r="E28" s="228"/>
      <c r="F28" s="229"/>
      <c r="G28" s="230"/>
      <c r="H28" s="231"/>
      <c r="J28" s="232"/>
      <c r="K28" s="44">
        <f t="shared" si="11"/>
        <v>0</v>
      </c>
      <c r="M28" s="44">
        <v>0</v>
      </c>
      <c r="T28" s="197"/>
      <c r="U28" s="44">
        <f t="shared" si="12"/>
        <v>0</v>
      </c>
      <c r="V28" s="44">
        <f t="shared" si="13"/>
        <v>0</v>
      </c>
      <c r="W28" s="44">
        <f t="shared" si="14"/>
        <v>0</v>
      </c>
    </row>
    <row r="29" spans="2:23" x14ac:dyDescent="0.2">
      <c r="B29" s="180"/>
      <c r="C29" s="171"/>
      <c r="D29" s="231"/>
      <c r="E29" s="231"/>
      <c r="F29" s="229"/>
      <c r="G29" s="230"/>
      <c r="H29" s="231"/>
      <c r="J29" s="232"/>
      <c r="K29" s="44">
        <f t="shared" si="11"/>
        <v>0</v>
      </c>
      <c r="M29" s="44">
        <v>0</v>
      </c>
      <c r="T29" s="197"/>
      <c r="U29" s="44">
        <f t="shared" si="12"/>
        <v>0</v>
      </c>
      <c r="V29" s="44">
        <f t="shared" si="13"/>
        <v>0</v>
      </c>
      <c r="W29" s="44">
        <f t="shared" si="14"/>
        <v>0</v>
      </c>
    </row>
    <row r="30" spans="2:23" x14ac:dyDescent="0.2">
      <c r="B30" s="180"/>
      <c r="C30" s="171"/>
      <c r="D30" s="231"/>
      <c r="E30" s="231"/>
      <c r="F30" s="232"/>
      <c r="G30" s="233"/>
      <c r="H30" s="231"/>
      <c r="J30" s="232"/>
      <c r="K30" s="44">
        <f t="shared" si="11"/>
        <v>0</v>
      </c>
      <c r="M30" s="44">
        <v>0</v>
      </c>
      <c r="T30" s="197"/>
      <c r="U30" s="44">
        <f t="shared" si="12"/>
        <v>0</v>
      </c>
      <c r="V30" s="44">
        <f t="shared" si="13"/>
        <v>0</v>
      </c>
      <c r="W30" s="44">
        <f t="shared" si="14"/>
        <v>0</v>
      </c>
    </row>
    <row r="31" spans="2:23" x14ac:dyDescent="0.2">
      <c r="B31" s="180"/>
      <c r="C31" s="171"/>
      <c r="D31" s="232"/>
      <c r="E31" s="231"/>
      <c r="F31" s="232"/>
      <c r="G31" s="234"/>
      <c r="H31" s="231"/>
      <c r="J31" s="232"/>
      <c r="K31" s="44">
        <f t="shared" si="11"/>
        <v>0</v>
      </c>
      <c r="M31" s="44">
        <v>0</v>
      </c>
      <c r="T31" s="197"/>
      <c r="U31" s="44">
        <f t="shared" si="12"/>
        <v>0</v>
      </c>
      <c r="V31" s="44">
        <f t="shared" si="13"/>
        <v>0</v>
      </c>
      <c r="W31" s="44">
        <f t="shared" si="14"/>
        <v>0</v>
      </c>
    </row>
    <row r="32" spans="2:23" x14ac:dyDescent="0.2">
      <c r="B32" s="180"/>
      <c r="D32" s="232"/>
      <c r="E32" s="228"/>
      <c r="F32" s="232"/>
      <c r="G32" s="234"/>
      <c r="H32" s="228"/>
      <c r="J32" s="232"/>
      <c r="K32" s="44">
        <f t="shared" si="11"/>
        <v>0</v>
      </c>
      <c r="M32" s="44">
        <v>0</v>
      </c>
      <c r="T32" s="197"/>
      <c r="U32" s="44">
        <f t="shared" si="12"/>
        <v>0</v>
      </c>
      <c r="V32" s="44">
        <f t="shared" si="13"/>
        <v>0</v>
      </c>
      <c r="W32" s="44">
        <f t="shared" si="14"/>
        <v>0</v>
      </c>
    </row>
    <row r="33" spans="2:23" x14ac:dyDescent="0.2">
      <c r="B33" s="180"/>
      <c r="D33" s="232"/>
      <c r="E33" s="231"/>
      <c r="F33" s="232"/>
      <c r="G33" s="234"/>
      <c r="H33" s="231"/>
      <c r="J33" s="232"/>
      <c r="K33" s="44">
        <f t="shared" si="11"/>
        <v>0</v>
      </c>
      <c r="M33" s="44">
        <v>0</v>
      </c>
      <c r="T33" s="197"/>
      <c r="U33" s="44">
        <f t="shared" si="12"/>
        <v>0</v>
      </c>
      <c r="V33" s="44">
        <f t="shared" si="13"/>
        <v>0</v>
      </c>
      <c r="W33" s="44">
        <f t="shared" si="14"/>
        <v>0</v>
      </c>
    </row>
    <row r="34" spans="2:23" x14ac:dyDescent="0.2">
      <c r="B34" s="180"/>
      <c r="D34" s="232"/>
      <c r="E34" s="231"/>
      <c r="F34" s="232"/>
      <c r="G34" s="234"/>
      <c r="H34" s="231"/>
      <c r="I34" s="232"/>
      <c r="J34" s="232"/>
      <c r="K34" s="44">
        <f t="shared" si="11"/>
        <v>0</v>
      </c>
      <c r="M34" s="44">
        <v>0</v>
      </c>
      <c r="T34" s="197"/>
      <c r="U34" s="44">
        <f t="shared" si="12"/>
        <v>0</v>
      </c>
      <c r="V34" s="44">
        <f t="shared" si="13"/>
        <v>0</v>
      </c>
      <c r="W34" s="44">
        <f t="shared" si="14"/>
        <v>0</v>
      </c>
    </row>
    <row r="35" spans="2:23" x14ac:dyDescent="0.2">
      <c r="B35" s="180"/>
      <c r="C35" s="231"/>
      <c r="D35" s="232"/>
      <c r="E35" s="235"/>
      <c r="F35" s="232"/>
      <c r="G35" s="233"/>
      <c r="H35" s="231"/>
      <c r="I35" s="232"/>
      <c r="J35" s="232"/>
      <c r="K35" s="44">
        <f t="shared" si="11"/>
        <v>0</v>
      </c>
      <c r="M35" s="44">
        <v>0</v>
      </c>
      <c r="T35" s="197"/>
      <c r="U35" s="44">
        <f t="shared" si="12"/>
        <v>0</v>
      </c>
      <c r="V35" s="44">
        <f t="shared" si="13"/>
        <v>0</v>
      </c>
      <c r="W35" s="44">
        <f t="shared" si="14"/>
        <v>0</v>
      </c>
    </row>
    <row r="36" spans="2:23" x14ac:dyDescent="0.2">
      <c r="B36" s="180"/>
      <c r="C36" s="231"/>
      <c r="D36" s="232"/>
      <c r="E36" s="231"/>
      <c r="F36" s="232"/>
      <c r="G36" s="234"/>
      <c r="H36" s="231"/>
      <c r="I36" s="232"/>
      <c r="J36" s="232"/>
      <c r="K36" s="44">
        <f t="shared" si="11"/>
        <v>0</v>
      </c>
      <c r="M36" s="44">
        <v>0</v>
      </c>
      <c r="T36" s="197"/>
      <c r="U36" s="44">
        <f t="shared" si="12"/>
        <v>0</v>
      </c>
      <c r="V36" s="44">
        <f t="shared" si="13"/>
        <v>0</v>
      </c>
      <c r="W36" s="44">
        <f t="shared" si="14"/>
        <v>0</v>
      </c>
    </row>
    <row r="37" spans="2:23" x14ac:dyDescent="0.2">
      <c r="B37" s="180"/>
      <c r="C37" s="231"/>
      <c r="D37" s="232"/>
      <c r="E37" s="235"/>
      <c r="F37" s="232"/>
      <c r="G37" s="233"/>
      <c r="H37" s="231"/>
      <c r="I37" s="232"/>
      <c r="J37" s="232"/>
      <c r="K37" s="44">
        <f t="shared" si="11"/>
        <v>0</v>
      </c>
      <c r="M37" s="44">
        <v>0</v>
      </c>
      <c r="T37" s="197"/>
      <c r="U37" s="44">
        <f t="shared" si="12"/>
        <v>0</v>
      </c>
      <c r="V37" s="44">
        <f t="shared" si="13"/>
        <v>0</v>
      </c>
      <c r="W37" s="44">
        <f t="shared" si="14"/>
        <v>0</v>
      </c>
    </row>
    <row r="38" spans="2:23" x14ac:dyDescent="0.2">
      <c r="B38" s="180"/>
      <c r="C38" s="231"/>
      <c r="D38" s="232"/>
      <c r="E38" s="231"/>
      <c r="F38" s="232"/>
      <c r="G38" s="234"/>
      <c r="H38" s="231"/>
      <c r="I38" s="232"/>
      <c r="J38" s="232"/>
      <c r="K38" s="44">
        <f t="shared" si="11"/>
        <v>0</v>
      </c>
      <c r="M38" s="44">
        <v>0</v>
      </c>
      <c r="T38" s="197"/>
      <c r="U38" s="44">
        <f t="shared" si="12"/>
        <v>0</v>
      </c>
      <c r="V38" s="44">
        <f t="shared" si="13"/>
        <v>0</v>
      </c>
      <c r="W38" s="44">
        <f t="shared" si="14"/>
        <v>0</v>
      </c>
    </row>
    <row r="39" spans="2:23" x14ac:dyDescent="0.2">
      <c r="B39" s="180"/>
      <c r="C39" s="231"/>
      <c r="D39" s="232"/>
      <c r="E39" s="235"/>
      <c r="F39" s="232"/>
      <c r="G39" s="233"/>
      <c r="H39" s="231"/>
      <c r="I39" s="232"/>
      <c r="J39" s="232"/>
      <c r="K39" s="44">
        <f t="shared" si="11"/>
        <v>0</v>
      </c>
      <c r="M39" s="44">
        <v>0</v>
      </c>
      <c r="T39" s="197"/>
      <c r="U39" s="44">
        <f t="shared" si="12"/>
        <v>0</v>
      </c>
      <c r="V39" s="44">
        <f t="shared" si="13"/>
        <v>0</v>
      </c>
      <c r="W39" s="44">
        <f t="shared" si="14"/>
        <v>0</v>
      </c>
    </row>
    <row r="40" spans="2:23" x14ac:dyDescent="0.2">
      <c r="B40" s="180"/>
      <c r="C40" s="231"/>
      <c r="D40" s="232"/>
      <c r="E40" s="231"/>
      <c r="F40" s="232"/>
      <c r="G40" s="234"/>
      <c r="H40" s="231"/>
      <c r="I40" s="232"/>
      <c r="J40" s="232"/>
      <c r="K40" s="44">
        <f t="shared" si="11"/>
        <v>0</v>
      </c>
      <c r="M40" s="44">
        <v>0</v>
      </c>
      <c r="T40" s="197"/>
      <c r="U40" s="44">
        <f t="shared" si="12"/>
        <v>0</v>
      </c>
      <c r="V40" s="44">
        <f t="shared" si="13"/>
        <v>0</v>
      </c>
      <c r="W40" s="44">
        <f t="shared" si="14"/>
        <v>0</v>
      </c>
    </row>
    <row r="41" spans="2:23" x14ac:dyDescent="0.2">
      <c r="B41" s="180"/>
      <c r="C41" s="231"/>
      <c r="D41" s="232"/>
      <c r="E41" s="235"/>
      <c r="F41" s="232"/>
      <c r="G41" s="233"/>
      <c r="H41" s="231"/>
      <c r="I41" s="232"/>
      <c r="J41" s="232"/>
      <c r="K41" s="44">
        <f t="shared" si="11"/>
        <v>0</v>
      </c>
      <c r="M41" s="44">
        <v>0</v>
      </c>
      <c r="T41" s="197"/>
      <c r="U41" s="44">
        <f t="shared" si="12"/>
        <v>0</v>
      </c>
      <c r="V41" s="44">
        <f t="shared" si="13"/>
        <v>0</v>
      </c>
      <c r="W41" s="44">
        <f t="shared" si="14"/>
        <v>0</v>
      </c>
    </row>
    <row r="42" spans="2:23" x14ac:dyDescent="0.2">
      <c r="B42" s="180"/>
      <c r="C42" s="231"/>
      <c r="D42" s="232"/>
      <c r="E42" s="231"/>
      <c r="F42" s="232"/>
      <c r="G42" s="233"/>
      <c r="H42" s="231"/>
      <c r="I42" s="232"/>
      <c r="J42" s="232"/>
      <c r="K42" s="44">
        <f t="shared" si="11"/>
        <v>0</v>
      </c>
      <c r="M42" s="44">
        <v>0</v>
      </c>
      <c r="T42" s="197"/>
      <c r="U42" s="44">
        <f t="shared" si="12"/>
        <v>0</v>
      </c>
      <c r="V42" s="44">
        <f t="shared" si="13"/>
        <v>0</v>
      </c>
      <c r="W42" s="44">
        <f t="shared" si="14"/>
        <v>0</v>
      </c>
    </row>
    <row r="43" spans="2:23" x14ac:dyDescent="0.2">
      <c r="B43" s="180"/>
      <c r="C43" s="231"/>
      <c r="D43" s="232"/>
      <c r="E43" s="235"/>
      <c r="F43" s="232"/>
      <c r="G43" s="233"/>
      <c r="H43" s="231"/>
      <c r="I43" s="232"/>
      <c r="J43" s="232"/>
      <c r="K43" s="44">
        <f t="shared" si="11"/>
        <v>0</v>
      </c>
      <c r="M43" s="44">
        <v>0</v>
      </c>
      <c r="T43" s="197"/>
      <c r="U43" s="44">
        <f t="shared" si="12"/>
        <v>0</v>
      </c>
      <c r="V43" s="44">
        <f t="shared" si="13"/>
        <v>0</v>
      </c>
      <c r="W43" s="44">
        <f t="shared" si="14"/>
        <v>0</v>
      </c>
    </row>
    <row r="44" spans="2:23" x14ac:dyDescent="0.2">
      <c r="B44" s="180"/>
      <c r="C44" s="231"/>
      <c r="D44" s="232"/>
      <c r="E44" s="231"/>
      <c r="F44" s="232"/>
      <c r="G44" s="233"/>
      <c r="H44" s="231"/>
      <c r="I44" s="232"/>
      <c r="J44" s="232"/>
      <c r="K44" s="44">
        <f t="shared" si="11"/>
        <v>0</v>
      </c>
      <c r="M44" s="44">
        <v>0</v>
      </c>
      <c r="T44" s="197"/>
      <c r="U44" s="44">
        <f t="shared" si="12"/>
        <v>0</v>
      </c>
      <c r="V44" s="44">
        <f t="shared" si="13"/>
        <v>0</v>
      </c>
      <c r="W44" s="44">
        <f t="shared" si="14"/>
        <v>0</v>
      </c>
    </row>
    <row r="45" spans="2:23" x14ac:dyDescent="0.2">
      <c r="B45" s="180"/>
      <c r="C45" s="231"/>
      <c r="D45" s="232"/>
      <c r="E45" s="235"/>
      <c r="F45" s="232"/>
      <c r="G45" s="233"/>
      <c r="H45" s="231"/>
      <c r="I45" s="232"/>
      <c r="J45" s="232"/>
      <c r="K45" s="44">
        <f t="shared" si="11"/>
        <v>0</v>
      </c>
      <c r="M45" s="44">
        <v>0</v>
      </c>
      <c r="T45" s="197"/>
      <c r="U45" s="44">
        <f t="shared" si="12"/>
        <v>0</v>
      </c>
      <c r="V45" s="44">
        <f t="shared" si="13"/>
        <v>0</v>
      </c>
      <c r="W45" s="44">
        <f t="shared" si="14"/>
        <v>0</v>
      </c>
    </row>
    <row r="46" spans="2:23" x14ac:dyDescent="0.2">
      <c r="B46" s="180"/>
      <c r="C46" s="231"/>
      <c r="D46" s="232"/>
      <c r="E46" s="231"/>
      <c r="F46" s="232"/>
      <c r="G46" s="233"/>
      <c r="H46" s="231"/>
      <c r="I46" s="232"/>
      <c r="J46" s="232"/>
      <c r="K46" s="44">
        <f t="shared" si="11"/>
        <v>0</v>
      </c>
      <c r="M46" s="44">
        <v>0</v>
      </c>
      <c r="T46" s="197"/>
      <c r="U46" s="44">
        <f t="shared" si="12"/>
        <v>0</v>
      </c>
      <c r="V46" s="44">
        <f t="shared" si="13"/>
        <v>0</v>
      </c>
      <c r="W46" s="44">
        <f t="shared" si="14"/>
        <v>0</v>
      </c>
    </row>
    <row r="47" spans="2:23" x14ac:dyDescent="0.2">
      <c r="B47" s="180"/>
      <c r="C47" s="231"/>
      <c r="D47" s="232"/>
      <c r="E47" s="235"/>
      <c r="F47" s="232"/>
      <c r="G47" s="233"/>
      <c r="H47" s="231"/>
      <c r="I47" s="232"/>
      <c r="J47" s="232"/>
      <c r="K47" s="44">
        <f t="shared" si="11"/>
        <v>0</v>
      </c>
      <c r="M47" s="44">
        <v>0</v>
      </c>
      <c r="T47" s="197"/>
      <c r="U47" s="44">
        <f t="shared" si="12"/>
        <v>0</v>
      </c>
      <c r="V47" s="44">
        <f t="shared" si="13"/>
        <v>0</v>
      </c>
      <c r="W47" s="44">
        <f t="shared" si="14"/>
        <v>0</v>
      </c>
    </row>
    <row r="48" spans="2:23" x14ac:dyDescent="0.2">
      <c r="B48" s="180"/>
      <c r="C48" s="231"/>
      <c r="D48" s="232"/>
      <c r="E48" s="231"/>
      <c r="F48" s="232"/>
      <c r="G48" s="233"/>
      <c r="H48" s="231"/>
      <c r="I48" s="232"/>
      <c r="J48" s="232"/>
      <c r="K48" s="44">
        <f t="shared" si="11"/>
        <v>0</v>
      </c>
      <c r="M48" s="44">
        <v>0</v>
      </c>
      <c r="T48" s="197"/>
      <c r="U48" s="44">
        <f t="shared" si="12"/>
        <v>0</v>
      </c>
      <c r="V48" s="44">
        <f t="shared" si="13"/>
        <v>0</v>
      </c>
      <c r="W48" s="44">
        <f t="shared" si="14"/>
        <v>0</v>
      </c>
    </row>
    <row r="49" spans="2:23" x14ac:dyDescent="0.2">
      <c r="B49" s="180"/>
      <c r="C49" s="231"/>
      <c r="D49" s="232"/>
      <c r="E49" s="235"/>
      <c r="F49" s="232"/>
      <c r="G49" s="233"/>
      <c r="H49" s="231"/>
      <c r="I49" s="232"/>
      <c r="J49" s="232"/>
      <c r="K49" s="44">
        <f t="shared" si="11"/>
        <v>0</v>
      </c>
      <c r="M49" s="44">
        <v>0</v>
      </c>
      <c r="T49" s="197"/>
      <c r="U49" s="44">
        <f t="shared" si="12"/>
        <v>0</v>
      </c>
      <c r="V49" s="44">
        <f t="shared" si="13"/>
        <v>0</v>
      </c>
      <c r="W49" s="44">
        <f t="shared" si="14"/>
        <v>0</v>
      </c>
    </row>
    <row r="50" spans="2:23" x14ac:dyDescent="0.2">
      <c r="B50" s="180"/>
      <c r="C50" s="231"/>
      <c r="D50" s="232"/>
      <c r="E50" s="231"/>
      <c r="F50" s="232"/>
      <c r="G50" s="233"/>
      <c r="H50" s="231"/>
      <c r="I50" s="232"/>
      <c r="J50" s="232"/>
      <c r="K50" s="44">
        <f t="shared" si="11"/>
        <v>0</v>
      </c>
      <c r="M50" s="44">
        <v>0</v>
      </c>
      <c r="T50" s="197"/>
      <c r="U50" s="44">
        <f t="shared" si="12"/>
        <v>0</v>
      </c>
      <c r="V50" s="44">
        <f t="shared" si="13"/>
        <v>0</v>
      </c>
      <c r="W50" s="44">
        <f t="shared" si="14"/>
        <v>0</v>
      </c>
    </row>
    <row r="51" spans="2:23" x14ac:dyDescent="0.2">
      <c r="B51" s="180"/>
      <c r="C51" s="231"/>
      <c r="D51" s="232"/>
      <c r="E51" s="235"/>
      <c r="F51" s="232"/>
      <c r="G51" s="233"/>
      <c r="H51" s="231"/>
      <c r="I51" s="232"/>
      <c r="J51" s="232"/>
      <c r="K51" s="44">
        <f t="shared" si="11"/>
        <v>0</v>
      </c>
      <c r="M51" s="44">
        <v>0</v>
      </c>
      <c r="T51" s="197"/>
      <c r="U51" s="44">
        <f t="shared" si="12"/>
        <v>0</v>
      </c>
      <c r="V51" s="44">
        <f t="shared" si="13"/>
        <v>0</v>
      </c>
      <c r="W51" s="44">
        <f t="shared" si="14"/>
        <v>0</v>
      </c>
    </row>
    <row r="52" spans="2:23" x14ac:dyDescent="0.2">
      <c r="B52" s="180"/>
      <c r="C52" s="231"/>
      <c r="D52" s="232"/>
      <c r="E52" s="231"/>
      <c r="F52" s="232"/>
      <c r="G52" s="233"/>
      <c r="H52" s="231"/>
      <c r="I52" s="232"/>
      <c r="J52" s="232"/>
      <c r="K52" s="44">
        <f t="shared" si="11"/>
        <v>0</v>
      </c>
      <c r="M52" s="44">
        <v>0</v>
      </c>
      <c r="T52" s="197"/>
      <c r="U52" s="44">
        <f t="shared" si="12"/>
        <v>0</v>
      </c>
      <c r="V52" s="44">
        <f t="shared" si="13"/>
        <v>0</v>
      </c>
      <c r="W52" s="44">
        <f t="shared" si="14"/>
        <v>0</v>
      </c>
    </row>
    <row r="53" spans="2:23" x14ac:dyDescent="0.2">
      <c r="B53" s="180"/>
      <c r="C53" s="231"/>
      <c r="D53" s="232"/>
      <c r="E53" s="235"/>
      <c r="F53" s="232"/>
      <c r="G53" s="233"/>
      <c r="H53" s="231"/>
      <c r="I53" s="232"/>
      <c r="J53" s="232"/>
      <c r="K53" s="44">
        <f t="shared" si="11"/>
        <v>0</v>
      </c>
      <c r="M53" s="44">
        <v>0</v>
      </c>
      <c r="T53" s="197"/>
      <c r="U53" s="44">
        <f t="shared" si="12"/>
        <v>0</v>
      </c>
      <c r="V53" s="44">
        <f t="shared" si="13"/>
        <v>0</v>
      </c>
      <c r="W53" s="44">
        <f t="shared" si="14"/>
        <v>0</v>
      </c>
    </row>
    <row r="54" spans="2:23" x14ac:dyDescent="0.2">
      <c r="B54" s="180"/>
      <c r="C54" s="231"/>
      <c r="D54" s="232"/>
      <c r="E54" s="231"/>
      <c r="F54" s="232"/>
      <c r="G54" s="233"/>
      <c r="H54" s="231"/>
      <c r="I54" s="232"/>
      <c r="J54" s="232"/>
      <c r="K54" s="44">
        <f t="shared" si="11"/>
        <v>0</v>
      </c>
      <c r="M54" s="44">
        <v>0</v>
      </c>
      <c r="T54" s="197"/>
      <c r="U54" s="44">
        <f t="shared" si="12"/>
        <v>0</v>
      </c>
      <c r="V54" s="44">
        <f t="shared" si="13"/>
        <v>0</v>
      </c>
      <c r="W54" s="44">
        <f t="shared" si="14"/>
        <v>0</v>
      </c>
    </row>
    <row r="55" spans="2:23" x14ac:dyDescent="0.2">
      <c r="B55" s="180"/>
      <c r="C55" s="231"/>
      <c r="D55" s="232"/>
      <c r="E55" s="235"/>
      <c r="F55" s="232"/>
      <c r="G55" s="233"/>
      <c r="H55" s="231"/>
      <c r="I55" s="232"/>
      <c r="J55" s="232"/>
      <c r="K55" s="44">
        <f t="shared" si="11"/>
        <v>0</v>
      </c>
      <c r="M55" s="44">
        <v>0</v>
      </c>
      <c r="T55" s="197"/>
      <c r="U55" s="44">
        <f t="shared" ref="U55:U65" si="15">I55+L55-N55</f>
        <v>0</v>
      </c>
      <c r="V55" s="44">
        <f t="shared" ref="V55:V65" si="16">J55+T55-O55</f>
        <v>0</v>
      </c>
      <c r="W55" s="44">
        <f t="shared" si="14"/>
        <v>0</v>
      </c>
    </row>
    <row r="56" spans="2:23" x14ac:dyDescent="0.2">
      <c r="B56" s="92"/>
      <c r="C56" s="171"/>
      <c r="D56" s="171"/>
      <c r="E56" s="171"/>
      <c r="F56" s="172"/>
      <c r="G56" s="1"/>
      <c r="H56" s="171"/>
      <c r="K56" s="44">
        <f t="shared" si="11"/>
        <v>0</v>
      </c>
      <c r="T56" s="197"/>
      <c r="U56" s="44">
        <f t="shared" si="15"/>
        <v>0</v>
      </c>
      <c r="V56" s="44">
        <f t="shared" si="16"/>
        <v>0</v>
      </c>
      <c r="W56" s="44">
        <f t="shared" si="14"/>
        <v>0</v>
      </c>
    </row>
    <row r="57" spans="2:23" ht="15" x14ac:dyDescent="0.35">
      <c r="B57" s="92"/>
      <c r="C57" s="173" t="s">
        <v>554</v>
      </c>
      <c r="D57" s="173"/>
      <c r="E57" s="171"/>
      <c r="F57" s="172"/>
      <c r="G57" s="1"/>
      <c r="H57" s="171"/>
      <c r="K57" s="44">
        <f t="shared" si="11"/>
        <v>0</v>
      </c>
      <c r="T57" s="197"/>
      <c r="U57" s="44">
        <f t="shared" si="15"/>
        <v>0</v>
      </c>
      <c r="V57" s="44">
        <f t="shared" si="16"/>
        <v>0</v>
      </c>
      <c r="W57" s="44">
        <f t="shared" si="14"/>
        <v>0</v>
      </c>
    </row>
    <row r="58" spans="2:23" ht="15" x14ac:dyDescent="0.35">
      <c r="B58" s="92"/>
      <c r="C58" s="173"/>
      <c r="D58" s="173"/>
      <c r="E58" s="171"/>
      <c r="F58" s="172"/>
      <c r="G58" s="1"/>
      <c r="H58" s="171"/>
      <c r="K58" s="44">
        <f t="shared" si="11"/>
        <v>0</v>
      </c>
      <c r="T58" s="197"/>
      <c r="U58" s="44">
        <f t="shared" si="15"/>
        <v>0</v>
      </c>
      <c r="V58" s="44">
        <f t="shared" si="16"/>
        <v>0</v>
      </c>
      <c r="W58" s="44">
        <f t="shared" si="14"/>
        <v>0</v>
      </c>
    </row>
    <row r="59" spans="2:23" x14ac:dyDescent="0.2">
      <c r="B59" s="180"/>
      <c r="C59" s="231"/>
      <c r="D59" s="231"/>
      <c r="E59" s="231"/>
      <c r="F59" s="232"/>
      <c r="G59" s="180"/>
      <c r="H59" s="231"/>
      <c r="I59" s="239"/>
      <c r="J59" s="232"/>
      <c r="K59" s="44">
        <f t="shared" si="11"/>
        <v>0</v>
      </c>
      <c r="T59" s="197"/>
      <c r="U59" s="44">
        <f t="shared" si="15"/>
        <v>0</v>
      </c>
      <c r="V59" s="44">
        <f t="shared" si="16"/>
        <v>0</v>
      </c>
      <c r="W59" s="44">
        <f t="shared" si="14"/>
        <v>0</v>
      </c>
    </row>
    <row r="60" spans="2:23" x14ac:dyDescent="0.2">
      <c r="B60" s="180"/>
      <c r="C60" s="231"/>
      <c r="D60" s="231"/>
      <c r="E60" s="231"/>
      <c r="F60" s="232"/>
      <c r="G60" s="229"/>
      <c r="H60" s="240"/>
      <c r="I60" s="239"/>
      <c r="J60" s="232"/>
      <c r="K60" s="44">
        <f t="shared" si="11"/>
        <v>0</v>
      </c>
      <c r="T60" s="197"/>
      <c r="U60" s="44">
        <f t="shared" si="15"/>
        <v>0</v>
      </c>
      <c r="V60" s="44">
        <f t="shared" si="16"/>
        <v>0</v>
      </c>
      <c r="W60" s="44">
        <f t="shared" si="14"/>
        <v>0</v>
      </c>
    </row>
    <row r="61" spans="2:23" x14ac:dyDescent="0.2">
      <c r="B61" s="180"/>
      <c r="C61" s="231"/>
      <c r="D61" s="231"/>
      <c r="E61" s="231"/>
      <c r="F61" s="232"/>
      <c r="G61" s="180"/>
      <c r="H61" s="240"/>
      <c r="I61" s="239"/>
      <c r="J61" s="232"/>
      <c r="K61" s="44">
        <f t="shared" si="11"/>
        <v>0</v>
      </c>
      <c r="T61" s="197"/>
      <c r="U61" s="44">
        <f t="shared" si="15"/>
        <v>0</v>
      </c>
      <c r="V61" s="44">
        <f t="shared" si="16"/>
        <v>0</v>
      </c>
      <c r="W61" s="44">
        <f t="shared" si="14"/>
        <v>0</v>
      </c>
    </row>
    <row r="62" spans="2:23" x14ac:dyDescent="0.2">
      <c r="B62" s="180"/>
      <c r="C62" s="231"/>
      <c r="D62" s="231"/>
      <c r="E62" s="231"/>
      <c r="F62" s="232"/>
      <c r="G62" s="229"/>
      <c r="H62" s="240"/>
      <c r="I62" s="239"/>
      <c r="J62" s="232"/>
      <c r="K62" s="44">
        <f t="shared" si="11"/>
        <v>0</v>
      </c>
      <c r="T62" s="197"/>
      <c r="U62" s="44">
        <f t="shared" si="15"/>
        <v>0</v>
      </c>
      <c r="V62" s="44">
        <f t="shared" si="16"/>
        <v>0</v>
      </c>
      <c r="W62" s="44">
        <f t="shared" si="14"/>
        <v>0</v>
      </c>
    </row>
    <row r="63" spans="2:23" x14ac:dyDescent="0.2">
      <c r="B63" s="180"/>
      <c r="C63" s="231"/>
      <c r="D63" s="231"/>
      <c r="E63" s="231"/>
      <c r="F63" s="232"/>
      <c r="G63" s="180"/>
      <c r="H63" s="240"/>
      <c r="I63" s="239"/>
      <c r="J63" s="232"/>
      <c r="K63" s="44">
        <f t="shared" si="11"/>
        <v>0</v>
      </c>
      <c r="T63" s="197"/>
      <c r="U63" s="44">
        <f t="shared" si="15"/>
        <v>0</v>
      </c>
      <c r="V63" s="44">
        <f t="shared" si="16"/>
        <v>0</v>
      </c>
      <c r="W63" s="44">
        <f t="shared" si="14"/>
        <v>0</v>
      </c>
    </row>
    <row r="64" spans="2:23" x14ac:dyDescent="0.2">
      <c r="B64" s="180"/>
      <c r="C64" s="231"/>
      <c r="D64" s="231"/>
      <c r="E64" s="231"/>
      <c r="F64" s="232"/>
      <c r="G64" s="180"/>
      <c r="H64" s="240"/>
      <c r="I64" s="239"/>
      <c r="J64" s="232"/>
      <c r="K64" s="44">
        <f t="shared" si="11"/>
        <v>0</v>
      </c>
      <c r="T64" s="197"/>
      <c r="U64" s="44">
        <f t="shared" si="15"/>
        <v>0</v>
      </c>
      <c r="V64" s="44">
        <f t="shared" si="16"/>
        <v>0</v>
      </c>
      <c r="W64" s="44">
        <f t="shared" si="14"/>
        <v>0</v>
      </c>
    </row>
    <row r="65" spans="2:23" x14ac:dyDescent="0.2">
      <c r="B65" s="180"/>
      <c r="C65" s="231"/>
      <c r="D65" s="231"/>
      <c r="E65" s="231"/>
      <c r="F65" s="232"/>
      <c r="G65" s="180"/>
      <c r="H65" s="240"/>
      <c r="I65" s="239"/>
      <c r="J65" s="232"/>
      <c r="K65" s="44">
        <f t="shared" si="11"/>
        <v>0</v>
      </c>
      <c r="T65" s="197"/>
      <c r="U65" s="44">
        <f t="shared" si="15"/>
        <v>0</v>
      </c>
      <c r="V65" s="44">
        <f t="shared" si="16"/>
        <v>0</v>
      </c>
      <c r="W65" s="44">
        <f t="shared" si="14"/>
        <v>0</v>
      </c>
    </row>
    <row r="66" spans="2:23" x14ac:dyDescent="0.2">
      <c r="B66" s="180"/>
      <c r="C66" s="231"/>
      <c r="D66" s="231"/>
      <c r="E66" s="231"/>
      <c r="F66" s="232"/>
      <c r="G66" s="180"/>
      <c r="H66" s="240"/>
      <c r="I66" s="239"/>
      <c r="J66" s="232"/>
      <c r="K66" s="44">
        <f t="shared" ref="K66:K82" si="17">I66-J66</f>
        <v>0</v>
      </c>
      <c r="T66" s="197"/>
      <c r="U66" s="44">
        <f t="shared" ref="U66:U82" si="18">I66+L66-N66</f>
        <v>0</v>
      </c>
      <c r="V66" s="44">
        <f t="shared" ref="V66:V82" si="19">J66+T66-O66</f>
        <v>0</v>
      </c>
      <c r="W66" s="44">
        <f t="shared" si="14"/>
        <v>0</v>
      </c>
    </row>
    <row r="67" spans="2:23" x14ac:dyDescent="0.2">
      <c r="B67" s="180"/>
      <c r="C67" s="231"/>
      <c r="D67" s="231"/>
      <c r="E67" s="231"/>
      <c r="F67" s="232"/>
      <c r="G67" s="180"/>
      <c r="H67" s="240"/>
      <c r="I67" s="232"/>
      <c r="J67" s="232"/>
      <c r="K67" s="44">
        <f t="shared" si="17"/>
        <v>0</v>
      </c>
      <c r="T67" s="197"/>
      <c r="U67" s="44">
        <f t="shared" si="18"/>
        <v>0</v>
      </c>
      <c r="V67" s="44">
        <f t="shared" si="19"/>
        <v>0</v>
      </c>
      <c r="W67" s="44">
        <f t="shared" ref="W67:W82" si="20">U67-V67</f>
        <v>0</v>
      </c>
    </row>
    <row r="68" spans="2:23" x14ac:dyDescent="0.2">
      <c r="B68" s="180"/>
      <c r="C68" s="231"/>
      <c r="D68" s="231"/>
      <c r="E68" s="231"/>
      <c r="F68" s="232"/>
      <c r="G68" s="180"/>
      <c r="H68" s="240"/>
      <c r="I68" s="232"/>
      <c r="J68" s="232"/>
      <c r="K68" s="44">
        <f t="shared" si="17"/>
        <v>0</v>
      </c>
      <c r="T68" s="197"/>
      <c r="U68" s="44">
        <f t="shared" si="18"/>
        <v>0</v>
      </c>
      <c r="V68" s="44">
        <f t="shared" si="19"/>
        <v>0</v>
      </c>
      <c r="W68" s="44">
        <f t="shared" si="20"/>
        <v>0</v>
      </c>
    </row>
    <row r="69" spans="2:23" x14ac:dyDescent="0.2">
      <c r="B69" s="180"/>
      <c r="C69" s="231"/>
      <c r="D69" s="231"/>
      <c r="E69" s="231"/>
      <c r="F69" s="232"/>
      <c r="G69" s="180"/>
      <c r="H69" s="240"/>
      <c r="I69" s="232"/>
      <c r="J69" s="232"/>
      <c r="K69" s="44">
        <f t="shared" si="17"/>
        <v>0</v>
      </c>
      <c r="T69" s="197"/>
      <c r="U69" s="44">
        <f t="shared" si="18"/>
        <v>0</v>
      </c>
      <c r="V69" s="44">
        <f t="shared" si="19"/>
        <v>0</v>
      </c>
      <c r="W69" s="44">
        <f t="shared" si="20"/>
        <v>0</v>
      </c>
    </row>
    <row r="70" spans="2:23" x14ac:dyDescent="0.2">
      <c r="B70" s="180"/>
      <c r="C70" s="231"/>
      <c r="D70" s="231"/>
      <c r="E70" s="231"/>
      <c r="F70" s="232"/>
      <c r="G70" s="180"/>
      <c r="H70" s="240"/>
      <c r="I70" s="232"/>
      <c r="J70" s="232"/>
      <c r="K70" s="44">
        <f t="shared" si="17"/>
        <v>0</v>
      </c>
      <c r="T70" s="197"/>
      <c r="U70" s="44">
        <f t="shared" si="18"/>
        <v>0</v>
      </c>
      <c r="V70" s="44">
        <f t="shared" si="19"/>
        <v>0</v>
      </c>
      <c r="W70" s="44">
        <f t="shared" si="20"/>
        <v>0</v>
      </c>
    </row>
    <row r="71" spans="2:23" x14ac:dyDescent="0.2">
      <c r="B71" s="180"/>
      <c r="C71" s="231"/>
      <c r="D71" s="231"/>
      <c r="E71" s="231"/>
      <c r="F71" s="232"/>
      <c r="G71" s="180"/>
      <c r="H71" s="240"/>
      <c r="I71" s="232"/>
      <c r="J71" s="232"/>
      <c r="K71" s="44">
        <f t="shared" si="17"/>
        <v>0</v>
      </c>
      <c r="T71" s="197"/>
      <c r="U71" s="44">
        <f t="shared" si="18"/>
        <v>0</v>
      </c>
      <c r="V71" s="44">
        <f t="shared" si="19"/>
        <v>0</v>
      </c>
      <c r="W71" s="44">
        <f t="shared" si="20"/>
        <v>0</v>
      </c>
    </row>
    <row r="72" spans="2:23" x14ac:dyDescent="0.2">
      <c r="B72" s="180"/>
      <c r="C72" s="231"/>
      <c r="D72" s="231"/>
      <c r="E72" s="231"/>
      <c r="F72" s="232"/>
      <c r="G72" s="180"/>
      <c r="H72" s="240"/>
      <c r="I72" s="232"/>
      <c r="J72" s="232"/>
      <c r="K72" s="44">
        <f t="shared" si="17"/>
        <v>0</v>
      </c>
      <c r="T72" s="197"/>
      <c r="U72" s="44">
        <f t="shared" si="18"/>
        <v>0</v>
      </c>
      <c r="V72" s="44">
        <f t="shared" si="19"/>
        <v>0</v>
      </c>
      <c r="W72" s="44">
        <f t="shared" si="20"/>
        <v>0</v>
      </c>
    </row>
    <row r="73" spans="2:23" x14ac:dyDescent="0.2">
      <c r="B73" s="180"/>
      <c r="C73" s="231"/>
      <c r="D73" s="231"/>
      <c r="E73" s="231"/>
      <c r="F73" s="232"/>
      <c r="G73" s="180"/>
      <c r="H73" s="240"/>
      <c r="I73" s="232"/>
      <c r="J73" s="232"/>
      <c r="K73" s="44">
        <f t="shared" si="17"/>
        <v>0</v>
      </c>
      <c r="T73" s="197"/>
      <c r="U73" s="44">
        <f t="shared" si="18"/>
        <v>0</v>
      </c>
      <c r="V73" s="44">
        <f t="shared" si="19"/>
        <v>0</v>
      </c>
      <c r="W73" s="44">
        <f t="shared" si="20"/>
        <v>0</v>
      </c>
    </row>
    <row r="74" spans="2:23" x14ac:dyDescent="0.2">
      <c r="B74" s="180"/>
      <c r="C74" s="231"/>
      <c r="D74" s="231"/>
      <c r="E74" s="231"/>
      <c r="F74" s="232"/>
      <c r="G74" s="180"/>
      <c r="H74" s="240"/>
      <c r="I74" s="232"/>
      <c r="J74" s="232"/>
      <c r="K74" s="44">
        <f t="shared" si="17"/>
        <v>0</v>
      </c>
      <c r="T74" s="197"/>
      <c r="U74" s="44">
        <f t="shared" si="18"/>
        <v>0</v>
      </c>
      <c r="V74" s="44">
        <f t="shared" si="19"/>
        <v>0</v>
      </c>
      <c r="W74" s="44">
        <f t="shared" si="20"/>
        <v>0</v>
      </c>
    </row>
    <row r="75" spans="2:23" x14ac:dyDescent="0.2">
      <c r="B75" s="180"/>
      <c r="C75" s="231"/>
      <c r="D75" s="231"/>
      <c r="E75" s="231"/>
      <c r="F75" s="232"/>
      <c r="G75" s="180"/>
      <c r="H75" s="240"/>
      <c r="I75" s="232"/>
      <c r="J75" s="232"/>
      <c r="K75" s="44">
        <f t="shared" si="17"/>
        <v>0</v>
      </c>
      <c r="T75" s="197"/>
      <c r="U75" s="44">
        <f t="shared" si="18"/>
        <v>0</v>
      </c>
      <c r="V75" s="44">
        <f t="shared" si="19"/>
        <v>0</v>
      </c>
      <c r="W75" s="44">
        <f t="shared" si="20"/>
        <v>0</v>
      </c>
    </row>
    <row r="76" spans="2:23" x14ac:dyDescent="0.2">
      <c r="B76" s="180"/>
      <c r="C76" s="231"/>
      <c r="D76" s="231"/>
      <c r="E76" s="231"/>
      <c r="F76" s="232"/>
      <c r="G76" s="180"/>
      <c r="H76" s="240"/>
      <c r="I76" s="232"/>
      <c r="J76" s="232"/>
      <c r="K76" s="44">
        <f t="shared" si="17"/>
        <v>0</v>
      </c>
      <c r="T76" s="197"/>
      <c r="U76" s="44">
        <f t="shared" si="18"/>
        <v>0</v>
      </c>
      <c r="V76" s="44">
        <f t="shared" si="19"/>
        <v>0</v>
      </c>
      <c r="W76" s="44">
        <f t="shared" si="20"/>
        <v>0</v>
      </c>
    </row>
    <row r="77" spans="2:23" x14ac:dyDescent="0.2">
      <c r="B77" s="180"/>
      <c r="C77" s="231"/>
      <c r="D77" s="231"/>
      <c r="E77" s="231"/>
      <c r="F77" s="232"/>
      <c r="G77" s="180"/>
      <c r="H77" s="240"/>
      <c r="I77" s="232"/>
      <c r="J77" s="232"/>
      <c r="K77" s="44">
        <f t="shared" si="17"/>
        <v>0</v>
      </c>
      <c r="T77" s="197"/>
      <c r="U77" s="44">
        <f t="shared" si="18"/>
        <v>0</v>
      </c>
      <c r="V77" s="44">
        <f t="shared" si="19"/>
        <v>0</v>
      </c>
      <c r="W77" s="44">
        <f t="shared" si="20"/>
        <v>0</v>
      </c>
    </row>
    <row r="78" spans="2:23" x14ac:dyDescent="0.2">
      <c r="B78" s="180"/>
      <c r="C78" s="231"/>
      <c r="D78" s="231"/>
      <c r="E78" s="231"/>
      <c r="F78" s="232"/>
      <c r="G78" s="180"/>
      <c r="H78" s="240"/>
      <c r="I78" s="232"/>
      <c r="J78" s="232"/>
      <c r="K78" s="44">
        <f t="shared" si="17"/>
        <v>0</v>
      </c>
      <c r="T78" s="197"/>
      <c r="U78" s="44">
        <f t="shared" si="18"/>
        <v>0</v>
      </c>
      <c r="V78" s="44">
        <f t="shared" si="19"/>
        <v>0</v>
      </c>
      <c r="W78" s="44">
        <f t="shared" si="20"/>
        <v>0</v>
      </c>
    </row>
    <row r="79" spans="2:23" x14ac:dyDescent="0.2">
      <c r="B79" s="180"/>
      <c r="C79" s="231"/>
      <c r="D79" s="231"/>
      <c r="E79" s="231"/>
      <c r="F79" s="232"/>
      <c r="G79" s="180"/>
      <c r="H79" s="240"/>
      <c r="I79" s="232"/>
      <c r="J79" s="232"/>
      <c r="K79" s="44">
        <f t="shared" si="17"/>
        <v>0</v>
      </c>
      <c r="T79" s="197"/>
      <c r="U79" s="44">
        <f t="shared" si="18"/>
        <v>0</v>
      </c>
      <c r="V79" s="44">
        <f t="shared" si="19"/>
        <v>0</v>
      </c>
      <c r="W79" s="44">
        <f t="shared" si="20"/>
        <v>0</v>
      </c>
    </row>
    <row r="80" spans="2:23" x14ac:dyDescent="0.2">
      <c r="B80" s="180"/>
      <c r="C80" s="231"/>
      <c r="D80" s="231"/>
      <c r="E80" s="231"/>
      <c r="F80" s="232"/>
      <c r="G80" s="180"/>
      <c r="H80" s="240"/>
      <c r="I80" s="232"/>
      <c r="J80" s="232"/>
      <c r="K80" s="44">
        <f t="shared" si="17"/>
        <v>0</v>
      </c>
      <c r="T80" s="197"/>
      <c r="U80" s="44">
        <f t="shared" si="18"/>
        <v>0</v>
      </c>
      <c r="V80" s="44">
        <f t="shared" si="19"/>
        <v>0</v>
      </c>
      <c r="W80" s="44">
        <f t="shared" si="20"/>
        <v>0</v>
      </c>
    </row>
    <row r="81" spans="2:25" x14ac:dyDescent="0.2">
      <c r="B81" s="180"/>
      <c r="C81" s="231"/>
      <c r="D81" s="231"/>
      <c r="E81" s="231"/>
      <c r="F81" s="232"/>
      <c r="G81" s="180"/>
      <c r="H81" s="240"/>
      <c r="I81" s="232"/>
      <c r="J81" s="232"/>
      <c r="K81" s="44">
        <f t="shared" si="17"/>
        <v>0</v>
      </c>
      <c r="T81" s="197"/>
      <c r="U81" s="44">
        <f t="shared" si="18"/>
        <v>0</v>
      </c>
      <c r="V81" s="44">
        <f t="shared" si="19"/>
        <v>0</v>
      </c>
      <c r="W81" s="44">
        <f t="shared" si="20"/>
        <v>0</v>
      </c>
    </row>
    <row r="82" spans="2:25" x14ac:dyDescent="0.2">
      <c r="B82" s="180"/>
      <c r="C82" s="235"/>
      <c r="D82" s="231"/>
      <c r="E82" s="231"/>
      <c r="F82" s="232"/>
      <c r="G82" s="180"/>
      <c r="H82" s="240"/>
      <c r="I82" s="232"/>
      <c r="J82" s="232"/>
      <c r="K82" s="44">
        <f t="shared" si="17"/>
        <v>0</v>
      </c>
      <c r="T82" s="197"/>
      <c r="U82" s="44">
        <f t="shared" si="18"/>
        <v>0</v>
      </c>
      <c r="V82" s="44">
        <f t="shared" si="19"/>
        <v>0</v>
      </c>
      <c r="W82" s="44">
        <f t="shared" si="20"/>
        <v>0</v>
      </c>
    </row>
    <row r="84" spans="2:25" ht="13.5" thickBot="1" x14ac:dyDescent="0.25">
      <c r="C84" s="44" t="s">
        <v>383</v>
      </c>
      <c r="I84" s="52">
        <f>SUM(I22:I83)</f>
        <v>0</v>
      </c>
      <c r="J84" s="52">
        <f>SUM(J22:J83)</f>
        <v>0</v>
      </c>
      <c r="K84" s="52">
        <f>SUM(K22:K83)</f>
        <v>0</v>
      </c>
      <c r="L84" s="52">
        <f>SUM(L22:L83)</f>
        <v>0</v>
      </c>
      <c r="M84" s="52"/>
      <c r="N84" s="52">
        <f t="shared" ref="N84:W84" si="21">SUM(N22:N83)</f>
        <v>0</v>
      </c>
      <c r="O84" s="52">
        <f t="shared" si="21"/>
        <v>0</v>
      </c>
      <c r="P84" s="52">
        <f t="shared" si="21"/>
        <v>0</v>
      </c>
      <c r="Q84" s="52">
        <f t="shared" si="21"/>
        <v>0</v>
      </c>
      <c r="R84" s="52">
        <f t="shared" si="21"/>
        <v>0</v>
      </c>
      <c r="S84" s="52">
        <f t="shared" si="21"/>
        <v>0</v>
      </c>
      <c r="T84" s="52">
        <f t="shared" si="21"/>
        <v>0</v>
      </c>
      <c r="U84" s="52">
        <f t="shared" si="21"/>
        <v>0</v>
      </c>
      <c r="V84" s="52">
        <f t="shared" si="21"/>
        <v>0</v>
      </c>
      <c r="W84" s="52">
        <f t="shared" si="21"/>
        <v>0</v>
      </c>
    </row>
    <row r="85" spans="2:25" ht="13.5" thickTop="1" x14ac:dyDescent="0.2">
      <c r="G85" s="44" t="s">
        <v>823</v>
      </c>
      <c r="I85" s="288">
        <f>I84-FARegister!I60-FARegister!I149</f>
        <v>0</v>
      </c>
      <c r="J85" s="288"/>
      <c r="K85" s="288"/>
      <c r="L85" s="288">
        <f>L84-FARegister!L60-FARegister!L149</f>
        <v>0</v>
      </c>
      <c r="M85" s="288"/>
      <c r="N85" s="288">
        <f>N84-FARegister!Q60-FARegister!Q149</f>
        <v>0</v>
      </c>
      <c r="O85" s="288"/>
      <c r="P85" s="288">
        <f>P84-FARegister!S60-FARegister!S149</f>
        <v>0</v>
      </c>
      <c r="Q85" s="288"/>
      <c r="R85" s="288"/>
      <c r="S85" s="288"/>
      <c r="T85" s="288"/>
      <c r="U85" s="288">
        <f>U84-FARegister!AA60-FARegister!AA149</f>
        <v>0</v>
      </c>
      <c r="V85" s="288"/>
      <c r="W85" s="288"/>
    </row>
    <row r="86" spans="2:25" x14ac:dyDescent="0.2">
      <c r="B86" s="203" t="s">
        <v>188</v>
      </c>
      <c r="I86" s="276"/>
      <c r="J86" s="276"/>
    </row>
    <row r="87" spans="2:25" x14ac:dyDescent="0.2">
      <c r="B87" s="204"/>
      <c r="I87" s="22"/>
      <c r="J87" s="22"/>
      <c r="K87" s="22"/>
      <c r="L87" s="22"/>
      <c r="M87" s="22"/>
      <c r="N87" s="22"/>
      <c r="O87" s="22" t="s">
        <v>175</v>
      </c>
      <c r="P87" s="22"/>
      <c r="Q87" s="295" t="s">
        <v>811</v>
      </c>
      <c r="R87" s="296" t="s">
        <v>818</v>
      </c>
      <c r="S87" s="297" t="s">
        <v>812</v>
      </c>
      <c r="T87" s="22"/>
      <c r="U87" s="22"/>
      <c r="V87" s="22"/>
      <c r="W87" s="22"/>
    </row>
    <row r="88" spans="2:25" x14ac:dyDescent="0.2">
      <c r="B88" s="205" t="s">
        <v>26</v>
      </c>
      <c r="C88" s="69" t="s">
        <v>261</v>
      </c>
      <c r="D88" s="69"/>
      <c r="E88" s="109"/>
      <c r="F88" s="110"/>
      <c r="G88" s="109"/>
      <c r="H88" s="109"/>
      <c r="I88" s="24" t="s">
        <v>416</v>
      </c>
      <c r="J88" s="24" t="s">
        <v>821</v>
      </c>
      <c r="K88" s="24" t="s">
        <v>648</v>
      </c>
      <c r="L88" s="24" t="s">
        <v>301</v>
      </c>
      <c r="M88" s="24" t="s">
        <v>455</v>
      </c>
      <c r="N88" s="24" t="s">
        <v>650</v>
      </c>
      <c r="O88" s="24" t="s">
        <v>822</v>
      </c>
      <c r="P88" s="24" t="s">
        <v>810</v>
      </c>
      <c r="Q88" s="282" t="s">
        <v>813</v>
      </c>
      <c r="R88" s="24" t="s">
        <v>819</v>
      </c>
      <c r="S88" s="283" t="s">
        <v>814</v>
      </c>
      <c r="T88" s="24" t="s">
        <v>817</v>
      </c>
      <c r="U88" s="24" t="s">
        <v>416</v>
      </c>
      <c r="V88" s="24" t="s">
        <v>816</v>
      </c>
      <c r="W88" s="24" t="s">
        <v>648</v>
      </c>
      <c r="Y88" s="65"/>
    </row>
    <row r="90" spans="2:25" x14ac:dyDescent="0.2">
      <c r="B90" s="92"/>
      <c r="C90" s="289" t="s">
        <v>824</v>
      </c>
      <c r="D90" s="1"/>
      <c r="E90" s="1"/>
      <c r="F90" s="1"/>
      <c r="G90" s="1"/>
      <c r="H90" s="18"/>
      <c r="I90" s="290">
        <f>FARegister!I192</f>
        <v>0</v>
      </c>
      <c r="J90" s="290">
        <f>FARegister!J192</f>
        <v>0</v>
      </c>
      <c r="K90" s="289">
        <f>+I90-J90</f>
        <v>0</v>
      </c>
      <c r="L90" s="290">
        <f>FARegister!L192</f>
        <v>0</v>
      </c>
      <c r="M90" s="290">
        <v>12</v>
      </c>
      <c r="N90" s="290">
        <f>FARegister!Q192</f>
        <v>0</v>
      </c>
      <c r="O90" s="290">
        <f>FARegister!R192</f>
        <v>0</v>
      </c>
      <c r="P90" s="290">
        <f>FARegister!S192</f>
        <v>0</v>
      </c>
      <c r="Q90" s="290">
        <f>FARegister!V192</f>
        <v>0</v>
      </c>
      <c r="R90" s="290">
        <f>FARegister!W192</f>
        <v>0</v>
      </c>
      <c r="S90" s="290">
        <f>FARegister!X192</f>
        <v>0</v>
      </c>
      <c r="T90" s="290">
        <f>FARegister!Z192</f>
        <v>0</v>
      </c>
      <c r="U90" s="289">
        <f t="shared" ref="U90:U125" si="22">I90+L90-N90</f>
        <v>0</v>
      </c>
      <c r="V90" s="289">
        <f t="shared" ref="V90:V125" si="23">J90+T90-O90</f>
        <v>0</v>
      </c>
      <c r="W90" s="289">
        <f t="shared" ref="W90" si="24">+U90-V90</f>
        <v>0</v>
      </c>
    </row>
    <row r="91" spans="2:25" x14ac:dyDescent="0.2">
      <c r="B91" s="208"/>
      <c r="C91" s="198"/>
      <c r="D91" s="198"/>
      <c r="E91" s="198"/>
      <c r="F91" s="198"/>
      <c r="G91" s="198"/>
      <c r="H91" s="18"/>
      <c r="I91" s="103"/>
      <c r="K91" s="44">
        <f>+I91-J91</f>
        <v>0</v>
      </c>
      <c r="L91" s="103"/>
      <c r="M91" s="103">
        <v>12</v>
      </c>
      <c r="N91" s="103"/>
      <c r="O91" s="103"/>
      <c r="T91" s="197"/>
      <c r="U91" s="44">
        <f t="shared" si="22"/>
        <v>0</v>
      </c>
      <c r="V91" s="44">
        <f t="shared" si="23"/>
        <v>0</v>
      </c>
      <c r="W91" s="44">
        <f t="shared" ref="W91:W125" si="25">+U91-V91</f>
        <v>0</v>
      </c>
    </row>
    <row r="92" spans="2:25" x14ac:dyDescent="0.2">
      <c r="B92" s="208"/>
      <c r="C92" s="198"/>
      <c r="D92" s="198"/>
      <c r="E92" s="198"/>
      <c r="F92" s="198"/>
      <c r="G92" s="198"/>
      <c r="H92" s="18"/>
      <c r="I92" s="103"/>
      <c r="K92" s="44">
        <f>+I92-J92</f>
        <v>0</v>
      </c>
      <c r="L92" s="103"/>
      <c r="M92" s="103">
        <v>12</v>
      </c>
      <c r="N92" s="103"/>
      <c r="O92" s="103"/>
      <c r="T92" s="197"/>
      <c r="U92" s="44">
        <f t="shared" si="22"/>
        <v>0</v>
      </c>
      <c r="V92" s="44">
        <f t="shared" si="23"/>
        <v>0</v>
      </c>
      <c r="W92" s="44">
        <f t="shared" si="25"/>
        <v>0</v>
      </c>
    </row>
    <row r="93" spans="2:25" x14ac:dyDescent="0.2">
      <c r="B93" s="92"/>
      <c r="C93" s="1"/>
      <c r="D93" s="1"/>
      <c r="E93" s="1"/>
      <c r="F93" s="1"/>
      <c r="G93" s="1"/>
      <c r="K93" s="44">
        <f t="shared" ref="K93:K125" si="26">+I93-J93</f>
        <v>0</v>
      </c>
      <c r="M93" s="103">
        <v>12</v>
      </c>
      <c r="N93" s="103"/>
      <c r="O93" s="103"/>
      <c r="T93" s="197"/>
      <c r="U93" s="44">
        <f t="shared" si="22"/>
        <v>0</v>
      </c>
      <c r="V93" s="44">
        <f t="shared" si="23"/>
        <v>0</v>
      </c>
      <c r="W93" s="44">
        <f t="shared" si="25"/>
        <v>0</v>
      </c>
    </row>
    <row r="94" spans="2:25" x14ac:dyDescent="0.2">
      <c r="B94" s="57"/>
      <c r="C94" s="1"/>
      <c r="D94" s="1"/>
      <c r="E94" s="1"/>
      <c r="F94" s="1"/>
      <c r="G94" s="1"/>
      <c r="K94" s="44">
        <f t="shared" si="26"/>
        <v>0</v>
      </c>
      <c r="M94" s="103">
        <v>12</v>
      </c>
      <c r="N94" s="103"/>
      <c r="O94" s="103"/>
      <c r="T94" s="197"/>
      <c r="U94" s="44">
        <f t="shared" si="22"/>
        <v>0</v>
      </c>
      <c r="V94" s="44">
        <f t="shared" si="23"/>
        <v>0</v>
      </c>
      <c r="W94" s="44">
        <f t="shared" si="25"/>
        <v>0</v>
      </c>
    </row>
    <row r="95" spans="2:25" x14ac:dyDescent="0.2">
      <c r="B95" s="92"/>
      <c r="C95" s="1"/>
      <c r="D95" s="1"/>
      <c r="E95" s="1"/>
      <c r="F95" s="1"/>
      <c r="G95" s="1"/>
      <c r="K95" s="44">
        <f t="shared" si="26"/>
        <v>0</v>
      </c>
      <c r="M95" s="103">
        <v>12</v>
      </c>
      <c r="N95" s="103"/>
      <c r="O95" s="103"/>
      <c r="T95" s="197"/>
      <c r="U95" s="44">
        <f t="shared" si="22"/>
        <v>0</v>
      </c>
      <c r="V95" s="44">
        <f t="shared" si="23"/>
        <v>0</v>
      </c>
      <c r="W95" s="44">
        <f t="shared" si="25"/>
        <v>0</v>
      </c>
    </row>
    <row r="96" spans="2:25" x14ac:dyDescent="0.2">
      <c r="B96" s="92"/>
      <c r="C96" s="1"/>
      <c r="D96" s="1"/>
      <c r="E96" s="1"/>
      <c r="F96" s="1"/>
      <c r="G96" s="1"/>
      <c r="K96" s="44">
        <f t="shared" si="26"/>
        <v>0</v>
      </c>
      <c r="M96" s="103">
        <v>12</v>
      </c>
      <c r="N96" s="103"/>
      <c r="O96" s="103"/>
      <c r="T96" s="197"/>
      <c r="U96" s="44">
        <f t="shared" si="22"/>
        <v>0</v>
      </c>
      <c r="V96" s="44">
        <f t="shared" si="23"/>
        <v>0</v>
      </c>
      <c r="W96" s="44">
        <f t="shared" si="25"/>
        <v>0</v>
      </c>
    </row>
    <row r="97" spans="2:23" x14ac:dyDescent="0.2">
      <c r="B97" s="92"/>
      <c r="C97" s="1"/>
      <c r="D97" s="1"/>
      <c r="E97" s="1"/>
      <c r="F97" s="1"/>
      <c r="G97" s="1"/>
      <c r="K97" s="44">
        <f t="shared" si="26"/>
        <v>0</v>
      </c>
      <c r="M97" s="103">
        <v>12</v>
      </c>
      <c r="N97" s="103"/>
      <c r="O97" s="103"/>
      <c r="T97" s="197"/>
      <c r="U97" s="44">
        <f t="shared" si="22"/>
        <v>0</v>
      </c>
      <c r="V97" s="44">
        <f t="shared" si="23"/>
        <v>0</v>
      </c>
      <c r="W97" s="44">
        <f t="shared" si="25"/>
        <v>0</v>
      </c>
    </row>
    <row r="98" spans="2:23" x14ac:dyDescent="0.2">
      <c r="B98" s="206"/>
      <c r="K98" s="44">
        <f t="shared" si="26"/>
        <v>0</v>
      </c>
      <c r="M98" s="103">
        <v>12</v>
      </c>
      <c r="N98" s="103"/>
      <c r="O98" s="103"/>
      <c r="T98" s="197"/>
      <c r="U98" s="44">
        <f t="shared" si="22"/>
        <v>0</v>
      </c>
      <c r="V98" s="44">
        <f t="shared" si="23"/>
        <v>0</v>
      </c>
      <c r="W98" s="44">
        <f t="shared" si="25"/>
        <v>0</v>
      </c>
    </row>
    <row r="99" spans="2:23" x14ac:dyDescent="0.2">
      <c r="B99" s="206"/>
      <c r="K99" s="44">
        <f t="shared" si="26"/>
        <v>0</v>
      </c>
      <c r="M99" s="103">
        <v>12</v>
      </c>
      <c r="N99" s="103"/>
      <c r="O99" s="103"/>
      <c r="T99" s="197"/>
      <c r="U99" s="44">
        <f t="shared" si="22"/>
        <v>0</v>
      </c>
      <c r="V99" s="44">
        <f t="shared" si="23"/>
        <v>0</v>
      </c>
      <c r="W99" s="44">
        <f t="shared" si="25"/>
        <v>0</v>
      </c>
    </row>
    <row r="100" spans="2:23" x14ac:dyDescent="0.2">
      <c r="B100" s="206"/>
      <c r="K100" s="44">
        <f t="shared" si="26"/>
        <v>0</v>
      </c>
      <c r="M100" s="103">
        <v>12</v>
      </c>
      <c r="N100" s="103"/>
      <c r="O100" s="103"/>
      <c r="T100" s="197"/>
      <c r="U100" s="44">
        <f t="shared" si="22"/>
        <v>0</v>
      </c>
      <c r="V100" s="44">
        <f t="shared" si="23"/>
        <v>0</v>
      </c>
      <c r="W100" s="44">
        <f t="shared" si="25"/>
        <v>0</v>
      </c>
    </row>
    <row r="101" spans="2:23" x14ac:dyDescent="0.2">
      <c r="B101" s="206"/>
      <c r="K101" s="44">
        <f t="shared" si="26"/>
        <v>0</v>
      </c>
      <c r="M101" s="103">
        <v>12</v>
      </c>
      <c r="N101" s="103"/>
      <c r="O101" s="103"/>
      <c r="T101" s="197"/>
      <c r="U101" s="44">
        <f t="shared" si="22"/>
        <v>0</v>
      </c>
      <c r="V101" s="44">
        <f t="shared" si="23"/>
        <v>0</v>
      </c>
      <c r="W101" s="44">
        <f t="shared" si="25"/>
        <v>0</v>
      </c>
    </row>
    <row r="102" spans="2:23" x14ac:dyDescent="0.2">
      <c r="B102" s="206"/>
      <c r="K102" s="44">
        <f t="shared" si="26"/>
        <v>0</v>
      </c>
      <c r="M102" s="103">
        <v>12</v>
      </c>
      <c r="N102" s="103"/>
      <c r="O102" s="103"/>
      <c r="T102" s="197"/>
      <c r="U102" s="44">
        <f t="shared" si="22"/>
        <v>0</v>
      </c>
      <c r="V102" s="44">
        <f t="shared" si="23"/>
        <v>0</v>
      </c>
      <c r="W102" s="44">
        <f t="shared" si="25"/>
        <v>0</v>
      </c>
    </row>
    <row r="103" spans="2:23" x14ac:dyDescent="0.2">
      <c r="B103" s="206"/>
      <c r="K103" s="44">
        <f t="shared" si="26"/>
        <v>0</v>
      </c>
      <c r="M103" s="103">
        <v>12</v>
      </c>
      <c r="N103" s="103"/>
      <c r="O103" s="103"/>
      <c r="T103" s="197"/>
      <c r="U103" s="44">
        <f t="shared" si="22"/>
        <v>0</v>
      </c>
      <c r="V103" s="44">
        <f t="shared" si="23"/>
        <v>0</v>
      </c>
      <c r="W103" s="44">
        <f t="shared" si="25"/>
        <v>0</v>
      </c>
    </row>
    <row r="104" spans="2:23" x14ac:dyDescent="0.2">
      <c r="B104" s="206"/>
      <c r="K104" s="44">
        <f t="shared" si="26"/>
        <v>0</v>
      </c>
      <c r="M104" s="103">
        <v>12</v>
      </c>
      <c r="N104" s="103"/>
      <c r="O104" s="103"/>
      <c r="T104" s="197"/>
      <c r="U104" s="44">
        <f t="shared" si="22"/>
        <v>0</v>
      </c>
      <c r="V104" s="44">
        <f t="shared" si="23"/>
        <v>0</v>
      </c>
      <c r="W104" s="44">
        <f t="shared" si="25"/>
        <v>0</v>
      </c>
    </row>
    <row r="105" spans="2:23" x14ac:dyDescent="0.2">
      <c r="B105" s="206"/>
      <c r="K105" s="44">
        <f t="shared" si="26"/>
        <v>0</v>
      </c>
      <c r="M105" s="103">
        <v>12</v>
      </c>
      <c r="N105" s="103"/>
      <c r="O105" s="103"/>
      <c r="T105" s="197"/>
      <c r="U105" s="44">
        <f t="shared" si="22"/>
        <v>0</v>
      </c>
      <c r="V105" s="44">
        <f t="shared" si="23"/>
        <v>0</v>
      </c>
      <c r="W105" s="44">
        <f t="shared" si="25"/>
        <v>0</v>
      </c>
    </row>
    <row r="106" spans="2:23" x14ac:dyDescent="0.2">
      <c r="B106" s="206"/>
      <c r="K106" s="44">
        <f t="shared" si="26"/>
        <v>0</v>
      </c>
      <c r="M106" s="103">
        <v>12</v>
      </c>
      <c r="N106" s="103"/>
      <c r="O106" s="103"/>
      <c r="T106" s="197"/>
      <c r="U106" s="44">
        <f t="shared" si="22"/>
        <v>0</v>
      </c>
      <c r="V106" s="44">
        <f t="shared" si="23"/>
        <v>0</v>
      </c>
      <c r="W106" s="44">
        <f t="shared" si="25"/>
        <v>0</v>
      </c>
    </row>
    <row r="107" spans="2:23" x14ac:dyDescent="0.2">
      <c r="B107" s="206"/>
      <c r="K107" s="44">
        <f t="shared" si="26"/>
        <v>0</v>
      </c>
      <c r="M107" s="103">
        <v>12</v>
      </c>
      <c r="N107" s="103"/>
      <c r="O107" s="103"/>
      <c r="T107" s="197"/>
      <c r="U107" s="44">
        <f t="shared" si="22"/>
        <v>0</v>
      </c>
      <c r="V107" s="44">
        <f t="shared" si="23"/>
        <v>0</v>
      </c>
      <c r="W107" s="44">
        <f t="shared" si="25"/>
        <v>0</v>
      </c>
    </row>
    <row r="108" spans="2:23" x14ac:dyDescent="0.2">
      <c r="B108" s="206"/>
      <c r="K108" s="44">
        <f t="shared" si="26"/>
        <v>0</v>
      </c>
      <c r="M108" s="103">
        <v>12</v>
      </c>
      <c r="N108" s="103"/>
      <c r="O108" s="103"/>
      <c r="T108" s="197"/>
      <c r="U108" s="44">
        <f t="shared" si="22"/>
        <v>0</v>
      </c>
      <c r="V108" s="44">
        <f t="shared" si="23"/>
        <v>0</v>
      </c>
      <c r="W108" s="44">
        <f t="shared" si="25"/>
        <v>0</v>
      </c>
    </row>
    <row r="109" spans="2:23" x14ac:dyDescent="0.2">
      <c r="B109" s="206"/>
      <c r="K109" s="44">
        <f t="shared" si="26"/>
        <v>0</v>
      </c>
      <c r="M109" s="103">
        <v>12</v>
      </c>
      <c r="N109" s="103"/>
      <c r="O109" s="103"/>
      <c r="T109" s="197"/>
      <c r="U109" s="44">
        <f t="shared" si="22"/>
        <v>0</v>
      </c>
      <c r="V109" s="44">
        <f t="shared" si="23"/>
        <v>0</v>
      </c>
      <c r="W109" s="44">
        <f t="shared" si="25"/>
        <v>0</v>
      </c>
    </row>
    <row r="110" spans="2:23" x14ac:dyDescent="0.2">
      <c r="B110" s="206"/>
      <c r="K110" s="44">
        <f t="shared" si="26"/>
        <v>0</v>
      </c>
      <c r="M110" s="103">
        <v>12</v>
      </c>
      <c r="N110" s="103"/>
      <c r="O110" s="103"/>
      <c r="T110" s="197"/>
      <c r="U110" s="44">
        <f t="shared" si="22"/>
        <v>0</v>
      </c>
      <c r="V110" s="44">
        <f t="shared" si="23"/>
        <v>0</v>
      </c>
      <c r="W110" s="44">
        <f t="shared" si="25"/>
        <v>0</v>
      </c>
    </row>
    <row r="111" spans="2:23" x14ac:dyDescent="0.2">
      <c r="B111" s="206"/>
      <c r="K111" s="44">
        <f t="shared" si="26"/>
        <v>0</v>
      </c>
      <c r="M111" s="103">
        <v>12</v>
      </c>
      <c r="N111" s="103"/>
      <c r="O111" s="103"/>
      <c r="T111" s="197"/>
      <c r="U111" s="44">
        <f t="shared" si="22"/>
        <v>0</v>
      </c>
      <c r="V111" s="44">
        <f t="shared" si="23"/>
        <v>0</v>
      </c>
      <c r="W111" s="44">
        <f t="shared" si="25"/>
        <v>0</v>
      </c>
    </row>
    <row r="112" spans="2:23" x14ac:dyDescent="0.2">
      <c r="B112" s="206"/>
      <c r="K112" s="44">
        <f t="shared" si="26"/>
        <v>0</v>
      </c>
      <c r="M112" s="103">
        <v>12</v>
      </c>
      <c r="N112" s="103"/>
      <c r="O112" s="103"/>
      <c r="T112" s="197"/>
      <c r="U112" s="44">
        <f t="shared" si="22"/>
        <v>0</v>
      </c>
      <c r="V112" s="44">
        <f t="shared" si="23"/>
        <v>0</v>
      </c>
      <c r="W112" s="44">
        <f t="shared" si="25"/>
        <v>0</v>
      </c>
    </row>
    <row r="113" spans="2:23" x14ac:dyDescent="0.2">
      <c r="B113" s="206"/>
      <c r="K113" s="44">
        <f t="shared" si="26"/>
        <v>0</v>
      </c>
      <c r="M113" s="103">
        <v>12</v>
      </c>
      <c r="N113" s="103"/>
      <c r="O113" s="103"/>
      <c r="T113" s="197"/>
      <c r="U113" s="44">
        <f t="shared" si="22"/>
        <v>0</v>
      </c>
      <c r="V113" s="44">
        <f t="shared" si="23"/>
        <v>0</v>
      </c>
      <c r="W113" s="44">
        <f t="shared" si="25"/>
        <v>0</v>
      </c>
    </row>
    <row r="114" spans="2:23" x14ac:dyDescent="0.2">
      <c r="B114" s="206"/>
      <c r="K114" s="44">
        <f t="shared" si="26"/>
        <v>0</v>
      </c>
      <c r="M114" s="103">
        <v>12</v>
      </c>
      <c r="N114" s="103"/>
      <c r="O114" s="103"/>
      <c r="T114" s="197"/>
      <c r="U114" s="44">
        <f t="shared" si="22"/>
        <v>0</v>
      </c>
      <c r="V114" s="44">
        <f t="shared" si="23"/>
        <v>0</v>
      </c>
      <c r="W114" s="44">
        <f t="shared" si="25"/>
        <v>0</v>
      </c>
    </row>
    <row r="115" spans="2:23" x14ac:dyDescent="0.2">
      <c r="B115" s="206"/>
      <c r="K115" s="44">
        <f t="shared" si="26"/>
        <v>0</v>
      </c>
      <c r="M115" s="103">
        <v>12</v>
      </c>
      <c r="N115" s="103"/>
      <c r="O115" s="103"/>
      <c r="T115" s="197"/>
      <c r="U115" s="44">
        <f t="shared" si="22"/>
        <v>0</v>
      </c>
      <c r="V115" s="44">
        <f t="shared" si="23"/>
        <v>0</v>
      </c>
      <c r="W115" s="44">
        <f t="shared" si="25"/>
        <v>0</v>
      </c>
    </row>
    <row r="116" spans="2:23" x14ac:dyDescent="0.2">
      <c r="B116" s="206"/>
      <c r="K116" s="44">
        <f t="shared" si="26"/>
        <v>0</v>
      </c>
      <c r="M116" s="103">
        <v>12</v>
      </c>
      <c r="N116" s="103"/>
      <c r="O116" s="103"/>
      <c r="T116" s="197"/>
      <c r="U116" s="44">
        <f t="shared" si="22"/>
        <v>0</v>
      </c>
      <c r="V116" s="44">
        <f t="shared" si="23"/>
        <v>0</v>
      </c>
      <c r="W116" s="44">
        <f t="shared" si="25"/>
        <v>0</v>
      </c>
    </row>
    <row r="117" spans="2:23" x14ac:dyDescent="0.2">
      <c r="B117" s="206"/>
      <c r="K117" s="44">
        <f t="shared" si="26"/>
        <v>0</v>
      </c>
      <c r="M117" s="103">
        <v>12</v>
      </c>
      <c r="N117" s="103"/>
      <c r="O117" s="103"/>
      <c r="T117" s="197"/>
      <c r="U117" s="44">
        <f t="shared" si="22"/>
        <v>0</v>
      </c>
      <c r="V117" s="44">
        <f t="shared" si="23"/>
        <v>0</v>
      </c>
      <c r="W117" s="44">
        <f t="shared" si="25"/>
        <v>0</v>
      </c>
    </row>
    <row r="118" spans="2:23" x14ac:dyDescent="0.2">
      <c r="B118" s="206"/>
      <c r="K118" s="44">
        <f t="shared" si="26"/>
        <v>0</v>
      </c>
      <c r="M118" s="103">
        <v>12</v>
      </c>
      <c r="N118" s="103"/>
      <c r="O118" s="103"/>
      <c r="T118" s="197"/>
      <c r="U118" s="44">
        <f t="shared" si="22"/>
        <v>0</v>
      </c>
      <c r="V118" s="44">
        <f t="shared" si="23"/>
        <v>0</v>
      </c>
      <c r="W118" s="44">
        <f t="shared" si="25"/>
        <v>0</v>
      </c>
    </row>
    <row r="119" spans="2:23" x14ac:dyDescent="0.2">
      <c r="B119" s="206"/>
      <c r="K119" s="44">
        <f t="shared" si="26"/>
        <v>0</v>
      </c>
      <c r="M119" s="103">
        <v>12</v>
      </c>
      <c r="N119" s="103"/>
      <c r="O119" s="103"/>
      <c r="T119" s="197"/>
      <c r="U119" s="44">
        <f t="shared" si="22"/>
        <v>0</v>
      </c>
      <c r="V119" s="44">
        <f t="shared" si="23"/>
        <v>0</v>
      </c>
      <c r="W119" s="44">
        <f t="shared" si="25"/>
        <v>0</v>
      </c>
    </row>
    <row r="120" spans="2:23" x14ac:dyDescent="0.2">
      <c r="B120" s="206"/>
      <c r="K120" s="44">
        <f t="shared" si="26"/>
        <v>0</v>
      </c>
      <c r="M120" s="103">
        <v>12</v>
      </c>
      <c r="N120" s="103"/>
      <c r="O120" s="103"/>
      <c r="T120" s="197"/>
      <c r="U120" s="44">
        <f t="shared" si="22"/>
        <v>0</v>
      </c>
      <c r="V120" s="44">
        <f t="shared" si="23"/>
        <v>0</v>
      </c>
      <c r="W120" s="44">
        <f t="shared" si="25"/>
        <v>0</v>
      </c>
    </row>
    <row r="121" spans="2:23" x14ac:dyDescent="0.2">
      <c r="B121" s="206"/>
      <c r="K121" s="44">
        <f t="shared" si="26"/>
        <v>0</v>
      </c>
      <c r="M121" s="103">
        <v>12</v>
      </c>
      <c r="N121" s="103"/>
      <c r="O121" s="103"/>
      <c r="T121" s="197"/>
      <c r="U121" s="44">
        <f t="shared" si="22"/>
        <v>0</v>
      </c>
      <c r="V121" s="44">
        <f t="shared" si="23"/>
        <v>0</v>
      </c>
      <c r="W121" s="44">
        <f t="shared" si="25"/>
        <v>0</v>
      </c>
    </row>
    <row r="122" spans="2:23" x14ac:dyDescent="0.2">
      <c r="B122" s="206"/>
      <c r="K122" s="44">
        <f t="shared" si="26"/>
        <v>0</v>
      </c>
      <c r="M122" s="103">
        <v>12</v>
      </c>
      <c r="N122" s="103"/>
      <c r="O122" s="103"/>
      <c r="T122" s="197"/>
      <c r="U122" s="44">
        <f t="shared" si="22"/>
        <v>0</v>
      </c>
      <c r="V122" s="44">
        <f t="shared" si="23"/>
        <v>0</v>
      </c>
      <c r="W122" s="44">
        <f t="shared" si="25"/>
        <v>0</v>
      </c>
    </row>
    <row r="123" spans="2:23" x14ac:dyDescent="0.2">
      <c r="B123" s="206"/>
      <c r="K123" s="44">
        <f t="shared" si="26"/>
        <v>0</v>
      </c>
      <c r="M123" s="103">
        <v>12</v>
      </c>
      <c r="N123" s="103"/>
      <c r="O123" s="103"/>
      <c r="T123" s="197"/>
      <c r="U123" s="44">
        <f t="shared" si="22"/>
        <v>0</v>
      </c>
      <c r="V123" s="44">
        <f t="shared" si="23"/>
        <v>0</v>
      </c>
      <c r="W123" s="44">
        <f t="shared" si="25"/>
        <v>0</v>
      </c>
    </row>
    <row r="124" spans="2:23" x14ac:dyDescent="0.2">
      <c r="B124" s="206"/>
      <c r="K124" s="44">
        <f t="shared" si="26"/>
        <v>0</v>
      </c>
      <c r="M124" s="103">
        <v>12</v>
      </c>
      <c r="N124" s="103"/>
      <c r="O124" s="103"/>
      <c r="T124" s="197"/>
      <c r="U124" s="44">
        <f t="shared" si="22"/>
        <v>0</v>
      </c>
      <c r="V124" s="44">
        <f t="shared" si="23"/>
        <v>0</v>
      </c>
      <c r="W124" s="44">
        <f t="shared" si="25"/>
        <v>0</v>
      </c>
    </row>
    <row r="125" spans="2:23" x14ac:dyDescent="0.2">
      <c r="B125" s="206"/>
      <c r="K125" s="44">
        <f t="shared" si="26"/>
        <v>0</v>
      </c>
      <c r="M125" s="103">
        <v>12</v>
      </c>
      <c r="N125" s="103"/>
      <c r="O125" s="103"/>
      <c r="T125" s="197"/>
      <c r="U125" s="44">
        <f t="shared" si="22"/>
        <v>0</v>
      </c>
      <c r="V125" s="44">
        <f t="shared" si="23"/>
        <v>0</v>
      </c>
      <c r="W125" s="44">
        <f t="shared" si="25"/>
        <v>0</v>
      </c>
    </row>
    <row r="127" spans="2:23" ht="13.5" thickBot="1" x14ac:dyDescent="0.25">
      <c r="C127" s="44" t="s">
        <v>383</v>
      </c>
      <c r="I127" s="52">
        <f>SUM(I89:I126)</f>
        <v>0</v>
      </c>
      <c r="J127" s="52">
        <f>SUM(J89:J126)</f>
        <v>0</v>
      </c>
      <c r="K127" s="52">
        <f>SUM(K89:K126)</f>
        <v>0</v>
      </c>
      <c r="L127" s="52">
        <f>SUM(L89:L126)</f>
        <v>0</v>
      </c>
      <c r="M127" s="52"/>
      <c r="N127" s="52">
        <f t="shared" ref="N127:W127" si="27">SUM(N89:N126)</f>
        <v>0</v>
      </c>
      <c r="O127" s="52">
        <f t="shared" si="27"/>
        <v>0</v>
      </c>
      <c r="P127" s="52">
        <f t="shared" si="27"/>
        <v>0</v>
      </c>
      <c r="Q127" s="52">
        <f t="shared" si="27"/>
        <v>0</v>
      </c>
      <c r="R127" s="52">
        <f t="shared" si="27"/>
        <v>0</v>
      </c>
      <c r="S127" s="52">
        <f t="shared" si="27"/>
        <v>0</v>
      </c>
      <c r="T127" s="52">
        <f t="shared" si="27"/>
        <v>0</v>
      </c>
      <c r="U127" s="52">
        <f t="shared" si="27"/>
        <v>0</v>
      </c>
      <c r="V127" s="52">
        <f t="shared" si="27"/>
        <v>0</v>
      </c>
      <c r="W127" s="52">
        <f t="shared" si="27"/>
        <v>0</v>
      </c>
    </row>
    <row r="128" spans="2:23" ht="13.5" thickTop="1" x14ac:dyDescent="0.2">
      <c r="G128" s="44" t="s">
        <v>823</v>
      </c>
      <c r="I128" s="44">
        <f>I127-FARegister!I192</f>
        <v>0</v>
      </c>
      <c r="L128" s="44">
        <f>L127-FARegister!L192</f>
        <v>0</v>
      </c>
      <c r="N128" s="44">
        <f>N127-FARegister!Q192</f>
        <v>0</v>
      </c>
      <c r="P128" s="44">
        <f>P127-FARegister!S192</f>
        <v>0</v>
      </c>
      <c r="U128" s="44">
        <f>U127-FARegister!AA192</f>
        <v>0</v>
      </c>
    </row>
    <row r="130" spans="2:23" x14ac:dyDescent="0.2">
      <c r="B130" s="203" t="s">
        <v>384</v>
      </c>
      <c r="I130" s="276"/>
      <c r="J130" s="276"/>
    </row>
    <row r="131" spans="2:23" x14ac:dyDescent="0.2">
      <c r="B131" s="204"/>
      <c r="I131" s="22"/>
      <c r="J131" s="22"/>
      <c r="K131" s="22"/>
      <c r="L131" s="22"/>
      <c r="M131" s="22"/>
      <c r="N131" s="22"/>
      <c r="O131" s="22" t="s">
        <v>175</v>
      </c>
      <c r="P131" s="22"/>
      <c r="Q131" s="295" t="s">
        <v>811</v>
      </c>
      <c r="R131" s="296" t="s">
        <v>818</v>
      </c>
      <c r="S131" s="297" t="s">
        <v>812</v>
      </c>
      <c r="T131" s="22"/>
      <c r="U131" s="22"/>
      <c r="V131" s="22"/>
      <c r="W131" s="22"/>
    </row>
    <row r="132" spans="2:23" x14ac:dyDescent="0.2">
      <c r="B132" s="205" t="s">
        <v>26</v>
      </c>
      <c r="C132" s="69" t="s">
        <v>261</v>
      </c>
      <c r="D132" s="69"/>
      <c r="E132" s="109"/>
      <c r="F132" s="110"/>
      <c r="G132" s="109"/>
      <c r="H132" s="109"/>
      <c r="I132" s="24" t="s">
        <v>416</v>
      </c>
      <c r="J132" s="24" t="s">
        <v>821</v>
      </c>
      <c r="K132" s="24" t="s">
        <v>648</v>
      </c>
      <c r="L132" s="24" t="s">
        <v>301</v>
      </c>
      <c r="M132" s="24" t="s">
        <v>455</v>
      </c>
      <c r="N132" s="24" t="s">
        <v>650</v>
      </c>
      <c r="O132" s="24" t="s">
        <v>822</v>
      </c>
      <c r="P132" s="24" t="s">
        <v>810</v>
      </c>
      <c r="Q132" s="282" t="s">
        <v>813</v>
      </c>
      <c r="R132" s="24" t="s">
        <v>819</v>
      </c>
      <c r="S132" s="283" t="s">
        <v>814</v>
      </c>
      <c r="T132" s="24" t="s">
        <v>817</v>
      </c>
      <c r="U132" s="24" t="s">
        <v>416</v>
      </c>
      <c r="V132" s="24" t="s">
        <v>816</v>
      </c>
      <c r="W132" s="24" t="s">
        <v>648</v>
      </c>
    </row>
    <row r="134" spans="2:23" x14ac:dyDescent="0.2">
      <c r="B134" s="209"/>
      <c r="C134" s="289" t="s">
        <v>824</v>
      </c>
      <c r="D134" s="198"/>
      <c r="E134" s="198"/>
      <c r="F134" s="198"/>
      <c r="G134" s="198"/>
      <c r="H134" s="1"/>
      <c r="I134" s="291">
        <f>FARegister!I226</f>
        <v>0</v>
      </c>
      <c r="J134" s="291">
        <f>FARegister!J226</f>
        <v>0</v>
      </c>
      <c r="K134" s="289">
        <f>+I134-J134</f>
        <v>0</v>
      </c>
      <c r="L134" s="291">
        <f>FARegister!L226</f>
        <v>0</v>
      </c>
      <c r="M134" s="290">
        <v>12</v>
      </c>
      <c r="N134" s="291">
        <f>FARegister!Q226</f>
        <v>0</v>
      </c>
      <c r="O134" s="291">
        <f>FARegister!R226</f>
        <v>0</v>
      </c>
      <c r="P134" s="291">
        <f>FARegister!S226</f>
        <v>0</v>
      </c>
      <c r="Q134" s="291">
        <f>FARegister!V226</f>
        <v>0</v>
      </c>
      <c r="R134" s="291">
        <f>FARegister!W226</f>
        <v>0</v>
      </c>
      <c r="S134" s="291">
        <f>FARegister!X226</f>
        <v>0</v>
      </c>
      <c r="T134" s="291">
        <f>FARegister!Z226</f>
        <v>0</v>
      </c>
      <c r="U134" s="289">
        <f t="shared" ref="U134:U159" si="28">I134+L134-N134</f>
        <v>0</v>
      </c>
      <c r="V134" s="289">
        <f t="shared" ref="V134:V159" si="29">J134+T134-O134</f>
        <v>0</v>
      </c>
      <c r="W134" s="289">
        <f>+U134-V134</f>
        <v>0</v>
      </c>
    </row>
    <row r="135" spans="2:23" x14ac:dyDescent="0.2">
      <c r="B135" s="57"/>
      <c r="C135" s="1"/>
      <c r="D135" s="1"/>
      <c r="E135" s="1"/>
      <c r="F135" s="1"/>
      <c r="G135" s="1"/>
      <c r="H135" s="1"/>
      <c r="I135" s="73"/>
      <c r="K135" s="44">
        <f>+I135-J135</f>
        <v>0</v>
      </c>
      <c r="M135" s="103">
        <v>12</v>
      </c>
      <c r="N135" s="103"/>
      <c r="O135" s="103"/>
      <c r="T135" s="197"/>
      <c r="U135" s="44">
        <f t="shared" si="28"/>
        <v>0</v>
      </c>
      <c r="V135" s="44">
        <f t="shared" si="29"/>
        <v>0</v>
      </c>
      <c r="W135" s="44">
        <f t="shared" ref="W135:W159" si="30">+U135-V135</f>
        <v>0</v>
      </c>
    </row>
    <row r="136" spans="2:23" x14ac:dyDescent="0.2">
      <c r="B136" s="57"/>
      <c r="C136" s="1"/>
      <c r="D136" s="1"/>
      <c r="E136" s="1"/>
      <c r="F136" s="1"/>
      <c r="G136" s="1"/>
      <c r="H136" s="1"/>
      <c r="I136" s="73"/>
      <c r="K136" s="44">
        <f>+I136-J136</f>
        <v>0</v>
      </c>
      <c r="M136" s="103">
        <v>12</v>
      </c>
      <c r="N136" s="103"/>
      <c r="O136" s="103"/>
      <c r="T136" s="197"/>
      <c r="U136" s="44">
        <f t="shared" si="28"/>
        <v>0</v>
      </c>
      <c r="V136" s="44">
        <f t="shared" si="29"/>
        <v>0</v>
      </c>
      <c r="W136" s="44">
        <f t="shared" si="30"/>
        <v>0</v>
      </c>
    </row>
    <row r="137" spans="2:23" x14ac:dyDescent="0.2">
      <c r="B137" s="57"/>
      <c r="C137" s="1"/>
      <c r="D137" s="1"/>
      <c r="E137" s="1"/>
      <c r="F137" s="1"/>
      <c r="G137" s="1"/>
      <c r="H137" s="1"/>
      <c r="I137" s="73"/>
      <c r="K137" s="44">
        <f t="shared" ref="K137:K158" si="31">+I137-J137</f>
        <v>0</v>
      </c>
      <c r="M137" s="103">
        <v>12</v>
      </c>
      <c r="N137" s="103"/>
      <c r="O137" s="103"/>
      <c r="T137" s="197"/>
      <c r="U137" s="44">
        <f t="shared" si="28"/>
        <v>0</v>
      </c>
      <c r="V137" s="44">
        <f t="shared" si="29"/>
        <v>0</v>
      </c>
      <c r="W137" s="44">
        <f t="shared" si="30"/>
        <v>0</v>
      </c>
    </row>
    <row r="138" spans="2:23" x14ac:dyDescent="0.2">
      <c r="B138" s="57"/>
      <c r="C138" s="1"/>
      <c r="D138" s="1"/>
      <c r="E138" s="1"/>
      <c r="F138" s="1"/>
      <c r="G138" s="1"/>
      <c r="H138" s="1"/>
      <c r="I138" s="73"/>
      <c r="K138" s="44">
        <f t="shared" si="31"/>
        <v>0</v>
      </c>
      <c r="M138" s="103">
        <v>12</v>
      </c>
      <c r="N138" s="103"/>
      <c r="O138" s="103"/>
      <c r="T138" s="197"/>
      <c r="U138" s="44">
        <f t="shared" si="28"/>
        <v>0</v>
      </c>
      <c r="V138" s="44">
        <f t="shared" si="29"/>
        <v>0</v>
      </c>
      <c r="W138" s="44">
        <f t="shared" si="30"/>
        <v>0</v>
      </c>
    </row>
    <row r="139" spans="2:23" x14ac:dyDescent="0.2">
      <c r="B139" s="57"/>
      <c r="C139" s="1"/>
      <c r="D139" s="1"/>
      <c r="E139" s="1"/>
      <c r="F139" s="1"/>
      <c r="G139" s="1"/>
      <c r="H139" s="1"/>
      <c r="I139" s="73"/>
      <c r="K139" s="44">
        <f t="shared" si="31"/>
        <v>0</v>
      </c>
      <c r="M139" s="103">
        <v>12</v>
      </c>
      <c r="N139" s="103"/>
      <c r="O139" s="103"/>
      <c r="T139" s="197"/>
      <c r="U139" s="44">
        <f t="shared" si="28"/>
        <v>0</v>
      </c>
      <c r="V139" s="44">
        <f t="shared" si="29"/>
        <v>0</v>
      </c>
      <c r="W139" s="44">
        <f t="shared" si="30"/>
        <v>0</v>
      </c>
    </row>
    <row r="140" spans="2:23" x14ac:dyDescent="0.2">
      <c r="B140" s="57"/>
      <c r="C140" s="1"/>
      <c r="D140" s="1"/>
      <c r="E140" s="1"/>
      <c r="F140" s="1"/>
      <c r="G140" s="1"/>
      <c r="H140" s="1"/>
      <c r="I140" s="73"/>
      <c r="K140" s="44">
        <f t="shared" si="31"/>
        <v>0</v>
      </c>
      <c r="M140" s="103">
        <v>12</v>
      </c>
      <c r="N140" s="103"/>
      <c r="O140" s="103"/>
      <c r="T140" s="197"/>
      <c r="U140" s="44">
        <f t="shared" si="28"/>
        <v>0</v>
      </c>
      <c r="V140" s="44">
        <f t="shared" si="29"/>
        <v>0</v>
      </c>
      <c r="W140" s="44">
        <f t="shared" si="30"/>
        <v>0</v>
      </c>
    </row>
    <row r="141" spans="2:23" x14ac:dyDescent="0.2">
      <c r="B141" s="57"/>
      <c r="C141" s="1"/>
      <c r="D141" s="1"/>
      <c r="E141" s="1"/>
      <c r="F141" s="1"/>
      <c r="G141" s="1"/>
      <c r="H141" s="1"/>
      <c r="I141" s="73"/>
      <c r="K141" s="44">
        <f t="shared" si="31"/>
        <v>0</v>
      </c>
      <c r="M141" s="103">
        <v>12</v>
      </c>
      <c r="N141" s="103"/>
      <c r="O141" s="103"/>
      <c r="T141" s="197"/>
      <c r="U141" s="44">
        <f t="shared" si="28"/>
        <v>0</v>
      </c>
      <c r="V141" s="44">
        <f t="shared" si="29"/>
        <v>0</v>
      </c>
      <c r="W141" s="44">
        <f t="shared" si="30"/>
        <v>0</v>
      </c>
    </row>
    <row r="142" spans="2:23" x14ac:dyDescent="0.2">
      <c r="B142" s="57"/>
      <c r="C142" s="1"/>
      <c r="D142" s="1"/>
      <c r="E142" s="1"/>
      <c r="F142" s="1"/>
      <c r="G142" s="1"/>
      <c r="H142" s="1"/>
      <c r="I142" s="73"/>
      <c r="K142" s="44">
        <f t="shared" si="31"/>
        <v>0</v>
      </c>
      <c r="M142" s="103">
        <v>12</v>
      </c>
      <c r="N142" s="103"/>
      <c r="O142" s="103"/>
      <c r="T142" s="197"/>
      <c r="U142" s="44">
        <f t="shared" si="28"/>
        <v>0</v>
      </c>
      <c r="V142" s="44">
        <f t="shared" si="29"/>
        <v>0</v>
      </c>
      <c r="W142" s="44">
        <f t="shared" si="30"/>
        <v>0</v>
      </c>
    </row>
    <row r="143" spans="2:23" x14ac:dyDescent="0.2">
      <c r="B143" s="57"/>
      <c r="C143" s="1"/>
      <c r="D143" s="1"/>
      <c r="E143" s="1"/>
      <c r="F143" s="1"/>
      <c r="G143" s="1"/>
      <c r="H143" s="1"/>
      <c r="I143" s="73"/>
      <c r="K143" s="44">
        <f t="shared" si="31"/>
        <v>0</v>
      </c>
      <c r="M143" s="103">
        <v>12</v>
      </c>
      <c r="N143" s="103"/>
      <c r="O143" s="103"/>
      <c r="T143" s="197"/>
      <c r="U143" s="44">
        <f t="shared" si="28"/>
        <v>0</v>
      </c>
      <c r="V143" s="44">
        <f t="shared" si="29"/>
        <v>0</v>
      </c>
      <c r="W143" s="44">
        <f t="shared" si="30"/>
        <v>0</v>
      </c>
    </row>
    <row r="144" spans="2:23" x14ac:dyDescent="0.2">
      <c r="B144" s="57"/>
      <c r="C144" s="1"/>
      <c r="D144" s="1"/>
      <c r="E144" s="1"/>
      <c r="F144" s="1"/>
      <c r="G144" s="1"/>
      <c r="H144" s="1"/>
      <c r="I144" s="73"/>
      <c r="K144" s="44">
        <f t="shared" si="31"/>
        <v>0</v>
      </c>
      <c r="M144" s="103">
        <v>12</v>
      </c>
      <c r="N144" s="103"/>
      <c r="O144" s="103"/>
      <c r="T144" s="197"/>
      <c r="U144" s="44">
        <f t="shared" si="28"/>
        <v>0</v>
      </c>
      <c r="V144" s="44">
        <f t="shared" si="29"/>
        <v>0</v>
      </c>
      <c r="W144" s="44">
        <f t="shared" si="30"/>
        <v>0</v>
      </c>
    </row>
    <row r="145" spans="2:23" x14ac:dyDescent="0.2">
      <c r="B145" s="57"/>
      <c r="C145" s="1"/>
      <c r="D145" s="1"/>
      <c r="E145" s="1"/>
      <c r="F145" s="1"/>
      <c r="G145" s="1"/>
      <c r="H145" s="1"/>
      <c r="I145" s="73"/>
      <c r="K145" s="44">
        <f t="shared" si="31"/>
        <v>0</v>
      </c>
      <c r="M145" s="103">
        <v>12</v>
      </c>
      <c r="N145" s="103"/>
      <c r="O145" s="103"/>
      <c r="T145" s="197"/>
      <c r="U145" s="44">
        <f t="shared" si="28"/>
        <v>0</v>
      </c>
      <c r="V145" s="44">
        <f t="shared" si="29"/>
        <v>0</v>
      </c>
      <c r="W145" s="44">
        <f t="shared" si="30"/>
        <v>0</v>
      </c>
    </row>
    <row r="146" spans="2:23" x14ac:dyDescent="0.2">
      <c r="B146" s="57"/>
      <c r="C146" s="1"/>
      <c r="D146" s="1"/>
      <c r="E146" s="1"/>
      <c r="F146" s="1"/>
      <c r="G146" s="1"/>
      <c r="H146" s="1"/>
      <c r="I146" s="73"/>
      <c r="K146" s="44">
        <f t="shared" si="31"/>
        <v>0</v>
      </c>
      <c r="M146" s="103">
        <v>12</v>
      </c>
      <c r="N146" s="103"/>
      <c r="O146" s="103"/>
      <c r="T146" s="197"/>
      <c r="U146" s="44">
        <f t="shared" si="28"/>
        <v>0</v>
      </c>
      <c r="V146" s="44">
        <f t="shared" si="29"/>
        <v>0</v>
      </c>
      <c r="W146" s="44">
        <f t="shared" si="30"/>
        <v>0</v>
      </c>
    </row>
    <row r="147" spans="2:23" x14ac:dyDescent="0.2">
      <c r="B147" s="57"/>
      <c r="C147" s="1"/>
      <c r="D147" s="1"/>
      <c r="E147" s="1"/>
      <c r="F147" s="1"/>
      <c r="G147" s="1"/>
      <c r="H147" s="1"/>
      <c r="I147" s="73"/>
      <c r="K147" s="44">
        <f t="shared" si="31"/>
        <v>0</v>
      </c>
      <c r="M147" s="103">
        <v>12</v>
      </c>
      <c r="N147" s="103"/>
      <c r="O147" s="103"/>
      <c r="T147" s="197"/>
      <c r="U147" s="44">
        <f t="shared" si="28"/>
        <v>0</v>
      </c>
      <c r="V147" s="44">
        <f t="shared" si="29"/>
        <v>0</v>
      </c>
      <c r="W147" s="44">
        <f t="shared" si="30"/>
        <v>0</v>
      </c>
    </row>
    <row r="148" spans="2:23" x14ac:dyDescent="0.2">
      <c r="B148" s="57"/>
      <c r="C148" s="1"/>
      <c r="D148" s="1"/>
      <c r="E148" s="1"/>
      <c r="F148" s="1"/>
      <c r="G148" s="1"/>
      <c r="H148" s="1"/>
      <c r="I148" s="73"/>
      <c r="K148" s="44">
        <f t="shared" si="31"/>
        <v>0</v>
      </c>
      <c r="M148" s="103">
        <v>12</v>
      </c>
      <c r="N148" s="103"/>
      <c r="O148" s="103"/>
      <c r="T148" s="197"/>
      <c r="U148" s="44">
        <f t="shared" si="28"/>
        <v>0</v>
      </c>
      <c r="V148" s="44">
        <f t="shared" si="29"/>
        <v>0</v>
      </c>
      <c r="W148" s="44">
        <f t="shared" si="30"/>
        <v>0</v>
      </c>
    </row>
    <row r="149" spans="2:23" x14ac:dyDescent="0.2">
      <c r="B149" s="57"/>
      <c r="C149" s="1"/>
      <c r="D149" s="1"/>
      <c r="E149" s="1"/>
      <c r="F149" s="1"/>
      <c r="G149" s="1"/>
      <c r="H149" s="1"/>
      <c r="I149" s="73"/>
      <c r="K149" s="44">
        <f t="shared" si="31"/>
        <v>0</v>
      </c>
      <c r="M149" s="103">
        <v>12</v>
      </c>
      <c r="N149" s="103"/>
      <c r="O149" s="103"/>
      <c r="T149" s="197"/>
      <c r="U149" s="44">
        <f t="shared" si="28"/>
        <v>0</v>
      </c>
      <c r="V149" s="44">
        <f t="shared" si="29"/>
        <v>0</v>
      </c>
      <c r="W149" s="44">
        <f t="shared" si="30"/>
        <v>0</v>
      </c>
    </row>
    <row r="150" spans="2:23" x14ac:dyDescent="0.2">
      <c r="B150" s="57"/>
      <c r="C150" s="1"/>
      <c r="D150" s="1"/>
      <c r="E150" s="1"/>
      <c r="F150" s="1"/>
      <c r="G150" s="1"/>
      <c r="H150" s="1"/>
      <c r="I150" s="73"/>
      <c r="K150" s="44">
        <f t="shared" si="31"/>
        <v>0</v>
      </c>
      <c r="M150" s="103">
        <v>12</v>
      </c>
      <c r="N150" s="103"/>
      <c r="O150" s="103"/>
      <c r="T150" s="197"/>
      <c r="U150" s="44">
        <f t="shared" si="28"/>
        <v>0</v>
      </c>
      <c r="V150" s="44">
        <f t="shared" si="29"/>
        <v>0</v>
      </c>
      <c r="W150" s="44">
        <f t="shared" si="30"/>
        <v>0</v>
      </c>
    </row>
    <row r="151" spans="2:23" x14ac:dyDescent="0.2">
      <c r="B151" s="57"/>
      <c r="C151" s="1"/>
      <c r="D151" s="1"/>
      <c r="E151" s="1"/>
      <c r="F151" s="1"/>
      <c r="G151" s="1"/>
      <c r="H151" s="1"/>
      <c r="I151" s="73"/>
      <c r="K151" s="44">
        <f t="shared" si="31"/>
        <v>0</v>
      </c>
      <c r="M151" s="103">
        <v>12</v>
      </c>
      <c r="N151" s="103"/>
      <c r="O151" s="103"/>
      <c r="T151" s="197"/>
      <c r="U151" s="44">
        <f t="shared" si="28"/>
        <v>0</v>
      </c>
      <c r="V151" s="44">
        <f t="shared" si="29"/>
        <v>0</v>
      </c>
      <c r="W151" s="44">
        <f t="shared" si="30"/>
        <v>0</v>
      </c>
    </row>
    <row r="152" spans="2:23" x14ac:dyDescent="0.2">
      <c r="B152" s="57"/>
      <c r="C152" s="1"/>
      <c r="D152" s="1"/>
      <c r="E152" s="1"/>
      <c r="F152" s="1"/>
      <c r="G152" s="1"/>
      <c r="H152" s="1"/>
      <c r="I152" s="73"/>
      <c r="K152" s="44">
        <f t="shared" si="31"/>
        <v>0</v>
      </c>
      <c r="M152" s="103">
        <v>12</v>
      </c>
      <c r="N152" s="103"/>
      <c r="O152" s="103"/>
      <c r="T152" s="197"/>
      <c r="U152" s="44">
        <f t="shared" si="28"/>
        <v>0</v>
      </c>
      <c r="V152" s="44">
        <f t="shared" si="29"/>
        <v>0</v>
      </c>
      <c r="W152" s="44">
        <f t="shared" si="30"/>
        <v>0</v>
      </c>
    </row>
    <row r="153" spans="2:23" x14ac:dyDescent="0.2">
      <c r="B153" s="57"/>
      <c r="C153" s="1"/>
      <c r="D153" s="1"/>
      <c r="E153" s="1"/>
      <c r="F153" s="1"/>
      <c r="G153" s="1"/>
      <c r="H153" s="1"/>
      <c r="I153" s="73"/>
      <c r="K153" s="44">
        <f t="shared" si="31"/>
        <v>0</v>
      </c>
      <c r="M153" s="103">
        <v>12</v>
      </c>
      <c r="N153" s="103"/>
      <c r="O153" s="103"/>
      <c r="T153" s="197"/>
      <c r="U153" s="44">
        <f t="shared" si="28"/>
        <v>0</v>
      </c>
      <c r="V153" s="44">
        <f t="shared" si="29"/>
        <v>0</v>
      </c>
      <c r="W153" s="44">
        <f t="shared" si="30"/>
        <v>0</v>
      </c>
    </row>
    <row r="154" spans="2:23" x14ac:dyDescent="0.2">
      <c r="B154" s="57"/>
      <c r="C154" s="1"/>
      <c r="D154" s="1"/>
      <c r="E154" s="1"/>
      <c r="F154" s="1"/>
      <c r="G154" s="1"/>
      <c r="H154" s="1"/>
      <c r="I154" s="73"/>
      <c r="K154" s="44">
        <f t="shared" si="31"/>
        <v>0</v>
      </c>
      <c r="M154" s="103">
        <v>12</v>
      </c>
      <c r="N154" s="103"/>
      <c r="O154" s="103"/>
      <c r="T154" s="197"/>
      <c r="U154" s="44">
        <f t="shared" si="28"/>
        <v>0</v>
      </c>
      <c r="V154" s="44">
        <f t="shared" si="29"/>
        <v>0</v>
      </c>
      <c r="W154" s="44">
        <f t="shared" si="30"/>
        <v>0</v>
      </c>
    </row>
    <row r="155" spans="2:23" x14ac:dyDescent="0.2">
      <c r="B155" s="57"/>
      <c r="C155" s="1"/>
      <c r="D155" s="1"/>
      <c r="E155" s="1"/>
      <c r="F155" s="1"/>
      <c r="G155" s="1"/>
      <c r="H155" s="1"/>
      <c r="I155" s="73"/>
      <c r="K155" s="44">
        <f t="shared" si="31"/>
        <v>0</v>
      </c>
      <c r="M155" s="103">
        <v>12</v>
      </c>
      <c r="N155" s="103"/>
      <c r="O155" s="103"/>
      <c r="T155" s="197"/>
      <c r="U155" s="44">
        <f t="shared" si="28"/>
        <v>0</v>
      </c>
      <c r="V155" s="44">
        <f t="shared" si="29"/>
        <v>0</v>
      </c>
      <c r="W155" s="44">
        <f t="shared" si="30"/>
        <v>0</v>
      </c>
    </row>
    <row r="156" spans="2:23" x14ac:dyDescent="0.2">
      <c r="B156" s="57"/>
      <c r="C156" s="1"/>
      <c r="D156" s="1"/>
      <c r="E156" s="1"/>
      <c r="F156" s="1"/>
      <c r="G156" s="1"/>
      <c r="H156" s="1"/>
      <c r="I156" s="73"/>
      <c r="K156" s="44">
        <f t="shared" si="31"/>
        <v>0</v>
      </c>
      <c r="M156" s="103">
        <v>12</v>
      </c>
      <c r="N156" s="103"/>
      <c r="O156" s="103"/>
      <c r="T156" s="197"/>
      <c r="U156" s="44">
        <f t="shared" si="28"/>
        <v>0</v>
      </c>
      <c r="V156" s="44">
        <f t="shared" si="29"/>
        <v>0</v>
      </c>
      <c r="W156" s="44">
        <f t="shared" si="30"/>
        <v>0</v>
      </c>
    </row>
    <row r="157" spans="2:23" x14ac:dyDescent="0.2">
      <c r="B157" s="57"/>
      <c r="C157" s="1"/>
      <c r="D157" s="1"/>
      <c r="E157" s="1"/>
      <c r="F157" s="1"/>
      <c r="G157" s="1"/>
      <c r="H157" s="1"/>
      <c r="I157" s="73"/>
      <c r="K157" s="44">
        <f t="shared" si="31"/>
        <v>0</v>
      </c>
      <c r="M157" s="103">
        <v>12</v>
      </c>
      <c r="N157" s="103"/>
      <c r="O157" s="103"/>
      <c r="T157" s="197"/>
      <c r="U157" s="44">
        <f t="shared" si="28"/>
        <v>0</v>
      </c>
      <c r="V157" s="44">
        <f t="shared" si="29"/>
        <v>0</v>
      </c>
      <c r="W157" s="44">
        <f t="shared" si="30"/>
        <v>0</v>
      </c>
    </row>
    <row r="158" spans="2:23" x14ac:dyDescent="0.2">
      <c r="B158" s="57"/>
      <c r="C158" s="1"/>
      <c r="D158" s="1"/>
      <c r="E158" s="1"/>
      <c r="F158" s="1"/>
      <c r="G158" s="1"/>
      <c r="H158" s="1"/>
      <c r="I158" s="73"/>
      <c r="K158" s="44">
        <f t="shared" si="31"/>
        <v>0</v>
      </c>
      <c r="M158" s="103">
        <v>12</v>
      </c>
      <c r="N158" s="103"/>
      <c r="O158" s="103"/>
      <c r="T158" s="197"/>
      <c r="U158" s="44">
        <f t="shared" si="28"/>
        <v>0</v>
      </c>
      <c r="V158" s="44">
        <f t="shared" si="29"/>
        <v>0</v>
      </c>
      <c r="W158" s="44">
        <f t="shared" si="30"/>
        <v>0</v>
      </c>
    </row>
    <row r="159" spans="2:23" x14ac:dyDescent="0.2">
      <c r="B159" s="57"/>
      <c r="C159" s="1"/>
      <c r="D159" s="1"/>
      <c r="E159" s="1"/>
      <c r="F159" s="1"/>
      <c r="G159" s="1"/>
      <c r="H159" s="1"/>
      <c r="I159" s="73"/>
      <c r="K159" s="44">
        <f>+I159-J159</f>
        <v>0</v>
      </c>
      <c r="M159" s="103">
        <v>12</v>
      </c>
      <c r="N159" s="103"/>
      <c r="O159" s="103"/>
      <c r="T159" s="197"/>
      <c r="U159" s="44">
        <f t="shared" si="28"/>
        <v>0</v>
      </c>
      <c r="V159" s="44">
        <f t="shared" si="29"/>
        <v>0</v>
      </c>
      <c r="W159" s="44">
        <f t="shared" si="30"/>
        <v>0</v>
      </c>
    </row>
    <row r="161" spans="2:23" ht="13.5" thickBot="1" x14ac:dyDescent="0.25">
      <c r="C161" s="44" t="s">
        <v>383</v>
      </c>
      <c r="I161" s="52">
        <f>SUM(I133:I160)</f>
        <v>0</v>
      </c>
      <c r="J161" s="52">
        <f>SUM(J133:J160)</f>
        <v>0</v>
      </c>
      <c r="K161" s="52">
        <f>SUM(K133:K160)</f>
        <v>0</v>
      </c>
      <c r="L161" s="52">
        <f>SUM(L133:L160)</f>
        <v>0</v>
      </c>
      <c r="M161" s="52"/>
      <c r="N161" s="52">
        <f t="shared" ref="N161:W161" si="32">SUM(N133:N160)</f>
        <v>0</v>
      </c>
      <c r="O161" s="52">
        <f t="shared" si="32"/>
        <v>0</v>
      </c>
      <c r="P161" s="52">
        <f t="shared" si="32"/>
        <v>0</v>
      </c>
      <c r="Q161" s="52">
        <f t="shared" si="32"/>
        <v>0</v>
      </c>
      <c r="R161" s="52">
        <f t="shared" si="32"/>
        <v>0</v>
      </c>
      <c r="S161" s="52">
        <f t="shared" si="32"/>
        <v>0</v>
      </c>
      <c r="T161" s="52">
        <f t="shared" si="32"/>
        <v>0</v>
      </c>
      <c r="U161" s="52">
        <f t="shared" si="32"/>
        <v>0</v>
      </c>
      <c r="V161" s="52">
        <f t="shared" si="32"/>
        <v>0</v>
      </c>
      <c r="W161" s="52">
        <f t="shared" si="32"/>
        <v>0</v>
      </c>
    </row>
    <row r="162" spans="2:23" ht="13.5" thickTop="1" x14ac:dyDescent="0.2">
      <c r="G162" s="44" t="s">
        <v>823</v>
      </c>
      <c r="I162" s="44">
        <f>I161-FARegister!I226</f>
        <v>0</v>
      </c>
      <c r="L162" s="44">
        <f>L161-FARegister!L226</f>
        <v>0</v>
      </c>
      <c r="N162" s="44">
        <f>N161-FARegister!Q226</f>
        <v>0</v>
      </c>
      <c r="P162" s="44">
        <f>P161-FARegister!S226</f>
        <v>0</v>
      </c>
      <c r="U162" s="44">
        <f>U161-FARegister!AA226</f>
        <v>0</v>
      </c>
    </row>
    <row r="164" spans="2:23" x14ac:dyDescent="0.2">
      <c r="B164" s="203" t="s">
        <v>385</v>
      </c>
      <c r="I164" s="276"/>
      <c r="J164" s="276"/>
    </row>
    <row r="165" spans="2:23" x14ac:dyDescent="0.2">
      <c r="B165" s="204"/>
      <c r="I165" s="22"/>
      <c r="J165" s="22"/>
      <c r="K165" s="22"/>
      <c r="L165" s="22"/>
      <c r="M165" s="22"/>
      <c r="N165" s="22"/>
      <c r="O165" s="22" t="s">
        <v>175</v>
      </c>
      <c r="P165" s="22"/>
      <c r="Q165" s="295" t="s">
        <v>811</v>
      </c>
      <c r="R165" s="296" t="s">
        <v>818</v>
      </c>
      <c r="S165" s="297" t="s">
        <v>812</v>
      </c>
      <c r="T165" s="22"/>
      <c r="U165" s="22"/>
      <c r="V165" s="22"/>
      <c r="W165" s="22"/>
    </row>
    <row r="166" spans="2:23" x14ac:dyDescent="0.2">
      <c r="B166" s="205" t="s">
        <v>26</v>
      </c>
      <c r="C166" s="69" t="s">
        <v>261</v>
      </c>
      <c r="D166" s="69"/>
      <c r="E166" s="109"/>
      <c r="F166" s="110"/>
      <c r="G166" s="109"/>
      <c r="H166" s="109"/>
      <c r="I166" s="24" t="s">
        <v>416</v>
      </c>
      <c r="J166" s="24" t="s">
        <v>821</v>
      </c>
      <c r="K166" s="24" t="s">
        <v>648</v>
      </c>
      <c r="L166" s="24" t="s">
        <v>301</v>
      </c>
      <c r="M166" s="24" t="s">
        <v>455</v>
      </c>
      <c r="N166" s="24" t="s">
        <v>650</v>
      </c>
      <c r="O166" s="24" t="s">
        <v>822</v>
      </c>
      <c r="P166" s="24" t="s">
        <v>810</v>
      </c>
      <c r="Q166" s="282" t="s">
        <v>813</v>
      </c>
      <c r="R166" s="24" t="s">
        <v>819</v>
      </c>
      <c r="S166" s="283" t="s">
        <v>814</v>
      </c>
      <c r="T166" s="24" t="s">
        <v>817</v>
      </c>
      <c r="U166" s="24" t="s">
        <v>416</v>
      </c>
      <c r="V166" s="24" t="s">
        <v>816</v>
      </c>
      <c r="W166" s="24" t="s">
        <v>648</v>
      </c>
    </row>
    <row r="168" spans="2:23" x14ac:dyDescent="0.2">
      <c r="B168" s="92"/>
      <c r="C168" s="289" t="s">
        <v>824</v>
      </c>
      <c r="D168" s="1"/>
      <c r="E168" s="1"/>
      <c r="F168" s="1"/>
      <c r="G168" s="1"/>
      <c r="H168" s="18"/>
      <c r="I168" s="290">
        <f>FARegister!I265</f>
        <v>0</v>
      </c>
      <c r="J168" s="290">
        <f>FARegister!J265</f>
        <v>0</v>
      </c>
      <c r="K168" s="289">
        <f>+I168-J168</f>
        <v>0</v>
      </c>
      <c r="L168" s="290">
        <f>FARegister!L265</f>
        <v>0</v>
      </c>
      <c r="M168" s="290">
        <v>12</v>
      </c>
      <c r="N168" s="290">
        <f>FARegister!Q265</f>
        <v>0</v>
      </c>
      <c r="O168" s="290">
        <f>FARegister!R265</f>
        <v>0</v>
      </c>
      <c r="P168" s="290">
        <f>FARegister!S265</f>
        <v>0</v>
      </c>
      <c r="Q168" s="290">
        <f>FARegister!V265</f>
        <v>0</v>
      </c>
      <c r="R168" s="290">
        <f>FARegister!W265</f>
        <v>0</v>
      </c>
      <c r="S168" s="290">
        <f>FARegister!X265</f>
        <v>0</v>
      </c>
      <c r="T168" s="290">
        <f>FARegister!Z265</f>
        <v>0</v>
      </c>
      <c r="U168" s="289">
        <f t="shared" ref="U168:U198" si="33">I168+L168-N168</f>
        <v>0</v>
      </c>
      <c r="V168" s="289">
        <f t="shared" ref="V168:V198" si="34">J168+T168-O168</f>
        <v>0</v>
      </c>
      <c r="W168" s="289">
        <f>+U168-V168</f>
        <v>0</v>
      </c>
    </row>
    <row r="169" spans="2:23" x14ac:dyDescent="0.2">
      <c r="B169" s="92"/>
      <c r="C169" s="1"/>
      <c r="D169" s="1"/>
      <c r="E169" s="1"/>
      <c r="F169" s="1"/>
      <c r="G169" s="1"/>
      <c r="H169" s="18"/>
      <c r="I169" s="103"/>
      <c r="K169" s="44">
        <f t="shared" ref="K169:K196" si="35">+I169-J169</f>
        <v>0</v>
      </c>
      <c r="L169" s="103"/>
      <c r="M169" s="103">
        <v>12</v>
      </c>
      <c r="N169" s="103"/>
      <c r="O169" s="103"/>
      <c r="T169" s="197"/>
      <c r="U169" s="44">
        <f t="shared" si="33"/>
        <v>0</v>
      </c>
      <c r="V169" s="44">
        <f t="shared" si="34"/>
        <v>0</v>
      </c>
      <c r="W169" s="44">
        <f t="shared" ref="W169" si="36">+U169-V169</f>
        <v>0</v>
      </c>
    </row>
    <row r="170" spans="2:23" x14ac:dyDescent="0.2">
      <c r="B170" s="92"/>
      <c r="C170" s="1"/>
      <c r="D170" s="1"/>
      <c r="E170" s="1"/>
      <c r="F170" s="1"/>
      <c r="G170" s="1"/>
      <c r="H170" s="18"/>
      <c r="I170" s="103"/>
      <c r="K170" s="44">
        <f t="shared" si="35"/>
        <v>0</v>
      </c>
      <c r="L170" s="103"/>
      <c r="M170" s="103">
        <v>12</v>
      </c>
      <c r="N170" s="103"/>
      <c r="O170" s="103"/>
      <c r="T170" s="197"/>
      <c r="U170" s="44">
        <f t="shared" si="33"/>
        <v>0</v>
      </c>
      <c r="V170" s="44">
        <f t="shared" si="34"/>
        <v>0</v>
      </c>
      <c r="W170" s="44">
        <f t="shared" ref="W170:W198" si="37">+U170-V170</f>
        <v>0</v>
      </c>
    </row>
    <row r="171" spans="2:23" x14ac:dyDescent="0.2">
      <c r="B171" s="92"/>
      <c r="C171" s="1"/>
      <c r="D171" s="1"/>
      <c r="E171" s="1"/>
      <c r="F171" s="1"/>
      <c r="G171" s="1"/>
      <c r="H171" s="18"/>
      <c r="I171" s="103"/>
      <c r="K171" s="44">
        <f t="shared" si="35"/>
        <v>0</v>
      </c>
      <c r="L171" s="103"/>
      <c r="M171" s="103">
        <v>12</v>
      </c>
      <c r="N171" s="103"/>
      <c r="O171" s="103"/>
      <c r="T171" s="197"/>
      <c r="U171" s="44">
        <f t="shared" si="33"/>
        <v>0</v>
      </c>
      <c r="V171" s="44">
        <f t="shared" si="34"/>
        <v>0</v>
      </c>
      <c r="W171" s="44">
        <f t="shared" si="37"/>
        <v>0</v>
      </c>
    </row>
    <row r="172" spans="2:23" x14ac:dyDescent="0.2">
      <c r="B172" s="92"/>
      <c r="C172" s="1"/>
      <c r="D172" s="1"/>
      <c r="E172" s="1"/>
      <c r="F172" s="1"/>
      <c r="G172" s="1"/>
      <c r="H172" s="18"/>
      <c r="I172" s="103"/>
      <c r="K172" s="44">
        <f t="shared" si="35"/>
        <v>0</v>
      </c>
      <c r="L172" s="103"/>
      <c r="M172" s="103">
        <v>12</v>
      </c>
      <c r="N172" s="103"/>
      <c r="O172" s="103"/>
      <c r="T172" s="197"/>
      <c r="U172" s="44">
        <f t="shared" si="33"/>
        <v>0</v>
      </c>
      <c r="V172" s="44">
        <f t="shared" si="34"/>
        <v>0</v>
      </c>
      <c r="W172" s="44">
        <f t="shared" si="37"/>
        <v>0</v>
      </c>
    </row>
    <row r="173" spans="2:23" x14ac:dyDescent="0.2">
      <c r="B173" s="92"/>
      <c r="C173" s="1"/>
      <c r="D173" s="1"/>
      <c r="E173" s="1"/>
      <c r="F173" s="1"/>
      <c r="G173" s="1"/>
      <c r="H173" s="18"/>
      <c r="I173" s="103"/>
      <c r="K173" s="44">
        <f t="shared" si="35"/>
        <v>0</v>
      </c>
      <c r="L173" s="103"/>
      <c r="M173" s="103">
        <v>12</v>
      </c>
      <c r="N173" s="103"/>
      <c r="O173" s="103"/>
      <c r="T173" s="197"/>
      <c r="U173" s="44">
        <f t="shared" si="33"/>
        <v>0</v>
      </c>
      <c r="V173" s="44">
        <f t="shared" si="34"/>
        <v>0</v>
      </c>
      <c r="W173" s="44">
        <f t="shared" si="37"/>
        <v>0</v>
      </c>
    </row>
    <row r="174" spans="2:23" x14ac:dyDescent="0.2">
      <c r="B174" s="92"/>
      <c r="C174" s="1"/>
      <c r="D174" s="1"/>
      <c r="E174" s="1"/>
      <c r="F174" s="1"/>
      <c r="G174" s="1"/>
      <c r="H174" s="18"/>
      <c r="I174" s="103"/>
      <c r="K174" s="44">
        <f t="shared" si="35"/>
        <v>0</v>
      </c>
      <c r="L174" s="103"/>
      <c r="M174" s="103">
        <v>12</v>
      </c>
      <c r="N174" s="103"/>
      <c r="O174" s="103"/>
      <c r="T174" s="197"/>
      <c r="U174" s="44">
        <f t="shared" si="33"/>
        <v>0</v>
      </c>
      <c r="V174" s="44">
        <f t="shared" si="34"/>
        <v>0</v>
      </c>
      <c r="W174" s="44">
        <f t="shared" si="37"/>
        <v>0</v>
      </c>
    </row>
    <row r="175" spans="2:23" x14ac:dyDescent="0.2">
      <c r="B175" s="92"/>
      <c r="C175" s="1"/>
      <c r="D175" s="1"/>
      <c r="E175" s="1"/>
      <c r="F175" s="1"/>
      <c r="G175" s="1"/>
      <c r="H175" s="18"/>
      <c r="I175" s="103"/>
      <c r="K175" s="44">
        <f t="shared" si="35"/>
        <v>0</v>
      </c>
      <c r="L175" s="103"/>
      <c r="M175" s="103">
        <v>12</v>
      </c>
      <c r="N175" s="103"/>
      <c r="O175" s="103"/>
      <c r="T175" s="197"/>
      <c r="U175" s="44">
        <f t="shared" si="33"/>
        <v>0</v>
      </c>
      <c r="V175" s="44">
        <f t="shared" si="34"/>
        <v>0</v>
      </c>
      <c r="W175" s="44">
        <f t="shared" si="37"/>
        <v>0</v>
      </c>
    </row>
    <row r="176" spans="2:23" x14ac:dyDescent="0.2">
      <c r="B176" s="92"/>
      <c r="C176" s="1"/>
      <c r="D176" s="1"/>
      <c r="E176" s="1"/>
      <c r="F176" s="1"/>
      <c r="G176" s="1"/>
      <c r="H176" s="18"/>
      <c r="I176" s="103"/>
      <c r="K176" s="44">
        <f t="shared" si="35"/>
        <v>0</v>
      </c>
      <c r="L176" s="103"/>
      <c r="M176" s="103">
        <v>12</v>
      </c>
      <c r="N176" s="103"/>
      <c r="O176" s="103"/>
      <c r="T176" s="197"/>
      <c r="U176" s="44">
        <f t="shared" si="33"/>
        <v>0</v>
      </c>
      <c r="V176" s="44">
        <f t="shared" si="34"/>
        <v>0</v>
      </c>
      <c r="W176" s="44">
        <f t="shared" si="37"/>
        <v>0</v>
      </c>
    </row>
    <row r="177" spans="2:23" x14ac:dyDescent="0.2">
      <c r="B177" s="92"/>
      <c r="C177" s="1"/>
      <c r="D177" s="1"/>
      <c r="E177" s="1"/>
      <c r="F177" s="1"/>
      <c r="G177" s="1"/>
      <c r="H177" s="18"/>
      <c r="I177" s="103"/>
      <c r="K177" s="44">
        <f t="shared" si="35"/>
        <v>0</v>
      </c>
      <c r="L177" s="103"/>
      <c r="M177" s="103">
        <v>12</v>
      </c>
      <c r="N177" s="103"/>
      <c r="O177" s="103"/>
      <c r="T177" s="197"/>
      <c r="U177" s="44">
        <f t="shared" si="33"/>
        <v>0</v>
      </c>
      <c r="V177" s="44">
        <f t="shared" si="34"/>
        <v>0</v>
      </c>
      <c r="W177" s="44">
        <f t="shared" si="37"/>
        <v>0</v>
      </c>
    </row>
    <row r="178" spans="2:23" x14ac:dyDescent="0.2">
      <c r="B178" s="92"/>
      <c r="C178" s="1"/>
      <c r="D178" s="1"/>
      <c r="E178" s="1"/>
      <c r="F178" s="1"/>
      <c r="G178" s="1"/>
      <c r="H178" s="18"/>
      <c r="I178" s="103"/>
      <c r="K178" s="44">
        <f t="shared" si="35"/>
        <v>0</v>
      </c>
      <c r="L178" s="103"/>
      <c r="M178" s="103">
        <v>12</v>
      </c>
      <c r="N178" s="103"/>
      <c r="O178" s="103"/>
      <c r="T178" s="197"/>
      <c r="U178" s="44">
        <f t="shared" si="33"/>
        <v>0</v>
      </c>
      <c r="V178" s="44">
        <f t="shared" si="34"/>
        <v>0</v>
      </c>
      <c r="W178" s="44">
        <f t="shared" si="37"/>
        <v>0</v>
      </c>
    </row>
    <row r="179" spans="2:23" x14ac:dyDescent="0.2">
      <c r="B179" s="92"/>
      <c r="C179" s="1"/>
      <c r="D179" s="1"/>
      <c r="E179" s="1"/>
      <c r="F179" s="1"/>
      <c r="G179" s="1"/>
      <c r="H179" s="18"/>
      <c r="I179" s="103"/>
      <c r="K179" s="44">
        <f t="shared" si="35"/>
        <v>0</v>
      </c>
      <c r="L179" s="103"/>
      <c r="M179" s="103">
        <v>12</v>
      </c>
      <c r="N179" s="103"/>
      <c r="O179" s="103"/>
      <c r="T179" s="197"/>
      <c r="U179" s="44">
        <f t="shared" si="33"/>
        <v>0</v>
      </c>
      <c r="V179" s="44">
        <f t="shared" si="34"/>
        <v>0</v>
      </c>
      <c r="W179" s="44">
        <f t="shared" si="37"/>
        <v>0</v>
      </c>
    </row>
    <row r="180" spans="2:23" x14ac:dyDescent="0.2">
      <c r="B180" s="92"/>
      <c r="C180" s="1"/>
      <c r="D180" s="1"/>
      <c r="E180" s="1"/>
      <c r="F180" s="1"/>
      <c r="G180" s="1"/>
      <c r="H180" s="18"/>
      <c r="I180" s="103"/>
      <c r="K180" s="44">
        <f t="shared" si="35"/>
        <v>0</v>
      </c>
      <c r="L180" s="103"/>
      <c r="M180" s="103">
        <v>12</v>
      </c>
      <c r="N180" s="103"/>
      <c r="O180" s="103"/>
      <c r="T180" s="197"/>
      <c r="U180" s="44">
        <f t="shared" si="33"/>
        <v>0</v>
      </c>
      <c r="V180" s="44">
        <f t="shared" si="34"/>
        <v>0</v>
      </c>
      <c r="W180" s="44">
        <f t="shared" si="37"/>
        <v>0</v>
      </c>
    </row>
    <row r="181" spans="2:23" x14ac:dyDescent="0.2">
      <c r="B181" s="92"/>
      <c r="C181" s="1"/>
      <c r="D181" s="1"/>
      <c r="E181" s="1"/>
      <c r="F181" s="1"/>
      <c r="G181" s="1"/>
      <c r="H181" s="18"/>
      <c r="I181" s="103"/>
      <c r="K181" s="44">
        <f t="shared" si="35"/>
        <v>0</v>
      </c>
      <c r="L181" s="103"/>
      <c r="M181" s="103">
        <v>12</v>
      </c>
      <c r="N181" s="103"/>
      <c r="O181" s="103"/>
      <c r="T181" s="197"/>
      <c r="U181" s="44">
        <f t="shared" si="33"/>
        <v>0</v>
      </c>
      <c r="V181" s="44">
        <f t="shared" si="34"/>
        <v>0</v>
      </c>
      <c r="W181" s="44">
        <f t="shared" si="37"/>
        <v>0</v>
      </c>
    </row>
    <row r="182" spans="2:23" x14ac:dyDescent="0.2">
      <c r="B182" s="92"/>
      <c r="C182" s="1"/>
      <c r="D182" s="1"/>
      <c r="E182" s="1"/>
      <c r="F182" s="1"/>
      <c r="G182" s="1"/>
      <c r="H182" s="18"/>
      <c r="I182" s="103"/>
      <c r="K182" s="44">
        <f t="shared" si="35"/>
        <v>0</v>
      </c>
      <c r="L182" s="103"/>
      <c r="M182" s="103">
        <v>12</v>
      </c>
      <c r="N182" s="103"/>
      <c r="O182" s="103"/>
      <c r="T182" s="197"/>
      <c r="U182" s="44">
        <f t="shared" si="33"/>
        <v>0</v>
      </c>
      <c r="V182" s="44">
        <f t="shared" si="34"/>
        <v>0</v>
      </c>
      <c r="W182" s="44">
        <f t="shared" si="37"/>
        <v>0</v>
      </c>
    </row>
    <row r="183" spans="2:23" x14ac:dyDescent="0.2">
      <c r="B183" s="92"/>
      <c r="C183" s="1"/>
      <c r="D183" s="1"/>
      <c r="E183" s="1"/>
      <c r="F183" s="1"/>
      <c r="G183" s="1"/>
      <c r="H183" s="18"/>
      <c r="I183" s="103"/>
      <c r="K183" s="44">
        <f t="shared" si="35"/>
        <v>0</v>
      </c>
      <c r="L183" s="103"/>
      <c r="M183" s="103">
        <v>12</v>
      </c>
      <c r="N183" s="103"/>
      <c r="O183" s="103"/>
      <c r="T183" s="197"/>
      <c r="U183" s="44">
        <f t="shared" si="33"/>
        <v>0</v>
      </c>
      <c r="V183" s="44">
        <f t="shared" si="34"/>
        <v>0</v>
      </c>
      <c r="W183" s="44">
        <f t="shared" si="37"/>
        <v>0</v>
      </c>
    </row>
    <row r="184" spans="2:23" x14ac:dyDescent="0.2">
      <c r="B184" s="92"/>
      <c r="C184" s="1"/>
      <c r="D184" s="1"/>
      <c r="E184" s="1"/>
      <c r="F184" s="1"/>
      <c r="G184" s="1"/>
      <c r="H184" s="18"/>
      <c r="I184" s="103"/>
      <c r="K184" s="44">
        <f t="shared" si="35"/>
        <v>0</v>
      </c>
      <c r="L184" s="103"/>
      <c r="M184" s="103">
        <v>12</v>
      </c>
      <c r="N184" s="103"/>
      <c r="O184" s="103"/>
      <c r="T184" s="197"/>
      <c r="U184" s="44">
        <f t="shared" si="33"/>
        <v>0</v>
      </c>
      <c r="V184" s="44">
        <f t="shared" si="34"/>
        <v>0</v>
      </c>
      <c r="W184" s="44">
        <f t="shared" si="37"/>
        <v>0</v>
      </c>
    </row>
    <row r="185" spans="2:23" x14ac:dyDescent="0.2">
      <c r="B185" s="92"/>
      <c r="C185" s="1"/>
      <c r="D185" s="1"/>
      <c r="E185" s="1"/>
      <c r="F185" s="1"/>
      <c r="G185" s="1"/>
      <c r="H185" s="18"/>
      <c r="I185" s="103"/>
      <c r="K185" s="44">
        <f t="shared" si="35"/>
        <v>0</v>
      </c>
      <c r="L185" s="103"/>
      <c r="M185" s="103">
        <v>12</v>
      </c>
      <c r="N185" s="103"/>
      <c r="O185" s="103"/>
      <c r="T185" s="197"/>
      <c r="U185" s="44">
        <f t="shared" si="33"/>
        <v>0</v>
      </c>
      <c r="V185" s="44">
        <f t="shared" si="34"/>
        <v>0</v>
      </c>
      <c r="W185" s="44">
        <f t="shared" si="37"/>
        <v>0</v>
      </c>
    </row>
    <row r="186" spans="2:23" x14ac:dyDescent="0.2">
      <c r="B186" s="92"/>
      <c r="C186" s="1"/>
      <c r="D186" s="1"/>
      <c r="E186" s="1"/>
      <c r="F186" s="1"/>
      <c r="G186" s="1"/>
      <c r="H186" s="18"/>
      <c r="I186" s="103"/>
      <c r="K186" s="44">
        <f t="shared" si="35"/>
        <v>0</v>
      </c>
      <c r="L186" s="103"/>
      <c r="M186" s="103">
        <v>12</v>
      </c>
      <c r="N186" s="103"/>
      <c r="O186" s="103"/>
      <c r="T186" s="197"/>
      <c r="U186" s="44">
        <f t="shared" si="33"/>
        <v>0</v>
      </c>
      <c r="V186" s="44">
        <f t="shared" si="34"/>
        <v>0</v>
      </c>
      <c r="W186" s="44">
        <f t="shared" si="37"/>
        <v>0</v>
      </c>
    </row>
    <row r="187" spans="2:23" x14ac:dyDescent="0.2">
      <c r="B187" s="92"/>
      <c r="C187" s="1"/>
      <c r="D187" s="1"/>
      <c r="E187" s="1"/>
      <c r="F187" s="1"/>
      <c r="G187" s="1"/>
      <c r="H187" s="18"/>
      <c r="I187" s="103"/>
      <c r="K187" s="44">
        <f t="shared" si="35"/>
        <v>0</v>
      </c>
      <c r="L187" s="103"/>
      <c r="M187" s="103">
        <v>12</v>
      </c>
      <c r="N187" s="103"/>
      <c r="O187" s="103"/>
      <c r="T187" s="197"/>
      <c r="U187" s="44">
        <f t="shared" si="33"/>
        <v>0</v>
      </c>
      <c r="V187" s="44">
        <f t="shared" si="34"/>
        <v>0</v>
      </c>
      <c r="W187" s="44">
        <f t="shared" si="37"/>
        <v>0</v>
      </c>
    </row>
    <row r="188" spans="2:23" x14ac:dyDescent="0.2">
      <c r="B188" s="92"/>
      <c r="C188" s="1"/>
      <c r="D188" s="1"/>
      <c r="E188" s="1"/>
      <c r="F188" s="1"/>
      <c r="G188" s="1"/>
      <c r="H188" s="18"/>
      <c r="I188" s="103"/>
      <c r="K188" s="44">
        <f t="shared" si="35"/>
        <v>0</v>
      </c>
      <c r="L188" s="103"/>
      <c r="M188" s="103">
        <v>12</v>
      </c>
      <c r="N188" s="103"/>
      <c r="O188" s="103"/>
      <c r="T188" s="197"/>
      <c r="U188" s="44">
        <f t="shared" si="33"/>
        <v>0</v>
      </c>
      <c r="V188" s="44">
        <f t="shared" si="34"/>
        <v>0</v>
      </c>
      <c r="W188" s="44">
        <f t="shared" si="37"/>
        <v>0</v>
      </c>
    </row>
    <row r="189" spans="2:23" x14ac:dyDescent="0.2">
      <c r="B189" s="92"/>
      <c r="C189" s="1"/>
      <c r="D189" s="1"/>
      <c r="E189" s="1"/>
      <c r="F189" s="1"/>
      <c r="G189" s="1"/>
      <c r="H189" s="18"/>
      <c r="I189" s="103"/>
      <c r="K189" s="44">
        <f t="shared" si="35"/>
        <v>0</v>
      </c>
      <c r="L189" s="103"/>
      <c r="M189" s="103">
        <v>12</v>
      </c>
      <c r="N189" s="103"/>
      <c r="O189" s="103"/>
      <c r="T189" s="197"/>
      <c r="U189" s="44">
        <f t="shared" si="33"/>
        <v>0</v>
      </c>
      <c r="V189" s="44">
        <f t="shared" si="34"/>
        <v>0</v>
      </c>
      <c r="W189" s="44">
        <f t="shared" si="37"/>
        <v>0</v>
      </c>
    </row>
    <row r="190" spans="2:23" x14ac:dyDescent="0.2">
      <c r="B190" s="92"/>
      <c r="C190" s="1"/>
      <c r="D190" s="1"/>
      <c r="E190" s="1"/>
      <c r="F190" s="1"/>
      <c r="G190" s="1"/>
      <c r="H190" s="18"/>
      <c r="I190" s="103"/>
      <c r="K190" s="44">
        <f t="shared" si="35"/>
        <v>0</v>
      </c>
      <c r="L190" s="103"/>
      <c r="M190" s="103">
        <v>12</v>
      </c>
      <c r="N190" s="103"/>
      <c r="O190" s="103"/>
      <c r="T190" s="197"/>
      <c r="U190" s="44">
        <f t="shared" si="33"/>
        <v>0</v>
      </c>
      <c r="V190" s="44">
        <f t="shared" si="34"/>
        <v>0</v>
      </c>
      <c r="W190" s="44">
        <f t="shared" si="37"/>
        <v>0</v>
      </c>
    </row>
    <row r="191" spans="2:23" x14ac:dyDescent="0.2">
      <c r="B191" s="92"/>
      <c r="C191" s="1"/>
      <c r="D191" s="1"/>
      <c r="E191" s="1"/>
      <c r="F191" s="1"/>
      <c r="G191" s="1"/>
      <c r="H191" s="18"/>
      <c r="I191" s="103"/>
      <c r="K191" s="44">
        <f t="shared" si="35"/>
        <v>0</v>
      </c>
      <c r="L191" s="103"/>
      <c r="M191" s="103">
        <v>12</v>
      </c>
      <c r="N191" s="103"/>
      <c r="O191" s="103"/>
      <c r="T191" s="197"/>
      <c r="U191" s="44">
        <f t="shared" si="33"/>
        <v>0</v>
      </c>
      <c r="V191" s="44">
        <f t="shared" si="34"/>
        <v>0</v>
      </c>
      <c r="W191" s="44">
        <f t="shared" si="37"/>
        <v>0</v>
      </c>
    </row>
    <row r="192" spans="2:23" x14ac:dyDescent="0.2">
      <c r="B192" s="92"/>
      <c r="C192" s="1"/>
      <c r="D192" s="1"/>
      <c r="E192" s="1"/>
      <c r="F192" s="1"/>
      <c r="G192" s="1"/>
      <c r="H192" s="18"/>
      <c r="I192" s="103"/>
      <c r="K192" s="44">
        <f t="shared" si="35"/>
        <v>0</v>
      </c>
      <c r="L192" s="103"/>
      <c r="M192" s="103">
        <v>12</v>
      </c>
      <c r="N192" s="103"/>
      <c r="O192" s="103"/>
      <c r="T192" s="197"/>
      <c r="U192" s="44">
        <f t="shared" si="33"/>
        <v>0</v>
      </c>
      <c r="V192" s="44">
        <f t="shared" si="34"/>
        <v>0</v>
      </c>
      <c r="W192" s="44">
        <f t="shared" si="37"/>
        <v>0</v>
      </c>
    </row>
    <row r="193" spans="2:23" x14ac:dyDescent="0.2">
      <c r="B193" s="92"/>
      <c r="C193" s="1"/>
      <c r="D193" s="1"/>
      <c r="E193" s="1"/>
      <c r="F193" s="1"/>
      <c r="G193" s="1"/>
      <c r="H193" s="18"/>
      <c r="I193" s="103"/>
      <c r="K193" s="44">
        <f t="shared" si="35"/>
        <v>0</v>
      </c>
      <c r="L193" s="103"/>
      <c r="M193" s="103">
        <v>12</v>
      </c>
      <c r="N193" s="103"/>
      <c r="O193" s="103"/>
      <c r="T193" s="197"/>
      <c r="U193" s="44">
        <f t="shared" si="33"/>
        <v>0</v>
      </c>
      <c r="V193" s="44">
        <f t="shared" si="34"/>
        <v>0</v>
      </c>
      <c r="W193" s="44">
        <f t="shared" si="37"/>
        <v>0</v>
      </c>
    </row>
    <row r="194" spans="2:23" x14ac:dyDescent="0.2">
      <c r="B194" s="92"/>
      <c r="C194" s="1"/>
      <c r="D194" s="1"/>
      <c r="E194" s="1"/>
      <c r="F194" s="1"/>
      <c r="G194" s="1"/>
      <c r="H194" s="18"/>
      <c r="I194" s="103"/>
      <c r="K194" s="44">
        <f t="shared" si="35"/>
        <v>0</v>
      </c>
      <c r="L194" s="103"/>
      <c r="M194" s="103">
        <v>12</v>
      </c>
      <c r="N194" s="103"/>
      <c r="O194" s="103"/>
      <c r="T194" s="197"/>
      <c r="U194" s="44">
        <f t="shared" si="33"/>
        <v>0</v>
      </c>
      <c r="V194" s="44">
        <f t="shared" si="34"/>
        <v>0</v>
      </c>
      <c r="W194" s="44">
        <f t="shared" si="37"/>
        <v>0</v>
      </c>
    </row>
    <row r="195" spans="2:23" x14ac:dyDescent="0.2">
      <c r="B195" s="92"/>
      <c r="C195" s="1"/>
      <c r="D195" s="1"/>
      <c r="E195" s="1"/>
      <c r="F195" s="1"/>
      <c r="G195" s="1"/>
      <c r="H195" s="18"/>
      <c r="I195" s="103"/>
      <c r="K195" s="44">
        <f t="shared" si="35"/>
        <v>0</v>
      </c>
      <c r="L195" s="103"/>
      <c r="M195" s="103">
        <v>12</v>
      </c>
      <c r="N195" s="103"/>
      <c r="O195" s="103"/>
      <c r="T195" s="197"/>
      <c r="U195" s="44">
        <f t="shared" si="33"/>
        <v>0</v>
      </c>
      <c r="V195" s="44">
        <f t="shared" si="34"/>
        <v>0</v>
      </c>
      <c r="W195" s="44">
        <f t="shared" si="37"/>
        <v>0</v>
      </c>
    </row>
    <row r="196" spans="2:23" x14ac:dyDescent="0.2">
      <c r="B196" s="92"/>
      <c r="C196" s="1"/>
      <c r="D196" s="1"/>
      <c r="E196" s="1"/>
      <c r="F196" s="1"/>
      <c r="G196" s="1"/>
      <c r="H196" s="18"/>
      <c r="I196" s="103"/>
      <c r="K196" s="44">
        <f t="shared" si="35"/>
        <v>0</v>
      </c>
      <c r="L196" s="103"/>
      <c r="M196" s="103">
        <v>12</v>
      </c>
      <c r="N196" s="103"/>
      <c r="O196" s="103"/>
      <c r="T196" s="197"/>
      <c r="U196" s="44">
        <f t="shared" si="33"/>
        <v>0</v>
      </c>
      <c r="V196" s="44">
        <f t="shared" si="34"/>
        <v>0</v>
      </c>
      <c r="W196" s="44">
        <f t="shared" si="37"/>
        <v>0</v>
      </c>
    </row>
    <row r="197" spans="2:23" x14ac:dyDescent="0.2">
      <c r="B197" s="208"/>
      <c r="C197" s="1"/>
      <c r="D197" s="1"/>
      <c r="E197" s="1"/>
      <c r="F197" s="1"/>
      <c r="G197" s="1"/>
      <c r="H197" s="18"/>
      <c r="I197" s="103"/>
      <c r="K197" s="44">
        <f>+I197-J197</f>
        <v>0</v>
      </c>
      <c r="L197" s="103"/>
      <c r="M197" s="103">
        <v>12</v>
      </c>
      <c r="N197" s="103"/>
      <c r="O197" s="103"/>
      <c r="T197" s="197"/>
      <c r="U197" s="44">
        <f t="shared" si="33"/>
        <v>0</v>
      </c>
      <c r="V197" s="44">
        <f t="shared" si="34"/>
        <v>0</v>
      </c>
      <c r="W197" s="44">
        <f t="shared" si="37"/>
        <v>0</v>
      </c>
    </row>
    <row r="198" spans="2:23" x14ac:dyDescent="0.2">
      <c r="B198" s="208"/>
      <c r="C198" s="1"/>
      <c r="D198" s="1"/>
      <c r="E198" s="1"/>
      <c r="F198" s="1"/>
      <c r="G198" s="1"/>
      <c r="H198" s="18"/>
      <c r="I198" s="103"/>
      <c r="K198" s="44">
        <f>+I198-J198</f>
        <v>0</v>
      </c>
      <c r="L198" s="103"/>
      <c r="M198" s="103">
        <v>12</v>
      </c>
      <c r="N198" s="103"/>
      <c r="O198" s="103"/>
      <c r="T198" s="197"/>
      <c r="U198" s="44">
        <f t="shared" si="33"/>
        <v>0</v>
      </c>
      <c r="V198" s="44">
        <f t="shared" si="34"/>
        <v>0</v>
      </c>
      <c r="W198" s="44">
        <f t="shared" si="37"/>
        <v>0</v>
      </c>
    </row>
    <row r="200" spans="2:23" ht="13.5" thickBot="1" x14ac:dyDescent="0.25">
      <c r="C200" s="44" t="s">
        <v>383</v>
      </c>
      <c r="I200" s="52">
        <f>SUM(I167:I199)</f>
        <v>0</v>
      </c>
      <c r="J200" s="52">
        <f>SUM(J167:J199)</f>
        <v>0</v>
      </c>
      <c r="K200" s="52">
        <f>SUM(K167:K199)</f>
        <v>0</v>
      </c>
      <c r="L200" s="52">
        <f>SUM(L167:L199)</f>
        <v>0</v>
      </c>
      <c r="M200" s="52"/>
      <c r="N200" s="52">
        <f t="shared" ref="N200:W200" si="38">SUM(N167:N199)</f>
        <v>0</v>
      </c>
      <c r="O200" s="52">
        <f t="shared" si="38"/>
        <v>0</v>
      </c>
      <c r="P200" s="52">
        <f t="shared" si="38"/>
        <v>0</v>
      </c>
      <c r="Q200" s="52">
        <f t="shared" si="38"/>
        <v>0</v>
      </c>
      <c r="R200" s="52">
        <f t="shared" si="38"/>
        <v>0</v>
      </c>
      <c r="S200" s="52">
        <f t="shared" si="38"/>
        <v>0</v>
      </c>
      <c r="T200" s="52">
        <f t="shared" si="38"/>
        <v>0</v>
      </c>
      <c r="U200" s="52">
        <f t="shared" si="38"/>
        <v>0</v>
      </c>
      <c r="V200" s="52">
        <f t="shared" si="38"/>
        <v>0</v>
      </c>
      <c r="W200" s="52">
        <f t="shared" si="38"/>
        <v>0</v>
      </c>
    </row>
    <row r="201" spans="2:23" ht="13.5" thickTop="1" x14ac:dyDescent="0.2">
      <c r="G201" s="44" t="s">
        <v>823</v>
      </c>
      <c r="I201" s="44">
        <f>I200-FARegister!I265</f>
        <v>0</v>
      </c>
      <c r="L201" s="44">
        <f>L200-FARegister!L265</f>
        <v>0</v>
      </c>
      <c r="N201" s="44">
        <f>N200-FARegister!Q265</f>
        <v>0</v>
      </c>
      <c r="P201" s="44">
        <f>P200-FARegister!S265</f>
        <v>0</v>
      </c>
      <c r="U201" s="44">
        <f>U200-FARegister!AA265</f>
        <v>0</v>
      </c>
    </row>
    <row r="203" spans="2:23" ht="14.25" x14ac:dyDescent="0.2">
      <c r="B203" s="207" t="s">
        <v>379</v>
      </c>
      <c r="I203" s="276"/>
      <c r="J203" s="276"/>
    </row>
    <row r="204" spans="2:23" x14ac:dyDescent="0.2">
      <c r="B204" s="204"/>
      <c r="I204" s="22"/>
      <c r="J204" s="22"/>
      <c r="K204" s="22"/>
      <c r="L204" s="22"/>
      <c r="M204" s="22"/>
      <c r="N204" s="22"/>
      <c r="O204" s="22" t="s">
        <v>175</v>
      </c>
      <c r="P204" s="22"/>
      <c r="Q204" s="295" t="s">
        <v>811</v>
      </c>
      <c r="R204" s="296" t="s">
        <v>818</v>
      </c>
      <c r="S204" s="297" t="s">
        <v>812</v>
      </c>
      <c r="T204" s="22"/>
      <c r="U204" s="22"/>
      <c r="V204" s="22"/>
      <c r="W204" s="22"/>
    </row>
    <row r="205" spans="2:23" x14ac:dyDescent="0.2">
      <c r="B205" s="205" t="s">
        <v>26</v>
      </c>
      <c r="C205" s="69" t="s">
        <v>261</v>
      </c>
      <c r="D205" s="69"/>
      <c r="E205" s="109"/>
      <c r="F205" s="110"/>
      <c r="G205" s="109"/>
      <c r="H205" s="109"/>
      <c r="I205" s="24" t="s">
        <v>416</v>
      </c>
      <c r="J205" s="24" t="s">
        <v>821</v>
      </c>
      <c r="K205" s="24" t="s">
        <v>648</v>
      </c>
      <c r="L205" s="24" t="s">
        <v>301</v>
      </c>
      <c r="M205" s="24" t="s">
        <v>455</v>
      </c>
      <c r="N205" s="24" t="s">
        <v>650</v>
      </c>
      <c r="O205" s="24" t="s">
        <v>822</v>
      </c>
      <c r="P205" s="24" t="s">
        <v>810</v>
      </c>
      <c r="Q205" s="282" t="s">
        <v>813</v>
      </c>
      <c r="R205" s="24" t="s">
        <v>819</v>
      </c>
      <c r="S205" s="283" t="s">
        <v>814</v>
      </c>
      <c r="T205" s="24" t="s">
        <v>817</v>
      </c>
      <c r="U205" s="24" t="s">
        <v>416</v>
      </c>
      <c r="V205" s="24" t="s">
        <v>816</v>
      </c>
      <c r="W205" s="24" t="s">
        <v>648</v>
      </c>
    </row>
    <row r="207" spans="2:23" x14ac:dyDescent="0.2">
      <c r="C207" s="289" t="s">
        <v>824</v>
      </c>
      <c r="D207" s="289"/>
      <c r="E207" s="289"/>
      <c r="F207" s="289"/>
      <c r="G207" s="289"/>
      <c r="H207" s="289"/>
      <c r="I207" s="289">
        <f>FARegister!I370</f>
        <v>0</v>
      </c>
      <c r="J207" s="289">
        <f>FARegister!J370</f>
        <v>0</v>
      </c>
      <c r="K207" s="289">
        <f t="shared" ref="K207:K214" si="39">+I207-J207</f>
        <v>0</v>
      </c>
      <c r="L207" s="289">
        <f>FARegister!L370</f>
        <v>0</v>
      </c>
      <c r="M207" s="290">
        <v>12</v>
      </c>
      <c r="N207" s="289">
        <f>FARegister!Q370</f>
        <v>0</v>
      </c>
      <c r="O207" s="289">
        <f>FARegister!R370</f>
        <v>0</v>
      </c>
      <c r="P207" s="289">
        <f>FARegister!S370</f>
        <v>0</v>
      </c>
      <c r="Q207" s="289">
        <f>FARegister!V370</f>
        <v>0</v>
      </c>
      <c r="R207" s="289">
        <f>FARegister!W370</f>
        <v>0</v>
      </c>
      <c r="S207" s="289">
        <f>FARegister!X370</f>
        <v>0</v>
      </c>
      <c r="T207" s="289">
        <f>FARegister!Z370</f>
        <v>0</v>
      </c>
      <c r="U207" s="289">
        <f t="shared" ref="U207:U238" si="40">I207+L207-N207</f>
        <v>0</v>
      </c>
      <c r="V207" s="289">
        <f t="shared" ref="V207:V238" si="41">J207+T207-O207</f>
        <v>0</v>
      </c>
      <c r="W207" s="289">
        <f t="shared" ref="W207:W208" si="42">+U207-V207</f>
        <v>0</v>
      </c>
    </row>
    <row r="208" spans="2:23" x14ac:dyDescent="0.2">
      <c r="C208" s="182"/>
      <c r="K208" s="44">
        <f t="shared" si="39"/>
        <v>0</v>
      </c>
      <c r="M208" s="103">
        <v>12</v>
      </c>
      <c r="T208" s="197"/>
      <c r="U208" s="44">
        <f t="shared" si="40"/>
        <v>0</v>
      </c>
      <c r="V208" s="44">
        <f t="shared" si="41"/>
        <v>0</v>
      </c>
      <c r="W208" s="44">
        <f t="shared" si="42"/>
        <v>0</v>
      </c>
    </row>
    <row r="209" spans="2:23" x14ac:dyDescent="0.2">
      <c r="B209" s="57"/>
      <c r="C209" s="1"/>
      <c r="D209" s="1"/>
      <c r="E209" s="1"/>
      <c r="F209" s="1"/>
      <c r="G209" s="1"/>
      <c r="K209" s="44">
        <f t="shared" si="39"/>
        <v>0</v>
      </c>
      <c r="M209" s="103">
        <v>12</v>
      </c>
      <c r="N209" s="103"/>
      <c r="O209" s="103"/>
      <c r="T209" s="197"/>
      <c r="U209" s="44">
        <f t="shared" si="40"/>
        <v>0</v>
      </c>
      <c r="V209" s="44">
        <f t="shared" si="41"/>
        <v>0</v>
      </c>
      <c r="W209" s="44">
        <f t="shared" ref="W209:W272" si="43">+U209-V209</f>
        <v>0</v>
      </c>
    </row>
    <row r="210" spans="2:23" x14ac:dyDescent="0.2">
      <c r="B210" s="57"/>
      <c r="C210" s="1"/>
      <c r="D210" s="1"/>
      <c r="E210" s="1"/>
      <c r="F210" s="1"/>
      <c r="G210" s="1"/>
      <c r="K210" s="44">
        <f t="shared" si="39"/>
        <v>0</v>
      </c>
      <c r="M210" s="103">
        <v>12</v>
      </c>
      <c r="N210" s="103"/>
      <c r="O210" s="103"/>
      <c r="T210" s="197"/>
      <c r="U210" s="44">
        <f t="shared" si="40"/>
        <v>0</v>
      </c>
      <c r="V210" s="44">
        <f t="shared" si="41"/>
        <v>0</v>
      </c>
      <c r="W210" s="44">
        <f t="shared" si="43"/>
        <v>0</v>
      </c>
    </row>
    <row r="211" spans="2:23" x14ac:dyDescent="0.2">
      <c r="B211" s="57"/>
      <c r="C211" s="30"/>
      <c r="D211" s="1"/>
      <c r="E211" s="1"/>
      <c r="F211" s="1"/>
      <c r="G211" s="1"/>
      <c r="K211" s="44">
        <f t="shared" si="39"/>
        <v>0</v>
      </c>
      <c r="M211" s="103">
        <v>12</v>
      </c>
      <c r="N211" s="103"/>
      <c r="O211" s="103"/>
      <c r="T211" s="197"/>
      <c r="U211" s="44">
        <f t="shared" si="40"/>
        <v>0</v>
      </c>
      <c r="V211" s="44">
        <f t="shared" si="41"/>
        <v>0</v>
      </c>
      <c r="W211" s="44">
        <f t="shared" si="43"/>
        <v>0</v>
      </c>
    </row>
    <row r="212" spans="2:23" x14ac:dyDescent="0.2">
      <c r="B212" s="57"/>
      <c r="C212" s="1"/>
      <c r="D212" s="1"/>
      <c r="E212" s="1"/>
      <c r="F212" s="1"/>
      <c r="G212" s="1"/>
      <c r="K212" s="44">
        <f t="shared" si="39"/>
        <v>0</v>
      </c>
      <c r="M212" s="103">
        <v>12</v>
      </c>
      <c r="N212" s="103"/>
      <c r="O212" s="103"/>
      <c r="T212" s="197"/>
      <c r="U212" s="44">
        <f t="shared" si="40"/>
        <v>0</v>
      </c>
      <c r="V212" s="44">
        <f t="shared" si="41"/>
        <v>0</v>
      </c>
      <c r="W212" s="44">
        <f t="shared" si="43"/>
        <v>0</v>
      </c>
    </row>
    <row r="213" spans="2:23" x14ac:dyDescent="0.2">
      <c r="B213" s="57"/>
      <c r="C213" s="1"/>
      <c r="D213" s="30"/>
      <c r="E213" s="30"/>
      <c r="F213" s="30"/>
      <c r="G213" s="30"/>
      <c r="K213" s="44">
        <f t="shared" si="39"/>
        <v>0</v>
      </c>
      <c r="M213" s="103">
        <v>12</v>
      </c>
      <c r="N213" s="103"/>
      <c r="O213" s="103"/>
      <c r="T213" s="197"/>
      <c r="U213" s="44">
        <f t="shared" si="40"/>
        <v>0</v>
      </c>
      <c r="V213" s="44">
        <f t="shared" si="41"/>
        <v>0</v>
      </c>
      <c r="W213" s="44">
        <f t="shared" si="43"/>
        <v>0</v>
      </c>
    </row>
    <row r="214" spans="2:23" x14ac:dyDescent="0.2">
      <c r="B214" s="57"/>
      <c r="C214" s="1"/>
      <c r="D214" s="30"/>
      <c r="E214" s="30"/>
      <c r="F214" s="30"/>
      <c r="G214" s="30"/>
      <c r="K214" s="44">
        <f t="shared" si="39"/>
        <v>0</v>
      </c>
      <c r="M214" s="103">
        <v>12</v>
      </c>
      <c r="N214" s="103"/>
      <c r="O214" s="103"/>
      <c r="T214" s="197"/>
      <c r="U214" s="44">
        <f t="shared" si="40"/>
        <v>0</v>
      </c>
      <c r="V214" s="44">
        <f t="shared" si="41"/>
        <v>0</v>
      </c>
      <c r="W214" s="44">
        <f t="shared" si="43"/>
        <v>0</v>
      </c>
    </row>
    <row r="215" spans="2:23" ht="15" x14ac:dyDescent="0.25">
      <c r="B215" s="57"/>
      <c r="C215" s="30"/>
      <c r="D215" s="199"/>
      <c r="E215" s="199"/>
      <c r="F215" s="200"/>
      <c r="G215" s="199"/>
      <c r="K215" s="44">
        <f>+I215-J215</f>
        <v>0</v>
      </c>
      <c r="M215" s="103">
        <v>12</v>
      </c>
      <c r="N215" s="103"/>
      <c r="O215" s="103"/>
      <c r="T215" s="197"/>
      <c r="U215" s="44">
        <f t="shared" si="40"/>
        <v>0</v>
      </c>
      <c r="V215" s="44">
        <f t="shared" si="41"/>
        <v>0</v>
      </c>
      <c r="W215" s="44">
        <f t="shared" si="43"/>
        <v>0</v>
      </c>
    </row>
    <row r="216" spans="2:23" ht="15" x14ac:dyDescent="0.25">
      <c r="B216" s="210"/>
      <c r="C216" s="182"/>
      <c r="D216" s="199"/>
      <c r="E216" s="199"/>
      <c r="F216" s="200"/>
      <c r="G216" s="199"/>
      <c r="K216" s="44">
        <f>+I216-J216</f>
        <v>0</v>
      </c>
      <c r="M216" s="103">
        <v>12</v>
      </c>
      <c r="N216" s="103"/>
      <c r="O216" s="103"/>
      <c r="T216" s="197"/>
      <c r="U216" s="44">
        <f t="shared" si="40"/>
        <v>0</v>
      </c>
      <c r="V216" s="44">
        <f t="shared" si="41"/>
        <v>0</v>
      </c>
      <c r="W216" s="44">
        <f t="shared" si="43"/>
        <v>0</v>
      </c>
    </row>
    <row r="217" spans="2:23" ht="15" x14ac:dyDescent="0.25">
      <c r="B217" s="210"/>
      <c r="C217" s="199"/>
      <c r="D217" s="199"/>
      <c r="E217" s="199"/>
      <c r="F217" s="200"/>
      <c r="G217" s="199"/>
      <c r="K217" s="44">
        <f>+I217-J217</f>
        <v>0</v>
      </c>
      <c r="M217" s="103">
        <v>12</v>
      </c>
      <c r="N217" s="103"/>
      <c r="O217" s="103"/>
      <c r="T217" s="197"/>
      <c r="U217" s="44">
        <f t="shared" si="40"/>
        <v>0</v>
      </c>
      <c r="V217" s="44">
        <f t="shared" si="41"/>
        <v>0</v>
      </c>
      <c r="W217" s="44">
        <f t="shared" si="43"/>
        <v>0</v>
      </c>
    </row>
    <row r="218" spans="2:23" ht="15" x14ac:dyDescent="0.25">
      <c r="B218" s="210"/>
      <c r="C218" s="199"/>
      <c r="D218" s="199"/>
      <c r="E218" s="199"/>
      <c r="F218" s="200"/>
      <c r="G218" s="199"/>
      <c r="K218" s="44">
        <f>+I218-J218</f>
        <v>0</v>
      </c>
      <c r="M218" s="103">
        <v>12</v>
      </c>
      <c r="N218" s="103"/>
      <c r="O218" s="103"/>
      <c r="T218" s="197"/>
      <c r="U218" s="44">
        <f t="shared" si="40"/>
        <v>0</v>
      </c>
      <c r="V218" s="44">
        <f t="shared" si="41"/>
        <v>0</v>
      </c>
      <c r="W218" s="44">
        <f t="shared" si="43"/>
        <v>0</v>
      </c>
    </row>
    <row r="219" spans="2:23" ht="15" x14ac:dyDescent="0.25">
      <c r="B219" s="210"/>
      <c r="C219" s="199"/>
      <c r="D219" s="199"/>
      <c r="E219" s="199"/>
      <c r="F219" s="200"/>
      <c r="G219" s="199"/>
      <c r="K219" s="44">
        <f>+I219-J219</f>
        <v>0</v>
      </c>
      <c r="M219" s="103">
        <v>12</v>
      </c>
      <c r="N219" s="103"/>
      <c r="O219" s="103"/>
      <c r="T219" s="197"/>
      <c r="U219" s="44">
        <f t="shared" si="40"/>
        <v>0</v>
      </c>
      <c r="V219" s="44">
        <f t="shared" si="41"/>
        <v>0</v>
      </c>
      <c r="W219" s="44">
        <f t="shared" si="43"/>
        <v>0</v>
      </c>
    </row>
    <row r="220" spans="2:23" ht="15" x14ac:dyDescent="0.25">
      <c r="B220" s="210"/>
      <c r="C220" s="199"/>
      <c r="D220" s="199"/>
      <c r="E220" s="199"/>
      <c r="F220" s="200"/>
      <c r="G220" s="199"/>
      <c r="K220" s="44">
        <f t="shared" ref="K220:K303" si="44">+I220-J220</f>
        <v>0</v>
      </c>
      <c r="M220" s="103">
        <v>12</v>
      </c>
      <c r="N220" s="103"/>
      <c r="O220" s="103"/>
      <c r="T220" s="197"/>
      <c r="U220" s="44">
        <f t="shared" si="40"/>
        <v>0</v>
      </c>
      <c r="V220" s="44">
        <f t="shared" si="41"/>
        <v>0</v>
      </c>
      <c r="W220" s="44">
        <f t="shared" si="43"/>
        <v>0</v>
      </c>
    </row>
    <row r="221" spans="2:23" ht="15" x14ac:dyDescent="0.25">
      <c r="B221" s="210"/>
      <c r="C221" s="199"/>
      <c r="D221" s="199"/>
      <c r="E221" s="199"/>
      <c r="F221" s="200"/>
      <c r="G221" s="199"/>
      <c r="K221" s="44">
        <f t="shared" si="44"/>
        <v>0</v>
      </c>
      <c r="M221" s="103">
        <v>12</v>
      </c>
      <c r="N221" s="103"/>
      <c r="O221" s="103"/>
      <c r="T221" s="197"/>
      <c r="U221" s="44">
        <f t="shared" si="40"/>
        <v>0</v>
      </c>
      <c r="V221" s="44">
        <f t="shared" si="41"/>
        <v>0</v>
      </c>
      <c r="W221" s="44">
        <f t="shared" si="43"/>
        <v>0</v>
      </c>
    </row>
    <row r="222" spans="2:23" ht="15" x14ac:dyDescent="0.25">
      <c r="B222" s="210"/>
      <c r="C222" s="201"/>
      <c r="D222" s="199"/>
      <c r="E222" s="199"/>
      <c r="F222" s="200"/>
      <c r="G222" s="199"/>
      <c r="K222" s="44">
        <f t="shared" si="44"/>
        <v>0</v>
      </c>
      <c r="M222" s="103">
        <v>12</v>
      </c>
      <c r="N222" s="103"/>
      <c r="O222" s="103"/>
      <c r="T222" s="197"/>
      <c r="U222" s="44">
        <f t="shared" si="40"/>
        <v>0</v>
      </c>
      <c r="V222" s="44">
        <f t="shared" si="41"/>
        <v>0</v>
      </c>
      <c r="W222" s="44">
        <f t="shared" si="43"/>
        <v>0</v>
      </c>
    </row>
    <row r="223" spans="2:23" ht="15" x14ac:dyDescent="0.25">
      <c r="B223" s="210"/>
      <c r="C223" s="199"/>
      <c r="D223" s="199"/>
      <c r="E223" s="199"/>
      <c r="F223" s="200"/>
      <c r="G223" s="199"/>
      <c r="K223" s="44">
        <f t="shared" si="44"/>
        <v>0</v>
      </c>
      <c r="M223" s="103">
        <v>12</v>
      </c>
      <c r="N223" s="103"/>
      <c r="O223" s="103"/>
      <c r="T223" s="197"/>
      <c r="U223" s="44">
        <f t="shared" si="40"/>
        <v>0</v>
      </c>
      <c r="V223" s="44">
        <f t="shared" si="41"/>
        <v>0</v>
      </c>
      <c r="W223" s="44">
        <f t="shared" si="43"/>
        <v>0</v>
      </c>
    </row>
    <row r="224" spans="2:23" ht="15" x14ac:dyDescent="0.25">
      <c r="B224" s="210"/>
      <c r="C224" s="199"/>
      <c r="D224" s="199"/>
      <c r="E224" s="199"/>
      <c r="F224" s="200"/>
      <c r="G224" s="199"/>
      <c r="K224" s="44">
        <f t="shared" si="44"/>
        <v>0</v>
      </c>
      <c r="M224" s="103">
        <v>12</v>
      </c>
      <c r="N224" s="103"/>
      <c r="O224" s="103"/>
      <c r="T224" s="197"/>
      <c r="U224" s="44">
        <f t="shared" si="40"/>
        <v>0</v>
      </c>
      <c r="V224" s="44">
        <f t="shared" si="41"/>
        <v>0</v>
      </c>
      <c r="W224" s="44">
        <f t="shared" si="43"/>
        <v>0</v>
      </c>
    </row>
    <row r="225" spans="2:23" ht="15" x14ac:dyDescent="0.25">
      <c r="B225" s="210"/>
      <c r="C225" s="199"/>
      <c r="D225" s="199"/>
      <c r="E225" s="199"/>
      <c r="F225" s="200"/>
      <c r="G225" s="199"/>
      <c r="K225" s="44">
        <f t="shared" si="44"/>
        <v>0</v>
      </c>
      <c r="M225" s="103">
        <v>12</v>
      </c>
      <c r="N225" s="103"/>
      <c r="O225" s="103"/>
      <c r="T225" s="197"/>
      <c r="U225" s="44">
        <f t="shared" si="40"/>
        <v>0</v>
      </c>
      <c r="V225" s="44">
        <f t="shared" si="41"/>
        <v>0</v>
      </c>
      <c r="W225" s="44">
        <f t="shared" si="43"/>
        <v>0</v>
      </c>
    </row>
    <row r="226" spans="2:23" ht="15" x14ac:dyDescent="0.25">
      <c r="B226" s="210"/>
      <c r="C226" s="199"/>
      <c r="D226" s="199"/>
      <c r="E226" s="199"/>
      <c r="F226" s="200"/>
      <c r="G226" s="199"/>
      <c r="K226" s="44">
        <f t="shared" si="44"/>
        <v>0</v>
      </c>
      <c r="M226" s="103">
        <v>12</v>
      </c>
      <c r="N226" s="103"/>
      <c r="O226" s="103"/>
      <c r="T226" s="197"/>
      <c r="U226" s="44">
        <f t="shared" si="40"/>
        <v>0</v>
      </c>
      <c r="V226" s="44">
        <f t="shared" si="41"/>
        <v>0</v>
      </c>
      <c r="W226" s="44">
        <f t="shared" si="43"/>
        <v>0</v>
      </c>
    </row>
    <row r="227" spans="2:23" ht="15" x14ac:dyDescent="0.25">
      <c r="B227" s="210"/>
      <c r="C227" s="199"/>
      <c r="D227" s="199"/>
      <c r="E227" s="199"/>
      <c r="F227" s="200"/>
      <c r="G227" s="199"/>
      <c r="K227" s="44">
        <f t="shared" si="44"/>
        <v>0</v>
      </c>
      <c r="M227" s="103">
        <v>12</v>
      </c>
      <c r="N227" s="103"/>
      <c r="O227" s="103"/>
      <c r="T227" s="197"/>
      <c r="U227" s="44">
        <f t="shared" si="40"/>
        <v>0</v>
      </c>
      <c r="V227" s="44">
        <f t="shared" si="41"/>
        <v>0</v>
      </c>
      <c r="W227" s="44">
        <f t="shared" si="43"/>
        <v>0</v>
      </c>
    </row>
    <row r="228" spans="2:23" ht="15" x14ac:dyDescent="0.25">
      <c r="B228" s="210"/>
      <c r="C228" s="199"/>
      <c r="D228" s="199"/>
      <c r="E228" s="199"/>
      <c r="F228" s="200"/>
      <c r="G228" s="199"/>
      <c r="K228" s="44">
        <f t="shared" si="44"/>
        <v>0</v>
      </c>
      <c r="M228" s="103">
        <v>12</v>
      </c>
      <c r="N228" s="103"/>
      <c r="O228" s="103"/>
      <c r="T228" s="197"/>
      <c r="U228" s="44">
        <f t="shared" si="40"/>
        <v>0</v>
      </c>
      <c r="V228" s="44">
        <f t="shared" si="41"/>
        <v>0</v>
      </c>
      <c r="W228" s="44">
        <f t="shared" si="43"/>
        <v>0</v>
      </c>
    </row>
    <row r="229" spans="2:23" ht="15" x14ac:dyDescent="0.25">
      <c r="B229" s="210"/>
      <c r="C229" s="199"/>
      <c r="D229" s="199"/>
      <c r="E229" s="199"/>
      <c r="F229" s="200"/>
      <c r="G229" s="199"/>
      <c r="K229" s="44">
        <f t="shared" si="44"/>
        <v>0</v>
      </c>
      <c r="M229" s="103">
        <v>12</v>
      </c>
      <c r="N229" s="103"/>
      <c r="O229" s="103"/>
      <c r="T229" s="197"/>
      <c r="U229" s="44">
        <f t="shared" si="40"/>
        <v>0</v>
      </c>
      <c r="V229" s="44">
        <f t="shared" si="41"/>
        <v>0</v>
      </c>
      <c r="W229" s="44">
        <f t="shared" si="43"/>
        <v>0</v>
      </c>
    </row>
    <row r="230" spans="2:23" ht="15" x14ac:dyDescent="0.25">
      <c r="B230" s="210"/>
      <c r="C230" s="199"/>
      <c r="D230" s="199"/>
      <c r="E230" s="199"/>
      <c r="F230" s="200"/>
      <c r="G230" s="199"/>
      <c r="K230" s="44">
        <f t="shared" si="44"/>
        <v>0</v>
      </c>
      <c r="M230" s="103">
        <v>12</v>
      </c>
      <c r="N230" s="103"/>
      <c r="O230" s="103"/>
      <c r="T230" s="197"/>
      <c r="U230" s="44">
        <f t="shared" si="40"/>
        <v>0</v>
      </c>
      <c r="V230" s="44">
        <f t="shared" si="41"/>
        <v>0</v>
      </c>
      <c r="W230" s="44">
        <f t="shared" si="43"/>
        <v>0</v>
      </c>
    </row>
    <row r="231" spans="2:23" ht="15" x14ac:dyDescent="0.25">
      <c r="B231" s="210"/>
      <c r="C231" s="199"/>
      <c r="D231" s="199"/>
      <c r="E231" s="199"/>
      <c r="F231" s="200"/>
      <c r="G231" s="199"/>
      <c r="K231" s="44">
        <f t="shared" si="44"/>
        <v>0</v>
      </c>
      <c r="M231" s="103">
        <v>12</v>
      </c>
      <c r="N231" s="103"/>
      <c r="O231" s="103"/>
      <c r="T231" s="197"/>
      <c r="U231" s="44">
        <f t="shared" si="40"/>
        <v>0</v>
      </c>
      <c r="V231" s="44">
        <f t="shared" si="41"/>
        <v>0</v>
      </c>
      <c r="W231" s="44">
        <f t="shared" si="43"/>
        <v>0</v>
      </c>
    </row>
    <row r="232" spans="2:23" ht="15" x14ac:dyDescent="0.25">
      <c r="B232" s="210"/>
      <c r="C232" s="199"/>
      <c r="D232" s="199"/>
      <c r="E232" s="199"/>
      <c r="F232" s="200"/>
      <c r="G232" s="199"/>
      <c r="K232" s="44">
        <f t="shared" si="44"/>
        <v>0</v>
      </c>
      <c r="M232" s="103">
        <v>12</v>
      </c>
      <c r="N232" s="103"/>
      <c r="O232" s="103"/>
      <c r="T232" s="197"/>
      <c r="U232" s="44">
        <f t="shared" si="40"/>
        <v>0</v>
      </c>
      <c r="V232" s="44">
        <f t="shared" si="41"/>
        <v>0</v>
      </c>
      <c r="W232" s="44">
        <f t="shared" si="43"/>
        <v>0</v>
      </c>
    </row>
    <row r="233" spans="2:23" ht="15" x14ac:dyDescent="0.25">
      <c r="B233" s="210"/>
      <c r="C233" s="199"/>
      <c r="D233" s="199"/>
      <c r="E233" s="199"/>
      <c r="F233" s="200"/>
      <c r="G233" s="199"/>
      <c r="K233" s="44">
        <f t="shared" si="44"/>
        <v>0</v>
      </c>
      <c r="M233" s="103">
        <v>12</v>
      </c>
      <c r="N233" s="103"/>
      <c r="O233" s="103"/>
      <c r="T233" s="197"/>
      <c r="U233" s="44">
        <f t="shared" si="40"/>
        <v>0</v>
      </c>
      <c r="V233" s="44">
        <f t="shared" si="41"/>
        <v>0</v>
      </c>
      <c r="W233" s="44">
        <f t="shared" si="43"/>
        <v>0</v>
      </c>
    </row>
    <row r="234" spans="2:23" ht="15" x14ac:dyDescent="0.25">
      <c r="B234" s="210"/>
      <c r="C234" s="199"/>
      <c r="D234" s="199"/>
      <c r="E234" s="199"/>
      <c r="F234" s="200"/>
      <c r="G234" s="199"/>
      <c r="K234" s="44">
        <f t="shared" si="44"/>
        <v>0</v>
      </c>
      <c r="M234" s="103">
        <v>12</v>
      </c>
      <c r="N234" s="103"/>
      <c r="O234" s="103"/>
      <c r="T234" s="197"/>
      <c r="U234" s="44">
        <f t="shared" si="40"/>
        <v>0</v>
      </c>
      <c r="V234" s="44">
        <f t="shared" si="41"/>
        <v>0</v>
      </c>
      <c r="W234" s="44">
        <f t="shared" si="43"/>
        <v>0</v>
      </c>
    </row>
    <row r="235" spans="2:23" ht="15" x14ac:dyDescent="0.25">
      <c r="B235" s="210"/>
      <c r="C235" s="199"/>
      <c r="D235" s="199"/>
      <c r="E235" s="199"/>
      <c r="F235" s="200"/>
      <c r="G235" s="199"/>
      <c r="K235" s="44">
        <f t="shared" si="44"/>
        <v>0</v>
      </c>
      <c r="M235" s="103">
        <v>12</v>
      </c>
      <c r="N235" s="103"/>
      <c r="O235" s="103"/>
      <c r="T235" s="197"/>
      <c r="U235" s="44">
        <f t="shared" si="40"/>
        <v>0</v>
      </c>
      <c r="V235" s="44">
        <f t="shared" si="41"/>
        <v>0</v>
      </c>
      <c r="W235" s="44">
        <f t="shared" si="43"/>
        <v>0</v>
      </c>
    </row>
    <row r="236" spans="2:23" ht="15" x14ac:dyDescent="0.25">
      <c r="B236" s="210"/>
      <c r="C236" s="199"/>
      <c r="D236" s="199"/>
      <c r="E236" s="199"/>
      <c r="F236" s="200"/>
      <c r="G236" s="199"/>
      <c r="K236" s="44">
        <f t="shared" si="44"/>
        <v>0</v>
      </c>
      <c r="M236" s="103">
        <v>12</v>
      </c>
      <c r="N236" s="103"/>
      <c r="O236" s="103"/>
      <c r="T236" s="197"/>
      <c r="U236" s="44">
        <f t="shared" si="40"/>
        <v>0</v>
      </c>
      <c r="V236" s="44">
        <f t="shared" si="41"/>
        <v>0</v>
      </c>
      <c r="W236" s="44">
        <f t="shared" si="43"/>
        <v>0</v>
      </c>
    </row>
    <row r="237" spans="2:23" ht="15" x14ac:dyDescent="0.25">
      <c r="B237" s="210"/>
      <c r="C237" s="199"/>
      <c r="D237" s="199"/>
      <c r="E237" s="199"/>
      <c r="F237" s="200"/>
      <c r="G237" s="199"/>
      <c r="K237" s="44">
        <f t="shared" si="44"/>
        <v>0</v>
      </c>
      <c r="M237" s="103">
        <v>12</v>
      </c>
      <c r="N237" s="103"/>
      <c r="O237" s="103"/>
      <c r="T237" s="197"/>
      <c r="U237" s="44">
        <f t="shared" si="40"/>
        <v>0</v>
      </c>
      <c r="V237" s="44">
        <f t="shared" si="41"/>
        <v>0</v>
      </c>
      <c r="W237" s="44">
        <f t="shared" si="43"/>
        <v>0</v>
      </c>
    </row>
    <row r="238" spans="2:23" ht="15" x14ac:dyDescent="0.25">
      <c r="B238" s="210"/>
      <c r="C238" s="199"/>
      <c r="D238" s="199"/>
      <c r="E238" s="199"/>
      <c r="F238" s="200"/>
      <c r="G238" s="199"/>
      <c r="K238" s="44">
        <f t="shared" si="44"/>
        <v>0</v>
      </c>
      <c r="M238" s="103">
        <v>12</v>
      </c>
      <c r="N238" s="103"/>
      <c r="O238" s="103"/>
      <c r="T238" s="197"/>
      <c r="U238" s="44">
        <f t="shared" si="40"/>
        <v>0</v>
      </c>
      <c r="V238" s="44">
        <f t="shared" si="41"/>
        <v>0</v>
      </c>
      <c r="W238" s="44">
        <f t="shared" si="43"/>
        <v>0</v>
      </c>
    </row>
    <row r="239" spans="2:23" ht="15" x14ac:dyDescent="0.25">
      <c r="B239" s="210"/>
      <c r="C239" s="199"/>
      <c r="D239" s="199"/>
      <c r="E239" s="199"/>
      <c r="F239" s="200"/>
      <c r="G239" s="199"/>
      <c r="K239" s="44">
        <f t="shared" si="44"/>
        <v>0</v>
      </c>
      <c r="M239" s="103">
        <v>12</v>
      </c>
      <c r="N239" s="103"/>
      <c r="O239" s="103"/>
      <c r="T239" s="197"/>
      <c r="U239" s="44">
        <f t="shared" ref="U239:U270" si="45">I239+L239-N239</f>
        <v>0</v>
      </c>
      <c r="V239" s="44">
        <f t="shared" ref="V239:V270" si="46">J239+T239-O239</f>
        <v>0</v>
      </c>
      <c r="W239" s="44">
        <f t="shared" si="43"/>
        <v>0</v>
      </c>
    </row>
    <row r="240" spans="2:23" ht="15" x14ac:dyDescent="0.25">
      <c r="B240" s="210"/>
      <c r="C240" s="199"/>
      <c r="D240" s="199"/>
      <c r="E240" s="199"/>
      <c r="F240" s="200"/>
      <c r="G240" s="199"/>
      <c r="K240" s="44">
        <f t="shared" si="44"/>
        <v>0</v>
      </c>
      <c r="M240" s="103">
        <v>12</v>
      </c>
      <c r="N240" s="103"/>
      <c r="O240" s="103"/>
      <c r="T240" s="197"/>
      <c r="U240" s="44">
        <f t="shared" si="45"/>
        <v>0</v>
      </c>
      <c r="V240" s="44">
        <f t="shared" si="46"/>
        <v>0</v>
      </c>
      <c r="W240" s="44">
        <f t="shared" si="43"/>
        <v>0</v>
      </c>
    </row>
    <row r="241" spans="2:23" ht="15" x14ac:dyDescent="0.25">
      <c r="B241" s="210"/>
      <c r="C241" s="199"/>
      <c r="D241" s="199"/>
      <c r="E241" s="199"/>
      <c r="F241" s="200"/>
      <c r="G241" s="199"/>
      <c r="K241" s="44">
        <f t="shared" si="44"/>
        <v>0</v>
      </c>
      <c r="M241" s="103">
        <v>12</v>
      </c>
      <c r="N241" s="103"/>
      <c r="O241" s="103"/>
      <c r="T241" s="197"/>
      <c r="U241" s="44">
        <f t="shared" si="45"/>
        <v>0</v>
      </c>
      <c r="V241" s="44">
        <f t="shared" si="46"/>
        <v>0</v>
      </c>
      <c r="W241" s="44">
        <f t="shared" si="43"/>
        <v>0</v>
      </c>
    </row>
    <row r="242" spans="2:23" ht="15" x14ac:dyDescent="0.25">
      <c r="B242" s="210"/>
      <c r="C242" s="199"/>
      <c r="D242" s="199"/>
      <c r="E242" s="199"/>
      <c r="F242" s="200"/>
      <c r="G242" s="199"/>
      <c r="K242" s="44">
        <f t="shared" si="44"/>
        <v>0</v>
      </c>
      <c r="M242" s="103">
        <v>12</v>
      </c>
      <c r="N242" s="103"/>
      <c r="O242" s="103"/>
      <c r="T242" s="197"/>
      <c r="U242" s="44">
        <f t="shared" si="45"/>
        <v>0</v>
      </c>
      <c r="V242" s="44">
        <f t="shared" si="46"/>
        <v>0</v>
      </c>
      <c r="W242" s="44">
        <f t="shared" si="43"/>
        <v>0</v>
      </c>
    </row>
    <row r="243" spans="2:23" ht="15" x14ac:dyDescent="0.25">
      <c r="B243" s="210"/>
      <c r="C243" s="199"/>
      <c r="D243" s="199"/>
      <c r="E243" s="199"/>
      <c r="F243" s="200"/>
      <c r="G243" s="199"/>
      <c r="K243" s="44">
        <f t="shared" si="44"/>
        <v>0</v>
      </c>
      <c r="M243" s="103">
        <v>12</v>
      </c>
      <c r="N243" s="103"/>
      <c r="O243" s="103"/>
      <c r="T243" s="197"/>
      <c r="U243" s="44">
        <f t="shared" si="45"/>
        <v>0</v>
      </c>
      <c r="V243" s="44">
        <f t="shared" si="46"/>
        <v>0</v>
      </c>
      <c r="W243" s="44">
        <f t="shared" si="43"/>
        <v>0</v>
      </c>
    </row>
    <row r="244" spans="2:23" ht="15" x14ac:dyDescent="0.25">
      <c r="B244" s="210"/>
      <c r="C244" s="199"/>
      <c r="D244" s="199"/>
      <c r="E244" s="199"/>
      <c r="F244" s="200"/>
      <c r="G244" s="199"/>
      <c r="K244" s="44">
        <f t="shared" si="44"/>
        <v>0</v>
      </c>
      <c r="M244" s="103">
        <v>12</v>
      </c>
      <c r="N244" s="103"/>
      <c r="O244" s="103"/>
      <c r="T244" s="197"/>
      <c r="U244" s="44">
        <f t="shared" si="45"/>
        <v>0</v>
      </c>
      <c r="V244" s="44">
        <f t="shared" si="46"/>
        <v>0</v>
      </c>
      <c r="W244" s="44">
        <f t="shared" si="43"/>
        <v>0</v>
      </c>
    </row>
    <row r="245" spans="2:23" ht="15" x14ac:dyDescent="0.25">
      <c r="B245" s="210"/>
      <c r="C245" s="199"/>
      <c r="D245" s="199"/>
      <c r="E245" s="199"/>
      <c r="F245" s="200"/>
      <c r="G245" s="199"/>
      <c r="K245" s="44">
        <f t="shared" si="44"/>
        <v>0</v>
      </c>
      <c r="M245" s="103">
        <v>12</v>
      </c>
      <c r="N245" s="103"/>
      <c r="O245" s="103"/>
      <c r="T245" s="197"/>
      <c r="U245" s="44">
        <f t="shared" si="45"/>
        <v>0</v>
      </c>
      <c r="V245" s="44">
        <f t="shared" si="46"/>
        <v>0</v>
      </c>
      <c r="W245" s="44">
        <f t="shared" si="43"/>
        <v>0</v>
      </c>
    </row>
    <row r="246" spans="2:23" ht="15" x14ac:dyDescent="0.25">
      <c r="B246" s="210"/>
      <c r="C246" s="199"/>
      <c r="D246" s="199"/>
      <c r="E246" s="199"/>
      <c r="F246" s="200"/>
      <c r="G246" s="199"/>
      <c r="K246" s="44">
        <f t="shared" si="44"/>
        <v>0</v>
      </c>
      <c r="M246" s="103">
        <v>12</v>
      </c>
      <c r="N246" s="103"/>
      <c r="O246" s="103"/>
      <c r="T246" s="197"/>
      <c r="U246" s="44">
        <f t="shared" si="45"/>
        <v>0</v>
      </c>
      <c r="V246" s="44">
        <f t="shared" si="46"/>
        <v>0</v>
      </c>
      <c r="W246" s="44">
        <f t="shared" si="43"/>
        <v>0</v>
      </c>
    </row>
    <row r="247" spans="2:23" ht="15" x14ac:dyDescent="0.25">
      <c r="B247" s="210"/>
      <c r="C247" s="199"/>
      <c r="D247" s="199"/>
      <c r="E247" s="199"/>
      <c r="F247" s="200"/>
      <c r="G247" s="199"/>
      <c r="K247" s="44">
        <f t="shared" si="44"/>
        <v>0</v>
      </c>
      <c r="M247" s="103">
        <v>12</v>
      </c>
      <c r="N247" s="103"/>
      <c r="O247" s="103"/>
      <c r="T247" s="197"/>
      <c r="U247" s="44">
        <f t="shared" si="45"/>
        <v>0</v>
      </c>
      <c r="V247" s="44">
        <f t="shared" si="46"/>
        <v>0</v>
      </c>
      <c r="W247" s="44">
        <f t="shared" si="43"/>
        <v>0</v>
      </c>
    </row>
    <row r="248" spans="2:23" ht="15" x14ac:dyDescent="0.25">
      <c r="B248" s="210"/>
      <c r="C248" s="199"/>
      <c r="D248" s="199"/>
      <c r="E248" s="199"/>
      <c r="F248" s="200"/>
      <c r="G248" s="199"/>
      <c r="K248" s="44">
        <f t="shared" si="44"/>
        <v>0</v>
      </c>
      <c r="M248" s="103">
        <v>12</v>
      </c>
      <c r="N248" s="103"/>
      <c r="O248" s="103"/>
      <c r="T248" s="197"/>
      <c r="U248" s="44">
        <f t="shared" si="45"/>
        <v>0</v>
      </c>
      <c r="V248" s="44">
        <f t="shared" si="46"/>
        <v>0</v>
      </c>
      <c r="W248" s="44">
        <f t="shared" si="43"/>
        <v>0</v>
      </c>
    </row>
    <row r="249" spans="2:23" ht="15" x14ac:dyDescent="0.25">
      <c r="B249" s="210"/>
      <c r="C249" s="199"/>
      <c r="D249" s="199"/>
      <c r="E249" s="199"/>
      <c r="F249" s="200"/>
      <c r="G249" s="199"/>
      <c r="K249" s="44">
        <f t="shared" si="44"/>
        <v>0</v>
      </c>
      <c r="M249" s="103">
        <v>12</v>
      </c>
      <c r="N249" s="103"/>
      <c r="O249" s="103"/>
      <c r="T249" s="197"/>
      <c r="U249" s="44">
        <f t="shared" si="45"/>
        <v>0</v>
      </c>
      <c r="V249" s="44">
        <f t="shared" si="46"/>
        <v>0</v>
      </c>
      <c r="W249" s="44">
        <f t="shared" si="43"/>
        <v>0</v>
      </c>
    </row>
    <row r="250" spans="2:23" ht="15" x14ac:dyDescent="0.25">
      <c r="B250" s="210"/>
      <c r="C250" s="199"/>
      <c r="D250" s="199"/>
      <c r="E250" s="199"/>
      <c r="F250" s="200"/>
      <c r="G250" s="199"/>
      <c r="K250" s="44">
        <f t="shared" si="44"/>
        <v>0</v>
      </c>
      <c r="M250" s="103">
        <v>12</v>
      </c>
      <c r="N250" s="103"/>
      <c r="O250" s="103"/>
      <c r="T250" s="197"/>
      <c r="U250" s="44">
        <f t="shared" si="45"/>
        <v>0</v>
      </c>
      <c r="V250" s="44">
        <f t="shared" si="46"/>
        <v>0</v>
      </c>
      <c r="W250" s="44">
        <f t="shared" si="43"/>
        <v>0</v>
      </c>
    </row>
    <row r="251" spans="2:23" ht="15" x14ac:dyDescent="0.25">
      <c r="B251" s="210"/>
      <c r="C251" s="199"/>
      <c r="D251" s="199"/>
      <c r="E251" s="199"/>
      <c r="F251" s="200"/>
      <c r="G251" s="199"/>
      <c r="K251" s="44">
        <f t="shared" si="44"/>
        <v>0</v>
      </c>
      <c r="M251" s="103">
        <v>12</v>
      </c>
      <c r="N251" s="103"/>
      <c r="O251" s="103"/>
      <c r="T251" s="197"/>
      <c r="U251" s="44">
        <f t="shared" si="45"/>
        <v>0</v>
      </c>
      <c r="V251" s="44">
        <f t="shared" si="46"/>
        <v>0</v>
      </c>
      <c r="W251" s="44">
        <f t="shared" si="43"/>
        <v>0</v>
      </c>
    </row>
    <row r="252" spans="2:23" ht="15" x14ac:dyDescent="0.25">
      <c r="B252" s="210"/>
      <c r="C252" s="199"/>
      <c r="D252" s="199"/>
      <c r="E252" s="199"/>
      <c r="F252" s="200"/>
      <c r="G252" s="199"/>
      <c r="K252" s="44">
        <f t="shared" si="44"/>
        <v>0</v>
      </c>
      <c r="M252" s="103">
        <v>12</v>
      </c>
      <c r="N252" s="103"/>
      <c r="O252" s="103"/>
      <c r="T252" s="197"/>
      <c r="U252" s="44">
        <f t="shared" si="45"/>
        <v>0</v>
      </c>
      <c r="V252" s="44">
        <f t="shared" si="46"/>
        <v>0</v>
      </c>
      <c r="W252" s="44">
        <f t="shared" si="43"/>
        <v>0</v>
      </c>
    </row>
    <row r="253" spans="2:23" ht="15" x14ac:dyDescent="0.25">
      <c r="B253" s="210"/>
      <c r="C253" s="199"/>
      <c r="D253" s="199"/>
      <c r="E253" s="199"/>
      <c r="F253" s="200"/>
      <c r="G253" s="199"/>
      <c r="K253" s="44">
        <f t="shared" si="44"/>
        <v>0</v>
      </c>
      <c r="M253" s="103">
        <v>12</v>
      </c>
      <c r="N253" s="103"/>
      <c r="O253" s="103"/>
      <c r="T253" s="197"/>
      <c r="U253" s="44">
        <f t="shared" si="45"/>
        <v>0</v>
      </c>
      <c r="V253" s="44">
        <f t="shared" si="46"/>
        <v>0</v>
      </c>
      <c r="W253" s="44">
        <f t="shared" si="43"/>
        <v>0</v>
      </c>
    </row>
    <row r="254" spans="2:23" ht="15" x14ac:dyDescent="0.25">
      <c r="B254" s="210"/>
      <c r="C254" s="199"/>
      <c r="D254" s="199"/>
      <c r="E254" s="199"/>
      <c r="F254" s="200"/>
      <c r="G254" s="199"/>
      <c r="K254" s="44">
        <f t="shared" si="44"/>
        <v>0</v>
      </c>
      <c r="M254" s="103">
        <v>12</v>
      </c>
      <c r="N254" s="103"/>
      <c r="O254" s="103"/>
      <c r="T254" s="197"/>
      <c r="U254" s="44">
        <f t="shared" si="45"/>
        <v>0</v>
      </c>
      <c r="V254" s="44">
        <f t="shared" si="46"/>
        <v>0</v>
      </c>
      <c r="W254" s="44">
        <f t="shared" si="43"/>
        <v>0</v>
      </c>
    </row>
    <row r="255" spans="2:23" ht="15" x14ac:dyDescent="0.25">
      <c r="B255" s="210"/>
      <c r="C255" s="199"/>
      <c r="D255" s="199"/>
      <c r="E255" s="199"/>
      <c r="F255" s="200"/>
      <c r="G255" s="199"/>
      <c r="K255" s="44">
        <f t="shared" si="44"/>
        <v>0</v>
      </c>
      <c r="M255" s="103">
        <v>12</v>
      </c>
      <c r="N255" s="103"/>
      <c r="O255" s="103"/>
      <c r="T255" s="197"/>
      <c r="U255" s="44">
        <f t="shared" si="45"/>
        <v>0</v>
      </c>
      <c r="V255" s="44">
        <f t="shared" si="46"/>
        <v>0</v>
      </c>
      <c r="W255" s="44">
        <f t="shared" si="43"/>
        <v>0</v>
      </c>
    </row>
    <row r="256" spans="2:23" ht="15" x14ac:dyDescent="0.25">
      <c r="B256" s="210"/>
      <c r="C256" s="199"/>
      <c r="D256" s="199"/>
      <c r="E256" s="199"/>
      <c r="F256" s="200"/>
      <c r="G256" s="199"/>
      <c r="K256" s="44">
        <f t="shared" si="44"/>
        <v>0</v>
      </c>
      <c r="M256" s="103">
        <v>12</v>
      </c>
      <c r="N256" s="103"/>
      <c r="O256" s="103"/>
      <c r="T256" s="197"/>
      <c r="U256" s="44">
        <f t="shared" si="45"/>
        <v>0</v>
      </c>
      <c r="V256" s="44">
        <f t="shared" si="46"/>
        <v>0</v>
      </c>
      <c r="W256" s="44">
        <f t="shared" si="43"/>
        <v>0</v>
      </c>
    </row>
    <row r="257" spans="2:23" ht="15" x14ac:dyDescent="0.25">
      <c r="B257" s="210"/>
      <c r="C257" s="199"/>
      <c r="D257" s="199"/>
      <c r="E257" s="199"/>
      <c r="F257" s="200"/>
      <c r="G257" s="199"/>
      <c r="K257" s="44">
        <f t="shared" si="44"/>
        <v>0</v>
      </c>
      <c r="M257" s="103">
        <v>12</v>
      </c>
      <c r="N257" s="103"/>
      <c r="O257" s="103"/>
      <c r="T257" s="197"/>
      <c r="U257" s="44">
        <f t="shared" si="45"/>
        <v>0</v>
      </c>
      <c r="V257" s="44">
        <f t="shared" si="46"/>
        <v>0</v>
      </c>
      <c r="W257" s="44">
        <f t="shared" si="43"/>
        <v>0</v>
      </c>
    </row>
    <row r="258" spans="2:23" ht="15" x14ac:dyDescent="0.25">
      <c r="B258" s="210"/>
      <c r="C258" s="199"/>
      <c r="D258" s="199"/>
      <c r="E258" s="199"/>
      <c r="F258" s="200"/>
      <c r="G258" s="199"/>
      <c r="K258" s="44">
        <f t="shared" si="44"/>
        <v>0</v>
      </c>
      <c r="M258" s="103">
        <v>12</v>
      </c>
      <c r="N258" s="103"/>
      <c r="O258" s="103"/>
      <c r="T258" s="197"/>
      <c r="U258" s="44">
        <f t="shared" si="45"/>
        <v>0</v>
      </c>
      <c r="V258" s="44">
        <f t="shared" si="46"/>
        <v>0</v>
      </c>
      <c r="W258" s="44">
        <f t="shared" si="43"/>
        <v>0</v>
      </c>
    </row>
    <row r="259" spans="2:23" ht="15" x14ac:dyDescent="0.25">
      <c r="B259" s="210"/>
      <c r="C259" s="199"/>
      <c r="D259" s="199"/>
      <c r="E259" s="199"/>
      <c r="F259" s="200"/>
      <c r="G259" s="199"/>
      <c r="K259" s="44">
        <f t="shared" si="44"/>
        <v>0</v>
      </c>
      <c r="M259" s="103">
        <v>12</v>
      </c>
      <c r="N259" s="103"/>
      <c r="O259" s="103"/>
      <c r="T259" s="197"/>
      <c r="U259" s="44">
        <f t="shared" si="45"/>
        <v>0</v>
      </c>
      <c r="V259" s="44">
        <f t="shared" si="46"/>
        <v>0</v>
      </c>
      <c r="W259" s="44">
        <f t="shared" si="43"/>
        <v>0</v>
      </c>
    </row>
    <row r="260" spans="2:23" ht="15" x14ac:dyDescent="0.25">
      <c r="B260" s="210"/>
      <c r="C260" s="199"/>
      <c r="D260" s="199"/>
      <c r="E260" s="199"/>
      <c r="F260" s="200"/>
      <c r="G260" s="199"/>
      <c r="K260" s="44">
        <f t="shared" si="44"/>
        <v>0</v>
      </c>
      <c r="M260" s="103">
        <v>12</v>
      </c>
      <c r="N260" s="103"/>
      <c r="O260" s="103"/>
      <c r="T260" s="197"/>
      <c r="U260" s="44">
        <f t="shared" si="45"/>
        <v>0</v>
      </c>
      <c r="V260" s="44">
        <f t="shared" si="46"/>
        <v>0</v>
      </c>
      <c r="W260" s="44">
        <f t="shared" si="43"/>
        <v>0</v>
      </c>
    </row>
    <row r="261" spans="2:23" ht="15" x14ac:dyDescent="0.25">
      <c r="B261" s="210"/>
      <c r="C261" s="199"/>
      <c r="D261" s="199"/>
      <c r="E261" s="199"/>
      <c r="F261" s="200"/>
      <c r="G261" s="199"/>
      <c r="K261" s="44">
        <f t="shared" si="44"/>
        <v>0</v>
      </c>
      <c r="M261" s="103">
        <v>12</v>
      </c>
      <c r="N261" s="103"/>
      <c r="O261" s="103"/>
      <c r="T261" s="197"/>
      <c r="U261" s="44">
        <f t="shared" si="45"/>
        <v>0</v>
      </c>
      <c r="V261" s="44">
        <f t="shared" si="46"/>
        <v>0</v>
      </c>
      <c r="W261" s="44">
        <f t="shared" si="43"/>
        <v>0</v>
      </c>
    </row>
    <row r="262" spans="2:23" ht="15" x14ac:dyDescent="0.25">
      <c r="B262" s="210"/>
      <c r="C262" s="199"/>
      <c r="D262" s="199"/>
      <c r="E262" s="199"/>
      <c r="F262" s="200"/>
      <c r="G262" s="199"/>
      <c r="K262" s="44">
        <f t="shared" si="44"/>
        <v>0</v>
      </c>
      <c r="M262" s="103">
        <v>12</v>
      </c>
      <c r="N262" s="103"/>
      <c r="O262" s="103"/>
      <c r="T262" s="197"/>
      <c r="U262" s="44">
        <f t="shared" si="45"/>
        <v>0</v>
      </c>
      <c r="V262" s="44">
        <f t="shared" si="46"/>
        <v>0</v>
      </c>
      <c r="W262" s="44">
        <f t="shared" si="43"/>
        <v>0</v>
      </c>
    </row>
    <row r="263" spans="2:23" ht="15" x14ac:dyDescent="0.25">
      <c r="B263" s="210"/>
      <c r="C263" s="199"/>
      <c r="D263" s="199"/>
      <c r="E263" s="199"/>
      <c r="F263" s="200"/>
      <c r="G263" s="199"/>
      <c r="K263" s="44">
        <f t="shared" si="44"/>
        <v>0</v>
      </c>
      <c r="M263" s="103">
        <v>12</v>
      </c>
      <c r="N263" s="103"/>
      <c r="O263" s="103"/>
      <c r="T263" s="197"/>
      <c r="U263" s="44">
        <f t="shared" si="45"/>
        <v>0</v>
      </c>
      <c r="V263" s="44">
        <f t="shared" si="46"/>
        <v>0</v>
      </c>
      <c r="W263" s="44">
        <f t="shared" si="43"/>
        <v>0</v>
      </c>
    </row>
    <row r="264" spans="2:23" ht="15" x14ac:dyDescent="0.25">
      <c r="B264" s="210"/>
      <c r="C264" s="199"/>
      <c r="D264" s="199"/>
      <c r="E264" s="199"/>
      <c r="F264" s="200"/>
      <c r="G264" s="199"/>
      <c r="K264" s="44">
        <f t="shared" si="44"/>
        <v>0</v>
      </c>
      <c r="M264" s="103">
        <v>12</v>
      </c>
      <c r="N264" s="103"/>
      <c r="O264" s="103"/>
      <c r="T264" s="197"/>
      <c r="U264" s="44">
        <f t="shared" si="45"/>
        <v>0</v>
      </c>
      <c r="V264" s="44">
        <f t="shared" si="46"/>
        <v>0</v>
      </c>
      <c r="W264" s="44">
        <f t="shared" si="43"/>
        <v>0</v>
      </c>
    </row>
    <row r="265" spans="2:23" ht="15" x14ac:dyDescent="0.25">
      <c r="B265" s="210"/>
      <c r="C265" s="199"/>
      <c r="D265" s="199"/>
      <c r="E265" s="199"/>
      <c r="F265" s="200"/>
      <c r="G265" s="199"/>
      <c r="K265" s="44">
        <f t="shared" si="44"/>
        <v>0</v>
      </c>
      <c r="M265" s="103">
        <v>12</v>
      </c>
      <c r="N265" s="103"/>
      <c r="O265" s="103"/>
      <c r="T265" s="197"/>
      <c r="U265" s="44">
        <f t="shared" si="45"/>
        <v>0</v>
      </c>
      <c r="V265" s="44">
        <f t="shared" si="46"/>
        <v>0</v>
      </c>
      <c r="W265" s="44">
        <f t="shared" si="43"/>
        <v>0</v>
      </c>
    </row>
    <row r="266" spans="2:23" ht="15" x14ac:dyDescent="0.25">
      <c r="B266" s="210"/>
      <c r="C266" s="199"/>
      <c r="D266" s="199"/>
      <c r="E266" s="199"/>
      <c r="F266" s="200"/>
      <c r="G266" s="199"/>
      <c r="K266" s="44">
        <f t="shared" si="44"/>
        <v>0</v>
      </c>
      <c r="M266" s="103">
        <v>12</v>
      </c>
      <c r="N266" s="103"/>
      <c r="O266" s="103"/>
      <c r="T266" s="197"/>
      <c r="U266" s="44">
        <f t="shared" si="45"/>
        <v>0</v>
      </c>
      <c r="V266" s="44">
        <f t="shared" si="46"/>
        <v>0</v>
      </c>
      <c r="W266" s="44">
        <f t="shared" si="43"/>
        <v>0</v>
      </c>
    </row>
    <row r="267" spans="2:23" ht="15" x14ac:dyDescent="0.25">
      <c r="B267" s="210"/>
      <c r="C267" s="199"/>
      <c r="D267" s="199"/>
      <c r="E267" s="199"/>
      <c r="F267" s="200"/>
      <c r="G267" s="199"/>
      <c r="K267" s="44">
        <f t="shared" si="44"/>
        <v>0</v>
      </c>
      <c r="M267" s="103">
        <v>12</v>
      </c>
      <c r="N267" s="103"/>
      <c r="O267" s="103"/>
      <c r="T267" s="197"/>
      <c r="U267" s="44">
        <f t="shared" si="45"/>
        <v>0</v>
      </c>
      <c r="V267" s="44">
        <f t="shared" si="46"/>
        <v>0</v>
      </c>
      <c r="W267" s="44">
        <f t="shared" si="43"/>
        <v>0</v>
      </c>
    </row>
    <row r="268" spans="2:23" ht="15" x14ac:dyDescent="0.25">
      <c r="B268" s="210"/>
      <c r="C268" s="199"/>
      <c r="D268" s="199"/>
      <c r="E268" s="199"/>
      <c r="F268" s="200"/>
      <c r="G268" s="199"/>
      <c r="K268" s="44">
        <f t="shared" si="44"/>
        <v>0</v>
      </c>
      <c r="M268" s="103">
        <v>12</v>
      </c>
      <c r="N268" s="103"/>
      <c r="O268" s="103"/>
      <c r="T268" s="197"/>
      <c r="U268" s="44">
        <f t="shared" si="45"/>
        <v>0</v>
      </c>
      <c r="V268" s="44">
        <f t="shared" si="46"/>
        <v>0</v>
      </c>
      <c r="W268" s="44">
        <f t="shared" si="43"/>
        <v>0</v>
      </c>
    </row>
    <row r="269" spans="2:23" ht="15" x14ac:dyDescent="0.25">
      <c r="B269" s="210"/>
      <c r="C269" s="199"/>
      <c r="D269" s="199"/>
      <c r="E269" s="199"/>
      <c r="F269" s="200"/>
      <c r="G269" s="199"/>
      <c r="K269" s="44">
        <f t="shared" si="44"/>
        <v>0</v>
      </c>
      <c r="M269" s="103">
        <v>12</v>
      </c>
      <c r="N269" s="103"/>
      <c r="O269" s="103"/>
      <c r="T269" s="197"/>
      <c r="U269" s="44">
        <f t="shared" si="45"/>
        <v>0</v>
      </c>
      <c r="V269" s="44">
        <f t="shared" si="46"/>
        <v>0</v>
      </c>
      <c r="W269" s="44">
        <f t="shared" si="43"/>
        <v>0</v>
      </c>
    </row>
    <row r="270" spans="2:23" ht="15" x14ac:dyDescent="0.25">
      <c r="B270" s="210"/>
      <c r="C270" s="199"/>
      <c r="D270" s="199"/>
      <c r="E270" s="199"/>
      <c r="F270" s="200"/>
      <c r="G270" s="199"/>
      <c r="K270" s="44">
        <f t="shared" si="44"/>
        <v>0</v>
      </c>
      <c r="M270" s="103">
        <v>12</v>
      </c>
      <c r="N270" s="103"/>
      <c r="O270" s="103"/>
      <c r="T270" s="197"/>
      <c r="U270" s="44">
        <f t="shared" si="45"/>
        <v>0</v>
      </c>
      <c r="V270" s="44">
        <f t="shared" si="46"/>
        <v>0</v>
      </c>
      <c r="W270" s="44">
        <f t="shared" si="43"/>
        <v>0</v>
      </c>
    </row>
    <row r="271" spans="2:23" ht="15" x14ac:dyDescent="0.25">
      <c r="B271" s="210"/>
      <c r="C271" s="199"/>
      <c r="D271" s="199"/>
      <c r="E271" s="199"/>
      <c r="F271" s="200"/>
      <c r="G271" s="199"/>
      <c r="K271" s="44">
        <f t="shared" si="44"/>
        <v>0</v>
      </c>
      <c r="M271" s="103">
        <v>12</v>
      </c>
      <c r="N271" s="103"/>
      <c r="O271" s="103"/>
      <c r="T271" s="197"/>
      <c r="U271" s="44">
        <f t="shared" ref="U271:U303" si="47">I271+L271-N271</f>
        <v>0</v>
      </c>
      <c r="V271" s="44">
        <f t="shared" ref="V271:V303" si="48">J271+T271-O271</f>
        <v>0</v>
      </c>
      <c r="W271" s="44">
        <f t="shared" si="43"/>
        <v>0</v>
      </c>
    </row>
    <row r="272" spans="2:23" ht="15" x14ac:dyDescent="0.25">
      <c r="B272" s="210"/>
      <c r="C272" s="199"/>
      <c r="D272" s="199"/>
      <c r="E272" s="199"/>
      <c r="F272" s="200"/>
      <c r="G272" s="199"/>
      <c r="K272" s="44">
        <f t="shared" si="44"/>
        <v>0</v>
      </c>
      <c r="M272" s="103">
        <v>12</v>
      </c>
      <c r="N272" s="103"/>
      <c r="O272" s="103"/>
      <c r="T272" s="197"/>
      <c r="U272" s="44">
        <f t="shared" si="47"/>
        <v>0</v>
      </c>
      <c r="V272" s="44">
        <f t="shared" si="48"/>
        <v>0</v>
      </c>
      <c r="W272" s="44">
        <f t="shared" si="43"/>
        <v>0</v>
      </c>
    </row>
    <row r="273" spans="2:23" ht="15" x14ac:dyDescent="0.25">
      <c r="B273" s="210"/>
      <c r="C273" s="199"/>
      <c r="D273" s="199"/>
      <c r="E273" s="199"/>
      <c r="F273" s="200"/>
      <c r="G273" s="199"/>
      <c r="K273" s="44">
        <f t="shared" si="44"/>
        <v>0</v>
      </c>
      <c r="M273" s="103">
        <v>12</v>
      </c>
      <c r="N273" s="103"/>
      <c r="O273" s="103"/>
      <c r="T273" s="197"/>
      <c r="U273" s="44">
        <f t="shared" si="47"/>
        <v>0</v>
      </c>
      <c r="V273" s="44">
        <f t="shared" si="48"/>
        <v>0</v>
      </c>
      <c r="W273" s="44">
        <f t="shared" ref="W273:W303" si="49">+U273-V273</f>
        <v>0</v>
      </c>
    </row>
    <row r="274" spans="2:23" ht="15" x14ac:dyDescent="0.25">
      <c r="B274" s="210"/>
      <c r="C274" s="199"/>
      <c r="D274" s="199"/>
      <c r="E274" s="199"/>
      <c r="F274" s="200"/>
      <c r="G274" s="199"/>
      <c r="K274" s="44">
        <f t="shared" si="44"/>
        <v>0</v>
      </c>
      <c r="M274" s="103">
        <v>12</v>
      </c>
      <c r="N274" s="103"/>
      <c r="O274" s="103"/>
      <c r="T274" s="197"/>
      <c r="U274" s="44">
        <f t="shared" si="47"/>
        <v>0</v>
      </c>
      <c r="V274" s="44">
        <f t="shared" si="48"/>
        <v>0</v>
      </c>
      <c r="W274" s="44">
        <f t="shared" si="49"/>
        <v>0</v>
      </c>
    </row>
    <row r="275" spans="2:23" ht="15" x14ac:dyDescent="0.25">
      <c r="B275" s="210"/>
      <c r="C275" s="199"/>
      <c r="D275" s="199"/>
      <c r="E275" s="199"/>
      <c r="F275" s="200"/>
      <c r="G275" s="199"/>
      <c r="K275" s="44">
        <f t="shared" si="44"/>
        <v>0</v>
      </c>
      <c r="M275" s="103">
        <v>12</v>
      </c>
      <c r="N275" s="103"/>
      <c r="O275" s="103"/>
      <c r="T275" s="197"/>
      <c r="U275" s="44">
        <f t="shared" si="47"/>
        <v>0</v>
      </c>
      <c r="V275" s="44">
        <f t="shared" si="48"/>
        <v>0</v>
      </c>
      <c r="W275" s="44">
        <f t="shared" si="49"/>
        <v>0</v>
      </c>
    </row>
    <row r="276" spans="2:23" ht="15" x14ac:dyDescent="0.25">
      <c r="B276" s="210"/>
      <c r="C276" s="199"/>
      <c r="D276" s="199"/>
      <c r="E276" s="199"/>
      <c r="F276" s="200"/>
      <c r="G276" s="199"/>
      <c r="K276" s="44">
        <f t="shared" si="44"/>
        <v>0</v>
      </c>
      <c r="M276" s="103">
        <v>12</v>
      </c>
      <c r="N276" s="103"/>
      <c r="O276" s="103"/>
      <c r="T276" s="197"/>
      <c r="U276" s="44">
        <f t="shared" si="47"/>
        <v>0</v>
      </c>
      <c r="V276" s="44">
        <f t="shared" si="48"/>
        <v>0</v>
      </c>
      <c r="W276" s="44">
        <f t="shared" si="49"/>
        <v>0</v>
      </c>
    </row>
    <row r="277" spans="2:23" ht="15" x14ac:dyDescent="0.25">
      <c r="B277" s="210"/>
      <c r="C277" s="199"/>
      <c r="D277" s="199"/>
      <c r="E277" s="199"/>
      <c r="F277" s="200"/>
      <c r="G277" s="199"/>
      <c r="K277" s="44">
        <f t="shared" si="44"/>
        <v>0</v>
      </c>
      <c r="M277" s="103">
        <v>12</v>
      </c>
      <c r="N277" s="103"/>
      <c r="O277" s="103"/>
      <c r="T277" s="197"/>
      <c r="U277" s="44">
        <f t="shared" si="47"/>
        <v>0</v>
      </c>
      <c r="V277" s="44">
        <f t="shared" si="48"/>
        <v>0</v>
      </c>
      <c r="W277" s="44">
        <f t="shared" si="49"/>
        <v>0</v>
      </c>
    </row>
    <row r="278" spans="2:23" ht="15" x14ac:dyDescent="0.25">
      <c r="B278" s="210"/>
      <c r="C278" s="199"/>
      <c r="D278" s="199"/>
      <c r="E278" s="199"/>
      <c r="F278" s="200"/>
      <c r="G278" s="199"/>
      <c r="K278" s="44">
        <f t="shared" si="44"/>
        <v>0</v>
      </c>
      <c r="M278" s="103">
        <v>12</v>
      </c>
      <c r="N278" s="103"/>
      <c r="O278" s="103"/>
      <c r="T278" s="197"/>
      <c r="U278" s="44">
        <f t="shared" si="47"/>
        <v>0</v>
      </c>
      <c r="V278" s="44">
        <f t="shared" si="48"/>
        <v>0</v>
      </c>
      <c r="W278" s="44">
        <f t="shared" si="49"/>
        <v>0</v>
      </c>
    </row>
    <row r="279" spans="2:23" ht="15" x14ac:dyDescent="0.25">
      <c r="B279" s="210"/>
      <c r="C279" s="199"/>
      <c r="D279" s="199"/>
      <c r="E279" s="199"/>
      <c r="F279" s="200"/>
      <c r="G279" s="199"/>
      <c r="K279" s="44">
        <f t="shared" si="44"/>
        <v>0</v>
      </c>
      <c r="M279" s="103">
        <v>12</v>
      </c>
      <c r="N279" s="103"/>
      <c r="O279" s="103"/>
      <c r="T279" s="197"/>
      <c r="U279" s="44">
        <f t="shared" si="47"/>
        <v>0</v>
      </c>
      <c r="V279" s="44">
        <f t="shared" si="48"/>
        <v>0</v>
      </c>
      <c r="W279" s="44">
        <f t="shared" si="49"/>
        <v>0</v>
      </c>
    </row>
    <row r="280" spans="2:23" ht="15" x14ac:dyDescent="0.25">
      <c r="B280" s="210"/>
      <c r="C280" s="199"/>
      <c r="D280" s="199"/>
      <c r="E280" s="199"/>
      <c r="F280" s="200"/>
      <c r="G280" s="199"/>
      <c r="K280" s="44">
        <f t="shared" si="44"/>
        <v>0</v>
      </c>
      <c r="M280" s="103">
        <v>12</v>
      </c>
      <c r="N280" s="103"/>
      <c r="O280" s="103"/>
      <c r="T280" s="197"/>
      <c r="U280" s="44">
        <f t="shared" si="47"/>
        <v>0</v>
      </c>
      <c r="V280" s="44">
        <f t="shared" si="48"/>
        <v>0</v>
      </c>
      <c r="W280" s="44">
        <f t="shared" si="49"/>
        <v>0</v>
      </c>
    </row>
    <row r="281" spans="2:23" ht="15" x14ac:dyDescent="0.25">
      <c r="B281" s="210"/>
      <c r="C281" s="199"/>
      <c r="D281" s="199"/>
      <c r="E281" s="199"/>
      <c r="F281" s="200"/>
      <c r="G281" s="199"/>
      <c r="K281" s="44">
        <f t="shared" si="44"/>
        <v>0</v>
      </c>
      <c r="M281" s="103">
        <v>12</v>
      </c>
      <c r="N281" s="103"/>
      <c r="O281" s="103"/>
      <c r="T281" s="197"/>
      <c r="U281" s="44">
        <f t="shared" si="47"/>
        <v>0</v>
      </c>
      <c r="V281" s="44">
        <f t="shared" si="48"/>
        <v>0</v>
      </c>
      <c r="W281" s="44">
        <f t="shared" si="49"/>
        <v>0</v>
      </c>
    </row>
    <row r="282" spans="2:23" ht="15" x14ac:dyDescent="0.25">
      <c r="B282" s="210"/>
      <c r="C282" s="199"/>
      <c r="D282" s="199"/>
      <c r="E282" s="199"/>
      <c r="F282" s="200"/>
      <c r="G282" s="199"/>
      <c r="K282" s="44">
        <f t="shared" si="44"/>
        <v>0</v>
      </c>
      <c r="M282" s="103">
        <v>12</v>
      </c>
      <c r="N282" s="103"/>
      <c r="O282" s="103"/>
      <c r="T282" s="197"/>
      <c r="U282" s="44">
        <f t="shared" si="47"/>
        <v>0</v>
      </c>
      <c r="V282" s="44">
        <f t="shared" si="48"/>
        <v>0</v>
      </c>
      <c r="W282" s="44">
        <f t="shared" si="49"/>
        <v>0</v>
      </c>
    </row>
    <row r="283" spans="2:23" ht="15" x14ac:dyDescent="0.25">
      <c r="B283" s="210"/>
      <c r="C283" s="199"/>
      <c r="D283" s="199"/>
      <c r="E283" s="199"/>
      <c r="F283" s="200"/>
      <c r="G283" s="199"/>
      <c r="K283" s="44">
        <f t="shared" si="44"/>
        <v>0</v>
      </c>
      <c r="M283" s="103">
        <v>12</v>
      </c>
      <c r="N283" s="103"/>
      <c r="O283" s="103"/>
      <c r="T283" s="197"/>
      <c r="U283" s="44">
        <f t="shared" si="47"/>
        <v>0</v>
      </c>
      <c r="V283" s="44">
        <f t="shared" si="48"/>
        <v>0</v>
      </c>
      <c r="W283" s="44">
        <f t="shared" si="49"/>
        <v>0</v>
      </c>
    </row>
    <row r="284" spans="2:23" ht="15" x14ac:dyDescent="0.25">
      <c r="B284" s="210"/>
      <c r="C284" s="199"/>
      <c r="D284" s="199"/>
      <c r="E284" s="199"/>
      <c r="F284" s="200"/>
      <c r="G284" s="199"/>
      <c r="K284" s="44">
        <f t="shared" si="44"/>
        <v>0</v>
      </c>
      <c r="M284" s="103">
        <v>12</v>
      </c>
      <c r="N284" s="103"/>
      <c r="O284" s="103"/>
      <c r="T284" s="197"/>
      <c r="U284" s="44">
        <f t="shared" si="47"/>
        <v>0</v>
      </c>
      <c r="V284" s="44">
        <f t="shared" si="48"/>
        <v>0</v>
      </c>
      <c r="W284" s="44">
        <f t="shared" si="49"/>
        <v>0</v>
      </c>
    </row>
    <row r="285" spans="2:23" ht="15" x14ac:dyDescent="0.25">
      <c r="B285" s="210"/>
      <c r="C285" s="199"/>
      <c r="D285" s="199"/>
      <c r="E285" s="199"/>
      <c r="F285" s="200"/>
      <c r="G285" s="199"/>
      <c r="K285" s="44">
        <f t="shared" si="44"/>
        <v>0</v>
      </c>
      <c r="M285" s="103">
        <v>12</v>
      </c>
      <c r="N285" s="103"/>
      <c r="O285" s="103"/>
      <c r="T285" s="197"/>
      <c r="U285" s="44">
        <f t="shared" si="47"/>
        <v>0</v>
      </c>
      <c r="V285" s="44">
        <f t="shared" si="48"/>
        <v>0</v>
      </c>
      <c r="W285" s="44">
        <f t="shared" si="49"/>
        <v>0</v>
      </c>
    </row>
    <row r="286" spans="2:23" ht="15" x14ac:dyDescent="0.25">
      <c r="B286" s="210"/>
      <c r="C286" s="199"/>
      <c r="D286" s="199"/>
      <c r="E286" s="199"/>
      <c r="F286" s="200"/>
      <c r="G286" s="199"/>
      <c r="K286" s="44">
        <f t="shared" si="44"/>
        <v>0</v>
      </c>
      <c r="M286" s="103">
        <v>12</v>
      </c>
      <c r="N286" s="103"/>
      <c r="O286" s="103"/>
      <c r="T286" s="197"/>
      <c r="U286" s="44">
        <f t="shared" si="47"/>
        <v>0</v>
      </c>
      <c r="V286" s="44">
        <f t="shared" si="48"/>
        <v>0</v>
      </c>
      <c r="W286" s="44">
        <f t="shared" si="49"/>
        <v>0</v>
      </c>
    </row>
    <row r="287" spans="2:23" ht="15" x14ac:dyDescent="0.25">
      <c r="B287" s="210"/>
      <c r="C287" s="199"/>
      <c r="D287" s="199"/>
      <c r="E287" s="199"/>
      <c r="F287" s="200"/>
      <c r="G287" s="199"/>
      <c r="K287" s="44">
        <f t="shared" si="44"/>
        <v>0</v>
      </c>
      <c r="M287" s="103">
        <v>12</v>
      </c>
      <c r="N287" s="103"/>
      <c r="O287" s="103"/>
      <c r="T287" s="197"/>
      <c r="U287" s="44">
        <f t="shared" si="47"/>
        <v>0</v>
      </c>
      <c r="V287" s="44">
        <f t="shared" si="48"/>
        <v>0</v>
      </c>
      <c r="W287" s="44">
        <f t="shared" si="49"/>
        <v>0</v>
      </c>
    </row>
    <row r="288" spans="2:23" ht="15" x14ac:dyDescent="0.25">
      <c r="B288" s="210"/>
      <c r="C288" s="199"/>
      <c r="D288" s="199"/>
      <c r="E288" s="199"/>
      <c r="F288" s="200"/>
      <c r="G288" s="199"/>
      <c r="K288" s="44">
        <f t="shared" si="44"/>
        <v>0</v>
      </c>
      <c r="M288" s="103">
        <v>12</v>
      </c>
      <c r="N288" s="103"/>
      <c r="O288" s="103"/>
      <c r="T288" s="197"/>
      <c r="U288" s="44">
        <f t="shared" si="47"/>
        <v>0</v>
      </c>
      <c r="V288" s="44">
        <f t="shared" si="48"/>
        <v>0</v>
      </c>
      <c r="W288" s="44">
        <f t="shared" si="49"/>
        <v>0</v>
      </c>
    </row>
    <row r="289" spans="2:23" ht="15" x14ac:dyDescent="0.25">
      <c r="B289" s="210"/>
      <c r="C289" s="199"/>
      <c r="D289" s="199"/>
      <c r="E289" s="199"/>
      <c r="F289" s="200"/>
      <c r="G289" s="199"/>
      <c r="K289" s="44">
        <f t="shared" si="44"/>
        <v>0</v>
      </c>
      <c r="M289" s="103">
        <v>12</v>
      </c>
      <c r="N289" s="103"/>
      <c r="O289" s="103"/>
      <c r="T289" s="197"/>
      <c r="U289" s="44">
        <f t="shared" si="47"/>
        <v>0</v>
      </c>
      <c r="V289" s="44">
        <f t="shared" si="48"/>
        <v>0</v>
      </c>
      <c r="W289" s="44">
        <f t="shared" si="49"/>
        <v>0</v>
      </c>
    </row>
    <row r="290" spans="2:23" ht="15" x14ac:dyDescent="0.25">
      <c r="B290" s="210"/>
      <c r="C290" s="199"/>
      <c r="D290" s="199"/>
      <c r="E290" s="199"/>
      <c r="F290" s="200"/>
      <c r="G290" s="199"/>
      <c r="K290" s="44">
        <f t="shared" si="44"/>
        <v>0</v>
      </c>
      <c r="M290" s="103">
        <v>12</v>
      </c>
      <c r="N290" s="103"/>
      <c r="O290" s="103"/>
      <c r="T290" s="197"/>
      <c r="U290" s="44">
        <f t="shared" si="47"/>
        <v>0</v>
      </c>
      <c r="V290" s="44">
        <f t="shared" si="48"/>
        <v>0</v>
      </c>
      <c r="W290" s="44">
        <f t="shared" si="49"/>
        <v>0</v>
      </c>
    </row>
    <row r="291" spans="2:23" ht="15" x14ac:dyDescent="0.25">
      <c r="B291" s="210"/>
      <c r="C291" s="199"/>
      <c r="D291" s="199"/>
      <c r="E291" s="199"/>
      <c r="F291" s="200"/>
      <c r="G291" s="199"/>
      <c r="K291" s="44">
        <f t="shared" si="44"/>
        <v>0</v>
      </c>
      <c r="M291" s="103">
        <v>12</v>
      </c>
      <c r="N291" s="103"/>
      <c r="O291" s="103"/>
      <c r="T291" s="197"/>
      <c r="U291" s="44">
        <f t="shared" si="47"/>
        <v>0</v>
      </c>
      <c r="V291" s="44">
        <f t="shared" si="48"/>
        <v>0</v>
      </c>
      <c r="W291" s="44">
        <f t="shared" si="49"/>
        <v>0</v>
      </c>
    </row>
    <row r="292" spans="2:23" ht="15" x14ac:dyDescent="0.25">
      <c r="B292" s="210"/>
      <c r="C292" s="199"/>
      <c r="D292" s="199"/>
      <c r="E292" s="199"/>
      <c r="F292" s="200"/>
      <c r="G292" s="199"/>
      <c r="K292" s="44">
        <f t="shared" si="44"/>
        <v>0</v>
      </c>
      <c r="M292" s="103">
        <v>12</v>
      </c>
      <c r="N292" s="103"/>
      <c r="O292" s="103"/>
      <c r="T292" s="197"/>
      <c r="U292" s="44">
        <f t="shared" si="47"/>
        <v>0</v>
      </c>
      <c r="V292" s="44">
        <f t="shared" si="48"/>
        <v>0</v>
      </c>
      <c r="W292" s="44">
        <f t="shared" si="49"/>
        <v>0</v>
      </c>
    </row>
    <row r="293" spans="2:23" ht="15" x14ac:dyDescent="0.25">
      <c r="B293" s="210"/>
      <c r="C293" s="199"/>
      <c r="D293" s="199"/>
      <c r="E293" s="199"/>
      <c r="F293" s="200"/>
      <c r="G293" s="199"/>
      <c r="K293" s="44">
        <f t="shared" si="44"/>
        <v>0</v>
      </c>
      <c r="M293" s="103">
        <v>12</v>
      </c>
      <c r="N293" s="103"/>
      <c r="O293" s="103"/>
      <c r="T293" s="197"/>
      <c r="U293" s="44">
        <f t="shared" si="47"/>
        <v>0</v>
      </c>
      <c r="V293" s="44">
        <f t="shared" si="48"/>
        <v>0</v>
      </c>
      <c r="W293" s="44">
        <f t="shared" si="49"/>
        <v>0</v>
      </c>
    </row>
    <row r="294" spans="2:23" ht="15" x14ac:dyDescent="0.25">
      <c r="B294" s="210"/>
      <c r="C294" s="199"/>
      <c r="D294" s="199"/>
      <c r="E294" s="199"/>
      <c r="F294" s="200"/>
      <c r="G294" s="199"/>
      <c r="K294" s="44">
        <f t="shared" si="44"/>
        <v>0</v>
      </c>
      <c r="M294" s="103">
        <v>12</v>
      </c>
      <c r="N294" s="103"/>
      <c r="O294" s="103"/>
      <c r="T294" s="197"/>
      <c r="U294" s="44">
        <f t="shared" si="47"/>
        <v>0</v>
      </c>
      <c r="V294" s="44">
        <f t="shared" si="48"/>
        <v>0</v>
      </c>
      <c r="W294" s="44">
        <f t="shared" si="49"/>
        <v>0</v>
      </c>
    </row>
    <row r="295" spans="2:23" ht="15" x14ac:dyDescent="0.25">
      <c r="B295" s="210"/>
      <c r="C295" s="199"/>
      <c r="D295" s="199"/>
      <c r="E295" s="199"/>
      <c r="F295" s="200"/>
      <c r="G295" s="199"/>
      <c r="K295" s="44">
        <f t="shared" si="44"/>
        <v>0</v>
      </c>
      <c r="M295" s="103">
        <v>12</v>
      </c>
      <c r="N295" s="103"/>
      <c r="O295" s="103"/>
      <c r="T295" s="197"/>
      <c r="U295" s="44">
        <f t="shared" si="47"/>
        <v>0</v>
      </c>
      <c r="V295" s="44">
        <f t="shared" si="48"/>
        <v>0</v>
      </c>
      <c r="W295" s="44">
        <f t="shared" si="49"/>
        <v>0</v>
      </c>
    </row>
    <row r="296" spans="2:23" ht="15" x14ac:dyDescent="0.25">
      <c r="B296" s="210"/>
      <c r="C296" s="199"/>
      <c r="D296" s="199"/>
      <c r="E296" s="199"/>
      <c r="F296" s="200"/>
      <c r="G296" s="199"/>
      <c r="K296" s="44">
        <f t="shared" si="44"/>
        <v>0</v>
      </c>
      <c r="M296" s="103">
        <v>12</v>
      </c>
      <c r="N296" s="103"/>
      <c r="O296" s="103"/>
      <c r="T296" s="197"/>
      <c r="U296" s="44">
        <f t="shared" si="47"/>
        <v>0</v>
      </c>
      <c r="V296" s="44">
        <f t="shared" si="48"/>
        <v>0</v>
      </c>
      <c r="W296" s="44">
        <f t="shared" si="49"/>
        <v>0</v>
      </c>
    </row>
    <row r="297" spans="2:23" ht="15" x14ac:dyDescent="0.25">
      <c r="B297" s="210"/>
      <c r="C297" s="199"/>
      <c r="D297" s="199"/>
      <c r="E297" s="199"/>
      <c r="F297" s="200"/>
      <c r="G297" s="199"/>
      <c r="K297" s="44">
        <f t="shared" si="44"/>
        <v>0</v>
      </c>
      <c r="M297" s="103">
        <v>12</v>
      </c>
      <c r="N297" s="103"/>
      <c r="O297" s="103"/>
      <c r="T297" s="197"/>
      <c r="U297" s="44">
        <f t="shared" si="47"/>
        <v>0</v>
      </c>
      <c r="V297" s="44">
        <f t="shared" si="48"/>
        <v>0</v>
      </c>
      <c r="W297" s="44">
        <f t="shared" si="49"/>
        <v>0</v>
      </c>
    </row>
    <row r="298" spans="2:23" ht="15" x14ac:dyDescent="0.25">
      <c r="B298" s="210"/>
      <c r="C298" s="199"/>
      <c r="D298" s="199"/>
      <c r="E298" s="199"/>
      <c r="F298" s="200"/>
      <c r="G298" s="199"/>
      <c r="K298" s="44">
        <f t="shared" si="44"/>
        <v>0</v>
      </c>
      <c r="M298" s="103">
        <v>12</v>
      </c>
      <c r="N298" s="103"/>
      <c r="O298" s="103"/>
      <c r="T298" s="197"/>
      <c r="U298" s="44">
        <f t="shared" si="47"/>
        <v>0</v>
      </c>
      <c r="V298" s="44">
        <f t="shared" si="48"/>
        <v>0</v>
      </c>
      <c r="W298" s="44">
        <f t="shared" si="49"/>
        <v>0</v>
      </c>
    </row>
    <row r="299" spans="2:23" ht="15" x14ac:dyDescent="0.25">
      <c r="B299" s="210"/>
      <c r="C299" s="199"/>
      <c r="D299" s="199"/>
      <c r="E299" s="199"/>
      <c r="F299" s="200"/>
      <c r="G299" s="199"/>
      <c r="K299" s="44">
        <f t="shared" si="44"/>
        <v>0</v>
      </c>
      <c r="M299" s="103">
        <v>12</v>
      </c>
      <c r="N299" s="103"/>
      <c r="O299" s="103"/>
      <c r="T299" s="197"/>
      <c r="U299" s="44">
        <f t="shared" si="47"/>
        <v>0</v>
      </c>
      <c r="V299" s="44">
        <f t="shared" si="48"/>
        <v>0</v>
      </c>
      <c r="W299" s="44">
        <f t="shared" si="49"/>
        <v>0</v>
      </c>
    </row>
    <row r="300" spans="2:23" ht="15" x14ac:dyDescent="0.25">
      <c r="B300" s="210"/>
      <c r="C300" s="199"/>
      <c r="D300" s="199"/>
      <c r="E300" s="199"/>
      <c r="F300" s="200"/>
      <c r="G300" s="199"/>
      <c r="K300" s="44">
        <f t="shared" si="44"/>
        <v>0</v>
      </c>
      <c r="M300" s="103">
        <v>12</v>
      </c>
      <c r="N300" s="103"/>
      <c r="O300" s="103"/>
      <c r="T300" s="197"/>
      <c r="U300" s="44">
        <f t="shared" si="47"/>
        <v>0</v>
      </c>
      <c r="V300" s="44">
        <f t="shared" si="48"/>
        <v>0</v>
      </c>
      <c r="W300" s="44">
        <f t="shared" si="49"/>
        <v>0</v>
      </c>
    </row>
    <row r="301" spans="2:23" ht="15" x14ac:dyDescent="0.25">
      <c r="B301" s="210"/>
      <c r="C301" s="199"/>
      <c r="D301" s="199"/>
      <c r="E301" s="199"/>
      <c r="F301" s="200"/>
      <c r="G301" s="199"/>
      <c r="K301" s="44">
        <f t="shared" si="44"/>
        <v>0</v>
      </c>
      <c r="M301" s="103">
        <v>12</v>
      </c>
      <c r="N301" s="103"/>
      <c r="O301" s="103"/>
      <c r="T301" s="197"/>
      <c r="U301" s="44">
        <f t="shared" si="47"/>
        <v>0</v>
      </c>
      <c r="V301" s="44">
        <f t="shared" si="48"/>
        <v>0</v>
      </c>
      <c r="W301" s="44">
        <f t="shared" si="49"/>
        <v>0</v>
      </c>
    </row>
    <row r="302" spans="2:23" ht="15" x14ac:dyDescent="0.25">
      <c r="B302" s="210"/>
      <c r="C302" s="199"/>
      <c r="D302" s="199"/>
      <c r="E302" s="199"/>
      <c r="F302" s="200"/>
      <c r="G302" s="199"/>
      <c r="K302" s="44">
        <f t="shared" si="44"/>
        <v>0</v>
      </c>
      <c r="M302" s="103">
        <v>12</v>
      </c>
      <c r="N302" s="103"/>
      <c r="O302" s="103"/>
      <c r="T302" s="197"/>
      <c r="U302" s="44">
        <f t="shared" si="47"/>
        <v>0</v>
      </c>
      <c r="V302" s="44">
        <f t="shared" si="48"/>
        <v>0</v>
      </c>
      <c r="W302" s="44">
        <f t="shared" si="49"/>
        <v>0</v>
      </c>
    </row>
    <row r="303" spans="2:23" ht="15" x14ac:dyDescent="0.25">
      <c r="B303" s="210"/>
      <c r="C303" s="199"/>
      <c r="D303" s="199"/>
      <c r="E303" s="199"/>
      <c r="F303" s="200"/>
      <c r="G303" s="199"/>
      <c r="K303" s="44">
        <f t="shared" si="44"/>
        <v>0</v>
      </c>
      <c r="M303" s="103">
        <v>12</v>
      </c>
      <c r="N303" s="103"/>
      <c r="O303" s="103"/>
      <c r="T303" s="197"/>
      <c r="U303" s="44">
        <f t="shared" si="47"/>
        <v>0</v>
      </c>
      <c r="V303" s="44">
        <f t="shared" si="48"/>
        <v>0</v>
      </c>
      <c r="W303" s="44">
        <f t="shared" si="49"/>
        <v>0</v>
      </c>
    </row>
    <row r="305" spans="3:23" ht="13.5" thickBot="1" x14ac:dyDescent="0.25">
      <c r="C305" s="44" t="s">
        <v>383</v>
      </c>
      <c r="I305" s="52">
        <f>SUM(I206:I304)</f>
        <v>0</v>
      </c>
      <c r="J305" s="52">
        <f t="shared" ref="J305:W305" si="50">SUM(J206:J304)</f>
        <v>0</v>
      </c>
      <c r="K305" s="52">
        <f t="shared" si="50"/>
        <v>0</v>
      </c>
      <c r="L305" s="52">
        <f t="shared" si="50"/>
        <v>0</v>
      </c>
      <c r="M305" s="52"/>
      <c r="N305" s="52">
        <f t="shared" si="50"/>
        <v>0</v>
      </c>
      <c r="O305" s="52">
        <f t="shared" si="50"/>
        <v>0</v>
      </c>
      <c r="P305" s="52">
        <f t="shared" si="50"/>
        <v>0</v>
      </c>
      <c r="Q305" s="52">
        <f t="shared" si="50"/>
        <v>0</v>
      </c>
      <c r="R305" s="52">
        <f t="shared" si="50"/>
        <v>0</v>
      </c>
      <c r="S305" s="52">
        <f t="shared" si="50"/>
        <v>0</v>
      </c>
      <c r="T305" s="52">
        <f t="shared" si="50"/>
        <v>0</v>
      </c>
      <c r="U305" s="52">
        <f t="shared" si="50"/>
        <v>0</v>
      </c>
      <c r="V305" s="52">
        <f t="shared" si="50"/>
        <v>0</v>
      </c>
      <c r="W305" s="52">
        <f t="shared" si="50"/>
        <v>0</v>
      </c>
    </row>
    <row r="306" spans="3:23" ht="13.5" thickTop="1" x14ac:dyDescent="0.2">
      <c r="G306" s="44" t="s">
        <v>823</v>
      </c>
      <c r="I306" s="44">
        <f>I305-FARegister!I370</f>
        <v>0</v>
      </c>
      <c r="L306" s="44">
        <f>L305-FARegister!L370</f>
        <v>0</v>
      </c>
      <c r="N306" s="44">
        <f>N305-FARegister!Q370</f>
        <v>0</v>
      </c>
      <c r="P306" s="44">
        <f>P305-FARegister!S370</f>
        <v>0</v>
      </c>
      <c r="U306" s="44">
        <f>U305-FARegister!AA370</f>
        <v>0</v>
      </c>
    </row>
    <row r="308" spans="3:23" ht="13.5" thickBot="1" x14ac:dyDescent="0.25">
      <c r="C308" s="65" t="s">
        <v>367</v>
      </c>
      <c r="D308" s="65"/>
      <c r="E308" s="65"/>
      <c r="F308" s="65"/>
      <c r="G308" s="65"/>
      <c r="I308" s="52">
        <f>SUM(+I84+I127+I161+I200+I305)</f>
        <v>0</v>
      </c>
      <c r="J308" s="52">
        <f t="shared" ref="J308:W308" si="51">SUM(+J84+J127+J161+J200+J305)</f>
        <v>0</v>
      </c>
      <c r="K308" s="52">
        <f t="shared" si="51"/>
        <v>0</v>
      </c>
      <c r="L308" s="52">
        <f t="shared" si="51"/>
        <v>0</v>
      </c>
      <c r="M308" s="52">
        <f t="shared" si="51"/>
        <v>0</v>
      </c>
      <c r="N308" s="52">
        <f t="shared" si="51"/>
        <v>0</v>
      </c>
      <c r="O308" s="52">
        <f t="shared" si="51"/>
        <v>0</v>
      </c>
      <c r="P308" s="52">
        <f t="shared" si="51"/>
        <v>0</v>
      </c>
      <c r="Q308" s="52">
        <f t="shared" si="51"/>
        <v>0</v>
      </c>
      <c r="R308" s="52">
        <f t="shared" si="51"/>
        <v>0</v>
      </c>
      <c r="S308" s="52">
        <f t="shared" si="51"/>
        <v>0</v>
      </c>
      <c r="T308" s="52">
        <f t="shared" si="51"/>
        <v>0</v>
      </c>
      <c r="U308" s="52">
        <f t="shared" si="51"/>
        <v>0</v>
      </c>
      <c r="V308" s="52">
        <f t="shared" si="51"/>
        <v>0</v>
      </c>
      <c r="W308" s="52">
        <f t="shared" si="51"/>
        <v>0</v>
      </c>
    </row>
    <row r="309" spans="3:23" ht="13.5" thickTop="1" x14ac:dyDescent="0.2">
      <c r="C309" s="65"/>
      <c r="D309" s="65"/>
      <c r="E309" s="65"/>
      <c r="F309" s="65"/>
      <c r="G309" s="65"/>
      <c r="I309" s="44">
        <f>I308-I15</f>
        <v>0</v>
      </c>
      <c r="J309" s="44">
        <f>J308-J15</f>
        <v>0</v>
      </c>
      <c r="K309" s="44">
        <f>K308-K15</f>
        <v>0</v>
      </c>
      <c r="L309" s="44">
        <f>L308-L15</f>
        <v>0</v>
      </c>
      <c r="N309" s="44">
        <f t="shared" ref="N309:W309" si="52">N308-N15</f>
        <v>0</v>
      </c>
      <c r="O309" s="44">
        <f t="shared" si="52"/>
        <v>0</v>
      </c>
      <c r="P309" s="44">
        <f t="shared" si="52"/>
        <v>0</v>
      </c>
      <c r="Q309" s="44">
        <f t="shared" si="52"/>
        <v>0</v>
      </c>
      <c r="R309" s="44">
        <f t="shared" si="52"/>
        <v>0</v>
      </c>
      <c r="S309" s="44">
        <f t="shared" si="52"/>
        <v>0</v>
      </c>
      <c r="T309" s="44">
        <f t="shared" si="52"/>
        <v>0</v>
      </c>
      <c r="U309" s="44">
        <f t="shared" si="52"/>
        <v>0</v>
      </c>
      <c r="V309" s="44">
        <f t="shared" si="52"/>
        <v>0</v>
      </c>
      <c r="W309" s="44">
        <f t="shared" si="52"/>
        <v>0</v>
      </c>
    </row>
  </sheetData>
  <mergeCells count="1">
    <mergeCell ref="Q7:S7"/>
  </mergeCells>
  <hyperlinks>
    <hyperlink ref="C4" location="TrialBalance!A1" display="FIXED ASSETS" xr:uid="{34957956-EC23-450D-933D-3047B166374A}"/>
  </hyperlinks>
  <pageMargins left="0" right="0" top="0" bottom="0.75" header="0.3" footer="0.3"/>
  <pageSetup paperSize="9" scale="42" fitToHeight="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V173"/>
  <sheetViews>
    <sheetView zoomScale="50" zoomScaleNormal="50" zoomScaleSheetLayoutView="50" workbookViewId="0">
      <pane xSplit="4" ySplit="10" topLeftCell="E65" activePane="bottomRight" state="frozen"/>
      <selection pane="topRight" activeCell="E1" sqref="E1"/>
      <selection pane="bottomLeft" activeCell="A12" sqref="A12"/>
      <selection pane="bottomRight" activeCell="F76" sqref="F76"/>
    </sheetView>
  </sheetViews>
  <sheetFormatPr defaultRowHeight="24" customHeight="1" x14ac:dyDescent="0.35"/>
  <cols>
    <col min="1" max="1" width="4.7109375" style="36" customWidth="1"/>
    <col min="2" max="2" width="8.85546875" style="36" customWidth="1"/>
    <col min="3" max="3" width="52.7109375" style="36" bestFit="1" customWidth="1"/>
    <col min="4" max="4" width="3" style="36" customWidth="1"/>
    <col min="5" max="5" width="14.85546875" style="36" customWidth="1"/>
    <col min="6" max="6" width="25.28515625" style="37" bestFit="1" customWidth="1"/>
    <col min="7" max="7" width="24.7109375" style="37" bestFit="1" customWidth="1"/>
    <col min="8" max="9" width="29.28515625" style="37" bestFit="1" customWidth="1"/>
    <col min="10" max="10" width="23.28515625" style="37" customWidth="1"/>
    <col min="11" max="11" width="23.5703125" style="37" customWidth="1"/>
    <col min="12" max="12" width="28.7109375" style="37" bestFit="1" customWidth="1"/>
    <col min="13" max="13" width="23.85546875" style="37" bestFit="1" customWidth="1"/>
    <col min="14" max="14" width="8.85546875" style="37" customWidth="1"/>
    <col min="15" max="18" width="28.5703125" style="37" customWidth="1"/>
    <col min="19" max="19" width="22.7109375" style="37" bestFit="1" customWidth="1"/>
    <col min="20" max="20" width="24.7109375" style="93" bestFit="1" customWidth="1"/>
    <col min="21" max="21" width="26.7109375" style="93" bestFit="1" customWidth="1"/>
    <col min="22" max="22" width="21.85546875" style="93" bestFit="1" customWidth="1"/>
    <col min="23" max="16384" width="9.140625" style="93"/>
  </cols>
  <sheetData>
    <row r="1" spans="2:22" ht="24" customHeight="1" x14ac:dyDescent="0.35">
      <c r="B1" s="37"/>
      <c r="C1" s="37"/>
      <c r="D1" s="37"/>
      <c r="E1" s="37"/>
    </row>
    <row r="2" spans="2:22" ht="24" customHeight="1" x14ac:dyDescent="0.35">
      <c r="B2" s="37"/>
      <c r="C2" s="37"/>
      <c r="D2" s="37"/>
      <c r="E2" s="37"/>
      <c r="K2" s="95"/>
      <c r="L2" s="95"/>
      <c r="M2" s="95"/>
    </row>
    <row r="3" spans="2:22" ht="52.5" customHeight="1" x14ac:dyDescent="0.35">
      <c r="B3" s="37"/>
      <c r="C3" s="193" t="str">
        <f>Criteria!E9</f>
        <v>ABC COMPANY (PROPRIETARY) LIMITED</v>
      </c>
      <c r="D3" s="217"/>
      <c r="E3" s="217"/>
      <c r="F3" s="217"/>
      <c r="L3" s="195" t="s">
        <v>96</v>
      </c>
      <c r="M3" s="96"/>
    </row>
    <row r="4" spans="2:22" ht="24" customHeight="1" x14ac:dyDescent="0.35">
      <c r="B4" s="37"/>
      <c r="C4" s="12" t="s">
        <v>95</v>
      </c>
      <c r="D4" s="95"/>
      <c r="E4" s="95" t="str">
        <f>Criteria!E20</f>
        <v>28 FEBRUARY 2026</v>
      </c>
      <c r="K4" s="93"/>
    </row>
    <row r="5" spans="2:22" ht="52.5" customHeight="1" x14ac:dyDescent="0.35">
      <c r="B5" s="37"/>
      <c r="C5" s="194" t="s">
        <v>389</v>
      </c>
      <c r="D5" s="37"/>
      <c r="E5" s="37"/>
      <c r="K5" s="93"/>
      <c r="L5" s="195" t="s">
        <v>97</v>
      </c>
      <c r="M5" s="94"/>
    </row>
    <row r="6" spans="2:22" ht="24" customHeight="1" x14ac:dyDescent="0.35">
      <c r="B6" s="37"/>
      <c r="C6" s="189"/>
      <c r="D6" s="37"/>
      <c r="E6" s="37"/>
      <c r="K6" s="95"/>
      <c r="L6" s="95"/>
      <c r="M6" s="95"/>
    </row>
    <row r="7" spans="2:22" ht="24" customHeight="1" x14ac:dyDescent="0.35">
      <c r="B7" s="37"/>
      <c r="C7" s="97"/>
      <c r="D7" s="97"/>
      <c r="E7" s="97"/>
      <c r="F7" s="97"/>
      <c r="G7" s="97"/>
      <c r="H7" s="97"/>
      <c r="I7" s="97"/>
      <c r="J7" s="97"/>
      <c r="K7" s="97"/>
      <c r="L7" s="97"/>
      <c r="M7" s="97"/>
    </row>
    <row r="8" spans="2:22" ht="24" customHeight="1" x14ac:dyDescent="0.35">
      <c r="B8" s="37"/>
      <c r="C8" s="37"/>
      <c r="D8" s="37"/>
      <c r="E8" s="37"/>
      <c r="O8" s="121"/>
      <c r="P8" s="122"/>
      <c r="Q8" s="122"/>
      <c r="R8" s="174"/>
      <c r="S8" s="122"/>
      <c r="T8" s="124"/>
      <c r="U8" s="124"/>
      <c r="V8" s="125"/>
    </row>
    <row r="9" spans="2:22" ht="24" customHeight="1" x14ac:dyDescent="0.35">
      <c r="B9" s="37"/>
      <c r="C9" s="37"/>
      <c r="D9" s="37"/>
      <c r="E9" s="37"/>
      <c r="O9" s="688" t="s">
        <v>702</v>
      </c>
      <c r="P9" s="689"/>
      <c r="Q9" s="689"/>
      <c r="R9" s="690"/>
      <c r="S9" s="689" t="s">
        <v>389</v>
      </c>
      <c r="T9" s="689"/>
      <c r="U9" s="689"/>
      <c r="V9" s="690"/>
    </row>
    <row r="10" spans="2:22" ht="24" customHeight="1" x14ac:dyDescent="0.35">
      <c r="B10" s="37"/>
      <c r="C10" s="95" t="s">
        <v>390</v>
      </c>
      <c r="D10" s="37"/>
      <c r="E10" s="37" t="s">
        <v>99</v>
      </c>
      <c r="F10" s="98" t="s">
        <v>391</v>
      </c>
      <c r="G10" s="98" t="s">
        <v>65</v>
      </c>
      <c r="H10" s="98" t="s">
        <v>392</v>
      </c>
      <c r="I10" s="98" t="s">
        <v>579</v>
      </c>
      <c r="J10" s="99" t="s">
        <v>393</v>
      </c>
      <c r="K10" s="99" t="s">
        <v>394</v>
      </c>
      <c r="L10" s="99" t="s">
        <v>395</v>
      </c>
      <c r="M10" s="99" t="s">
        <v>396</v>
      </c>
      <c r="O10" s="175" t="s">
        <v>630</v>
      </c>
      <c r="P10" s="95" t="s">
        <v>631</v>
      </c>
      <c r="Q10" s="95" t="s">
        <v>396</v>
      </c>
      <c r="R10" s="176" t="s">
        <v>582</v>
      </c>
      <c r="S10" s="98" t="s">
        <v>557</v>
      </c>
      <c r="T10" s="131" t="s">
        <v>556</v>
      </c>
      <c r="U10" s="132" t="s">
        <v>558</v>
      </c>
      <c r="V10" s="133" t="s">
        <v>256</v>
      </c>
    </row>
    <row r="11" spans="2:22" ht="24" customHeight="1" x14ac:dyDescent="0.35">
      <c r="B11" s="37"/>
      <c r="C11" s="37"/>
      <c r="D11" s="37"/>
      <c r="E11" s="37"/>
      <c r="O11" s="123"/>
      <c r="R11" s="177"/>
      <c r="V11" s="126"/>
    </row>
    <row r="12" spans="2:22" ht="24" customHeight="1" x14ac:dyDescent="0.35">
      <c r="B12" s="337" t="s">
        <v>17</v>
      </c>
      <c r="C12" s="37"/>
      <c r="D12" s="37"/>
      <c r="E12" s="37"/>
      <c r="O12" s="123"/>
      <c r="Q12" s="95"/>
      <c r="R12" s="177"/>
      <c r="U12" s="134"/>
      <c r="V12" s="126"/>
    </row>
    <row r="13" spans="2:22" ht="24" hidden="1" customHeight="1" x14ac:dyDescent="0.35">
      <c r="B13" s="37" t="s">
        <v>16</v>
      </c>
      <c r="C13" s="37" t="s">
        <v>17</v>
      </c>
      <c r="D13" s="37"/>
      <c r="E13" s="37"/>
      <c r="O13" s="123"/>
      <c r="Q13" s="95"/>
      <c r="R13" s="177"/>
      <c r="U13" s="134"/>
      <c r="V13" s="126"/>
    </row>
    <row r="14" spans="2:22" ht="24" customHeight="1" x14ac:dyDescent="0.35">
      <c r="B14" s="37"/>
      <c r="C14" s="37"/>
      <c r="D14" s="37"/>
      <c r="E14" s="37"/>
      <c r="O14" s="123"/>
      <c r="Q14" s="95"/>
      <c r="R14" s="177"/>
      <c r="U14" s="134"/>
      <c r="V14" s="126"/>
    </row>
    <row r="15" spans="2:22" ht="24" customHeight="1" x14ac:dyDescent="0.35">
      <c r="B15" s="37"/>
      <c r="C15" s="108" t="str">
        <f>IF(B12="Odd","March","March and April")</f>
        <v>March and April</v>
      </c>
      <c r="D15" s="107"/>
      <c r="E15" s="107"/>
      <c r="F15" s="107"/>
      <c r="H15" s="107"/>
      <c r="I15" s="107"/>
      <c r="J15" s="107">
        <f>ROUND((F15+H15)*15/115,2)</f>
        <v>0</v>
      </c>
      <c r="K15" s="107"/>
      <c r="L15" s="107"/>
      <c r="M15" s="37">
        <f t="shared" ref="M15:M21" si="0">J15-K15-L15</f>
        <v>0</v>
      </c>
      <c r="O15" s="123"/>
      <c r="Q15" s="95">
        <f>P15-O15</f>
        <v>0</v>
      </c>
      <c r="R15" s="177">
        <f t="shared" ref="R15:R21" si="1">F15-J15-Q15</f>
        <v>0</v>
      </c>
      <c r="T15" s="128"/>
      <c r="U15" s="135">
        <f t="shared" ref="U15:U20" si="2">S15-T15</f>
        <v>0</v>
      </c>
      <c r="V15" s="129">
        <f t="shared" ref="V15:V20" si="3">M15-U15</f>
        <v>0</v>
      </c>
    </row>
    <row r="16" spans="2:22" ht="24" customHeight="1" x14ac:dyDescent="0.35">
      <c r="B16" s="37"/>
      <c r="C16" s="108" t="str">
        <f>IF(B12="Odd","April and May","May and June")</f>
        <v>May and June</v>
      </c>
      <c r="D16" s="107"/>
      <c r="E16" s="107"/>
      <c r="F16" s="107"/>
      <c r="J16" s="107">
        <f t="shared" ref="J16:J21" si="4">ROUND((F16+H16)*15/115,2)</f>
        <v>0</v>
      </c>
      <c r="K16" s="107"/>
      <c r="L16" s="107"/>
      <c r="M16" s="37">
        <f t="shared" si="0"/>
        <v>0</v>
      </c>
      <c r="O16" s="123"/>
      <c r="Q16" s="95">
        <f t="shared" ref="Q16:Q21" si="5">P16-O16</f>
        <v>0</v>
      </c>
      <c r="R16" s="177">
        <f t="shared" si="1"/>
        <v>0</v>
      </c>
      <c r="T16" s="37"/>
      <c r="U16" s="135">
        <f t="shared" si="2"/>
        <v>0</v>
      </c>
      <c r="V16" s="129">
        <f t="shared" si="3"/>
        <v>0</v>
      </c>
    </row>
    <row r="17" spans="2:22" ht="24" customHeight="1" x14ac:dyDescent="0.35">
      <c r="B17" s="37"/>
      <c r="C17" s="108" t="str">
        <f>IF(B$12="Odd","June and July","July and August")</f>
        <v>July and August</v>
      </c>
      <c r="D17" s="107"/>
      <c r="E17" s="107"/>
      <c r="F17" s="107"/>
      <c r="J17" s="107">
        <f t="shared" si="4"/>
        <v>0</v>
      </c>
      <c r="K17" s="107"/>
      <c r="L17" s="107"/>
      <c r="M17" s="37">
        <f t="shared" si="0"/>
        <v>0</v>
      </c>
      <c r="O17" s="123"/>
      <c r="Q17" s="95">
        <f t="shared" si="5"/>
        <v>0</v>
      </c>
      <c r="R17" s="177">
        <f t="shared" si="1"/>
        <v>0</v>
      </c>
      <c r="T17" s="37"/>
      <c r="U17" s="135">
        <f t="shared" si="2"/>
        <v>0</v>
      </c>
      <c r="V17" s="129">
        <f t="shared" si="3"/>
        <v>0</v>
      </c>
    </row>
    <row r="18" spans="2:22" ht="24" customHeight="1" x14ac:dyDescent="0.35">
      <c r="B18" s="37"/>
      <c r="C18" s="108" t="str">
        <f>IF(B$12="Odd","August and September","September and October")</f>
        <v>September and October</v>
      </c>
      <c r="D18" s="107"/>
      <c r="E18" s="107"/>
      <c r="F18" s="107"/>
      <c r="J18" s="107">
        <f t="shared" si="4"/>
        <v>0</v>
      </c>
      <c r="K18" s="107"/>
      <c r="L18" s="107"/>
      <c r="M18" s="37">
        <f>J18-K18-L18</f>
        <v>0</v>
      </c>
      <c r="O18" s="123"/>
      <c r="Q18" s="95">
        <f t="shared" si="5"/>
        <v>0</v>
      </c>
      <c r="R18" s="177">
        <f t="shared" si="1"/>
        <v>0</v>
      </c>
      <c r="T18" s="127"/>
      <c r="U18" s="135">
        <f t="shared" si="2"/>
        <v>0</v>
      </c>
      <c r="V18" s="129">
        <f t="shared" si="3"/>
        <v>0</v>
      </c>
    </row>
    <row r="19" spans="2:22" ht="24" customHeight="1" x14ac:dyDescent="0.35">
      <c r="B19" s="37"/>
      <c r="C19" s="108" t="str">
        <f>IF(B$12="Odd","October and November","November and December")</f>
        <v>November and December</v>
      </c>
      <c r="D19" s="107"/>
      <c r="E19" s="107"/>
      <c r="F19" s="107"/>
      <c r="J19" s="107">
        <f t="shared" si="4"/>
        <v>0</v>
      </c>
      <c r="K19" s="107"/>
      <c r="L19" s="107"/>
      <c r="M19" s="37">
        <f t="shared" si="0"/>
        <v>0</v>
      </c>
      <c r="O19" s="123"/>
      <c r="Q19" s="95">
        <f t="shared" si="5"/>
        <v>0</v>
      </c>
      <c r="R19" s="177">
        <f t="shared" si="1"/>
        <v>0</v>
      </c>
      <c r="T19" s="127"/>
      <c r="U19" s="135">
        <f t="shared" si="2"/>
        <v>0</v>
      </c>
      <c r="V19" s="136">
        <f t="shared" si="3"/>
        <v>0</v>
      </c>
    </row>
    <row r="20" spans="2:22" ht="24" customHeight="1" x14ac:dyDescent="0.35">
      <c r="B20" s="37"/>
      <c r="C20" s="108" t="str">
        <f>IF(B$12="Odd","December and January","January and February")</f>
        <v>January and February</v>
      </c>
      <c r="D20" s="107"/>
      <c r="E20" s="107"/>
      <c r="F20" s="107"/>
      <c r="J20" s="107">
        <f t="shared" si="4"/>
        <v>0</v>
      </c>
      <c r="K20" s="107"/>
      <c r="L20" s="120"/>
      <c r="M20" s="37">
        <f t="shared" si="0"/>
        <v>0</v>
      </c>
      <c r="O20" s="123"/>
      <c r="Q20" s="95">
        <f t="shared" si="5"/>
        <v>0</v>
      </c>
      <c r="R20" s="177">
        <f t="shared" si="1"/>
        <v>0</v>
      </c>
      <c r="T20" s="127"/>
      <c r="U20" s="135">
        <f t="shared" si="2"/>
        <v>0</v>
      </c>
      <c r="V20" s="129">
        <f t="shared" si="3"/>
        <v>0</v>
      </c>
    </row>
    <row r="21" spans="2:22" ht="24" customHeight="1" x14ac:dyDescent="0.35">
      <c r="B21" s="37"/>
      <c r="C21" s="108" t="str">
        <f>IF(B$12="Odd","February"," ")</f>
        <v xml:space="preserve"> </v>
      </c>
      <c r="D21" s="107"/>
      <c r="E21" s="107"/>
      <c r="F21" s="107"/>
      <c r="J21" s="107">
        <f t="shared" si="4"/>
        <v>0</v>
      </c>
      <c r="K21" s="107"/>
      <c r="M21" s="37">
        <f t="shared" si="0"/>
        <v>0</v>
      </c>
      <c r="O21" s="123"/>
      <c r="Q21" s="95">
        <f t="shared" si="5"/>
        <v>0</v>
      </c>
      <c r="R21" s="177">
        <f t="shared" si="1"/>
        <v>0</v>
      </c>
      <c r="T21" s="38"/>
      <c r="U21" s="135">
        <f t="shared" ref="U21" si="6">S21-T21</f>
        <v>0</v>
      </c>
      <c r="V21" s="129">
        <f t="shared" ref="V21" si="7">M21-U21</f>
        <v>0</v>
      </c>
    </row>
    <row r="22" spans="2:22" ht="24" customHeight="1" x14ac:dyDescent="0.35">
      <c r="B22" s="37"/>
      <c r="C22" s="37"/>
      <c r="D22" s="37"/>
      <c r="E22" s="37"/>
      <c r="O22" s="178"/>
      <c r="P22" s="97"/>
      <c r="Q22" s="97"/>
      <c r="R22" s="179"/>
      <c r="U22" s="130"/>
      <c r="V22" s="126"/>
    </row>
    <row r="23" spans="2:22" ht="24" customHeight="1" thickBot="1" x14ac:dyDescent="0.4">
      <c r="B23" s="37"/>
      <c r="C23" s="37"/>
      <c r="D23" s="37"/>
      <c r="E23" s="37"/>
      <c r="F23" s="100">
        <f>SUM(F11:F22)</f>
        <v>0</v>
      </c>
      <c r="G23" s="100">
        <f t="shared" ref="G23:L23" si="8">SUM(G11:G22)</f>
        <v>0</v>
      </c>
      <c r="H23" s="100">
        <f t="shared" si="8"/>
        <v>0</v>
      </c>
      <c r="I23" s="100">
        <f t="shared" si="8"/>
        <v>0</v>
      </c>
      <c r="J23" s="100">
        <f t="shared" si="8"/>
        <v>0</v>
      </c>
      <c r="K23" s="100">
        <f t="shared" si="8"/>
        <v>0</v>
      </c>
      <c r="L23" s="100">
        <f t="shared" si="8"/>
        <v>0</v>
      </c>
      <c r="M23" s="100">
        <f>SUM(M11:M22)</f>
        <v>0</v>
      </c>
      <c r="O23" s="102">
        <f t="shared" ref="O23:R23" si="9">SUM(O11:O22)</f>
        <v>0</v>
      </c>
      <c r="P23" s="102">
        <f t="shared" si="9"/>
        <v>0</v>
      </c>
      <c r="Q23" s="102">
        <f t="shared" si="9"/>
        <v>0</v>
      </c>
      <c r="R23" s="102">
        <f t="shared" si="9"/>
        <v>0</v>
      </c>
      <c r="S23" s="100">
        <f t="shared" ref="S23" si="10">SUM(S11:S22)</f>
        <v>0</v>
      </c>
      <c r="T23" s="100">
        <f t="shared" ref="T23" si="11">SUM(T11:T22)</f>
        <v>0</v>
      </c>
      <c r="U23" s="100">
        <f t="shared" ref="U23" si="12">SUM(U11:U22)</f>
        <v>0</v>
      </c>
      <c r="V23" s="100">
        <f t="shared" ref="V23" si="13">SUM(V11:V22)</f>
        <v>0</v>
      </c>
    </row>
    <row r="24" spans="2:22" ht="24" customHeight="1" thickTop="1" x14ac:dyDescent="0.35">
      <c r="B24" s="37"/>
      <c r="C24" s="37"/>
      <c r="D24" s="37"/>
      <c r="E24" s="37"/>
      <c r="T24" s="106"/>
    </row>
    <row r="25" spans="2:22" ht="24" customHeight="1" x14ac:dyDescent="0.35">
      <c r="B25" s="37"/>
      <c r="C25" s="37"/>
      <c r="D25" s="37"/>
      <c r="E25" s="37"/>
      <c r="F25" s="37">
        <f>F23*15/115</f>
        <v>0</v>
      </c>
      <c r="T25" s="105"/>
      <c r="U25" s="105"/>
    </row>
    <row r="26" spans="2:22" ht="24" customHeight="1" x14ac:dyDescent="0.35">
      <c r="B26" s="37"/>
      <c r="C26" s="37" t="s">
        <v>66</v>
      </c>
      <c r="D26" s="37"/>
      <c r="E26" s="37"/>
      <c r="F26" s="37">
        <f>F23-F25+G23</f>
        <v>0</v>
      </c>
      <c r="T26" s="105"/>
    </row>
    <row r="27" spans="2:22" ht="24" customHeight="1" x14ac:dyDescent="0.35">
      <c r="B27" s="37"/>
      <c r="C27" s="37" t="s">
        <v>67</v>
      </c>
      <c r="D27" s="37"/>
      <c r="E27" s="37"/>
      <c r="F27" s="37">
        <f>SUM(TrialBalance!L5:L11)+SUM(TrialBalanceA!I5:I11)+SUM(TrialBalanceB!I5:I11)+SUM(TrialBalanceC!I5:I11)</f>
        <v>0</v>
      </c>
      <c r="T27" s="105"/>
    </row>
    <row r="28" spans="2:22" ht="24" customHeight="1" x14ac:dyDescent="0.35">
      <c r="B28" s="37"/>
      <c r="C28" s="37"/>
      <c r="D28" s="37"/>
      <c r="E28" s="37"/>
    </row>
    <row r="29" spans="2:22" ht="24" customHeight="1" x14ac:dyDescent="0.35">
      <c r="B29" s="37"/>
      <c r="C29" s="37"/>
      <c r="D29" s="37"/>
      <c r="E29" s="37"/>
    </row>
    <row r="30" spans="2:22" ht="24" customHeight="1" x14ac:dyDescent="0.35">
      <c r="B30" s="37"/>
      <c r="C30" s="37" t="s">
        <v>1411</v>
      </c>
      <c r="D30" s="37"/>
      <c r="E30" s="37"/>
    </row>
    <row r="31" spans="2:22" ht="24" customHeight="1" x14ac:dyDescent="0.35">
      <c r="B31" s="37"/>
      <c r="C31" s="37"/>
      <c r="D31" s="37"/>
      <c r="E31" s="37"/>
    </row>
    <row r="32" spans="2:22" ht="24" customHeight="1" x14ac:dyDescent="0.35">
      <c r="B32" s="37"/>
      <c r="C32" s="37"/>
      <c r="D32" s="37"/>
      <c r="E32" s="37"/>
    </row>
    <row r="33" spans="2:9" ht="24" customHeight="1" thickBot="1" x14ac:dyDescent="0.4">
      <c r="B33" s="37"/>
      <c r="C33" s="37" t="s">
        <v>256</v>
      </c>
      <c r="D33" s="37"/>
      <c r="E33" s="37"/>
      <c r="F33" s="100">
        <f>SUM(F26:F32)</f>
        <v>0</v>
      </c>
    </row>
    <row r="34" spans="2:9" ht="24" customHeight="1" thickTop="1" x14ac:dyDescent="0.35">
      <c r="B34" s="37"/>
      <c r="C34" s="37"/>
      <c r="D34" s="37"/>
      <c r="E34" s="37"/>
    </row>
    <row r="35" spans="2:9" ht="24" customHeight="1" x14ac:dyDescent="0.35">
      <c r="B35" s="37"/>
      <c r="C35" s="37"/>
      <c r="D35" s="37"/>
      <c r="E35" s="37"/>
    </row>
    <row r="36" spans="2:9" ht="24" customHeight="1" x14ac:dyDescent="0.6">
      <c r="B36" s="37"/>
      <c r="C36" s="116" t="s">
        <v>483</v>
      </c>
      <c r="D36" s="116"/>
      <c r="E36" s="116"/>
      <c r="F36" s="116"/>
      <c r="G36" s="117" t="s">
        <v>581</v>
      </c>
      <c r="H36" s="117" t="s">
        <v>582</v>
      </c>
      <c r="I36" s="93"/>
    </row>
    <row r="37" spans="2:9" ht="24" customHeight="1" x14ac:dyDescent="0.35">
      <c r="B37" s="37"/>
      <c r="C37" s="37"/>
      <c r="D37" s="37"/>
      <c r="E37" s="37"/>
      <c r="I37" s="93"/>
    </row>
    <row r="38" spans="2:9" ht="24" customHeight="1" x14ac:dyDescent="0.35">
      <c r="B38" s="37"/>
      <c r="C38" s="37" t="s">
        <v>580</v>
      </c>
      <c r="D38" s="37"/>
      <c r="E38" s="37"/>
      <c r="F38" s="37">
        <f>IF(B12="Even",M20,M21)</f>
        <v>0</v>
      </c>
      <c r="G38" s="37">
        <f>-TrialBalance!L399</f>
        <v>0</v>
      </c>
      <c r="I38" s="93"/>
    </row>
    <row r="39" spans="2:9" ht="24" customHeight="1" x14ac:dyDescent="0.35">
      <c r="B39" s="37"/>
      <c r="C39" s="37"/>
      <c r="D39" s="37"/>
      <c r="E39" s="37"/>
      <c r="I39" s="93"/>
    </row>
    <row r="40" spans="2:9" ht="24" customHeight="1" x14ac:dyDescent="0.35">
      <c r="B40" s="37"/>
      <c r="C40" s="37" t="s">
        <v>744</v>
      </c>
      <c r="D40" s="37"/>
      <c r="E40" s="37"/>
      <c r="F40" s="37">
        <f>SUM(F41:F47)</f>
        <v>0</v>
      </c>
      <c r="I40" s="93"/>
    </row>
    <row r="41" spans="2:9" ht="24" customHeight="1" x14ac:dyDescent="0.35">
      <c r="B41" s="37"/>
      <c r="C41" s="121"/>
      <c r="D41" s="122"/>
      <c r="E41" s="122"/>
      <c r="F41" s="174"/>
      <c r="I41" s="93"/>
    </row>
    <row r="42" spans="2:9" ht="24" customHeight="1" x14ac:dyDescent="0.35">
      <c r="B42" s="37"/>
      <c r="C42" s="123"/>
      <c r="D42" s="214"/>
      <c r="E42" s="214"/>
      <c r="F42" s="177"/>
      <c r="I42" s="93"/>
    </row>
    <row r="43" spans="2:9" ht="24" customHeight="1" x14ac:dyDescent="0.35">
      <c r="B43" s="37"/>
      <c r="C43" s="123"/>
      <c r="D43" s="214"/>
      <c r="E43" s="214"/>
      <c r="F43" s="177"/>
      <c r="I43" s="93"/>
    </row>
    <row r="44" spans="2:9" ht="24" customHeight="1" x14ac:dyDescent="0.35">
      <c r="B44" s="37"/>
      <c r="C44" s="123"/>
      <c r="D44" s="214"/>
      <c r="E44" s="214"/>
      <c r="F44" s="177"/>
      <c r="I44" s="93"/>
    </row>
    <row r="45" spans="2:9" ht="24" customHeight="1" x14ac:dyDescent="0.35">
      <c r="B45" s="37"/>
      <c r="C45" s="123"/>
      <c r="D45" s="214"/>
      <c r="E45" s="214"/>
      <c r="F45" s="177"/>
      <c r="I45" s="93"/>
    </row>
    <row r="46" spans="2:9" ht="24" customHeight="1" x14ac:dyDescent="0.35">
      <c r="B46" s="37"/>
      <c r="C46" s="123"/>
      <c r="D46" s="214"/>
      <c r="E46" s="214"/>
      <c r="F46" s="177"/>
      <c r="I46" s="93"/>
    </row>
    <row r="47" spans="2:9" ht="24" customHeight="1" x14ac:dyDescent="0.35">
      <c r="B47" s="37"/>
      <c r="C47" s="178"/>
      <c r="D47" s="97"/>
      <c r="E47" s="97"/>
      <c r="F47" s="179"/>
      <c r="I47" s="93"/>
    </row>
    <row r="48" spans="2:9" ht="24" customHeight="1" x14ac:dyDescent="0.35">
      <c r="B48" s="37"/>
      <c r="C48" s="37"/>
      <c r="D48" s="37"/>
      <c r="E48" s="37"/>
      <c r="I48" s="93"/>
    </row>
    <row r="49" spans="2:13" ht="24" customHeight="1" x14ac:dyDescent="0.35">
      <c r="B49" s="37"/>
      <c r="C49" s="37" t="s">
        <v>745</v>
      </c>
      <c r="D49" s="37"/>
      <c r="E49" s="37"/>
      <c r="F49" s="37">
        <f>SUM(F50:F55)</f>
        <v>0</v>
      </c>
      <c r="I49" s="93"/>
    </row>
    <row r="50" spans="2:13" ht="24" customHeight="1" x14ac:dyDescent="0.35">
      <c r="B50" s="37"/>
      <c r="C50" s="121"/>
      <c r="D50" s="122"/>
      <c r="E50" s="122"/>
      <c r="F50" s="174"/>
      <c r="I50" s="93"/>
    </row>
    <row r="51" spans="2:13" ht="24" customHeight="1" x14ac:dyDescent="0.35">
      <c r="B51" s="37"/>
      <c r="C51" s="123"/>
      <c r="D51" s="214"/>
      <c r="E51" s="214"/>
      <c r="F51" s="177"/>
      <c r="I51" s="93"/>
    </row>
    <row r="52" spans="2:13" ht="24" customHeight="1" x14ac:dyDescent="0.35">
      <c r="B52" s="37"/>
      <c r="C52" s="123"/>
      <c r="D52" s="214"/>
      <c r="E52" s="214"/>
      <c r="F52" s="177"/>
      <c r="I52" s="93"/>
    </row>
    <row r="53" spans="2:13" ht="24" customHeight="1" x14ac:dyDescent="0.35">
      <c r="B53" s="37"/>
      <c r="C53" s="123"/>
      <c r="D53" s="214"/>
      <c r="E53" s="214"/>
      <c r="F53" s="177"/>
      <c r="I53" s="93"/>
    </row>
    <row r="54" spans="2:13" ht="24" customHeight="1" x14ac:dyDescent="0.35">
      <c r="B54" s="37"/>
      <c r="C54" s="123"/>
      <c r="D54" s="214"/>
      <c r="E54" s="214"/>
      <c r="F54" s="177"/>
      <c r="I54" s="93"/>
    </row>
    <row r="55" spans="2:13" ht="24" customHeight="1" x14ac:dyDescent="0.35">
      <c r="B55" s="37"/>
      <c r="C55" s="226"/>
      <c r="D55" s="98"/>
      <c r="E55" s="98"/>
      <c r="F55" s="227"/>
      <c r="I55" s="93"/>
    </row>
    <row r="56" spans="2:13" ht="24" customHeight="1" x14ac:dyDescent="0.35">
      <c r="B56" s="37"/>
      <c r="C56" s="37"/>
      <c r="D56" s="37"/>
      <c r="E56" s="37"/>
      <c r="I56" s="93"/>
    </row>
    <row r="57" spans="2:13" ht="24" customHeight="1" thickBot="1" x14ac:dyDescent="0.4">
      <c r="B57" s="37"/>
      <c r="C57" s="37"/>
      <c r="D57" s="37"/>
      <c r="E57" s="37"/>
      <c r="F57" s="100">
        <f>F38+F40+F49</f>
        <v>0</v>
      </c>
      <c r="G57" s="100">
        <f>SUM(G38:G56)</f>
        <v>0</v>
      </c>
      <c r="H57" s="100">
        <f>F57-G57</f>
        <v>0</v>
      </c>
      <c r="I57" s="93"/>
    </row>
    <row r="58" spans="2:13" ht="24" customHeight="1" thickTop="1" x14ac:dyDescent="0.35">
      <c r="B58" s="37"/>
      <c r="C58" s="37"/>
      <c r="D58" s="37"/>
      <c r="E58" s="37"/>
      <c r="I58" s="93"/>
    </row>
    <row r="59" spans="2:13" ht="24" customHeight="1" x14ac:dyDescent="0.35">
      <c r="B59" s="37"/>
      <c r="C59" s="37"/>
      <c r="D59" s="37"/>
      <c r="E59" s="37"/>
    </row>
    <row r="60" spans="2:13" ht="24" customHeight="1" x14ac:dyDescent="0.35">
      <c r="B60" s="37"/>
      <c r="C60" s="37"/>
      <c r="D60" s="37"/>
      <c r="E60" s="37"/>
      <c r="K60" s="218"/>
      <c r="L60" s="218"/>
      <c r="M60" s="218"/>
    </row>
    <row r="61" spans="2:13" ht="57" customHeight="1" x14ac:dyDescent="0.35">
      <c r="B61" s="37"/>
      <c r="C61" s="193" t="str">
        <f>Criteria!E9</f>
        <v>ABC COMPANY (PROPRIETARY) LIMITED</v>
      </c>
      <c r="D61" s="217"/>
      <c r="E61" s="217"/>
      <c r="F61" s="217"/>
      <c r="L61" s="195" t="s">
        <v>96</v>
      </c>
      <c r="M61" s="96"/>
    </row>
    <row r="62" spans="2:13" ht="24" customHeight="1" x14ac:dyDescent="0.35">
      <c r="B62" s="37"/>
      <c r="C62" s="12" t="s">
        <v>95</v>
      </c>
      <c r="D62" s="95"/>
      <c r="E62" s="95" t="str">
        <f>Criteria!E20</f>
        <v>28 FEBRUARY 2026</v>
      </c>
      <c r="K62" s="93"/>
    </row>
    <row r="63" spans="2:13" ht="58.5" customHeight="1" x14ac:dyDescent="0.35">
      <c r="B63" s="37"/>
      <c r="C63" s="194" t="s">
        <v>740</v>
      </c>
      <c r="D63" s="37"/>
      <c r="E63" s="37"/>
      <c r="K63" s="93"/>
      <c r="L63" s="195" t="s">
        <v>97</v>
      </c>
      <c r="M63" s="94"/>
    </row>
    <row r="64" spans="2:13" ht="24" customHeight="1" x14ac:dyDescent="0.35">
      <c r="B64" s="37"/>
      <c r="C64" s="37"/>
      <c r="D64" s="37"/>
      <c r="E64" s="37"/>
      <c r="K64" s="218"/>
      <c r="L64" s="218"/>
      <c r="M64" s="218"/>
    </row>
    <row r="65" spans="2:13" ht="24" customHeight="1" x14ac:dyDescent="0.35">
      <c r="B65" s="37"/>
      <c r="C65" s="95"/>
      <c r="D65" s="37"/>
      <c r="E65" s="37"/>
      <c r="K65" s="95"/>
      <c r="L65" s="95"/>
      <c r="M65" s="95"/>
    </row>
    <row r="66" spans="2:13" ht="24" customHeight="1" x14ac:dyDescent="0.35">
      <c r="B66" s="37"/>
      <c r="C66" s="97"/>
      <c r="D66" s="97"/>
      <c r="E66" s="97"/>
      <c r="F66" s="97"/>
      <c r="G66" s="97"/>
      <c r="H66" s="97"/>
      <c r="I66" s="97"/>
      <c r="J66" s="97"/>
      <c r="K66" s="97"/>
      <c r="L66" s="97"/>
      <c r="M66" s="97"/>
    </row>
    <row r="67" spans="2:13" ht="24" customHeight="1" x14ac:dyDescent="0.35">
      <c r="B67" s="37"/>
      <c r="C67" s="37"/>
      <c r="D67" s="37"/>
      <c r="E67" s="37"/>
    </row>
    <row r="68" spans="2:13" ht="24" customHeight="1" x14ac:dyDescent="0.35">
      <c r="C68" s="40" t="s">
        <v>46</v>
      </c>
      <c r="E68" s="40"/>
    </row>
    <row r="69" spans="2:13" ht="24" customHeight="1" x14ac:dyDescent="0.35">
      <c r="E69" s="215"/>
    </row>
    <row r="70" spans="2:13" ht="24" customHeight="1" x14ac:dyDescent="0.35">
      <c r="C70" s="36" t="s">
        <v>301</v>
      </c>
      <c r="E70" s="215"/>
      <c r="F70" s="37">
        <f>SUM(TrialBalance!L17:L22)+SUM(TrialBalanceA!I17:I22)+SUM(TrialBalanceB!I17:I22)+SUM(TrialBalanceC!I17:I22)</f>
        <v>0</v>
      </c>
    </row>
    <row r="71" spans="2:13" ht="24" customHeight="1" x14ac:dyDescent="0.35">
      <c r="C71" s="36" t="s">
        <v>47</v>
      </c>
      <c r="E71" s="215"/>
      <c r="F71" s="37">
        <f>SUM(TrialBalance!L40:L82)+SUM(TrialBalanceA!I40:I82)+SUM(TrialBalanceB!I40:I82)+SUM(TrialBalanceC!I40:I82)</f>
        <v>0</v>
      </c>
    </row>
    <row r="72" spans="2:13" ht="24" customHeight="1" x14ac:dyDescent="0.35">
      <c r="C72" s="36" t="s">
        <v>48</v>
      </c>
      <c r="E72" s="215"/>
      <c r="F72" s="37">
        <f>SUM(TrialBalance!L99:L141)+SUM(TrialBalanceA!I99:I141)+SUM(TrialBalanceB!I99:I141)+SUM(TrialBalanceC!I99:I141)</f>
        <v>0</v>
      </c>
    </row>
    <row r="73" spans="2:13" ht="24" customHeight="1" x14ac:dyDescent="0.35">
      <c r="C73" s="36" t="s">
        <v>49</v>
      </c>
      <c r="E73" s="215"/>
      <c r="F73" s="37">
        <f>TrialBalance!L253</f>
        <v>0</v>
      </c>
    </row>
    <row r="74" spans="2:13" ht="24" customHeight="1" x14ac:dyDescent="0.35">
      <c r="C74" s="36" t="s">
        <v>50</v>
      </c>
      <c r="E74" s="215"/>
      <c r="F74" s="101"/>
      <c r="G74" s="219"/>
      <c r="H74" s="219"/>
      <c r="I74" s="219"/>
    </row>
    <row r="75" spans="2:13" ht="24" customHeight="1" x14ac:dyDescent="0.35">
      <c r="C75" s="36" t="s">
        <v>51</v>
      </c>
      <c r="E75" s="215"/>
      <c r="F75" s="37">
        <f>TrialBalance!L269</f>
        <v>0</v>
      </c>
    </row>
    <row r="76" spans="2:13" ht="24" customHeight="1" x14ac:dyDescent="0.35">
      <c r="C76" s="36" t="s">
        <v>52</v>
      </c>
      <c r="E76" s="215"/>
      <c r="F76" s="37">
        <f>TrialBalance!L277</f>
        <v>0</v>
      </c>
    </row>
    <row r="77" spans="2:13" ht="7.15" customHeight="1" x14ac:dyDescent="0.35">
      <c r="E77" s="215"/>
      <c r="F77" s="97"/>
    </row>
    <row r="78" spans="2:13" ht="7.15" customHeight="1" x14ac:dyDescent="0.35">
      <c r="E78" s="215"/>
    </row>
    <row r="79" spans="2:13" ht="24" customHeight="1" x14ac:dyDescent="0.35">
      <c r="E79" s="215"/>
      <c r="F79" s="37">
        <f>SUM(F70:F76)</f>
        <v>0</v>
      </c>
    </row>
    <row r="80" spans="2:13" ht="24" customHeight="1" x14ac:dyDescent="0.35">
      <c r="E80" s="215"/>
    </row>
    <row r="81" spans="3:6" ht="24" customHeight="1" x14ac:dyDescent="0.35">
      <c r="C81" s="36" t="s">
        <v>53</v>
      </c>
      <c r="E81" s="215"/>
      <c r="F81" s="37">
        <f>SUM(F84:F113)</f>
        <v>0</v>
      </c>
    </row>
    <row r="82" spans="3:6" ht="9" customHeight="1" x14ac:dyDescent="0.35">
      <c r="E82" s="215"/>
    </row>
    <row r="83" spans="3:6" ht="10.5" customHeight="1" x14ac:dyDescent="0.35">
      <c r="E83" s="215"/>
    </row>
    <row r="84" spans="3:6" ht="24" customHeight="1" x14ac:dyDescent="0.35">
      <c r="C84" s="36" t="s">
        <v>304</v>
      </c>
      <c r="E84" s="215"/>
      <c r="F84" s="220">
        <f>SUM(TrialBalance!L44:L46)+SUM(TrialBalance!L110:L111)+SUM(TrialBalanceA!I44:I46)+SUM(TrialBalanceA!I110:I111)+SUM(TrialBalanceB!I44:I46)+SUM(TrialBalanceB!I110:I111)+SUM(TrialBalanceC!I44:I46)+SUM(TrialBalanceC!I110:I111)</f>
        <v>0</v>
      </c>
    </row>
    <row r="85" spans="3:6" ht="24" customHeight="1" x14ac:dyDescent="0.35">
      <c r="C85" s="36" t="s">
        <v>303</v>
      </c>
      <c r="E85" s="215"/>
      <c r="F85" s="221">
        <f>TrialBalance!L42+TrialBalanceA!I42+TrialBalanceB!I42+TrialBalanceC!I42</f>
        <v>0</v>
      </c>
    </row>
    <row r="86" spans="3:6" ht="24" customHeight="1" x14ac:dyDescent="0.35">
      <c r="C86" s="36" t="s">
        <v>190</v>
      </c>
      <c r="E86" s="215"/>
      <c r="F86" s="221">
        <f>TrialBalance!L51+TrialBalanceA!I51+TrialBalanceB!I51+TrialBalanceC!I51</f>
        <v>0</v>
      </c>
    </row>
    <row r="87" spans="3:6" ht="24" customHeight="1" x14ac:dyDescent="0.35">
      <c r="C87" s="36" t="s">
        <v>835</v>
      </c>
      <c r="E87" s="215"/>
      <c r="F87" s="221">
        <f>TrialBalance!L52+TrialBalanceA!I52+TrialBalanceB!I52+TrialBalanceC!I52</f>
        <v>0</v>
      </c>
    </row>
    <row r="88" spans="3:6" ht="24" customHeight="1" x14ac:dyDescent="0.35">
      <c r="C88" s="36" t="s">
        <v>387</v>
      </c>
      <c r="E88" s="215"/>
      <c r="F88" s="221">
        <f>TrialBalance!L53+TrialBalanceA!I53+TrialBalanceB!I53+TrialBalanceC!I53</f>
        <v>0</v>
      </c>
    </row>
    <row r="89" spans="3:6" ht="24" customHeight="1" x14ac:dyDescent="0.35">
      <c r="C89" s="36" t="s">
        <v>197</v>
      </c>
      <c r="E89" s="215"/>
      <c r="F89" s="221">
        <f>TrialBalance!L55+TrialBalanceA!I55+TrialBalanceB!I55+TrialBalanceC!I55</f>
        <v>0</v>
      </c>
    </row>
    <row r="90" spans="3:6" ht="24" customHeight="1" x14ac:dyDescent="0.35">
      <c r="C90" s="36" t="s">
        <v>388</v>
      </c>
      <c r="E90" s="215"/>
      <c r="F90" s="221">
        <f>TrialBalance!L58+TrialBalanceA!I58+TrialBalanceB!I58+TrialBalanceC!I58</f>
        <v>0</v>
      </c>
    </row>
    <row r="91" spans="3:6" ht="24" customHeight="1" x14ac:dyDescent="0.35">
      <c r="C91" s="36" t="s">
        <v>79</v>
      </c>
      <c r="E91" s="215"/>
      <c r="F91" s="221">
        <f>TrialBalance!L66+TrialBalanceA!I66+TrialBalanceB!I66+TrialBalanceC!I66</f>
        <v>0</v>
      </c>
    </row>
    <row r="92" spans="3:6" ht="24" customHeight="1" x14ac:dyDescent="0.35">
      <c r="C92" s="36" t="s">
        <v>836</v>
      </c>
      <c r="E92" s="215"/>
      <c r="F92" s="221">
        <f>TrialBalance!L67+TrialBalanceA!I67+TrialBalanceB!I67+TrialBalanceC!I67</f>
        <v>0</v>
      </c>
    </row>
    <row r="93" spans="3:6" ht="24" customHeight="1" x14ac:dyDescent="0.35">
      <c r="C93" s="36" t="s">
        <v>83</v>
      </c>
      <c r="E93" s="215"/>
      <c r="F93" s="221">
        <f>TrialBalance!L68+TrialBalanceA!I68+TrialBalanceB!I68+TrialBalanceC!I68</f>
        <v>0</v>
      </c>
    </row>
    <row r="94" spans="3:6" ht="24" customHeight="1" x14ac:dyDescent="0.35">
      <c r="C94" s="36" t="s">
        <v>837</v>
      </c>
      <c r="E94" s="215"/>
      <c r="F94" s="221">
        <f>SUM(TrialBalance!L113:L117)+SUM(TrialBalanceA!I113:I117)+SUM(TrialBalanceB!I113:I117)+SUM(TrialBalanceC!I113:I117)</f>
        <v>0</v>
      </c>
    </row>
    <row r="95" spans="3:6" ht="24" customHeight="1" x14ac:dyDescent="0.35">
      <c r="C95" s="36" t="s">
        <v>292</v>
      </c>
      <c r="E95" s="215"/>
      <c r="F95" s="221">
        <f>TrialBalance!L118+TrialBalanceA!I118+TrialBalanceB!I118+TrialBalanceC!I118</f>
        <v>0</v>
      </c>
    </row>
    <row r="96" spans="3:6" ht="24" customHeight="1" x14ac:dyDescent="0.35">
      <c r="C96" s="36" t="s">
        <v>408</v>
      </c>
      <c r="E96" s="215"/>
      <c r="F96" s="221">
        <f>TrialBalance!L119+TrialBalanceA!I119+TrialBalanceB!I119+TrialBalanceC!I119</f>
        <v>0</v>
      </c>
    </row>
    <row r="97" spans="3:6" ht="24" customHeight="1" x14ac:dyDescent="0.35">
      <c r="C97" s="36" t="s">
        <v>357</v>
      </c>
      <c r="E97" s="215"/>
      <c r="F97" s="221">
        <f>TrialBalance!L120+TrialBalanceA!I120+TrialBalanceB!I120+TrialBalanceC!I120</f>
        <v>0</v>
      </c>
    </row>
    <row r="98" spans="3:6" ht="24" customHeight="1" x14ac:dyDescent="0.35">
      <c r="C98" s="36" t="s">
        <v>260</v>
      </c>
      <c r="E98" s="215"/>
      <c r="F98" s="221">
        <f>TrialBalance!L123+TrialBalanceA!I123+TrialBalanceB!I123+TrialBalanceC!I123</f>
        <v>0</v>
      </c>
    </row>
    <row r="99" spans="3:6" ht="24" customHeight="1" x14ac:dyDescent="0.35">
      <c r="C99" s="36" t="s">
        <v>293</v>
      </c>
      <c r="E99" s="215"/>
      <c r="F99" s="221">
        <f>TrialBalance!L125+TrialBalanceA!I125+TrialBalanceB!I125+TrialBalanceC!I125</f>
        <v>0</v>
      </c>
    </row>
    <row r="100" spans="3:6" ht="24" customHeight="1" x14ac:dyDescent="0.35">
      <c r="C100" s="36" t="s">
        <v>838</v>
      </c>
      <c r="E100" s="215"/>
      <c r="F100" s="221">
        <f>TrialBalance!L126+TrialBalanceA!I126+TrialBalanceB!I126+TrialBalanceC!I126</f>
        <v>0</v>
      </c>
    </row>
    <row r="101" spans="3:6" ht="24" customHeight="1" x14ac:dyDescent="0.35">
      <c r="C101" s="36" t="s">
        <v>839</v>
      </c>
      <c r="E101" s="215"/>
      <c r="F101" s="221">
        <f>TrialBalance!L127+TrialBalanceA!I127+TrialBalanceB!I127+TrialBalanceC!I127</f>
        <v>0</v>
      </c>
    </row>
    <row r="102" spans="3:6" ht="24" customHeight="1" x14ac:dyDescent="0.35">
      <c r="C102" s="36" t="s">
        <v>294</v>
      </c>
      <c r="E102" s="215"/>
      <c r="F102" s="221">
        <f>TrialBalance!L128+TrialBalanceA!I128+TrialBalanceB!I128+TrialBalanceC!I128</f>
        <v>0</v>
      </c>
    </row>
    <row r="103" spans="3:6" ht="24" customHeight="1" x14ac:dyDescent="0.35">
      <c r="C103" s="36" t="s">
        <v>134</v>
      </c>
      <c r="E103" s="215"/>
      <c r="F103" s="221">
        <f>TrialBalance!L130+TrialBalanceA!I130+TrialBalanceB!I130+TrialBalanceC!I130</f>
        <v>0</v>
      </c>
    </row>
    <row r="104" spans="3:6" ht="24" customHeight="1" x14ac:dyDescent="0.35">
      <c r="C104" s="36" t="s">
        <v>1255</v>
      </c>
      <c r="E104" s="215"/>
      <c r="F104" s="221">
        <f>TrialBalance!L140+TrialBalanceA!I140+TrialBalanceB!I140+TrialBalanceC!I140</f>
        <v>0</v>
      </c>
    </row>
    <row r="105" spans="3:6" ht="24" customHeight="1" x14ac:dyDescent="0.35">
      <c r="C105" s="36" t="s">
        <v>1258</v>
      </c>
      <c r="E105" s="215"/>
      <c r="F105" s="221">
        <f>TrialBalance!L141+TrialBalanceA!I141+TrialBalanceB!I141+TrialBalanceC!I141</f>
        <v>0</v>
      </c>
    </row>
    <row r="106" spans="3:6" ht="24" customHeight="1" x14ac:dyDescent="0.35">
      <c r="E106" s="215"/>
      <c r="F106" s="221"/>
    </row>
    <row r="107" spans="3:6" ht="24" customHeight="1" x14ac:dyDescent="0.35">
      <c r="E107" s="215"/>
      <c r="F107" s="221"/>
    </row>
    <row r="108" spans="3:6" ht="24" customHeight="1" x14ac:dyDescent="0.35">
      <c r="E108" s="215"/>
      <c r="F108" s="221"/>
    </row>
    <row r="109" spans="3:6" ht="24" customHeight="1" x14ac:dyDescent="0.35">
      <c r="E109" s="215"/>
      <c r="F109" s="221"/>
    </row>
    <row r="110" spans="3:6" ht="24" customHeight="1" x14ac:dyDescent="0.35">
      <c r="E110" s="215"/>
      <c r="F110" s="221"/>
    </row>
    <row r="111" spans="3:6" ht="24" customHeight="1" x14ac:dyDescent="0.35">
      <c r="E111" s="215"/>
      <c r="F111" s="221"/>
    </row>
    <row r="112" spans="3:6" ht="24" customHeight="1" x14ac:dyDescent="0.35">
      <c r="E112" s="215"/>
      <c r="F112" s="221"/>
    </row>
    <row r="113" spans="3:6" ht="24" customHeight="1" x14ac:dyDescent="0.35">
      <c r="E113" s="215"/>
      <c r="F113" s="222"/>
    </row>
    <row r="114" spans="3:6" ht="6" customHeight="1" x14ac:dyDescent="0.35">
      <c r="E114" s="215"/>
      <c r="F114" s="294"/>
    </row>
    <row r="115" spans="3:6" ht="24" customHeight="1" x14ac:dyDescent="0.35">
      <c r="E115" s="215"/>
      <c r="F115" s="37">
        <f>F79-F81</f>
        <v>0</v>
      </c>
    </row>
    <row r="116" spans="3:6" ht="24" customHeight="1" x14ac:dyDescent="0.35">
      <c r="E116" s="215"/>
    </row>
    <row r="117" spans="3:6" ht="24" customHeight="1" x14ac:dyDescent="0.35">
      <c r="C117" s="36" t="s">
        <v>739</v>
      </c>
      <c r="E117" s="215"/>
      <c r="F117" s="37">
        <f>F115*0.15</f>
        <v>0</v>
      </c>
    </row>
    <row r="118" spans="3:6" ht="24" customHeight="1" x14ac:dyDescent="0.35">
      <c r="C118" s="36" t="s">
        <v>741</v>
      </c>
      <c r="E118" s="215"/>
    </row>
    <row r="119" spans="3:6" ht="24" customHeight="1" x14ac:dyDescent="0.35">
      <c r="C119" s="36" t="s">
        <v>742</v>
      </c>
      <c r="E119" s="215"/>
      <c r="F119" s="224"/>
    </row>
    <row r="120" spans="3:6" ht="7.5" customHeight="1" x14ac:dyDescent="0.35">
      <c r="E120" s="215"/>
      <c r="F120" s="97"/>
    </row>
    <row r="121" spans="3:6" ht="9" customHeight="1" x14ac:dyDescent="0.35">
      <c r="E121" s="215"/>
    </row>
    <row r="122" spans="3:6" ht="24" customHeight="1" x14ac:dyDescent="0.35">
      <c r="E122" s="215"/>
      <c r="F122" s="37">
        <f>SUM(F117:F120)</f>
        <v>0</v>
      </c>
    </row>
    <row r="123" spans="3:6" ht="24" customHeight="1" x14ac:dyDescent="0.35">
      <c r="E123" s="215"/>
    </row>
    <row r="124" spans="3:6" ht="24" customHeight="1" x14ac:dyDescent="0.35">
      <c r="C124" s="36" t="s">
        <v>54</v>
      </c>
      <c r="E124" s="215"/>
      <c r="F124" s="37">
        <f>K23+L23</f>
        <v>0</v>
      </c>
    </row>
    <row r="125" spans="3:6" ht="7.15" customHeight="1" x14ac:dyDescent="0.35">
      <c r="E125" s="215"/>
      <c r="F125" s="97"/>
    </row>
    <row r="126" spans="3:6" ht="7.15" customHeight="1" x14ac:dyDescent="0.35">
      <c r="E126" s="215"/>
    </row>
    <row r="127" spans="3:6" ht="24" customHeight="1" x14ac:dyDescent="0.35">
      <c r="C127" s="36" t="s">
        <v>366</v>
      </c>
      <c r="E127" s="215"/>
      <c r="F127" s="37">
        <f>F122-F124</f>
        <v>0</v>
      </c>
    </row>
    <row r="128" spans="3:6" ht="7.15" customHeight="1" thickBot="1" x14ac:dyDescent="0.4">
      <c r="E128" s="215"/>
      <c r="F128" s="102"/>
    </row>
    <row r="129" spans="5:5" ht="24" customHeight="1" thickTop="1" x14ac:dyDescent="0.35">
      <c r="E129" s="215"/>
    </row>
    <row r="130" spans="5:5" ht="24" customHeight="1" x14ac:dyDescent="0.35">
      <c r="E130" s="215"/>
    </row>
    <row r="131" spans="5:5" ht="24" customHeight="1" x14ac:dyDescent="0.35">
      <c r="E131" s="215"/>
    </row>
    <row r="132" spans="5:5" ht="24" customHeight="1" x14ac:dyDescent="0.35">
      <c r="E132" s="215"/>
    </row>
    <row r="133" spans="5:5" ht="24" customHeight="1" x14ac:dyDescent="0.35">
      <c r="E133" s="215"/>
    </row>
    <row r="134" spans="5:5" ht="24" customHeight="1" x14ac:dyDescent="0.35">
      <c r="E134" s="215"/>
    </row>
    <row r="135" spans="5:5" ht="24" customHeight="1" x14ac:dyDescent="0.35">
      <c r="E135" s="215"/>
    </row>
    <row r="136" spans="5:5" ht="24" customHeight="1" x14ac:dyDescent="0.35">
      <c r="E136" s="215"/>
    </row>
    <row r="137" spans="5:5" ht="24" customHeight="1" x14ac:dyDescent="0.35">
      <c r="E137" s="215"/>
    </row>
    <row r="138" spans="5:5" ht="24" customHeight="1" x14ac:dyDescent="0.35">
      <c r="E138" s="215"/>
    </row>
    <row r="139" spans="5:5" ht="24" customHeight="1" x14ac:dyDescent="0.35">
      <c r="E139" s="215"/>
    </row>
    <row r="140" spans="5:5" ht="24" customHeight="1" x14ac:dyDescent="0.35">
      <c r="E140" s="215"/>
    </row>
    <row r="141" spans="5:5" ht="24" customHeight="1" x14ac:dyDescent="0.35">
      <c r="E141" s="215"/>
    </row>
    <row r="142" spans="5:5" ht="24" customHeight="1" x14ac:dyDescent="0.35">
      <c r="E142" s="215"/>
    </row>
    <row r="143" spans="5:5" ht="24" customHeight="1" x14ac:dyDescent="0.35">
      <c r="E143" s="215"/>
    </row>
    <row r="144" spans="5:5" ht="24" customHeight="1" x14ac:dyDescent="0.35">
      <c r="E144" s="215"/>
    </row>
    <row r="145" spans="5:5" ht="24" customHeight="1" x14ac:dyDescent="0.35">
      <c r="E145" s="215"/>
    </row>
    <row r="146" spans="5:5" ht="24" customHeight="1" x14ac:dyDescent="0.35">
      <c r="E146" s="215"/>
    </row>
    <row r="147" spans="5:5" ht="24" customHeight="1" x14ac:dyDescent="0.35">
      <c r="E147" s="215"/>
    </row>
    <row r="148" spans="5:5" ht="24" customHeight="1" x14ac:dyDescent="0.35">
      <c r="E148" s="215"/>
    </row>
    <row r="149" spans="5:5" ht="24" customHeight="1" x14ac:dyDescent="0.35">
      <c r="E149" s="215"/>
    </row>
    <row r="150" spans="5:5" ht="24" customHeight="1" x14ac:dyDescent="0.35">
      <c r="E150" s="215"/>
    </row>
    <row r="151" spans="5:5" ht="24" customHeight="1" x14ac:dyDescent="0.35">
      <c r="E151" s="215"/>
    </row>
    <row r="152" spans="5:5" ht="24" customHeight="1" x14ac:dyDescent="0.35">
      <c r="E152" s="215"/>
    </row>
    <row r="153" spans="5:5" ht="24" customHeight="1" x14ac:dyDescent="0.35">
      <c r="E153" s="215"/>
    </row>
    <row r="154" spans="5:5" ht="24" customHeight="1" x14ac:dyDescent="0.35">
      <c r="E154" s="215"/>
    </row>
    <row r="155" spans="5:5" ht="24" customHeight="1" x14ac:dyDescent="0.35">
      <c r="E155" s="215"/>
    </row>
    <row r="156" spans="5:5" ht="24" customHeight="1" x14ac:dyDescent="0.35">
      <c r="E156" s="215"/>
    </row>
    <row r="157" spans="5:5" ht="24" customHeight="1" x14ac:dyDescent="0.35">
      <c r="E157" s="215"/>
    </row>
    <row r="158" spans="5:5" ht="24" customHeight="1" x14ac:dyDescent="0.35">
      <c r="E158" s="215"/>
    </row>
    <row r="159" spans="5:5" ht="24" customHeight="1" x14ac:dyDescent="0.35">
      <c r="E159" s="223"/>
    </row>
    <row r="160" spans="5:5" ht="24" customHeight="1" x14ac:dyDescent="0.35">
      <c r="E160" s="223"/>
    </row>
    <row r="161" spans="5:5" ht="24" customHeight="1" x14ac:dyDescent="0.35">
      <c r="E161" s="223"/>
    </row>
    <row r="162" spans="5:5" ht="24" customHeight="1" x14ac:dyDescent="0.35">
      <c r="E162" s="223"/>
    </row>
    <row r="163" spans="5:5" ht="24" customHeight="1" x14ac:dyDescent="0.35">
      <c r="E163" s="223"/>
    </row>
    <row r="164" spans="5:5" ht="24" customHeight="1" x14ac:dyDescent="0.35">
      <c r="E164" s="223"/>
    </row>
    <row r="165" spans="5:5" ht="24" customHeight="1" x14ac:dyDescent="0.35">
      <c r="E165" s="223"/>
    </row>
    <row r="166" spans="5:5" ht="24" customHeight="1" x14ac:dyDescent="0.35">
      <c r="E166" s="223"/>
    </row>
    <row r="167" spans="5:5" ht="24" customHeight="1" x14ac:dyDescent="0.35">
      <c r="E167" s="223"/>
    </row>
    <row r="168" spans="5:5" ht="24" customHeight="1" x14ac:dyDescent="0.35">
      <c r="E168" s="223"/>
    </row>
    <row r="169" spans="5:5" ht="24" customHeight="1" x14ac:dyDescent="0.35">
      <c r="E169" s="223"/>
    </row>
    <row r="170" spans="5:5" ht="24" customHeight="1" x14ac:dyDescent="0.35">
      <c r="E170" s="223"/>
    </row>
    <row r="171" spans="5:5" ht="24" customHeight="1" x14ac:dyDescent="0.35">
      <c r="E171" s="223"/>
    </row>
    <row r="172" spans="5:5" ht="24" customHeight="1" x14ac:dyDescent="0.35">
      <c r="E172" s="223"/>
    </row>
    <row r="173" spans="5:5" ht="24" customHeight="1" x14ac:dyDescent="0.35">
      <c r="E173" s="223"/>
    </row>
  </sheetData>
  <mergeCells count="2">
    <mergeCell ref="O9:R9"/>
    <mergeCell ref="S9:V9"/>
  </mergeCells>
  <phoneticPr fontId="0" type="noConversion"/>
  <dataValidations count="1">
    <dataValidation type="list" allowBlank="1" showInputMessage="1" showErrorMessage="1" sqref="B12" xr:uid="{00000000-0002-0000-1200-000000000000}">
      <formula1>$B$13:$C$13</formula1>
    </dataValidation>
  </dataValidations>
  <hyperlinks>
    <hyperlink ref="C5" location="TrialBalance!A1" display="VAT CONTROL" xr:uid="{334460DD-7E8E-40F2-BB77-9784B527A2E1}"/>
    <hyperlink ref="C63" location="TrialBalance!A1" display="VAT CONTROL" xr:uid="{9D8B9B76-0F88-4A8A-B2C6-29616D94AAE8}"/>
  </hyperlinks>
  <pageMargins left="0.75" right="0.75" top="1" bottom="1" header="0.5" footer="0.5"/>
  <pageSetup paperSize="9" scale="60"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FE589-A783-4795-A001-D5427B679BB3}">
  <sheetPr>
    <pageSetUpPr fitToPage="1"/>
  </sheetPr>
  <dimension ref="A2:J2531"/>
  <sheetViews>
    <sheetView zoomScale="87" zoomScaleNormal="87" workbookViewId="0">
      <selection activeCell="C4" sqref="C4"/>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7.28515625" style="5" bestFit="1" customWidth="1"/>
    <col min="9" max="9" width="14.7109375" style="2" bestFit="1" customWidth="1"/>
    <col min="10" max="10" width="10" style="2" bestFit="1" customWidth="1"/>
    <col min="11" max="16384" width="9.140625" style="150"/>
  </cols>
  <sheetData>
    <row r="2" spans="3:8" ht="52.5" customHeight="1" x14ac:dyDescent="0.25">
      <c r="C2" s="149" t="str">
        <f>Criteria!E9</f>
        <v>ABC COMPANY (PROPRIETARY) LIMITED</v>
      </c>
      <c r="D2" s="216"/>
      <c r="E2" s="216"/>
      <c r="G2" s="148" t="s">
        <v>96</v>
      </c>
      <c r="H2" s="148"/>
    </row>
    <row r="3" spans="3:8" x14ac:dyDescent="0.25">
      <c r="C3" s="3" t="s">
        <v>95</v>
      </c>
      <c r="D3" s="3"/>
      <c r="E3" s="3" t="str">
        <f>Criteria!E20</f>
        <v>28 FEBRUARY 2026</v>
      </c>
    </row>
    <row r="4" spans="3:8" ht="52.5" customHeight="1" x14ac:dyDescent="0.25">
      <c r="C4" s="190" t="s">
        <v>144</v>
      </c>
      <c r="G4" s="148" t="s">
        <v>97</v>
      </c>
      <c r="H4" s="148"/>
    </row>
    <row r="5" spans="3:8" ht="15.75" customHeight="1" x14ac:dyDescent="0.25">
      <c r="G5" s="28"/>
      <c r="H5" s="28"/>
    </row>
    <row r="6" spans="3:8" s="2" customFormat="1" x14ac:dyDescent="0.25">
      <c r="G6" s="5">
        <f>Criteria!E22</f>
        <v>2026</v>
      </c>
      <c r="H6" s="5">
        <f>Criteria!E27</f>
        <v>2025</v>
      </c>
    </row>
    <row r="8" spans="3:8" s="2" customFormat="1" x14ac:dyDescent="0.25">
      <c r="C8" s="31">
        <f>TrialBalance!C186</f>
        <v>0</v>
      </c>
      <c r="G8" s="144">
        <f>-TrialBalance!L186</f>
        <v>0</v>
      </c>
      <c r="H8" s="144">
        <f>-TrialBalance!N186</f>
        <v>0</v>
      </c>
    </row>
    <row r="9" spans="3:8" s="2" customFormat="1" x14ac:dyDescent="0.25">
      <c r="C9" s="31">
        <f>TrialBalance!C187</f>
        <v>0</v>
      </c>
      <c r="G9" s="144">
        <f>-TrialBalance!L187</f>
        <v>0</v>
      </c>
      <c r="H9" s="144">
        <f>-TrialBalance!N187</f>
        <v>0</v>
      </c>
    </row>
    <row r="10" spans="3:8" s="2" customFormat="1" x14ac:dyDescent="0.25">
      <c r="C10" s="31">
        <f>TrialBalance!C188</f>
        <v>0</v>
      </c>
      <c r="G10" s="144">
        <f>-TrialBalance!L188</f>
        <v>0</v>
      </c>
      <c r="H10" s="144">
        <f>-TrialBalance!N188</f>
        <v>0</v>
      </c>
    </row>
    <row r="11" spans="3:8" s="2" customFormat="1" x14ac:dyDescent="0.25">
      <c r="C11" s="31">
        <f>TrialBalance!C189</f>
        <v>0</v>
      </c>
      <c r="G11" s="144">
        <f>-TrialBalance!L189</f>
        <v>0</v>
      </c>
      <c r="H11" s="144">
        <f>-TrialBalance!N189</f>
        <v>0</v>
      </c>
    </row>
    <row r="12" spans="3:8" s="2" customFormat="1" x14ac:dyDescent="0.25">
      <c r="C12" s="31">
        <f>TrialBalance!C190</f>
        <v>0</v>
      </c>
      <c r="G12" s="144">
        <f>-TrialBalance!L190</f>
        <v>0</v>
      </c>
      <c r="H12" s="144">
        <f>-TrialBalance!N190</f>
        <v>0</v>
      </c>
    </row>
    <row r="13" spans="3:8" s="2" customFormat="1" x14ac:dyDescent="0.25">
      <c r="C13" s="31">
        <f>TrialBalance!C191</f>
        <v>0</v>
      </c>
      <c r="G13" s="144">
        <f>-TrialBalance!L191</f>
        <v>0</v>
      </c>
      <c r="H13" s="144">
        <f>-TrialBalance!N191</f>
        <v>0</v>
      </c>
    </row>
    <row r="14" spans="3:8" s="2" customFormat="1" x14ac:dyDescent="0.25">
      <c r="C14" s="31">
        <f>TrialBalance!C192</f>
        <v>0</v>
      </c>
      <c r="G14" s="144">
        <f>-TrialBalance!L192</f>
        <v>0</v>
      </c>
      <c r="H14" s="144">
        <f>-TrialBalance!N192</f>
        <v>0</v>
      </c>
    </row>
    <row r="15" spans="3:8" s="2" customFormat="1" x14ac:dyDescent="0.25">
      <c r="C15" s="31">
        <f>TrialBalance!C193</f>
        <v>0</v>
      </c>
      <c r="G15" s="144">
        <f>-TrialBalance!L193</f>
        <v>0</v>
      </c>
      <c r="H15" s="144">
        <f>-TrialBalance!N193</f>
        <v>0</v>
      </c>
    </row>
    <row r="16" spans="3:8" s="2" customFormat="1" x14ac:dyDescent="0.25">
      <c r="C16" s="31">
        <f>TrialBalance!C194</f>
        <v>0</v>
      </c>
      <c r="G16" s="144">
        <f>-TrialBalance!L194</f>
        <v>0</v>
      </c>
      <c r="H16" s="144">
        <f>-TrialBalance!N194</f>
        <v>0</v>
      </c>
    </row>
    <row r="17" spans="3:8" s="2" customFormat="1" x14ac:dyDescent="0.25">
      <c r="C17" s="31">
        <f>TrialBalance!C195</f>
        <v>0</v>
      </c>
      <c r="G17" s="144">
        <f>-TrialBalance!L195</f>
        <v>0</v>
      </c>
      <c r="H17" s="144">
        <f>-TrialBalance!N195</f>
        <v>0</v>
      </c>
    </row>
    <row r="18" spans="3:8" s="2" customFormat="1" x14ac:dyDescent="0.25">
      <c r="C18" s="31">
        <f>TrialBalance!C196</f>
        <v>0</v>
      </c>
      <c r="G18" s="144">
        <f>-TrialBalance!L196</f>
        <v>0</v>
      </c>
      <c r="H18" s="144">
        <f>-TrialBalance!N196</f>
        <v>0</v>
      </c>
    </row>
    <row r="19" spans="3:8" s="2" customFormat="1" x14ac:dyDescent="0.25">
      <c r="C19" s="31">
        <f>TrialBalance!C197</f>
        <v>0</v>
      </c>
      <c r="G19" s="144">
        <f>-TrialBalance!L197</f>
        <v>0</v>
      </c>
      <c r="H19" s="144">
        <f>-TrialBalance!N197</f>
        <v>0</v>
      </c>
    </row>
    <row r="20" spans="3:8" s="2" customFormat="1" x14ac:dyDescent="0.25">
      <c r="C20" s="31">
        <f>TrialBalance!C198</f>
        <v>0</v>
      </c>
      <c r="G20" s="144">
        <f>-TrialBalance!L198</f>
        <v>0</v>
      </c>
      <c r="H20" s="144">
        <f>-TrialBalance!N198</f>
        <v>0</v>
      </c>
    </row>
    <row r="21" spans="3:8" s="2" customFormat="1" x14ac:dyDescent="0.25">
      <c r="C21" s="31">
        <f>TrialBalance!C199</f>
        <v>0</v>
      </c>
      <c r="G21" s="144">
        <f>-TrialBalance!L199</f>
        <v>0</v>
      </c>
      <c r="H21" s="144">
        <f>-TrialBalance!N199</f>
        <v>0</v>
      </c>
    </row>
    <row r="22" spans="3:8" s="2" customFormat="1" x14ac:dyDescent="0.25">
      <c r="C22" s="31">
        <f>TrialBalance!C200</f>
        <v>0</v>
      </c>
      <c r="G22" s="144">
        <f>-TrialBalance!L200</f>
        <v>0</v>
      </c>
      <c r="H22" s="144">
        <f>-TrialBalance!N200</f>
        <v>0</v>
      </c>
    </row>
    <row r="23" spans="3:8" s="2" customFormat="1" x14ac:dyDescent="0.25">
      <c r="C23" s="31"/>
      <c r="G23" s="145"/>
      <c r="H23" s="145"/>
    </row>
    <row r="24" spans="3:8" s="2" customFormat="1" x14ac:dyDescent="0.25">
      <c r="C24" s="31"/>
      <c r="G24" s="144">
        <f>SUM(G7:G23)</f>
        <v>0</v>
      </c>
      <c r="H24" s="144">
        <f>SUM(H7:H23)</f>
        <v>0</v>
      </c>
    </row>
    <row r="25" spans="3:8" s="2" customFormat="1" x14ac:dyDescent="0.25">
      <c r="C25" s="31"/>
      <c r="G25" s="144"/>
      <c r="H25" s="144"/>
    </row>
    <row r="26" spans="3:8" s="2" customFormat="1" x14ac:dyDescent="0.25">
      <c r="C26" s="31" t="s">
        <v>288</v>
      </c>
      <c r="G26" s="144">
        <f>-TrialBalance!L201</f>
        <v>0</v>
      </c>
      <c r="H26" s="144">
        <f>-TrialBalance!N201</f>
        <v>0</v>
      </c>
    </row>
    <row r="27" spans="3:8" s="2" customFormat="1" x14ac:dyDescent="0.25">
      <c r="G27" s="144"/>
      <c r="H27" s="144"/>
    </row>
    <row r="28" spans="3:8" s="2" customFormat="1" ht="16.5" thickBot="1" x14ac:dyDescent="0.3">
      <c r="G28" s="146">
        <f>SUM(G24:G27)</f>
        <v>0</v>
      </c>
      <c r="H28" s="146">
        <f>SUM(H24:H27)</f>
        <v>0</v>
      </c>
    </row>
    <row r="29" spans="3:8" s="2" customFormat="1" ht="16.5" thickTop="1" x14ac:dyDescent="0.25">
      <c r="G29" s="144"/>
      <c r="H29" s="144"/>
    </row>
    <row r="30" spans="3:8" s="2" customFormat="1" x14ac:dyDescent="0.25">
      <c r="C30" s="1" t="s">
        <v>640</v>
      </c>
      <c r="D30" s="1"/>
      <c r="E30" s="1"/>
      <c r="F30" s="1"/>
      <c r="G30" s="8">
        <f>G28+SUM(TrialBalance!L186:L201)</f>
        <v>0</v>
      </c>
      <c r="H30" s="8">
        <f>H28+SUM(TrialBalance!N186:N201)</f>
        <v>0</v>
      </c>
    </row>
    <row r="31" spans="3:8" s="2" customFormat="1" x14ac:dyDescent="0.25">
      <c r="G31" s="144"/>
      <c r="H31" s="144"/>
    </row>
    <row r="32" spans="3:8" s="2" customFormat="1" x14ac:dyDescent="0.25">
      <c r="G32" s="144"/>
      <c r="H32" s="144"/>
    </row>
    <row r="33" spans="2:8" s="2" customFormat="1" x14ac:dyDescent="0.25">
      <c r="G33" s="144"/>
      <c r="H33" s="144"/>
    </row>
    <row r="34" spans="2:8" s="2" customFormat="1" x14ac:dyDescent="0.25">
      <c r="B34" s="111"/>
      <c r="C34" s="3"/>
      <c r="G34" s="28"/>
      <c r="H34" s="28"/>
    </row>
    <row r="35" spans="2:8" s="2" customFormat="1" x14ac:dyDescent="0.25">
      <c r="G35" s="5"/>
      <c r="H35" s="5"/>
    </row>
    <row r="36" spans="2:8" s="2" customFormat="1" x14ac:dyDescent="0.25">
      <c r="G36" s="5"/>
      <c r="H36" s="5"/>
    </row>
    <row r="37" spans="2:8" x14ac:dyDescent="0.25">
      <c r="E37" s="292"/>
      <c r="F37" s="292"/>
    </row>
    <row r="38" spans="2:8" x14ac:dyDescent="0.25">
      <c r="E38" s="293"/>
      <c r="F38" s="293"/>
    </row>
    <row r="39" spans="2:8" x14ac:dyDescent="0.25">
      <c r="E39" s="293"/>
      <c r="F39" s="293"/>
    </row>
    <row r="40" spans="2:8" x14ac:dyDescent="0.25">
      <c r="E40" s="293"/>
      <c r="F40" s="293"/>
    </row>
    <row r="41" spans="2:8" x14ac:dyDescent="0.25">
      <c r="E41" s="293"/>
      <c r="F41" s="293"/>
    </row>
    <row r="42" spans="2:8" x14ac:dyDescent="0.25">
      <c r="E42" s="293"/>
      <c r="F42" s="293"/>
    </row>
    <row r="43" spans="2:8" x14ac:dyDescent="0.25">
      <c r="E43" s="293"/>
      <c r="F43" s="293"/>
    </row>
    <row r="44" spans="2:8" x14ac:dyDescent="0.25">
      <c r="E44" s="293"/>
      <c r="F44" s="293"/>
    </row>
    <row r="45" spans="2:8" x14ac:dyDescent="0.25">
      <c r="E45" s="293"/>
      <c r="F45" s="293"/>
    </row>
    <row r="46" spans="2:8" x14ac:dyDescent="0.25">
      <c r="E46" s="293"/>
      <c r="F46" s="293"/>
    </row>
    <row r="47" spans="2:8" x14ac:dyDescent="0.25">
      <c r="E47" s="293"/>
      <c r="F47" s="293"/>
    </row>
    <row r="48" spans="2:8" x14ac:dyDescent="0.25">
      <c r="E48" s="293"/>
      <c r="F48" s="293"/>
    </row>
    <row r="49" spans="5:6" x14ac:dyDescent="0.25">
      <c r="E49" s="293"/>
      <c r="F49" s="293"/>
    </row>
    <row r="50" spans="5:6" x14ac:dyDescent="0.25">
      <c r="E50" s="293"/>
      <c r="F50" s="293"/>
    </row>
    <row r="51" spans="5:6" x14ac:dyDescent="0.25">
      <c r="E51" s="293"/>
      <c r="F51" s="293"/>
    </row>
    <row r="52" spans="5:6" x14ac:dyDescent="0.25">
      <c r="E52" s="293"/>
      <c r="F52" s="293"/>
    </row>
    <row r="53" spans="5:6" x14ac:dyDescent="0.25">
      <c r="E53" s="293"/>
      <c r="F53" s="293"/>
    </row>
    <row r="54" spans="5:6" x14ac:dyDescent="0.25">
      <c r="E54" s="293"/>
      <c r="F54" s="293"/>
    </row>
    <row r="55" spans="5:6" x14ac:dyDescent="0.25">
      <c r="E55" s="293"/>
      <c r="F55" s="293"/>
    </row>
    <row r="56" spans="5:6" x14ac:dyDescent="0.25">
      <c r="E56" s="293"/>
      <c r="F56" s="293"/>
    </row>
    <row r="57" spans="5:6" x14ac:dyDescent="0.25">
      <c r="E57" s="293"/>
      <c r="F57" s="293"/>
    </row>
    <row r="58" spans="5:6" x14ac:dyDescent="0.25">
      <c r="E58" s="293"/>
      <c r="F58" s="293"/>
    </row>
    <row r="59" spans="5:6" x14ac:dyDescent="0.25">
      <c r="E59" s="293"/>
      <c r="F59" s="293"/>
    </row>
    <row r="60" spans="5:6" x14ac:dyDescent="0.25">
      <c r="E60" s="293"/>
      <c r="F60" s="293"/>
    </row>
    <row r="61" spans="5:6" x14ac:dyDescent="0.25">
      <c r="E61" s="293"/>
      <c r="F61" s="293"/>
    </row>
    <row r="62" spans="5:6" x14ac:dyDescent="0.25">
      <c r="E62" s="293"/>
      <c r="F62" s="293"/>
    </row>
    <row r="63" spans="5:6" x14ac:dyDescent="0.25">
      <c r="E63" s="293"/>
      <c r="F63" s="293"/>
    </row>
    <row r="64" spans="5:6" x14ac:dyDescent="0.25">
      <c r="E64" s="293"/>
      <c r="F64" s="293"/>
    </row>
    <row r="65" spans="5:6" x14ac:dyDescent="0.25">
      <c r="E65" s="293"/>
      <c r="F65" s="293"/>
    </row>
    <row r="66" spans="5:6" x14ac:dyDescent="0.25">
      <c r="E66" s="293"/>
      <c r="F66" s="293"/>
    </row>
    <row r="67" spans="5:6" x14ac:dyDescent="0.25">
      <c r="E67" s="293"/>
      <c r="F67" s="293"/>
    </row>
    <row r="68" spans="5:6" x14ac:dyDescent="0.25">
      <c r="E68" s="293"/>
      <c r="F68" s="293"/>
    </row>
    <row r="69" spans="5:6" x14ac:dyDescent="0.25">
      <c r="E69" s="293"/>
      <c r="F69" s="293"/>
    </row>
    <row r="70" spans="5:6" x14ac:dyDescent="0.25">
      <c r="E70" s="293"/>
      <c r="F70" s="293"/>
    </row>
    <row r="71" spans="5:6" x14ac:dyDescent="0.25">
      <c r="E71" s="293"/>
      <c r="F71" s="293"/>
    </row>
    <row r="72" spans="5:6" x14ac:dyDescent="0.25">
      <c r="E72" s="293"/>
      <c r="F72" s="293"/>
    </row>
    <row r="73" spans="5:6" x14ac:dyDescent="0.25">
      <c r="E73" s="293"/>
      <c r="F73" s="293"/>
    </row>
    <row r="74" spans="5:6" x14ac:dyDescent="0.25">
      <c r="E74" s="293"/>
      <c r="F74" s="293"/>
    </row>
    <row r="75" spans="5:6" x14ac:dyDescent="0.25">
      <c r="E75" s="293"/>
      <c r="F75" s="293"/>
    </row>
    <row r="76" spans="5:6" x14ac:dyDescent="0.25">
      <c r="E76" s="293"/>
      <c r="F76" s="293"/>
    </row>
    <row r="77" spans="5:6" x14ac:dyDescent="0.25">
      <c r="E77" s="293"/>
      <c r="F77" s="293"/>
    </row>
    <row r="78" spans="5:6" x14ac:dyDescent="0.25">
      <c r="E78" s="293"/>
      <c r="F78" s="293"/>
    </row>
    <row r="79" spans="5:6" x14ac:dyDescent="0.25">
      <c r="E79" s="293"/>
      <c r="F79" s="293"/>
    </row>
    <row r="80" spans="5:6" x14ac:dyDescent="0.25">
      <c r="E80" s="293"/>
      <c r="F80" s="293"/>
    </row>
    <row r="81" spans="5:6" x14ac:dyDescent="0.25">
      <c r="E81" s="293"/>
      <c r="F81" s="293"/>
    </row>
    <row r="82" spans="5:6" x14ac:dyDescent="0.25">
      <c r="E82" s="293"/>
      <c r="F82" s="293"/>
    </row>
    <row r="83" spans="5:6" x14ac:dyDescent="0.25">
      <c r="E83" s="293"/>
      <c r="F83" s="293"/>
    </row>
    <row r="84" spans="5:6" x14ac:dyDescent="0.25">
      <c r="E84" s="293"/>
      <c r="F84" s="293"/>
    </row>
    <row r="85" spans="5:6" x14ac:dyDescent="0.25">
      <c r="E85" s="293"/>
      <c r="F85" s="293"/>
    </row>
    <row r="86" spans="5:6" x14ac:dyDescent="0.25">
      <c r="E86" s="293"/>
      <c r="F86" s="293"/>
    </row>
    <row r="87" spans="5:6" x14ac:dyDescent="0.25">
      <c r="E87" s="293"/>
      <c r="F87" s="293"/>
    </row>
    <row r="88" spans="5:6" x14ac:dyDescent="0.25">
      <c r="E88" s="293"/>
      <c r="F88" s="293"/>
    </row>
    <row r="89" spans="5:6" x14ac:dyDescent="0.25">
      <c r="E89" s="293"/>
      <c r="F89" s="293"/>
    </row>
    <row r="90" spans="5:6" x14ac:dyDescent="0.25">
      <c r="E90" s="293"/>
      <c r="F90" s="293"/>
    </row>
    <row r="91" spans="5:6" x14ac:dyDescent="0.25">
      <c r="E91" s="293"/>
      <c r="F91" s="293"/>
    </row>
    <row r="92" spans="5:6" x14ac:dyDescent="0.25">
      <c r="E92" s="293"/>
      <c r="F92" s="293"/>
    </row>
    <row r="93" spans="5:6" x14ac:dyDescent="0.25">
      <c r="E93" s="293"/>
      <c r="F93" s="293"/>
    </row>
    <row r="94" spans="5:6" x14ac:dyDescent="0.25">
      <c r="E94" s="293"/>
      <c r="F94" s="293"/>
    </row>
    <row r="95" spans="5:6" x14ac:dyDescent="0.25">
      <c r="E95" s="293"/>
      <c r="F95" s="293"/>
    </row>
    <row r="96" spans="5:6" x14ac:dyDescent="0.25">
      <c r="E96" s="293"/>
      <c r="F96" s="293"/>
    </row>
    <row r="97" spans="5:6" x14ac:dyDescent="0.25">
      <c r="E97" s="293"/>
      <c r="F97" s="293"/>
    </row>
    <row r="98" spans="5:6" x14ac:dyDescent="0.25">
      <c r="E98" s="293"/>
      <c r="F98" s="293"/>
    </row>
    <row r="99" spans="5:6" x14ac:dyDescent="0.25">
      <c r="E99" s="293"/>
      <c r="F99" s="293"/>
    </row>
    <row r="100" spans="5:6" x14ac:dyDescent="0.25">
      <c r="E100" s="293"/>
      <c r="F100" s="293"/>
    </row>
    <row r="101" spans="5:6" x14ac:dyDescent="0.25">
      <c r="E101" s="293"/>
      <c r="F101" s="293"/>
    </row>
    <row r="102" spans="5:6" x14ac:dyDescent="0.25">
      <c r="E102" s="293"/>
      <c r="F102" s="293"/>
    </row>
    <row r="103" spans="5:6" x14ac:dyDescent="0.25">
      <c r="E103" s="293"/>
      <c r="F103" s="293"/>
    </row>
    <row r="104" spans="5:6" x14ac:dyDescent="0.25">
      <c r="E104" s="293"/>
      <c r="F104" s="293"/>
    </row>
    <row r="105" spans="5:6" x14ac:dyDescent="0.25">
      <c r="E105" s="293"/>
      <c r="F105" s="293"/>
    </row>
    <row r="106" spans="5:6" x14ac:dyDescent="0.25">
      <c r="E106" s="293"/>
      <c r="F106" s="293"/>
    </row>
    <row r="107" spans="5:6" x14ac:dyDescent="0.25">
      <c r="E107" s="293"/>
      <c r="F107" s="293"/>
    </row>
    <row r="108" spans="5:6" x14ac:dyDescent="0.25">
      <c r="E108" s="293"/>
      <c r="F108" s="293"/>
    </row>
    <row r="109" spans="5:6" x14ac:dyDescent="0.25">
      <c r="E109" s="293"/>
      <c r="F109" s="293"/>
    </row>
    <row r="110" spans="5:6" x14ac:dyDescent="0.25">
      <c r="E110" s="293"/>
      <c r="F110" s="293"/>
    </row>
    <row r="111" spans="5:6" x14ac:dyDescent="0.25">
      <c r="E111" s="293"/>
      <c r="F111" s="293"/>
    </row>
    <row r="112" spans="5:6" x14ac:dyDescent="0.25">
      <c r="E112" s="293"/>
      <c r="F112" s="293"/>
    </row>
    <row r="113" spans="5:6" x14ac:dyDescent="0.25">
      <c r="E113" s="293"/>
      <c r="F113" s="293"/>
    </row>
    <row r="114" spans="5:6" x14ac:dyDescent="0.25">
      <c r="E114" s="293"/>
      <c r="F114" s="293"/>
    </row>
    <row r="115" spans="5:6" x14ac:dyDescent="0.25">
      <c r="E115" s="293"/>
      <c r="F115" s="293"/>
    </row>
    <row r="116" spans="5:6" x14ac:dyDescent="0.25">
      <c r="E116" s="293"/>
      <c r="F116" s="293"/>
    </row>
    <row r="117" spans="5:6" x14ac:dyDescent="0.25">
      <c r="E117" s="293"/>
      <c r="F117" s="293"/>
    </row>
    <row r="118" spans="5:6" x14ac:dyDescent="0.25">
      <c r="E118" s="293"/>
      <c r="F118" s="293"/>
    </row>
    <row r="2531" spans="7:9" s="2" customFormat="1" x14ac:dyDescent="0.25">
      <c r="G2531" s="5"/>
      <c r="H2531" s="5"/>
      <c r="I2531" s="32"/>
    </row>
  </sheetData>
  <hyperlinks>
    <hyperlink ref="C4" location="TrialBalance!A1" display="LONG TERM  INTEREST LIABILITIES" xr:uid="{83C055B9-0042-4D84-8138-A2ADAF6ADF71}"/>
  </hyperlinks>
  <pageMargins left="0.75" right="0.75" top="1" bottom="1" header="0.5" footer="0.5"/>
  <pageSetup paperSize="9" scale="72" fitToHeight="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9B2FC-00E4-40AF-AD72-9BC9FC3FCA81}">
  <sheetPr>
    <pageSetUpPr fitToPage="1"/>
  </sheetPr>
  <dimension ref="A2:H29"/>
  <sheetViews>
    <sheetView zoomScale="87" zoomScaleNormal="87" workbookViewId="0">
      <selection activeCell="E3" sqref="E3"/>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7.28515625" style="5" bestFit="1" customWidth="1"/>
    <col min="9" max="16384" width="9.140625" style="150"/>
  </cols>
  <sheetData>
    <row r="2" spans="3:8" ht="52.5" customHeight="1" x14ac:dyDescent="0.25">
      <c r="C2" s="149" t="str">
        <f>Criteria!E9</f>
        <v>ABC COMPANY (PROPRIETARY) LIMITED</v>
      </c>
      <c r="D2" s="216"/>
      <c r="E2" s="216"/>
      <c r="G2" s="148" t="s">
        <v>96</v>
      </c>
      <c r="H2" s="148"/>
    </row>
    <row r="3" spans="3:8" x14ac:dyDescent="0.25">
      <c r="C3" s="3" t="s">
        <v>95</v>
      </c>
      <c r="D3" s="3"/>
      <c r="E3" s="3" t="str">
        <f>Criteria!E20</f>
        <v>28 FEBRUARY 2026</v>
      </c>
    </row>
    <row r="4" spans="3:8" ht="52.5" customHeight="1" x14ac:dyDescent="0.25">
      <c r="C4" s="190" t="s">
        <v>153</v>
      </c>
      <c r="G4" s="148" t="s">
        <v>97</v>
      </c>
      <c r="H4" s="148"/>
    </row>
    <row r="5" spans="3:8" ht="15.75" customHeight="1" x14ac:dyDescent="0.25">
      <c r="G5" s="28"/>
      <c r="H5" s="28"/>
    </row>
    <row r="6" spans="3:8" s="2" customFormat="1" x14ac:dyDescent="0.25">
      <c r="G6" s="5">
        <f>Criteria!E22</f>
        <v>2026</v>
      </c>
      <c r="H6" s="5">
        <f>Criteria!E27</f>
        <v>2025</v>
      </c>
    </row>
    <row r="8" spans="3:8" s="2" customFormat="1" x14ac:dyDescent="0.25">
      <c r="C8" s="31">
        <f>TrialBalance!C203</f>
        <v>0</v>
      </c>
      <c r="G8" s="144">
        <f>-TrialBalance!L203</f>
        <v>0</v>
      </c>
      <c r="H8" s="144">
        <f>-TrialBalance!N203</f>
        <v>0</v>
      </c>
    </row>
    <row r="9" spans="3:8" s="2" customFormat="1" x14ac:dyDescent="0.25">
      <c r="C9" s="31">
        <f>TrialBalance!C204</f>
        <v>0</v>
      </c>
      <c r="G9" s="144">
        <f>-TrialBalance!L204</f>
        <v>0</v>
      </c>
      <c r="H9" s="144">
        <f>-TrialBalance!N204</f>
        <v>0</v>
      </c>
    </row>
    <row r="10" spans="3:8" s="2" customFormat="1" x14ac:dyDescent="0.25">
      <c r="C10" s="31">
        <f>TrialBalance!C205</f>
        <v>0</v>
      </c>
      <c r="G10" s="144">
        <f>-TrialBalance!L205</f>
        <v>0</v>
      </c>
      <c r="H10" s="144">
        <f>-TrialBalance!N205</f>
        <v>0</v>
      </c>
    </row>
    <row r="11" spans="3:8" s="2" customFormat="1" x14ac:dyDescent="0.25">
      <c r="C11" s="31">
        <f>TrialBalance!C206</f>
        <v>0</v>
      </c>
      <c r="G11" s="144">
        <f>-TrialBalance!L206</f>
        <v>0</v>
      </c>
      <c r="H11" s="144">
        <f>-TrialBalance!N206</f>
        <v>0</v>
      </c>
    </row>
    <row r="12" spans="3:8" s="2" customFormat="1" x14ac:dyDescent="0.25">
      <c r="C12" s="31">
        <f>TrialBalance!C207</f>
        <v>0</v>
      </c>
      <c r="G12" s="144">
        <f>-TrialBalance!L207</f>
        <v>0</v>
      </c>
      <c r="H12" s="144">
        <f>-TrialBalance!N207</f>
        <v>0</v>
      </c>
    </row>
    <row r="13" spans="3:8" s="2" customFormat="1" x14ac:dyDescent="0.25">
      <c r="C13" s="31">
        <f>TrialBalance!C208</f>
        <v>0</v>
      </c>
      <c r="G13" s="144">
        <f>-TrialBalance!L208</f>
        <v>0</v>
      </c>
      <c r="H13" s="144">
        <f>-TrialBalance!N208</f>
        <v>0</v>
      </c>
    </row>
    <row r="14" spans="3:8" s="2" customFormat="1" x14ac:dyDescent="0.25">
      <c r="C14" s="31">
        <f>TrialBalance!C209</f>
        <v>0</v>
      </c>
      <c r="G14" s="144">
        <f>-TrialBalance!L209</f>
        <v>0</v>
      </c>
      <c r="H14" s="144">
        <f>-TrialBalance!N209</f>
        <v>0</v>
      </c>
    </row>
    <row r="15" spans="3:8" s="2" customFormat="1" x14ac:dyDescent="0.25">
      <c r="C15" s="31">
        <f>TrialBalance!C210</f>
        <v>0</v>
      </c>
      <c r="G15" s="144">
        <f>-TrialBalance!L210</f>
        <v>0</v>
      </c>
      <c r="H15" s="144">
        <f>-TrialBalance!N210</f>
        <v>0</v>
      </c>
    </row>
    <row r="16" spans="3:8" s="2" customFormat="1" x14ac:dyDescent="0.25">
      <c r="C16" s="31">
        <f>TrialBalance!C211</f>
        <v>0</v>
      </c>
      <c r="G16" s="144">
        <f>-TrialBalance!L211</f>
        <v>0</v>
      </c>
      <c r="H16" s="144">
        <f>-TrialBalance!N211</f>
        <v>0</v>
      </c>
    </row>
    <row r="17" spans="3:8" s="2" customFormat="1" x14ac:dyDescent="0.25">
      <c r="C17" s="31">
        <f>TrialBalance!C212</f>
        <v>0</v>
      </c>
      <c r="G17" s="144">
        <f>-TrialBalance!L212</f>
        <v>0</v>
      </c>
      <c r="H17" s="144">
        <f>-TrialBalance!N212</f>
        <v>0</v>
      </c>
    </row>
    <row r="18" spans="3:8" s="2" customFormat="1" x14ac:dyDescent="0.25">
      <c r="C18" s="31">
        <f>TrialBalance!C213</f>
        <v>0</v>
      </c>
      <c r="G18" s="144">
        <f>-TrialBalance!L213</f>
        <v>0</v>
      </c>
      <c r="H18" s="144">
        <f>-TrialBalance!N213</f>
        <v>0</v>
      </c>
    </row>
    <row r="19" spans="3:8" s="2" customFormat="1" x14ac:dyDescent="0.25">
      <c r="C19" s="31">
        <f>TrialBalance!C214</f>
        <v>0</v>
      </c>
      <c r="G19" s="144">
        <f>-TrialBalance!L214</f>
        <v>0</v>
      </c>
      <c r="H19" s="144">
        <f>-TrialBalance!N214</f>
        <v>0</v>
      </c>
    </row>
    <row r="20" spans="3:8" s="2" customFormat="1" x14ac:dyDescent="0.25">
      <c r="C20" s="31">
        <f>TrialBalance!C215</f>
        <v>0</v>
      </c>
      <c r="G20" s="144">
        <f>-TrialBalance!L215</f>
        <v>0</v>
      </c>
      <c r="H20" s="144">
        <f>-TrialBalance!N215</f>
        <v>0</v>
      </c>
    </row>
    <row r="21" spans="3:8" s="2" customFormat="1" x14ac:dyDescent="0.25">
      <c r="C21" s="31">
        <f>TrialBalance!C216</f>
        <v>0</v>
      </c>
      <c r="G21" s="144">
        <f>-TrialBalance!L216</f>
        <v>0</v>
      </c>
      <c r="H21" s="144">
        <f>-TrialBalance!N216</f>
        <v>0</v>
      </c>
    </row>
    <row r="22" spans="3:8" s="2" customFormat="1" x14ac:dyDescent="0.25">
      <c r="C22" s="31">
        <f>TrialBalance!C217</f>
        <v>0</v>
      </c>
      <c r="G22" s="144">
        <f>-TrialBalance!L217</f>
        <v>0</v>
      </c>
      <c r="H22" s="144">
        <f>-TrialBalance!N217</f>
        <v>0</v>
      </c>
    </row>
    <row r="23" spans="3:8" s="2" customFormat="1" x14ac:dyDescent="0.25">
      <c r="C23" s="31">
        <f>TrialBalance!C218</f>
        <v>0</v>
      </c>
      <c r="G23" s="144">
        <f>-TrialBalance!L218</f>
        <v>0</v>
      </c>
      <c r="H23" s="144">
        <f>-TrialBalance!N218</f>
        <v>0</v>
      </c>
    </row>
    <row r="24" spans="3:8" s="2" customFormat="1" x14ac:dyDescent="0.25">
      <c r="C24" s="31">
        <f>TrialBalance!C219</f>
        <v>0</v>
      </c>
      <c r="G24" s="144">
        <f>-TrialBalance!L219</f>
        <v>0</v>
      </c>
      <c r="H24" s="144">
        <f>-TrialBalance!N219</f>
        <v>0</v>
      </c>
    </row>
    <row r="25" spans="3:8" s="2" customFormat="1" x14ac:dyDescent="0.25">
      <c r="G25" s="144"/>
      <c r="H25" s="144"/>
    </row>
    <row r="26" spans="3:8" s="2" customFormat="1" ht="16.5" thickBot="1" x14ac:dyDescent="0.3">
      <c r="G26" s="146">
        <f>SUM(G7:G25)</f>
        <v>0</v>
      </c>
      <c r="H26" s="146">
        <f>SUM(H7:H25)</f>
        <v>0</v>
      </c>
    </row>
    <row r="27" spans="3:8" s="2" customFormat="1" ht="16.5" thickTop="1" x14ac:dyDescent="0.25">
      <c r="G27" s="144"/>
      <c r="H27" s="144"/>
    </row>
    <row r="28" spans="3:8" s="2" customFormat="1" x14ac:dyDescent="0.25">
      <c r="C28" s="1" t="s">
        <v>640</v>
      </c>
      <c r="D28" s="1"/>
      <c r="E28" s="1"/>
      <c r="F28" s="1"/>
      <c r="G28" s="8">
        <f>G26+SUM(TrialBalance!L203:L219)</f>
        <v>0</v>
      </c>
      <c r="H28" s="8">
        <f>H26+SUM(TrialBalance!N203:N219)</f>
        <v>0</v>
      </c>
    </row>
    <row r="29" spans="3:8" s="2" customFormat="1" x14ac:dyDescent="0.25">
      <c r="G29" s="144"/>
      <c r="H29" s="144"/>
    </row>
  </sheetData>
  <hyperlinks>
    <hyperlink ref="C4" location="TrialBalance!A1" display="LONG TERM INTEREST FREE LOANS" xr:uid="{F5715229-A08B-409E-B0EC-934293EEAE48}"/>
  </hyperlinks>
  <pageMargins left="0.75" right="0.75" top="1" bottom="1" header="0.5" footer="0.5"/>
  <pageSetup paperSize="9" scale="72" fitToHeight="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40C0B-A150-4C61-A47F-DCEBFCD4D28B}">
  <sheetPr>
    <pageSetUpPr fitToPage="1"/>
  </sheetPr>
  <dimension ref="A2:M2485"/>
  <sheetViews>
    <sheetView zoomScale="87" zoomScaleNormal="87" workbookViewId="0">
      <pane xSplit="2" ySplit="4" topLeftCell="C21" activePane="bottomRight" state="frozen"/>
      <selection pane="topRight" activeCell="C1" sqref="C1"/>
      <selection pane="bottomLeft" activeCell="A5" sqref="A5"/>
      <selection pane="bottomRight" activeCell="J33" sqref="J33"/>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6.42578125" style="2" bestFit="1" customWidth="1"/>
    <col min="7" max="8" width="16" style="5" bestFit="1" customWidth="1"/>
    <col min="9" max="9" width="16" style="2" bestFit="1" customWidth="1"/>
    <col min="10" max="10" width="16" style="2" customWidth="1"/>
    <col min="11" max="11" width="13.28515625" style="2" bestFit="1" customWidth="1"/>
    <col min="12" max="12" width="16.28515625" style="150" bestFit="1" customWidth="1"/>
    <col min="13" max="13" width="17.5703125" style="150" bestFit="1" customWidth="1"/>
    <col min="14" max="16384" width="9.140625" style="150"/>
  </cols>
  <sheetData>
    <row r="2" spans="3:12" ht="52.5" customHeight="1" x14ac:dyDescent="0.25">
      <c r="C2" s="149" t="str">
        <f>Criteria!E9</f>
        <v>ABC COMPANY (PROPRIETARY) LIMITED</v>
      </c>
      <c r="D2" s="216"/>
      <c r="E2" s="216"/>
      <c r="K2" s="148" t="s">
        <v>96</v>
      </c>
      <c r="L2" s="148"/>
    </row>
    <row r="3" spans="3:12" x14ac:dyDescent="0.25">
      <c r="C3" s="3" t="s">
        <v>95</v>
      </c>
      <c r="D3" s="3"/>
      <c r="E3" s="3" t="str">
        <f>Criteria!E20</f>
        <v>28 FEBRUARY 2026</v>
      </c>
      <c r="K3" s="5"/>
      <c r="L3" s="5"/>
    </row>
    <row r="4" spans="3:12" ht="52.5" customHeight="1" x14ac:dyDescent="0.25">
      <c r="C4" s="190" t="s">
        <v>212</v>
      </c>
      <c r="K4" s="148" t="s">
        <v>97</v>
      </c>
      <c r="L4" s="148"/>
    </row>
    <row r="5" spans="3:12" ht="15.75" customHeight="1" x14ac:dyDescent="0.25">
      <c r="G5" s="28"/>
      <c r="H5" s="28"/>
    </row>
    <row r="6" spans="3:12" s="2" customFormat="1" x14ac:dyDescent="0.25">
      <c r="G6" s="5">
        <f>Criteria!E22</f>
        <v>2026</v>
      </c>
      <c r="H6" s="5">
        <f>Criteria!E27</f>
        <v>2025</v>
      </c>
    </row>
    <row r="8" spans="3:12" s="2" customFormat="1" x14ac:dyDescent="0.25">
      <c r="C8" s="31" t="str">
        <f>TrialBalance!C221</f>
        <v>Deferred tax balance  depreciation b/fwd</v>
      </c>
      <c r="G8" s="144">
        <f>-TrialBalance!L221</f>
        <v>0</v>
      </c>
      <c r="H8" s="144">
        <f>-TrialBalance!N221</f>
        <v>0</v>
      </c>
    </row>
    <row r="9" spans="3:12" s="2" customFormat="1" x14ac:dyDescent="0.25">
      <c r="C9" s="31" t="str">
        <f>TrialBalance!C222</f>
        <v>Deferred tax balance  tax loss b/fwd</v>
      </c>
      <c r="G9" s="144">
        <f>-TrialBalance!L222</f>
        <v>0</v>
      </c>
      <c r="H9" s="144">
        <f>-TrialBalance!N222</f>
        <v>0</v>
      </c>
    </row>
    <row r="10" spans="3:12" s="2" customFormat="1" x14ac:dyDescent="0.25">
      <c r="C10" s="31" t="str">
        <f>TrialBalance!C223</f>
        <v>Opening balance depreciation tax rate change</v>
      </c>
      <c r="G10" s="144">
        <f>-TrialBalance!L223</f>
        <v>0</v>
      </c>
      <c r="H10" s="144">
        <f>-TrialBalance!N223</f>
        <v>0</v>
      </c>
    </row>
    <row r="11" spans="3:12" s="2" customFormat="1" x14ac:dyDescent="0.25">
      <c r="C11" s="31" t="str">
        <f>TrialBalance!C224</f>
        <v>Opening balance tax loss tax rate change</v>
      </c>
      <c r="G11" s="144">
        <f>-TrialBalance!L224</f>
        <v>0</v>
      </c>
      <c r="H11" s="144">
        <f>-TrialBalance!N224</f>
        <v>0</v>
      </c>
    </row>
    <row r="12" spans="3:12" s="2" customFormat="1" x14ac:dyDescent="0.25">
      <c r="C12" s="31" t="str">
        <f>TrialBalance!C225</f>
        <v>Deferred tax on depreciation for year</v>
      </c>
      <c r="G12" s="144">
        <f>-TrialBalance!L225</f>
        <v>0</v>
      </c>
      <c r="H12" s="144">
        <f>-TrialBalance!N225</f>
        <v>0</v>
      </c>
    </row>
    <row r="13" spans="3:12" s="2" customFormat="1" x14ac:dyDescent="0.25">
      <c r="C13" s="31" t="str">
        <f>TrialBalance!C226</f>
        <v>Deferred tax on tax loss for year</v>
      </c>
      <c r="G13" s="144">
        <f>-TrialBalance!L226</f>
        <v>0</v>
      </c>
      <c r="H13" s="144">
        <f>-TrialBalance!N226</f>
        <v>0</v>
      </c>
    </row>
    <row r="14" spans="3:12" s="2" customFormat="1" x14ac:dyDescent="0.25">
      <c r="C14" s="31" t="str">
        <f>TrialBalance!C227</f>
        <v>Def tax adj  depreciation previous year</v>
      </c>
      <c r="G14" s="144">
        <f>-TrialBalance!L227</f>
        <v>0</v>
      </c>
      <c r="H14" s="144">
        <f>-TrialBalance!N227</f>
        <v>0</v>
      </c>
    </row>
    <row r="15" spans="3:12" s="2" customFormat="1" x14ac:dyDescent="0.25">
      <c r="C15" s="31" t="str">
        <f>TrialBalance!C228</f>
        <v>Def tax adj tax loss previous year</v>
      </c>
      <c r="G15" s="144">
        <f>-TrialBalance!L228</f>
        <v>0</v>
      </c>
      <c r="H15" s="144">
        <f>-TrialBalance!N228</f>
        <v>0</v>
      </c>
    </row>
    <row r="16" spans="3:12" s="2" customFormat="1" x14ac:dyDescent="0.25">
      <c r="G16" s="144"/>
      <c r="H16" s="144"/>
    </row>
    <row r="17" spans="3:13" s="2" customFormat="1" ht="16.5" thickBot="1" x14ac:dyDescent="0.3">
      <c r="G17" s="146">
        <f>SUM(G7:G16)</f>
        <v>0</v>
      </c>
      <c r="H17" s="146">
        <f>SUM(H7:H16)</f>
        <v>0</v>
      </c>
    </row>
    <row r="18" spans="3:13" s="2" customFormat="1" ht="16.5" thickTop="1" x14ac:dyDescent="0.25">
      <c r="G18" s="144"/>
      <c r="H18" s="144"/>
    </row>
    <row r="19" spans="3:13" s="2" customFormat="1" x14ac:dyDescent="0.25">
      <c r="C19" s="1" t="s">
        <v>640</v>
      </c>
      <c r="D19" s="1"/>
      <c r="E19" s="1"/>
      <c r="F19" s="1"/>
      <c r="G19" s="8">
        <f>SUM(TrialBalance!L221:L228)+G17</f>
        <v>0</v>
      </c>
      <c r="H19" s="8">
        <f>SUM(TrialBalance!N221:N228)+H17</f>
        <v>0</v>
      </c>
    </row>
    <row r="20" spans="3:13" s="2" customFormat="1" x14ac:dyDescent="0.25">
      <c r="G20" s="144"/>
      <c r="H20" s="144"/>
    </row>
    <row r="21" spans="3:13" s="2" customFormat="1" x14ac:dyDescent="0.25">
      <c r="G21" s="144"/>
      <c r="H21" s="144"/>
    </row>
    <row r="22" spans="3:13" s="2" customFormat="1" x14ac:dyDescent="0.25">
      <c r="F22" s="28"/>
      <c r="G22" s="300"/>
      <c r="H22" s="300"/>
      <c r="I22" s="28"/>
      <c r="J22" s="28"/>
      <c r="K22" s="28"/>
      <c r="L22" s="28" t="s">
        <v>918</v>
      </c>
    </row>
    <row r="23" spans="3:13" x14ac:dyDescent="0.25">
      <c r="F23" s="35" t="s">
        <v>254</v>
      </c>
      <c r="G23" s="35" t="s">
        <v>255</v>
      </c>
      <c r="H23" s="35" t="s">
        <v>366</v>
      </c>
      <c r="I23" s="35" t="s">
        <v>257</v>
      </c>
      <c r="J23" s="35" t="s">
        <v>1352</v>
      </c>
      <c r="K23" s="35" t="s">
        <v>259</v>
      </c>
      <c r="L23" s="35" t="s">
        <v>919</v>
      </c>
      <c r="M23" s="2"/>
    </row>
    <row r="24" spans="3:13" x14ac:dyDescent="0.25">
      <c r="G24" s="2"/>
      <c r="H24" s="2"/>
      <c r="L24" s="2"/>
      <c r="M24" s="2"/>
    </row>
    <row r="25" spans="3:13" x14ac:dyDescent="0.25">
      <c r="C25" s="170">
        <f>Criteria!G21</f>
        <v>45716</v>
      </c>
      <c r="D25" s="2" t="s">
        <v>258</v>
      </c>
      <c r="F25" s="17">
        <f>FARegister!K17</f>
        <v>0</v>
      </c>
      <c r="G25" s="17">
        <f>TARegister!K15</f>
        <v>0</v>
      </c>
      <c r="H25" s="17">
        <f>F25-G25</f>
        <v>0</v>
      </c>
      <c r="I25" s="17">
        <f>ROUND(H25*Criteria!F478,0)</f>
        <v>0</v>
      </c>
      <c r="J25" s="17">
        <f>ROUND(H25*Criteria!F478,0)-ROUND(H25*Criteria!G478,0)</f>
        <v>0</v>
      </c>
      <c r="L25" s="17">
        <f>I25-G8-J25</f>
        <v>0</v>
      </c>
      <c r="M25" s="2"/>
    </row>
    <row r="26" spans="3:13" x14ac:dyDescent="0.25">
      <c r="G26" s="2"/>
      <c r="H26" s="2"/>
      <c r="L26" s="2"/>
      <c r="M26" s="2"/>
    </row>
    <row r="27" spans="3:13" x14ac:dyDescent="0.25">
      <c r="C27" s="170">
        <f>Criteria!G20</f>
        <v>46081</v>
      </c>
      <c r="D27" s="2" t="s">
        <v>258</v>
      </c>
      <c r="F27" s="17">
        <f>FARegister!AC17</f>
        <v>0</v>
      </c>
      <c r="G27" s="17">
        <f>TARegister!W15</f>
        <v>0</v>
      </c>
      <c r="H27" s="17">
        <f>F27-G27</f>
        <v>0</v>
      </c>
      <c r="I27" s="160">
        <f>ROUND(H27*Criteria!F478,0)</f>
        <v>0</v>
      </c>
      <c r="J27" s="160"/>
      <c r="K27" s="17">
        <f>I27-I25</f>
        <v>0</v>
      </c>
      <c r="M27" s="2"/>
    </row>
    <row r="28" spans="3:13" x14ac:dyDescent="0.25">
      <c r="C28" s="170"/>
      <c r="F28" s="17"/>
      <c r="G28" s="17"/>
      <c r="H28" s="17"/>
      <c r="I28" s="17"/>
      <c r="J28" s="17"/>
      <c r="K28" s="17"/>
      <c r="L28" s="2"/>
      <c r="M28" s="2"/>
    </row>
    <row r="29" spans="3:13" x14ac:dyDescent="0.25">
      <c r="C29" s="170"/>
      <c r="F29" s="17"/>
      <c r="G29" s="17"/>
      <c r="H29" s="17"/>
      <c r="I29" s="17"/>
      <c r="J29" s="17"/>
      <c r="K29" s="17"/>
      <c r="L29" s="2"/>
      <c r="M29" s="2"/>
    </row>
    <row r="30" spans="3:13" x14ac:dyDescent="0.25">
      <c r="G30" s="2"/>
      <c r="H30" s="2"/>
      <c r="L30" s="2"/>
      <c r="M30" s="2"/>
    </row>
    <row r="31" spans="3:13" x14ac:dyDescent="0.25">
      <c r="G31" s="2"/>
      <c r="H31" s="2"/>
      <c r="L31" s="2"/>
      <c r="M31" s="2"/>
    </row>
    <row r="32" spans="3:13" x14ac:dyDescent="0.25">
      <c r="C32" s="170">
        <f>Criteria!G21</f>
        <v>45716</v>
      </c>
      <c r="D32" s="2" t="s">
        <v>916</v>
      </c>
      <c r="G32" s="4">
        <f>-Criteria!G493</f>
        <v>0</v>
      </c>
      <c r="H32" s="17"/>
      <c r="I32" s="17">
        <f>ROUND(G32*Criteria!F478,0)</f>
        <v>0</v>
      </c>
      <c r="J32" s="17">
        <f>ROUND(G32*Criteria!F478,0)-ROUND(G32*Criteria!G478,0)</f>
        <v>0</v>
      </c>
      <c r="K32" s="17"/>
      <c r="L32" s="17">
        <f>I32-G9-J32</f>
        <v>0</v>
      </c>
      <c r="M32" s="17"/>
    </row>
    <row r="33" spans="3:13" x14ac:dyDescent="0.25">
      <c r="G33" s="4"/>
      <c r="H33" s="17"/>
      <c r="I33" s="17"/>
      <c r="J33" s="17"/>
      <c r="K33" s="17"/>
      <c r="L33" s="2"/>
      <c r="M33" s="2"/>
    </row>
    <row r="34" spans="3:13" x14ac:dyDescent="0.25">
      <c r="C34" s="170">
        <f>Criteria!G20</f>
        <v>46081</v>
      </c>
      <c r="D34" s="2" t="s">
        <v>920</v>
      </c>
      <c r="G34" s="4">
        <f>IF(FS!O3020&lt;0,FS!O3020,0)</f>
        <v>0</v>
      </c>
      <c r="H34" s="17"/>
      <c r="I34" s="17">
        <f>ROUND(G34*Criteria!F478,0)</f>
        <v>0</v>
      </c>
      <c r="J34" s="17"/>
      <c r="K34" s="17">
        <f>I34-I32</f>
        <v>0</v>
      </c>
      <c r="L34" s="2"/>
      <c r="M34" s="2"/>
    </row>
    <row r="35" spans="3:13" x14ac:dyDescent="0.25">
      <c r="G35" s="2"/>
      <c r="H35" s="2"/>
      <c r="J35" s="7"/>
      <c r="K35" s="7"/>
      <c r="L35" s="7"/>
      <c r="M35" s="2"/>
    </row>
    <row r="36" spans="3:13" x14ac:dyDescent="0.25">
      <c r="G36" s="2"/>
      <c r="H36" s="2"/>
      <c r="J36" s="17">
        <f>SUM(J24:J35)</f>
        <v>0</v>
      </c>
      <c r="K36" s="17">
        <f>SUM(K24:K35)</f>
        <v>0</v>
      </c>
      <c r="L36" s="17">
        <f>SUM(L24:L35)</f>
        <v>0</v>
      </c>
      <c r="M36" s="2"/>
    </row>
    <row r="37" spans="3:13" ht="16.5" thickBot="1" x14ac:dyDescent="0.3">
      <c r="E37" s="2" t="s">
        <v>986</v>
      </c>
      <c r="H37" s="2"/>
      <c r="I37" s="323">
        <f>I27+I34</f>
        <v>0</v>
      </c>
      <c r="J37" s="160"/>
      <c r="L37" s="2"/>
      <c r="M37" s="2"/>
    </row>
    <row r="38" spans="3:13" ht="16.5" thickTop="1" x14ac:dyDescent="0.25">
      <c r="L38" s="2"/>
      <c r="M38" s="2"/>
    </row>
    <row r="39" spans="3:13" x14ac:dyDescent="0.25">
      <c r="E39" s="2" t="s">
        <v>640</v>
      </c>
      <c r="I39" s="324">
        <f>G17-I37</f>
        <v>0</v>
      </c>
      <c r="J39" s="324"/>
      <c r="L39" s="2"/>
      <c r="M39" s="2"/>
    </row>
    <row r="40" spans="3:13" x14ac:dyDescent="0.25">
      <c r="L40" s="2"/>
      <c r="M40" s="2"/>
    </row>
    <row r="41" spans="3:13" x14ac:dyDescent="0.25">
      <c r="L41" s="2"/>
      <c r="M41" s="2"/>
    </row>
    <row r="42" spans="3:13" x14ac:dyDescent="0.25">
      <c r="L42" s="2"/>
      <c r="M42" s="2"/>
    </row>
    <row r="43" spans="3:13" x14ac:dyDescent="0.25">
      <c r="L43" s="2"/>
      <c r="M43" s="2"/>
    </row>
    <row r="44" spans="3:13" x14ac:dyDescent="0.25">
      <c r="L44" s="2"/>
      <c r="M44" s="2"/>
    </row>
    <row r="45" spans="3:13" x14ac:dyDescent="0.25">
      <c r="L45" s="2"/>
      <c r="M45" s="2"/>
    </row>
    <row r="46" spans="3:13" x14ac:dyDescent="0.25">
      <c r="L46" s="2"/>
      <c r="M46" s="2"/>
    </row>
    <row r="47" spans="3:13" x14ac:dyDescent="0.25">
      <c r="L47" s="2"/>
      <c r="M47" s="2"/>
    </row>
    <row r="48" spans="3:13" x14ac:dyDescent="0.25">
      <c r="L48" s="2"/>
      <c r="M48" s="2"/>
    </row>
    <row r="49" spans="12:13" x14ac:dyDescent="0.25">
      <c r="L49" s="2"/>
      <c r="M49" s="2"/>
    </row>
    <row r="50" spans="12:13" x14ac:dyDescent="0.25">
      <c r="L50" s="2"/>
      <c r="M50" s="2"/>
    </row>
    <row r="51" spans="12:13" x14ac:dyDescent="0.25">
      <c r="L51" s="2"/>
      <c r="M51" s="2"/>
    </row>
    <row r="52" spans="12:13" x14ac:dyDescent="0.25">
      <c r="L52" s="2"/>
      <c r="M52" s="2"/>
    </row>
    <row r="53" spans="12:13" x14ac:dyDescent="0.25">
      <c r="L53" s="2"/>
      <c r="M53" s="2"/>
    </row>
    <row r="2485" spans="7:10" s="2" customFormat="1" x14ac:dyDescent="0.25">
      <c r="G2485" s="5"/>
      <c r="H2485" s="5"/>
      <c r="I2485" s="32"/>
      <c r="J2485" s="32"/>
    </row>
  </sheetData>
  <hyperlinks>
    <hyperlink ref="C4" location="TrialBalance!A1" display="DEFERRED TAX" xr:uid="{07BC0FAD-3028-4B21-9DEC-1855A6C03A4A}"/>
  </hyperlinks>
  <pageMargins left="0.75" right="0.75" top="1" bottom="1" header="0.5" footer="0.5"/>
  <pageSetup paperSize="9" scale="74"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EC069-9881-4646-AED7-11648B259346}">
  <sheetPr>
    <pageSetUpPr fitToPage="1"/>
  </sheetPr>
  <dimension ref="A2:J2498"/>
  <sheetViews>
    <sheetView zoomScale="87" zoomScaleNormal="87" workbookViewId="0">
      <pane xSplit="2" ySplit="4" topLeftCell="C5" activePane="bottomRight" state="frozen"/>
      <selection pane="topRight" activeCell="C1" sqref="C1"/>
      <selection pane="bottomLeft" activeCell="A5" sqref="A5"/>
      <selection pane="bottomRight" activeCell="H19" sqref="H19"/>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7.28515625" style="5" bestFit="1" customWidth="1"/>
    <col min="9" max="9" width="14.7109375" style="2" bestFit="1" customWidth="1"/>
    <col min="10" max="10" width="10" style="2" bestFit="1" customWidth="1"/>
    <col min="11" max="16384" width="9.140625" style="150"/>
  </cols>
  <sheetData>
    <row r="2" spans="3:8" ht="52.5" customHeight="1" x14ac:dyDescent="0.25">
      <c r="C2" s="149" t="str">
        <f>Criteria!E9</f>
        <v>ABC COMPANY (PROPRIETARY) LIMITED</v>
      </c>
      <c r="D2" s="216"/>
      <c r="E2" s="216"/>
      <c r="G2" s="148" t="s">
        <v>96</v>
      </c>
      <c r="H2" s="148"/>
    </row>
    <row r="3" spans="3:8" x14ac:dyDescent="0.25">
      <c r="C3" s="3" t="s">
        <v>95</v>
      </c>
      <c r="D3" s="3"/>
      <c r="E3" s="3" t="str">
        <f>Criteria!E20</f>
        <v>28 FEBRUARY 2026</v>
      </c>
    </row>
    <row r="4" spans="3:8" ht="52.5" customHeight="1" x14ac:dyDescent="0.25">
      <c r="C4" s="190" t="s">
        <v>738</v>
      </c>
      <c r="G4" s="148" t="s">
        <v>97</v>
      </c>
      <c r="H4" s="148"/>
    </row>
    <row r="5" spans="3:8" ht="15.75" customHeight="1" x14ac:dyDescent="0.25">
      <c r="G5" s="28"/>
      <c r="H5" s="28"/>
    </row>
    <row r="6" spans="3:8" x14ac:dyDescent="0.25">
      <c r="G6" s="5">
        <f>Criteria!E22</f>
        <v>2026</v>
      </c>
      <c r="H6" s="5">
        <f>Criteria!E27</f>
        <v>2025</v>
      </c>
    </row>
    <row r="7" spans="3:8" x14ac:dyDescent="0.25">
      <c r="G7" s="144"/>
      <c r="H7" s="144"/>
    </row>
    <row r="8" spans="3:8" x14ac:dyDescent="0.25">
      <c r="C8" s="2" t="str">
        <f>TrialBalance!C319</f>
        <v>CONNECTED ENTITIES LOANS</v>
      </c>
      <c r="G8" s="144"/>
      <c r="H8" s="144"/>
    </row>
    <row r="9" spans="3:8" x14ac:dyDescent="0.25">
      <c r="C9" s="2" t="str">
        <f>TrialBalance!C320</f>
        <v>Interest bearing</v>
      </c>
      <c r="G9" s="144"/>
      <c r="H9" s="144"/>
    </row>
    <row r="10" spans="3:8" x14ac:dyDescent="0.25">
      <c r="C10" s="2">
        <f>TrialBalance!C321</f>
        <v>0</v>
      </c>
      <c r="G10" s="144">
        <f>TrialBalance!L321</f>
        <v>0</v>
      </c>
      <c r="H10" s="144">
        <f>TrialBalance!N321</f>
        <v>0</v>
      </c>
    </row>
    <row r="11" spans="3:8" x14ac:dyDescent="0.25">
      <c r="C11" s="2">
        <f>TrialBalance!C322</f>
        <v>0</v>
      </c>
      <c r="G11" s="144">
        <f>TrialBalance!L322</f>
        <v>0</v>
      </c>
      <c r="H11" s="144">
        <f>TrialBalance!N322</f>
        <v>0</v>
      </c>
    </row>
    <row r="12" spans="3:8" x14ac:dyDescent="0.25">
      <c r="C12" s="2">
        <f>TrialBalance!C323</f>
        <v>0</v>
      </c>
      <c r="G12" s="144">
        <f>TrialBalance!L323</f>
        <v>0</v>
      </c>
      <c r="H12" s="144">
        <f>TrialBalance!N323</f>
        <v>0</v>
      </c>
    </row>
    <row r="13" spans="3:8" x14ac:dyDescent="0.25">
      <c r="C13" s="2">
        <f>TrialBalance!C330</f>
        <v>0</v>
      </c>
      <c r="G13" s="144">
        <f>TrialBalance!L330</f>
        <v>0</v>
      </c>
      <c r="H13" s="144">
        <f>TrialBalance!N330</f>
        <v>0</v>
      </c>
    </row>
    <row r="14" spans="3:8" x14ac:dyDescent="0.25">
      <c r="C14" s="2" t="str">
        <f>TrialBalance!C331</f>
        <v>Interest free</v>
      </c>
      <c r="G14" s="144"/>
      <c r="H14" s="144"/>
    </row>
    <row r="15" spans="3:8" x14ac:dyDescent="0.25">
      <c r="C15" s="2">
        <f>TrialBalance!C332</f>
        <v>0</v>
      </c>
      <c r="G15" s="144">
        <f>TrialBalance!L332</f>
        <v>0</v>
      </c>
      <c r="H15" s="144">
        <f>TrialBalance!N332</f>
        <v>0</v>
      </c>
    </row>
    <row r="16" spans="3:8" x14ac:dyDescent="0.25">
      <c r="C16" s="2">
        <f>TrialBalance!C333</f>
        <v>0</v>
      </c>
      <c r="G16" s="144">
        <f>TrialBalance!L333</f>
        <v>0</v>
      </c>
      <c r="H16" s="144">
        <f>TrialBalance!N333</f>
        <v>0</v>
      </c>
    </row>
    <row r="17" spans="3:8" x14ac:dyDescent="0.25">
      <c r="C17" s="2">
        <f>TrialBalance!C334</f>
        <v>0</v>
      </c>
      <c r="G17" s="144">
        <f>TrialBalance!L334</f>
        <v>0</v>
      </c>
      <c r="H17" s="144">
        <f>TrialBalance!N334</f>
        <v>0</v>
      </c>
    </row>
    <row r="18" spans="3:8" x14ac:dyDescent="0.25">
      <c r="C18" s="2">
        <f>TrialBalance!C341</f>
        <v>0</v>
      </c>
      <c r="G18" s="144">
        <f>TrialBalance!L341</f>
        <v>0</v>
      </c>
      <c r="H18" s="144">
        <f>TrialBalance!N341</f>
        <v>0</v>
      </c>
    </row>
    <row r="19" spans="3:8" x14ac:dyDescent="0.25">
      <c r="C19" s="2" t="str">
        <f>TrialBalance!C342</f>
        <v>OTHER NON - CURRENT RECEIVABLES</v>
      </c>
      <c r="G19" s="144"/>
      <c r="H19" s="144"/>
    </row>
    <row r="20" spans="3:8" x14ac:dyDescent="0.25">
      <c r="C20" s="2" t="str">
        <f>TrialBalance!C343</f>
        <v>Interest bearing</v>
      </c>
      <c r="G20" s="144"/>
      <c r="H20" s="144"/>
    </row>
    <row r="21" spans="3:8" x14ac:dyDescent="0.25">
      <c r="C21" s="2">
        <f>TrialBalance!C344</f>
        <v>0</v>
      </c>
      <c r="G21" s="144">
        <f>TrialBalance!L344</f>
        <v>0</v>
      </c>
      <c r="H21" s="144">
        <f>TrialBalance!N344</f>
        <v>0</v>
      </c>
    </row>
    <row r="22" spans="3:8" x14ac:dyDescent="0.25">
      <c r="C22" s="2">
        <f>TrialBalance!C345</f>
        <v>0</v>
      </c>
      <c r="G22" s="144">
        <f>TrialBalance!L345</f>
        <v>0</v>
      </c>
      <c r="H22" s="144">
        <f>TrialBalance!N345</f>
        <v>0</v>
      </c>
    </row>
    <row r="23" spans="3:8" x14ac:dyDescent="0.25">
      <c r="C23" s="2">
        <f>TrialBalance!C346</f>
        <v>0</v>
      </c>
      <c r="G23" s="144">
        <f>TrialBalance!L346</f>
        <v>0</v>
      </c>
      <c r="H23" s="144">
        <f>TrialBalance!N346</f>
        <v>0</v>
      </c>
    </row>
    <row r="24" spans="3:8" x14ac:dyDescent="0.25">
      <c r="C24" s="2">
        <f>TrialBalance!C347</f>
        <v>0</v>
      </c>
      <c r="G24" s="144">
        <f>TrialBalance!L347</f>
        <v>0</v>
      </c>
      <c r="H24" s="144">
        <f>TrialBalance!N347</f>
        <v>0</v>
      </c>
    </row>
    <row r="25" spans="3:8" x14ac:dyDescent="0.25">
      <c r="C25" s="2" t="str">
        <f>TrialBalance!C348</f>
        <v>Interest free</v>
      </c>
      <c r="G25" s="144"/>
      <c r="H25" s="144"/>
    </row>
    <row r="26" spans="3:8" x14ac:dyDescent="0.25">
      <c r="C26" s="2">
        <f>TrialBalance!C349</f>
        <v>0</v>
      </c>
      <c r="G26" s="144">
        <f>TrialBalance!L349</f>
        <v>0</v>
      </c>
      <c r="H26" s="144">
        <f>TrialBalance!N349</f>
        <v>0</v>
      </c>
    </row>
    <row r="27" spans="3:8" x14ac:dyDescent="0.25">
      <c r="C27" s="2">
        <f>TrialBalance!C350</f>
        <v>0</v>
      </c>
      <c r="G27" s="144">
        <f>TrialBalance!L350</f>
        <v>0</v>
      </c>
      <c r="H27" s="144">
        <f>TrialBalance!N350</f>
        <v>0</v>
      </c>
    </row>
    <row r="28" spans="3:8" x14ac:dyDescent="0.25">
      <c r="C28" s="2">
        <f>TrialBalance!C351</f>
        <v>0</v>
      </c>
      <c r="G28" s="144">
        <f>TrialBalance!L351</f>
        <v>0</v>
      </c>
      <c r="H28" s="144">
        <f>TrialBalance!N351</f>
        <v>0</v>
      </c>
    </row>
    <row r="29" spans="3:8" x14ac:dyDescent="0.25">
      <c r="C29" s="2">
        <f>TrialBalance!C352</f>
        <v>0</v>
      </c>
      <c r="G29" s="144">
        <f>TrialBalance!L352</f>
        <v>0</v>
      </c>
      <c r="H29" s="144">
        <f>TrialBalance!N352</f>
        <v>0</v>
      </c>
    </row>
    <row r="30" spans="3:8" x14ac:dyDescent="0.25">
      <c r="C30" s="2">
        <f>TrialBalance!C353</f>
        <v>0</v>
      </c>
      <c r="G30" s="144">
        <f>TrialBalance!L353</f>
        <v>0</v>
      </c>
      <c r="H30" s="144">
        <f>TrialBalance!N353</f>
        <v>0</v>
      </c>
    </row>
    <row r="31" spans="3:8" s="2" customFormat="1" x14ac:dyDescent="0.25">
      <c r="G31" s="144"/>
      <c r="H31" s="144"/>
    </row>
    <row r="32" spans="3:8" s="2" customFormat="1" ht="16.5" thickBot="1" x14ac:dyDescent="0.3">
      <c r="G32" s="146">
        <f>SUM(G7:G31)</f>
        <v>0</v>
      </c>
      <c r="H32" s="146">
        <f>SUM(H7:H31)</f>
        <v>0</v>
      </c>
    </row>
    <row r="33" spans="3:8" s="2" customFormat="1" ht="16.5" thickTop="1" x14ac:dyDescent="0.25">
      <c r="G33" s="144"/>
      <c r="H33" s="144"/>
    </row>
    <row r="34" spans="3:8" x14ac:dyDescent="0.25">
      <c r="C34" s="1" t="s">
        <v>640</v>
      </c>
      <c r="G34" s="144">
        <f>G32-SUM(TrialBalance!L321:L353)</f>
        <v>0</v>
      </c>
      <c r="H34" s="144">
        <f>H32-SUM(TrialBalance!N321:N353)</f>
        <v>0</v>
      </c>
    </row>
    <row r="2498" spans="7:9" s="2" customFormat="1" x14ac:dyDescent="0.25">
      <c r="G2498" s="5"/>
      <c r="H2498" s="5"/>
      <c r="I2498" s="32"/>
    </row>
  </sheetData>
  <hyperlinks>
    <hyperlink ref="C4" location="TrialBalance!A1" display="NON CURRENT RECEIVABLES" xr:uid="{5330A241-1C70-41F4-9DBE-B09339572CC6}"/>
  </hyperlinks>
  <pageMargins left="0.75" right="0.75" top="1" bottom="1" header="0.5" footer="0.5"/>
  <pageSetup paperSize="9" scale="76" fitToHeight="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8E38C-9E84-411E-BC4F-617525A8226F}">
  <sheetPr>
    <pageSetUpPr fitToPage="1"/>
  </sheetPr>
  <dimension ref="A2:J2483"/>
  <sheetViews>
    <sheetView zoomScale="87" zoomScaleNormal="87" workbookViewId="0">
      <pane xSplit="2" ySplit="4" topLeftCell="C5" activePane="bottomRight" state="frozen"/>
      <selection pane="topRight" activeCell="C1" sqref="C1"/>
      <selection pane="bottomLeft" activeCell="A5" sqref="A5"/>
      <selection pane="bottomRight" activeCell="A5" sqref="A5"/>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50"/>
  </cols>
  <sheetData>
    <row r="2" spans="3:8" ht="52.5" customHeight="1" x14ac:dyDescent="0.25">
      <c r="C2" s="149" t="str">
        <f>Criteria!E9</f>
        <v>ABC COMPANY (PROPRIETARY) LIMITED</v>
      </c>
      <c r="D2" s="216"/>
      <c r="E2" s="216"/>
      <c r="G2" s="148" t="s">
        <v>96</v>
      </c>
      <c r="H2" s="148"/>
    </row>
    <row r="3" spans="3:8" x14ac:dyDescent="0.25">
      <c r="C3" s="3" t="s">
        <v>95</v>
      </c>
      <c r="D3" s="3"/>
      <c r="E3" s="3" t="str">
        <f>Criteria!E20</f>
        <v>28 FEBRUARY 2026</v>
      </c>
    </row>
    <row r="4" spans="3:8" ht="52.5" customHeight="1" x14ac:dyDescent="0.25">
      <c r="C4" s="190" t="s">
        <v>56</v>
      </c>
      <c r="G4" s="148" t="s">
        <v>97</v>
      </c>
      <c r="H4" s="148"/>
    </row>
    <row r="5" spans="3:8" ht="15.75" customHeight="1" x14ac:dyDescent="0.25">
      <c r="G5" s="28"/>
      <c r="H5" s="28"/>
    </row>
    <row r="6" spans="3:8" x14ac:dyDescent="0.25">
      <c r="G6" s="5">
        <f>Criteria!E22</f>
        <v>2026</v>
      </c>
      <c r="H6" s="5">
        <f>Criteria!E27</f>
        <v>2025</v>
      </c>
    </row>
    <row r="7" spans="3:8" x14ac:dyDescent="0.25">
      <c r="G7" s="144"/>
      <c r="H7" s="144"/>
    </row>
    <row r="8" spans="3:8" x14ac:dyDescent="0.25">
      <c r="G8" s="144"/>
      <c r="H8" s="144"/>
    </row>
    <row r="9" spans="3:8" x14ac:dyDescent="0.25">
      <c r="G9" s="144"/>
      <c r="H9" s="144"/>
    </row>
    <row r="10" spans="3:8" x14ac:dyDescent="0.25">
      <c r="G10" s="144"/>
      <c r="H10" s="144"/>
    </row>
    <row r="11" spans="3:8" x14ac:dyDescent="0.25">
      <c r="G11" s="144"/>
      <c r="H11" s="144"/>
    </row>
    <row r="12" spans="3:8" x14ac:dyDescent="0.25">
      <c r="G12" s="144"/>
      <c r="H12" s="144"/>
    </row>
    <row r="13" spans="3:8" x14ac:dyDescent="0.25">
      <c r="G13" s="144"/>
      <c r="H13" s="144"/>
    </row>
    <row r="14" spans="3:8" x14ac:dyDescent="0.25">
      <c r="G14" s="144"/>
      <c r="H14" s="144"/>
    </row>
    <row r="15" spans="3:8" x14ac:dyDescent="0.25">
      <c r="G15" s="144"/>
      <c r="H15" s="144"/>
    </row>
    <row r="16" spans="3:8" s="2" customFormat="1" x14ac:dyDescent="0.25">
      <c r="G16" s="144"/>
      <c r="H16" s="144"/>
    </row>
    <row r="17" spans="3:8" s="2" customFormat="1" ht="16.5" thickBot="1" x14ac:dyDescent="0.3">
      <c r="G17" s="146">
        <f>SUM(G7:G16)</f>
        <v>0</v>
      </c>
      <c r="H17" s="146">
        <f>SUM(H7:H16)</f>
        <v>0</v>
      </c>
    </row>
    <row r="18" spans="3:8" s="2" customFormat="1" ht="16.5" thickTop="1" x14ac:dyDescent="0.25">
      <c r="G18" s="144"/>
      <c r="H18" s="144"/>
    </row>
    <row r="19" spans="3:8" x14ac:dyDescent="0.25">
      <c r="C19" s="1" t="s">
        <v>640</v>
      </c>
      <c r="G19" s="188">
        <f>G17-SUM(TrialBalance!L355:L358)</f>
        <v>0</v>
      </c>
      <c r="H19" s="188">
        <f>H17-SUM(TrialBalance!N355:N358)</f>
        <v>0</v>
      </c>
    </row>
    <row r="2483" spans="7:9" s="2" customFormat="1" x14ac:dyDescent="0.25">
      <c r="G2483" s="5"/>
      <c r="H2483" s="5"/>
      <c r="I2483" s="32"/>
    </row>
  </sheetData>
  <hyperlinks>
    <hyperlink ref="C4" location="TrialBalance!A1" display="INVENTORY" xr:uid="{95A80F32-56AE-4024-9DAC-C4466C8C92F0}"/>
  </hyperlinks>
  <pageMargins left="0.75" right="0.75" top="1" bottom="1" header="0.5" footer="0.5"/>
  <pageSetup paperSize="9" scale="76" fitToHeight="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F5184-191D-4EAD-99C8-53D171595BFB}">
  <sheetPr>
    <pageSetUpPr fitToPage="1"/>
  </sheetPr>
  <dimension ref="A2:J2602"/>
  <sheetViews>
    <sheetView zoomScale="87" zoomScaleNormal="87" workbookViewId="0">
      <pane xSplit="2" ySplit="4" topLeftCell="C5" activePane="bottomRight" state="frozen"/>
      <selection pane="topRight" activeCell="C1" sqref="C1"/>
      <selection pane="bottomLeft" activeCell="A5" sqref="A5"/>
      <selection pane="bottomRight" activeCell="C4" sqref="C4"/>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50"/>
  </cols>
  <sheetData>
    <row r="2" spans="2:8" ht="52.5" customHeight="1" x14ac:dyDescent="0.25">
      <c r="C2" s="149" t="str">
        <f>Criteria!E9</f>
        <v>ABC COMPANY (PROPRIETARY) LIMITED</v>
      </c>
      <c r="D2" s="216"/>
      <c r="E2" s="216"/>
      <c r="G2" s="148" t="s">
        <v>96</v>
      </c>
      <c r="H2" s="148"/>
    </row>
    <row r="3" spans="2:8" x14ac:dyDescent="0.25">
      <c r="C3" s="3" t="s">
        <v>95</v>
      </c>
      <c r="D3" s="3"/>
      <c r="E3" s="3" t="str">
        <f>Criteria!E20</f>
        <v>28 FEBRUARY 2026</v>
      </c>
    </row>
    <row r="4" spans="2:8" ht="52.5" customHeight="1" x14ac:dyDescent="0.25">
      <c r="C4" s="190" t="s">
        <v>31</v>
      </c>
      <c r="G4" s="148" t="s">
        <v>97</v>
      </c>
      <c r="H4" s="148"/>
    </row>
    <row r="5" spans="2:8" ht="15.75" customHeight="1" x14ac:dyDescent="0.25">
      <c r="G5" s="28"/>
      <c r="H5" s="28"/>
    </row>
    <row r="6" spans="2:8" ht="15.75" customHeight="1" x14ac:dyDescent="0.25">
      <c r="G6" s="28"/>
      <c r="H6" s="28"/>
    </row>
    <row r="7" spans="2:8" x14ac:dyDescent="0.25">
      <c r="B7" s="111" t="s">
        <v>638</v>
      </c>
      <c r="C7" s="3" t="s">
        <v>636</v>
      </c>
      <c r="G7" s="28"/>
      <c r="H7" s="28"/>
    </row>
    <row r="8" spans="2:8" x14ac:dyDescent="0.25">
      <c r="C8" s="7"/>
      <c r="D8" s="7"/>
      <c r="E8" s="7"/>
      <c r="F8" s="7"/>
      <c r="G8" s="143"/>
      <c r="H8" s="143"/>
    </row>
    <row r="10" spans="2:8" x14ac:dyDescent="0.25">
      <c r="G10" s="5">
        <f>Criteria!E22</f>
        <v>2026</v>
      </c>
      <c r="H10" s="5">
        <f>Criteria!E27</f>
        <v>2025</v>
      </c>
    </row>
    <row r="11" spans="2:8" x14ac:dyDescent="0.25">
      <c r="G11" s="144"/>
      <c r="H11" s="144"/>
    </row>
    <row r="12" spans="2:8" x14ac:dyDescent="0.25">
      <c r="C12" s="31"/>
      <c r="G12" s="144"/>
      <c r="H12" s="144"/>
    </row>
    <row r="13" spans="2:8" x14ac:dyDescent="0.25">
      <c r="G13" s="144"/>
      <c r="H13" s="144"/>
    </row>
    <row r="14" spans="2:8" x14ac:dyDescent="0.25">
      <c r="G14" s="144"/>
      <c r="H14" s="144"/>
    </row>
    <row r="15" spans="2:8" x14ac:dyDescent="0.25">
      <c r="G15" s="144"/>
      <c r="H15" s="144"/>
    </row>
    <row r="16" spans="2:8" x14ac:dyDescent="0.25">
      <c r="G16" s="144"/>
      <c r="H16" s="144"/>
    </row>
    <row r="17" spans="2:8" x14ac:dyDescent="0.25">
      <c r="G17" s="144"/>
      <c r="H17" s="144"/>
    </row>
    <row r="18" spans="2:8" s="2" customFormat="1" x14ac:dyDescent="0.25">
      <c r="G18" s="144"/>
      <c r="H18" s="144"/>
    </row>
    <row r="19" spans="2:8" s="2" customFormat="1" x14ac:dyDescent="0.25">
      <c r="G19" s="144"/>
      <c r="H19" s="144"/>
    </row>
    <row r="20" spans="2:8" s="2" customFormat="1" x14ac:dyDescent="0.25">
      <c r="G20" s="144"/>
      <c r="H20" s="144"/>
    </row>
    <row r="21" spans="2:8" s="2" customFormat="1" x14ac:dyDescent="0.25">
      <c r="G21" s="145"/>
      <c r="H21" s="145"/>
    </row>
    <row r="22" spans="2:8" s="2" customFormat="1" x14ac:dyDescent="0.25">
      <c r="G22" s="144">
        <f>SUM(G11:G21)</f>
        <v>0</v>
      </c>
      <c r="H22" s="144">
        <f>SUM(H11:H21)</f>
        <v>0</v>
      </c>
    </row>
    <row r="23" spans="2:8" s="2" customFormat="1" x14ac:dyDescent="0.25">
      <c r="G23" s="144"/>
      <c r="H23" s="144"/>
    </row>
    <row r="24" spans="2:8" s="2" customFormat="1" x14ac:dyDescent="0.25">
      <c r="C24" s="2" t="s">
        <v>635</v>
      </c>
      <c r="G24" s="144">
        <f>TrialBalance!L361</f>
        <v>0</v>
      </c>
      <c r="H24" s="144">
        <f>TrialBalance!N361</f>
        <v>0</v>
      </c>
    </row>
    <row r="25" spans="2:8" s="2" customFormat="1" x14ac:dyDescent="0.25">
      <c r="G25" s="144"/>
      <c r="H25" s="144"/>
    </row>
    <row r="26" spans="2:8" s="2" customFormat="1" ht="16.5" thickBot="1" x14ac:dyDescent="0.3">
      <c r="G26" s="146">
        <f>SUM(G22:G25)</f>
        <v>0</v>
      </c>
      <c r="H26" s="146">
        <f>SUM(H22:H25)</f>
        <v>0</v>
      </c>
    </row>
    <row r="27" spans="2:8" s="2" customFormat="1" ht="16.5" thickTop="1" x14ac:dyDescent="0.25">
      <c r="G27" s="144"/>
      <c r="H27" s="144"/>
    </row>
    <row r="28" spans="2:8" s="2" customFormat="1" x14ac:dyDescent="0.25">
      <c r="C28" s="1" t="s">
        <v>640</v>
      </c>
      <c r="D28" s="1"/>
      <c r="E28" s="1"/>
      <c r="F28" s="1"/>
      <c r="G28" s="8">
        <f>SUM(TrialBalance!L360:L361)-G26</f>
        <v>0</v>
      </c>
      <c r="H28" s="8">
        <f>SUM(TrialBalance!N360:N361)-H26</f>
        <v>0</v>
      </c>
    </row>
    <row r="29" spans="2:8" s="2" customFormat="1" x14ac:dyDescent="0.25">
      <c r="G29" s="144"/>
      <c r="H29" s="144"/>
    </row>
    <row r="30" spans="2:8" s="2" customFormat="1" x14ac:dyDescent="0.25">
      <c r="G30" s="144"/>
      <c r="H30" s="144"/>
    </row>
    <row r="31" spans="2:8" s="2" customFormat="1" x14ac:dyDescent="0.25">
      <c r="G31" s="144"/>
      <c r="H31" s="144"/>
    </row>
    <row r="32" spans="2:8" s="2" customFormat="1" x14ac:dyDescent="0.25">
      <c r="B32" s="111" t="s">
        <v>639</v>
      </c>
      <c r="C32" s="3" t="s">
        <v>555</v>
      </c>
      <c r="G32" s="28"/>
      <c r="H32" s="28"/>
    </row>
    <row r="33" spans="3:8" s="2" customFormat="1" x14ac:dyDescent="0.25">
      <c r="C33" s="7"/>
      <c r="D33" s="7"/>
      <c r="E33" s="7"/>
      <c r="F33" s="7"/>
      <c r="G33" s="143"/>
      <c r="H33" s="143"/>
    </row>
    <row r="34" spans="3:8" s="2" customFormat="1" x14ac:dyDescent="0.25">
      <c r="G34" s="5"/>
      <c r="H34" s="5"/>
    </row>
    <row r="35" spans="3:8" s="2" customFormat="1" x14ac:dyDescent="0.25">
      <c r="G35" s="5">
        <f>Criteria!E22</f>
        <v>2026</v>
      </c>
      <c r="H35" s="5">
        <f>Criteria!E27</f>
        <v>2025</v>
      </c>
    </row>
    <row r="36" spans="3:8" s="2" customFormat="1" x14ac:dyDescent="0.25">
      <c r="G36" s="144"/>
      <c r="H36" s="144"/>
    </row>
    <row r="37" spans="3:8" s="2" customFormat="1" x14ac:dyDescent="0.25">
      <c r="G37" s="4"/>
      <c r="H37" s="4"/>
    </row>
    <row r="38" spans="3:8" s="2" customFormat="1" x14ac:dyDescent="0.25">
      <c r="G38" s="144"/>
      <c r="H38" s="144"/>
    </row>
    <row r="39" spans="3:8" s="2" customFormat="1" x14ac:dyDescent="0.25">
      <c r="G39" s="4"/>
      <c r="H39" s="4"/>
    </row>
    <row r="40" spans="3:8" s="2" customFormat="1" x14ac:dyDescent="0.25">
      <c r="G40" s="4"/>
      <c r="H40" s="4"/>
    </row>
    <row r="41" spans="3:8" s="2" customFormat="1" x14ac:dyDescent="0.25">
      <c r="G41" s="144"/>
      <c r="H41" s="144"/>
    </row>
    <row r="42" spans="3:8" s="2" customFormat="1" x14ac:dyDescent="0.25">
      <c r="G42" s="144"/>
      <c r="H42" s="144"/>
    </row>
    <row r="43" spans="3:8" s="2" customFormat="1" ht="16.5" thickBot="1" x14ac:dyDescent="0.3">
      <c r="G43" s="146">
        <f>SUM(G36:G42)</f>
        <v>0</v>
      </c>
      <c r="H43" s="146">
        <f>SUM(H36:H42)</f>
        <v>0</v>
      </c>
    </row>
    <row r="44" spans="3:8" s="2" customFormat="1" ht="16.5" thickTop="1" x14ac:dyDescent="0.25">
      <c r="G44" s="144"/>
      <c r="H44" s="144"/>
    </row>
    <row r="45" spans="3:8" s="2" customFormat="1" x14ac:dyDescent="0.25">
      <c r="C45" s="1" t="s">
        <v>640</v>
      </c>
      <c r="D45" s="1"/>
      <c r="E45" s="1"/>
      <c r="F45" s="1"/>
      <c r="G45" s="8">
        <f>TrialBalance!L362-Debtors!G43</f>
        <v>0</v>
      </c>
      <c r="H45" s="8">
        <f>TrialBalance!N362-Debtors!H43</f>
        <v>0</v>
      </c>
    </row>
    <row r="46" spans="3:8" s="2" customFormat="1" x14ac:dyDescent="0.25">
      <c r="G46" s="144"/>
      <c r="H46" s="144"/>
    </row>
    <row r="47" spans="3:8" s="2" customFormat="1" x14ac:dyDescent="0.25">
      <c r="G47" s="144"/>
      <c r="H47" s="144"/>
    </row>
    <row r="48" spans="3:8" s="2" customFormat="1" x14ac:dyDescent="0.25">
      <c r="G48" s="144"/>
      <c r="H48" s="144"/>
    </row>
    <row r="49" spans="2:8" s="2" customFormat="1" x14ac:dyDescent="0.25">
      <c r="B49" s="111" t="s">
        <v>641</v>
      </c>
      <c r="C49" s="3" t="s">
        <v>642</v>
      </c>
      <c r="G49" s="28"/>
      <c r="H49" s="28"/>
    </row>
    <row r="50" spans="2:8" s="2" customFormat="1" x14ac:dyDescent="0.25">
      <c r="C50" s="7"/>
      <c r="D50" s="7"/>
      <c r="E50" s="7"/>
      <c r="F50" s="7"/>
      <c r="G50" s="143"/>
      <c r="H50" s="143"/>
    </row>
    <row r="51" spans="2:8" s="2" customFormat="1" x14ac:dyDescent="0.25">
      <c r="G51" s="5"/>
      <c r="H51" s="5"/>
    </row>
    <row r="52" spans="2:8" s="2" customFormat="1" x14ac:dyDescent="0.25">
      <c r="G52" s="5">
        <f>Criteria!E22</f>
        <v>2026</v>
      </c>
      <c r="H52" s="5">
        <f>Criteria!E27</f>
        <v>2025</v>
      </c>
    </row>
    <row r="53" spans="2:8" s="2" customFormat="1" x14ac:dyDescent="0.25">
      <c r="G53" s="144"/>
      <c r="H53" s="144"/>
    </row>
    <row r="54" spans="2:8" s="2" customFormat="1" x14ac:dyDescent="0.25">
      <c r="G54" s="4"/>
      <c r="H54" s="4"/>
    </row>
    <row r="55" spans="2:8" x14ac:dyDescent="0.25">
      <c r="G55" s="144"/>
      <c r="H55" s="144"/>
    </row>
    <row r="56" spans="2:8" x14ac:dyDescent="0.25">
      <c r="G56" s="4"/>
      <c r="H56" s="4"/>
    </row>
    <row r="57" spans="2:8" x14ac:dyDescent="0.25">
      <c r="G57" s="4"/>
      <c r="H57" s="4"/>
    </row>
    <row r="58" spans="2:8" x14ac:dyDescent="0.25">
      <c r="G58" s="144"/>
      <c r="H58" s="144"/>
    </row>
    <row r="59" spans="2:8" x14ac:dyDescent="0.25">
      <c r="G59" s="144"/>
      <c r="H59" s="144"/>
    </row>
    <row r="60" spans="2:8" ht="16.5" thickBot="1" x14ac:dyDescent="0.3">
      <c r="G60" s="146">
        <f>SUM(G53:G59)</f>
        <v>0</v>
      </c>
      <c r="H60" s="146">
        <f>SUM(H53:H59)</f>
        <v>0</v>
      </c>
    </row>
    <row r="61" spans="2:8" ht="16.5" thickTop="1" x14ac:dyDescent="0.25">
      <c r="G61" s="144"/>
      <c r="H61" s="144"/>
    </row>
    <row r="62" spans="2:8" x14ac:dyDescent="0.25">
      <c r="C62" s="1" t="s">
        <v>640</v>
      </c>
      <c r="D62" s="1"/>
      <c r="E62" s="1"/>
      <c r="F62" s="1"/>
      <c r="G62" s="8">
        <f>TrialBalance!L363-Debtors!G60</f>
        <v>0</v>
      </c>
      <c r="H62" s="8">
        <f>TrialBalance!N363-Debtors!H60</f>
        <v>0</v>
      </c>
    </row>
    <row r="66" spans="2:8" x14ac:dyDescent="0.25">
      <c r="B66" s="111" t="s">
        <v>643</v>
      </c>
      <c r="C66" s="3" t="s">
        <v>560</v>
      </c>
      <c r="G66" s="28"/>
      <c r="H66" s="28"/>
    </row>
    <row r="67" spans="2:8" x14ac:dyDescent="0.25">
      <c r="C67" s="7"/>
      <c r="D67" s="7"/>
      <c r="E67" s="7"/>
      <c r="F67" s="7"/>
      <c r="G67" s="143"/>
      <c r="H67" s="143"/>
    </row>
    <row r="69" spans="2:8" x14ac:dyDescent="0.25">
      <c r="G69" s="5">
        <f>Criteria!E22</f>
        <v>2026</v>
      </c>
      <c r="H69" s="5">
        <f>Criteria!E27</f>
        <v>2025</v>
      </c>
    </row>
    <row r="70" spans="2:8" x14ac:dyDescent="0.25">
      <c r="G70" s="144"/>
      <c r="H70" s="144"/>
    </row>
    <row r="71" spans="2:8" x14ac:dyDescent="0.25">
      <c r="C71" s="31"/>
      <c r="G71" s="4"/>
      <c r="H71" s="4"/>
    </row>
    <row r="72" spans="2:8" x14ac:dyDescent="0.25">
      <c r="G72" s="4"/>
      <c r="H72" s="4"/>
    </row>
    <row r="73" spans="2:8" x14ac:dyDescent="0.25">
      <c r="G73" s="144"/>
      <c r="H73" s="144"/>
    </row>
    <row r="74" spans="2:8" ht="16.5" thickBot="1" x14ac:dyDescent="0.3">
      <c r="G74" s="146">
        <f>SUM(G70:G73)</f>
        <v>0</v>
      </c>
      <c r="H74" s="146">
        <f>SUM(H70:H73)</f>
        <v>0</v>
      </c>
    </row>
    <row r="75" spans="2:8" ht="16.5" thickTop="1" x14ac:dyDescent="0.25">
      <c r="G75" s="144"/>
      <c r="H75" s="144"/>
    </row>
    <row r="76" spans="2:8" x14ac:dyDescent="0.25">
      <c r="C76" s="1" t="s">
        <v>640</v>
      </c>
      <c r="D76" s="1"/>
      <c r="E76" s="1"/>
      <c r="F76" s="1"/>
      <c r="G76" s="8">
        <f>TrialBalance!L364-Debtors!G74</f>
        <v>0</v>
      </c>
      <c r="H76" s="8">
        <f>TrialBalance!N364-Debtors!H74</f>
        <v>0</v>
      </c>
    </row>
    <row r="80" spans="2:8" x14ac:dyDescent="0.25">
      <c r="B80" s="111" t="s">
        <v>644</v>
      </c>
      <c r="C80" s="3" t="s">
        <v>571</v>
      </c>
      <c r="G80" s="28"/>
      <c r="H80" s="28"/>
    </row>
    <row r="81" spans="3:8" x14ac:dyDescent="0.25">
      <c r="C81" s="7"/>
      <c r="D81" s="7"/>
      <c r="E81" s="7"/>
      <c r="F81" s="7"/>
      <c r="G81" s="143"/>
      <c r="H81" s="143"/>
    </row>
    <row r="83" spans="3:8" x14ac:dyDescent="0.25">
      <c r="G83" s="5">
        <f>Criteria!E22</f>
        <v>2026</v>
      </c>
      <c r="H83" s="5">
        <f>Criteria!E27</f>
        <v>2025</v>
      </c>
    </row>
    <row r="84" spans="3:8" x14ac:dyDescent="0.25">
      <c r="G84" s="144"/>
      <c r="H84" s="144"/>
    </row>
    <row r="85" spans="3:8" x14ac:dyDescent="0.25">
      <c r="C85" s="31"/>
      <c r="G85" s="4"/>
      <c r="H85" s="4"/>
    </row>
    <row r="86" spans="3:8" x14ac:dyDescent="0.25">
      <c r="G86" s="4"/>
      <c r="H86" s="4"/>
    </row>
    <row r="87" spans="3:8" x14ac:dyDescent="0.25">
      <c r="C87" s="31"/>
      <c r="G87" s="4"/>
      <c r="H87" s="4"/>
    </row>
    <row r="88" spans="3:8" x14ac:dyDescent="0.25">
      <c r="C88" s="151"/>
      <c r="G88" s="4"/>
      <c r="H88" s="4"/>
    </row>
    <row r="89" spans="3:8" x14ac:dyDescent="0.25">
      <c r="G89" s="4"/>
      <c r="H89" s="4"/>
    </row>
    <row r="90" spans="3:8" x14ac:dyDescent="0.25">
      <c r="G90" s="144"/>
      <c r="H90" s="144"/>
    </row>
    <row r="91" spans="3:8" ht="16.5" thickBot="1" x14ac:dyDescent="0.3">
      <c r="G91" s="146">
        <f>SUM(G84:G90)</f>
        <v>0</v>
      </c>
      <c r="H91" s="146">
        <f>SUM(H84:H90)</f>
        <v>0</v>
      </c>
    </row>
    <row r="92" spans="3:8" ht="16.5" thickTop="1" x14ac:dyDescent="0.25">
      <c r="G92" s="144"/>
      <c r="H92" s="144"/>
    </row>
    <row r="93" spans="3:8" x14ac:dyDescent="0.25">
      <c r="C93" s="1" t="s">
        <v>640</v>
      </c>
      <c r="D93" s="1"/>
      <c r="E93" s="1"/>
      <c r="F93" s="1"/>
      <c r="G93" s="8">
        <f>G91-TrialBalance!L365</f>
        <v>0</v>
      </c>
      <c r="H93" s="8">
        <f>H91-TrialBalance!N365</f>
        <v>0</v>
      </c>
    </row>
    <row r="2602" spans="7:9" s="2" customFormat="1" x14ac:dyDescent="0.25">
      <c r="G2602" s="5"/>
      <c r="H2602" s="5"/>
      <c r="I2602" s="32"/>
    </row>
  </sheetData>
  <hyperlinks>
    <hyperlink ref="C4" location="TrialBalance!A1" display="DEBTORS" xr:uid="{F8E76A99-6AE1-4F45-95CA-275BE4FCB13C}"/>
  </hyperlinks>
  <pageMargins left="0.75" right="0.75" top="1" bottom="1" header="0.5" footer="0.5"/>
  <pageSetup paperSize="9" scale="76" fitToHeight="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B32F7-132D-42C2-9234-9241844E861E}">
  <sheetPr>
    <pageSetUpPr fitToPage="1"/>
  </sheetPr>
  <dimension ref="A2:J2540"/>
  <sheetViews>
    <sheetView zoomScale="87" zoomScaleNormal="87" workbookViewId="0">
      <pane xSplit="2" ySplit="4" topLeftCell="C5" activePane="bottomRight" state="frozen"/>
      <selection pane="topRight" activeCell="C1" sqref="C1"/>
      <selection pane="bottomLeft" activeCell="A5" sqref="A5"/>
      <selection pane="bottomRight" activeCell="G18" sqref="G18"/>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50"/>
  </cols>
  <sheetData>
    <row r="2" spans="2:8" ht="52.5" customHeight="1" x14ac:dyDescent="0.25">
      <c r="C2" s="149" t="str">
        <f>Criteria!E9</f>
        <v>ABC COMPANY (PROPRIETARY) LIMITED</v>
      </c>
      <c r="D2" s="216"/>
      <c r="E2" s="216"/>
      <c r="G2" s="148" t="s">
        <v>96</v>
      </c>
      <c r="H2" s="148"/>
    </row>
    <row r="3" spans="2:8" x14ac:dyDescent="0.25">
      <c r="C3" s="3" t="s">
        <v>95</v>
      </c>
      <c r="D3" s="3"/>
      <c r="E3" s="3" t="str">
        <f>Criteria!E20</f>
        <v>28 FEBRUARY 2026</v>
      </c>
    </row>
    <row r="4" spans="2:8" ht="52.5" customHeight="1" x14ac:dyDescent="0.25">
      <c r="C4" s="192" t="s">
        <v>645</v>
      </c>
      <c r="G4" s="148" t="s">
        <v>97</v>
      </c>
      <c r="H4" s="148"/>
    </row>
    <row r="5" spans="2:8" ht="15.75" customHeight="1" x14ac:dyDescent="0.25">
      <c r="G5" s="28"/>
      <c r="H5" s="28"/>
    </row>
    <row r="6" spans="2:8" ht="15.75" customHeight="1" x14ac:dyDescent="0.25">
      <c r="G6" s="28"/>
      <c r="H6" s="28"/>
    </row>
    <row r="7" spans="2:8" x14ac:dyDescent="0.25">
      <c r="B7" s="111" t="s">
        <v>638</v>
      </c>
      <c r="C7" s="3" t="s">
        <v>572</v>
      </c>
      <c r="G7" s="28"/>
      <c r="H7" s="28"/>
    </row>
    <row r="8" spans="2:8" x14ac:dyDescent="0.25">
      <c r="C8" s="7"/>
      <c r="D8" s="7"/>
      <c r="E8" s="7"/>
      <c r="F8" s="7"/>
      <c r="G8" s="143"/>
      <c r="H8" s="143"/>
    </row>
    <row r="10" spans="2:8" x14ac:dyDescent="0.25">
      <c r="G10" s="5">
        <f>Criteria!E22</f>
        <v>2026</v>
      </c>
      <c r="H10" s="5">
        <f>Criteria!E27</f>
        <v>2025</v>
      </c>
    </row>
    <row r="11" spans="2:8" x14ac:dyDescent="0.25">
      <c r="G11" s="144"/>
      <c r="H11" s="144"/>
    </row>
    <row r="12" spans="2:8" x14ac:dyDescent="0.25">
      <c r="C12" s="31">
        <f>TrialBalance!C367</f>
        <v>0</v>
      </c>
      <c r="G12" s="144">
        <f>TrialBalance!L367</f>
        <v>0</v>
      </c>
      <c r="H12" s="144">
        <f>TrialBalance!N367</f>
        <v>0</v>
      </c>
    </row>
    <row r="13" spans="2:8" x14ac:dyDescent="0.25">
      <c r="C13" s="31">
        <f>TrialBalance!C368</f>
        <v>0</v>
      </c>
      <c r="G13" s="144">
        <f>TrialBalance!L368</f>
        <v>0</v>
      </c>
      <c r="H13" s="144">
        <f>TrialBalance!N368</f>
        <v>0</v>
      </c>
    </row>
    <row r="14" spans="2:8" x14ac:dyDescent="0.25">
      <c r="C14" s="31">
        <f>TrialBalance!C369</f>
        <v>0</v>
      </c>
      <c r="G14" s="144">
        <f>TrialBalance!L369</f>
        <v>0</v>
      </c>
      <c r="H14" s="144">
        <f>TrialBalance!N369</f>
        <v>0</v>
      </c>
    </row>
    <row r="15" spans="2:8" x14ac:dyDescent="0.25">
      <c r="C15" s="31">
        <f>TrialBalance!C370</f>
        <v>0</v>
      </c>
      <c r="G15" s="144">
        <f>TrialBalance!L370</f>
        <v>0</v>
      </c>
      <c r="H15" s="144">
        <f>TrialBalance!N370</f>
        <v>0</v>
      </c>
    </row>
    <row r="16" spans="2:8" x14ac:dyDescent="0.25">
      <c r="C16" s="31">
        <f>TrialBalance!C371</f>
        <v>0</v>
      </c>
      <c r="G16" s="144">
        <f>TrialBalance!L371</f>
        <v>0</v>
      </c>
      <c r="H16" s="144">
        <f>TrialBalance!N371</f>
        <v>0</v>
      </c>
    </row>
    <row r="17" spans="2:8" x14ac:dyDescent="0.25">
      <c r="C17" s="31">
        <f>TrialBalance!C372</f>
        <v>0</v>
      </c>
      <c r="G17" s="144">
        <f>TrialBalance!L372</f>
        <v>0</v>
      </c>
      <c r="H17" s="144">
        <f>TrialBalance!N372</f>
        <v>0</v>
      </c>
    </row>
    <row r="18" spans="2:8" s="2" customFormat="1" x14ac:dyDescent="0.25">
      <c r="G18" s="144"/>
      <c r="H18" s="144"/>
    </row>
    <row r="19" spans="2:8" s="2" customFormat="1" ht="16.5" thickBot="1" x14ac:dyDescent="0.3">
      <c r="G19" s="146">
        <f>SUM(G11:G18)</f>
        <v>0</v>
      </c>
      <c r="H19" s="146">
        <f>SUM(H11:H18)</f>
        <v>0</v>
      </c>
    </row>
    <row r="20" spans="2:8" s="2" customFormat="1" ht="16.5" thickTop="1" x14ac:dyDescent="0.25">
      <c r="G20" s="144"/>
      <c r="H20" s="144"/>
    </row>
    <row r="21" spans="2:8" s="2" customFormat="1" x14ac:dyDescent="0.25">
      <c r="C21" s="1" t="s">
        <v>640</v>
      </c>
      <c r="D21" s="1"/>
      <c r="E21" s="1"/>
      <c r="F21" s="1"/>
      <c r="G21" s="8">
        <f>SUM(TrialBalance!L367:L372)-G19</f>
        <v>0</v>
      </c>
      <c r="H21" s="8">
        <f>SUM(TrialBalance!N367:N372)-H19</f>
        <v>0</v>
      </c>
    </row>
    <row r="22" spans="2:8" s="2" customFormat="1" x14ac:dyDescent="0.25">
      <c r="G22" s="144"/>
      <c r="H22" s="144"/>
    </row>
    <row r="23" spans="2:8" s="2" customFormat="1" x14ac:dyDescent="0.25">
      <c r="G23" s="144"/>
      <c r="H23" s="144"/>
    </row>
    <row r="24" spans="2:8" s="2" customFormat="1" x14ac:dyDescent="0.25">
      <c r="G24" s="144"/>
      <c r="H24" s="144"/>
    </row>
    <row r="25" spans="2:8" s="2" customFormat="1" x14ac:dyDescent="0.25">
      <c r="B25" s="111" t="s">
        <v>639</v>
      </c>
      <c r="C25" s="3" t="s">
        <v>578</v>
      </c>
      <c r="G25" s="28"/>
      <c r="H25" s="28"/>
    </row>
    <row r="26" spans="2:8" s="2" customFormat="1" x14ac:dyDescent="0.25">
      <c r="C26" s="7"/>
      <c r="D26" s="7"/>
      <c r="E26" s="7"/>
      <c r="F26" s="7"/>
      <c r="G26" s="143"/>
      <c r="H26" s="143"/>
    </row>
    <row r="27" spans="2:8" s="2" customFormat="1" x14ac:dyDescent="0.25">
      <c r="G27" s="5"/>
      <c r="H27" s="5"/>
    </row>
    <row r="28" spans="2:8" s="2" customFormat="1" x14ac:dyDescent="0.25">
      <c r="G28" s="5">
        <f>Criteria!E22</f>
        <v>2026</v>
      </c>
      <c r="H28" s="5">
        <f>Criteria!E27</f>
        <v>2025</v>
      </c>
    </row>
    <row r="29" spans="2:8" s="2" customFormat="1" x14ac:dyDescent="0.25">
      <c r="G29" s="144"/>
      <c r="H29" s="144"/>
    </row>
    <row r="30" spans="2:8" s="2" customFormat="1" x14ac:dyDescent="0.25">
      <c r="C30" s="31"/>
      <c r="G30" s="4"/>
      <c r="H30" s="4"/>
    </row>
    <row r="31" spans="2:8" s="2" customFormat="1" x14ac:dyDescent="0.25">
      <c r="C31" s="31"/>
      <c r="G31" s="144"/>
      <c r="H31" s="144"/>
    </row>
    <row r="32" spans="2:8" s="2" customFormat="1" x14ac:dyDescent="0.25">
      <c r="C32" s="31"/>
      <c r="G32" s="144"/>
      <c r="H32" s="144"/>
    </row>
    <row r="33" spans="3:8" s="2" customFormat="1" x14ac:dyDescent="0.25">
      <c r="C33" s="31"/>
      <c r="G33" s="144"/>
      <c r="H33" s="144"/>
    </row>
    <row r="34" spans="3:8" s="2" customFormat="1" x14ac:dyDescent="0.25">
      <c r="C34" s="31"/>
      <c r="G34" s="144"/>
      <c r="H34" s="144"/>
    </row>
    <row r="35" spans="3:8" s="2" customFormat="1" x14ac:dyDescent="0.25">
      <c r="C35" s="31"/>
      <c r="G35" s="144"/>
      <c r="H35" s="144"/>
    </row>
    <row r="36" spans="3:8" s="2" customFormat="1" x14ac:dyDescent="0.25">
      <c r="G36" s="144"/>
      <c r="H36" s="144"/>
    </row>
    <row r="37" spans="3:8" s="2" customFormat="1" ht="16.5" thickBot="1" x14ac:dyDescent="0.3">
      <c r="G37" s="146">
        <f>SUM(G29:G36)</f>
        <v>0</v>
      </c>
      <c r="H37" s="146">
        <f>SUM(H29:H36)</f>
        <v>0</v>
      </c>
    </row>
    <row r="38" spans="3:8" s="2" customFormat="1" ht="16.5" thickTop="1" x14ac:dyDescent="0.25">
      <c r="G38" s="144"/>
      <c r="H38" s="144"/>
    </row>
    <row r="39" spans="3:8" s="2" customFormat="1" x14ac:dyDescent="0.25">
      <c r="C39" s="1" t="s">
        <v>640</v>
      </c>
      <c r="D39" s="1"/>
      <c r="E39" s="1"/>
      <c r="F39" s="1"/>
      <c r="G39" s="8">
        <f>G37-TrialBalance!L373</f>
        <v>0</v>
      </c>
      <c r="H39" s="8">
        <f>H37-TrialBalance!N373</f>
        <v>0</v>
      </c>
    </row>
    <row r="40" spans="3:8" s="2" customFormat="1" x14ac:dyDescent="0.25">
      <c r="G40" s="5"/>
      <c r="H40" s="5"/>
    </row>
    <row r="41" spans="3:8" s="2" customFormat="1" x14ac:dyDescent="0.25">
      <c r="G41" s="144"/>
      <c r="H41" s="144"/>
    </row>
    <row r="42" spans="3:8" s="2" customFormat="1" x14ac:dyDescent="0.25">
      <c r="G42" s="144"/>
      <c r="H42" s="144"/>
    </row>
    <row r="2540" spans="7:9" s="2" customFormat="1" x14ac:dyDescent="0.25">
      <c r="G2540" s="5"/>
      <c r="H2540" s="5"/>
      <c r="I2540" s="32"/>
    </row>
  </sheetData>
  <hyperlinks>
    <hyperlink ref="C4" location="TrialBalance!A1" display="BANK AND CASH" xr:uid="{35ACDB94-2A26-4C55-9F40-0F8BF1355106}"/>
  </hyperlinks>
  <pageMargins left="0.75" right="0.75" top="1" bottom="1" header="0.5" footer="0.5"/>
  <pageSetup paperSize="9" scale="74"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pageSetUpPr fitToPage="1"/>
  </sheetPr>
  <dimension ref="A1:BA4093"/>
  <sheetViews>
    <sheetView view="pageBreakPreview" zoomScale="60" zoomScaleNormal="100" workbookViewId="0">
      <selection activeCell="A18" sqref="A18:Q18"/>
    </sheetView>
  </sheetViews>
  <sheetFormatPr defaultRowHeight="31.5" x14ac:dyDescent="0.45"/>
  <cols>
    <col min="1" max="1" width="4.28515625" style="448" customWidth="1"/>
    <col min="2" max="2" width="6.140625" style="448" customWidth="1"/>
    <col min="3" max="3" width="9.7109375" style="448" customWidth="1"/>
    <col min="4" max="4" width="10.28515625" style="448" customWidth="1"/>
    <col min="5" max="5" width="9.7109375" style="448" customWidth="1"/>
    <col min="6" max="6" width="5.140625" style="448" customWidth="1"/>
    <col min="7" max="7" width="17.5703125" style="448" customWidth="1"/>
    <col min="8" max="8" width="21.85546875" style="448" customWidth="1"/>
    <col min="9" max="9" width="4.85546875" style="448" customWidth="1"/>
    <col min="10" max="10" width="22" style="448" customWidth="1"/>
    <col min="11" max="11" width="21.85546875" style="448" customWidth="1"/>
    <col min="12" max="12" width="3.28515625" style="448" customWidth="1"/>
    <col min="13" max="13" width="26.5703125" style="539" customWidth="1"/>
    <col min="14" max="14" width="3.7109375" style="540" customWidth="1"/>
    <col min="15" max="15" width="26.5703125" style="539" customWidth="1"/>
    <col min="16" max="16" width="3.42578125" style="540" customWidth="1"/>
    <col min="17" max="17" width="6.42578125" style="448" customWidth="1"/>
    <col min="18" max="18" width="17.42578125" style="490" customWidth="1"/>
    <col min="19" max="19" width="20.85546875" style="491" bestFit="1" customWidth="1"/>
    <col min="20" max="20" width="4.85546875" style="491" customWidth="1"/>
    <col min="21" max="21" width="20.85546875" style="491" bestFit="1" customWidth="1"/>
    <col min="22" max="22" width="18.7109375" style="491" bestFit="1" customWidth="1"/>
    <col min="23" max="23" width="6.28515625" style="491" customWidth="1"/>
    <col min="24" max="24" width="19.85546875" style="491" customWidth="1"/>
    <col min="25" max="25" width="12" style="491" bestFit="1" customWidth="1"/>
    <col min="26" max="26" width="8.85546875" style="491" customWidth="1"/>
    <col min="27" max="27" width="21.85546875" style="491" bestFit="1" customWidth="1"/>
    <col min="28" max="29" width="8.85546875" style="492" customWidth="1"/>
    <col min="30" max="53" width="9.140625" style="492"/>
    <col min="54" max="16384" width="9.140625" style="451"/>
  </cols>
  <sheetData>
    <row r="1" spans="1:24" ht="31.5" customHeight="1" x14ac:dyDescent="0.45">
      <c r="V1" s="665" t="s">
        <v>784</v>
      </c>
      <c r="W1" s="665"/>
      <c r="X1" s="665"/>
    </row>
    <row r="2" spans="1:24" ht="31.5" customHeight="1" x14ac:dyDescent="0.45">
      <c r="V2" s="500" t="str">
        <f>IF(COUNTIF(V3:V4093,"FALSE")&gt;0,"NO","YES")</f>
        <v>YES</v>
      </c>
      <c r="W2" s="335"/>
      <c r="X2" s="500" t="str">
        <f>IF(COUNTIF(X3:X4093,"FALSE")&gt;0,"NO","YES")</f>
        <v>YES</v>
      </c>
    </row>
    <row r="3" spans="1:24" ht="31.5" customHeight="1" x14ac:dyDescent="0.45"/>
    <row r="4" spans="1:24" ht="31.5" customHeight="1" x14ac:dyDescent="0.45">
      <c r="H4" s="541"/>
      <c r="J4" s="541"/>
      <c r="K4" s="541"/>
    </row>
    <row r="5" spans="1:24" ht="31.5" customHeight="1" x14ac:dyDescent="0.45"/>
    <row r="6" spans="1:24" ht="31.5" customHeight="1" x14ac:dyDescent="0.45"/>
    <row r="7" spans="1:24" ht="31.5" customHeight="1" x14ac:dyDescent="0.45"/>
    <row r="8" spans="1:24" ht="31.5" customHeight="1" x14ac:dyDescent="0.45"/>
    <row r="9" spans="1:24" ht="31.5" customHeight="1" x14ac:dyDescent="0.45"/>
    <row r="10" spans="1:24" ht="31.5" customHeight="1" x14ac:dyDescent="0.45"/>
    <row r="11" spans="1:24" ht="31.5" customHeight="1" x14ac:dyDescent="0.45"/>
    <row r="12" spans="1:24" ht="31.5" customHeight="1" x14ac:dyDescent="0.45"/>
    <row r="13" spans="1:24" ht="31.5" customHeight="1" x14ac:dyDescent="0.45"/>
    <row r="14" spans="1:24" ht="31.5" customHeight="1" x14ac:dyDescent="0.45"/>
    <row r="15" spans="1:24" ht="36" customHeight="1" x14ac:dyDescent="0.5">
      <c r="A15" s="631"/>
      <c r="B15" s="631"/>
      <c r="C15" s="631"/>
      <c r="D15" s="631"/>
      <c r="E15" s="631"/>
      <c r="F15" s="631"/>
      <c r="G15" s="631"/>
      <c r="H15" s="631"/>
      <c r="I15" s="631"/>
      <c r="J15" s="631"/>
      <c r="K15" s="631"/>
      <c r="L15" s="631"/>
      <c r="M15" s="642"/>
      <c r="N15" s="642"/>
      <c r="O15" s="643"/>
      <c r="P15" s="643"/>
      <c r="Q15" s="631"/>
    </row>
    <row r="16" spans="1:24" ht="36" customHeight="1" x14ac:dyDescent="0.4">
      <c r="A16" s="667" t="str">
        <f>Criteria!E9</f>
        <v>ABC COMPANY (PROPRIETARY) LIMITED</v>
      </c>
      <c r="B16" s="667"/>
      <c r="C16" s="667"/>
      <c r="D16" s="667"/>
      <c r="E16" s="667"/>
      <c r="F16" s="667"/>
      <c r="G16" s="667"/>
      <c r="H16" s="667"/>
      <c r="I16" s="667"/>
      <c r="J16" s="667"/>
      <c r="K16" s="667"/>
      <c r="L16" s="667"/>
      <c r="M16" s="667"/>
      <c r="N16" s="667"/>
      <c r="O16" s="667"/>
      <c r="P16" s="667"/>
      <c r="Q16" s="667"/>
    </row>
    <row r="17" spans="1:17" ht="36" customHeight="1" x14ac:dyDescent="0.4">
      <c r="A17" s="616"/>
      <c r="B17" s="616"/>
      <c r="C17" s="616"/>
      <c r="D17" s="616"/>
      <c r="E17" s="616"/>
      <c r="F17" s="644"/>
      <c r="G17" s="644"/>
      <c r="H17" s="644"/>
      <c r="I17" s="644"/>
      <c r="J17" s="644"/>
      <c r="K17" s="644"/>
      <c r="L17" s="644"/>
      <c r="M17" s="644"/>
      <c r="N17" s="629"/>
      <c r="O17" s="617"/>
      <c r="P17" s="617"/>
      <c r="Q17" s="616"/>
    </row>
    <row r="18" spans="1:17" ht="36" customHeight="1" x14ac:dyDescent="0.4">
      <c r="A18" s="667" t="s">
        <v>1661</v>
      </c>
      <c r="B18" s="667"/>
      <c r="C18" s="667"/>
      <c r="D18" s="667"/>
      <c r="E18" s="667"/>
      <c r="F18" s="667"/>
      <c r="G18" s="667"/>
      <c r="H18" s="667"/>
      <c r="I18" s="667"/>
      <c r="J18" s="667"/>
      <c r="K18" s="667"/>
      <c r="L18" s="667"/>
      <c r="M18" s="667"/>
      <c r="N18" s="667"/>
      <c r="O18" s="667"/>
      <c r="P18" s="667"/>
      <c r="Q18" s="667"/>
    </row>
    <row r="19" spans="1:17" ht="36" customHeight="1" x14ac:dyDescent="0.4">
      <c r="A19" s="616"/>
      <c r="B19" s="616"/>
      <c r="C19" s="616"/>
      <c r="D19" s="616"/>
      <c r="E19" s="616"/>
      <c r="F19" s="644"/>
      <c r="G19" s="644"/>
      <c r="H19" s="644"/>
      <c r="I19" s="644"/>
      <c r="J19" s="644"/>
      <c r="K19" s="644"/>
      <c r="L19" s="644"/>
      <c r="M19" s="644"/>
      <c r="N19" s="644"/>
      <c r="O19" s="617"/>
      <c r="P19" s="617"/>
      <c r="Q19" s="616"/>
    </row>
    <row r="20" spans="1:17" ht="36" customHeight="1" x14ac:dyDescent="0.4">
      <c r="A20" s="616"/>
      <c r="B20" s="616"/>
      <c r="C20" s="616"/>
      <c r="D20" s="667" t="str">
        <f>Criteria!E20</f>
        <v>28 FEBRUARY 2026</v>
      </c>
      <c r="E20" s="667"/>
      <c r="F20" s="667"/>
      <c r="G20" s="667"/>
      <c r="H20" s="667"/>
      <c r="I20" s="667"/>
      <c r="J20" s="667"/>
      <c r="K20" s="667"/>
      <c r="L20" s="667"/>
      <c r="M20" s="667"/>
      <c r="N20" s="667"/>
      <c r="O20" s="617"/>
      <c r="P20" s="617"/>
      <c r="Q20" s="616"/>
    </row>
    <row r="21" spans="1:17" ht="36" customHeight="1" x14ac:dyDescent="0.4">
      <c r="A21" s="616"/>
      <c r="B21" s="616"/>
      <c r="C21" s="616"/>
      <c r="D21" s="616"/>
      <c r="E21" s="616"/>
      <c r="F21" s="616"/>
      <c r="G21" s="616"/>
      <c r="H21" s="616"/>
      <c r="I21" s="616"/>
      <c r="J21" s="616"/>
      <c r="K21" s="616"/>
      <c r="L21" s="616"/>
      <c r="M21" s="629"/>
      <c r="N21" s="629"/>
      <c r="O21" s="617"/>
      <c r="P21" s="617"/>
      <c r="Q21" s="616"/>
    </row>
    <row r="22" spans="1:17" ht="36" customHeight="1" x14ac:dyDescent="0.4">
      <c r="A22" s="666" t="str">
        <f>CONCATENATE("Registration number: ",Criteria!E18)</f>
        <v>Registration number: 2000/123456/07</v>
      </c>
      <c r="B22" s="666"/>
      <c r="C22" s="666"/>
      <c r="D22" s="666"/>
      <c r="E22" s="666"/>
      <c r="F22" s="666"/>
      <c r="G22" s="666"/>
      <c r="H22" s="666"/>
      <c r="I22" s="666"/>
      <c r="J22" s="666"/>
      <c r="K22" s="666"/>
      <c r="L22" s="666"/>
      <c r="M22" s="666"/>
      <c r="N22" s="666"/>
      <c r="O22" s="666"/>
      <c r="P22" s="666"/>
      <c r="Q22" s="666"/>
    </row>
    <row r="23" spans="1:17" ht="36" customHeight="1" x14ac:dyDescent="0.5">
      <c r="A23" s="631"/>
      <c r="B23" s="631"/>
      <c r="C23" s="631"/>
      <c r="D23" s="631"/>
      <c r="E23" s="631"/>
      <c r="F23" s="631"/>
      <c r="G23" s="631"/>
      <c r="H23" s="631"/>
      <c r="I23" s="631"/>
      <c r="J23" s="631"/>
      <c r="K23" s="631"/>
      <c r="L23" s="631"/>
      <c r="M23" s="643"/>
      <c r="N23" s="643"/>
      <c r="O23" s="643"/>
      <c r="P23" s="643"/>
      <c r="Q23" s="631"/>
    </row>
    <row r="24" spans="1:17" ht="31.5" customHeight="1" x14ac:dyDescent="0.5">
      <c r="A24" s="631"/>
      <c r="B24" s="631"/>
      <c r="C24" s="631"/>
      <c r="D24" s="631"/>
      <c r="E24" s="631"/>
      <c r="F24" s="631"/>
      <c r="G24" s="631"/>
      <c r="H24" s="631"/>
      <c r="I24" s="631"/>
      <c r="J24" s="631"/>
      <c r="K24" s="631"/>
      <c r="L24" s="631"/>
      <c r="M24" s="643"/>
      <c r="N24" s="643"/>
      <c r="O24" s="643"/>
      <c r="P24" s="643"/>
      <c r="Q24" s="631"/>
    </row>
    <row r="25" spans="1:17" ht="31.5" customHeight="1" x14ac:dyDescent="0.45"/>
    <row r="26" spans="1:17" ht="31.5" customHeight="1" x14ac:dyDescent="0.45"/>
    <row r="27" spans="1:17" ht="31.5" customHeight="1" x14ac:dyDescent="0.45"/>
    <row r="28" spans="1:17" ht="31.5" customHeight="1" x14ac:dyDescent="0.45"/>
    <row r="29" spans="1:17" ht="31.5" customHeight="1" x14ac:dyDescent="0.45"/>
    <row r="30" spans="1:17" ht="31.5" customHeight="1" x14ac:dyDescent="0.45"/>
    <row r="31" spans="1:17" ht="31.5" customHeight="1" x14ac:dyDescent="0.45"/>
    <row r="32" spans="1:17" ht="31.5" customHeight="1" x14ac:dyDescent="0.45"/>
    <row r="33" ht="31.5" customHeight="1" x14ac:dyDescent="0.45"/>
    <row r="34" ht="31.5" customHeight="1" x14ac:dyDescent="0.45"/>
    <row r="35" ht="31.5" customHeight="1" x14ac:dyDescent="0.45"/>
    <row r="36" ht="31.5" customHeight="1" x14ac:dyDescent="0.45"/>
    <row r="37" ht="31.5" customHeight="1" x14ac:dyDescent="0.45"/>
    <row r="38" ht="31.5" customHeight="1" x14ac:dyDescent="0.45"/>
    <row r="39" ht="31.5" customHeight="1" x14ac:dyDescent="0.45"/>
    <row r="40" ht="31.5" customHeight="1" x14ac:dyDescent="0.45"/>
    <row r="41" ht="31.5" customHeight="1" x14ac:dyDescent="0.45"/>
    <row r="42" ht="31.5" customHeight="1" x14ac:dyDescent="0.45"/>
    <row r="43" ht="31.5" customHeight="1" x14ac:dyDescent="0.45"/>
    <row r="44" ht="31.5" customHeight="1" x14ac:dyDescent="0.45"/>
    <row r="45" ht="31.5" customHeight="1" x14ac:dyDescent="0.45"/>
    <row r="46" ht="31.5" customHeight="1" x14ac:dyDescent="0.45"/>
    <row r="47" ht="31.5" customHeight="1" x14ac:dyDescent="0.45"/>
    <row r="48" ht="31.5" customHeight="1" x14ac:dyDescent="0.45"/>
    <row r="49" spans="4:18" ht="31.5" customHeight="1" x14ac:dyDescent="0.45"/>
    <row r="50" spans="4:18" ht="31.5" customHeight="1" x14ac:dyDescent="0.45"/>
    <row r="51" spans="4:18" ht="31.5" customHeight="1" x14ac:dyDescent="0.45"/>
    <row r="52" spans="4:18" ht="31.5" customHeight="1" x14ac:dyDescent="0.45"/>
    <row r="53" spans="4:18" ht="31.5" customHeight="1" x14ac:dyDescent="0.45"/>
    <row r="54" spans="4:18" ht="31.5" customHeight="1" x14ac:dyDescent="0.45"/>
    <row r="55" spans="4:18" ht="36" customHeight="1" x14ac:dyDescent="0.45"/>
    <row r="56" spans="4:18" ht="36" customHeight="1" x14ac:dyDescent="0.45">
      <c r="D56" s="615" t="str">
        <f>Criteria!E9</f>
        <v>ABC COMPANY (PROPRIETARY) LIMITED</v>
      </c>
      <c r="E56" s="616"/>
      <c r="F56" s="616"/>
      <c r="G56" s="616"/>
      <c r="H56" s="616"/>
      <c r="I56" s="616"/>
      <c r="J56" s="616"/>
      <c r="K56" s="616"/>
      <c r="L56" s="616"/>
      <c r="M56" s="617"/>
      <c r="N56" s="617"/>
      <c r="O56" s="617"/>
      <c r="P56" s="617"/>
      <c r="Q56" s="616"/>
    </row>
    <row r="57" spans="4:18" ht="36" customHeight="1" x14ac:dyDescent="0.45">
      <c r="D57" s="615" t="str">
        <f>Criteria!E10</f>
        <v>T/A SEAFRONT HOTEL, ABC RESTAURANT AND RENTAL PROPERTIES</v>
      </c>
      <c r="E57" s="616"/>
      <c r="F57" s="616"/>
      <c r="G57" s="616"/>
      <c r="H57" s="616"/>
      <c r="I57" s="616"/>
      <c r="J57" s="616"/>
      <c r="K57" s="616"/>
      <c r="L57" s="616"/>
      <c r="M57" s="617"/>
      <c r="N57" s="617"/>
      <c r="O57" s="617"/>
      <c r="P57" s="617"/>
      <c r="Q57" s="616"/>
      <c r="R57" s="490" t="str">
        <f>IF(D57=0,"DELETE"," ")</f>
        <v xml:space="preserve"> </v>
      </c>
    </row>
    <row r="58" spans="4:18" ht="36" customHeight="1" x14ac:dyDescent="0.45">
      <c r="D58" s="615" t="str">
        <f>Criteria!E18</f>
        <v>2000/123456/07</v>
      </c>
      <c r="E58" s="616"/>
      <c r="F58" s="616"/>
      <c r="G58" s="616"/>
      <c r="H58" s="616"/>
      <c r="I58" s="616"/>
      <c r="J58" s="616"/>
      <c r="K58" s="616"/>
      <c r="L58" s="616"/>
      <c r="M58" s="617"/>
      <c r="N58" s="617"/>
      <c r="O58" s="617"/>
      <c r="P58" s="617"/>
      <c r="Q58" s="616"/>
    </row>
    <row r="59" spans="4:18" ht="36" customHeight="1" x14ac:dyDescent="0.45">
      <c r="D59" s="615"/>
      <c r="E59" s="616"/>
      <c r="F59" s="616"/>
      <c r="G59" s="616"/>
      <c r="H59" s="616"/>
      <c r="I59" s="616"/>
      <c r="J59" s="616"/>
      <c r="K59" s="616"/>
      <c r="L59" s="616"/>
      <c r="M59" s="617"/>
      <c r="N59" s="617"/>
      <c r="O59" s="617"/>
      <c r="P59" s="617"/>
      <c r="Q59" s="616"/>
    </row>
    <row r="60" spans="4:18" ht="36" customHeight="1" x14ac:dyDescent="0.45">
      <c r="D60" s="615" t="s">
        <v>180</v>
      </c>
      <c r="E60" s="616"/>
      <c r="F60" s="616"/>
      <c r="G60" s="616"/>
      <c r="H60" s="616"/>
      <c r="I60" s="616"/>
      <c r="J60" s="616"/>
      <c r="K60" s="616"/>
      <c r="L60" s="616"/>
      <c r="M60" s="617"/>
      <c r="N60" s="617"/>
      <c r="O60" s="617"/>
      <c r="P60" s="617"/>
      <c r="Q60" s="616"/>
    </row>
    <row r="61" spans="4:18" ht="36" customHeight="1" x14ac:dyDescent="0.45">
      <c r="D61" s="615" t="str">
        <f>Criteria!E20</f>
        <v>28 FEBRUARY 2026</v>
      </c>
      <c r="E61" s="616"/>
      <c r="F61" s="616"/>
      <c r="G61" s="616"/>
      <c r="H61" s="616"/>
      <c r="I61" s="616"/>
      <c r="J61" s="616"/>
      <c r="K61" s="616"/>
      <c r="L61" s="616"/>
      <c r="M61" s="617"/>
      <c r="N61" s="617"/>
      <c r="O61" s="617"/>
      <c r="P61" s="617"/>
      <c r="Q61" s="616"/>
    </row>
    <row r="62" spans="4:18" ht="36" customHeight="1" x14ac:dyDescent="0.45">
      <c r="D62" s="616"/>
      <c r="E62" s="616"/>
      <c r="F62" s="616"/>
      <c r="G62" s="616"/>
      <c r="H62" s="616"/>
      <c r="I62" s="616"/>
      <c r="J62" s="616"/>
      <c r="K62" s="616"/>
      <c r="L62" s="616"/>
      <c r="M62" s="617"/>
      <c r="N62" s="617"/>
      <c r="O62" s="617"/>
      <c r="P62" s="617"/>
      <c r="Q62" s="616"/>
    </row>
    <row r="63" spans="4:18" ht="36" customHeight="1" x14ac:dyDescent="0.45">
      <c r="D63" s="616"/>
      <c r="E63" s="616"/>
      <c r="F63" s="616"/>
      <c r="G63" s="616"/>
      <c r="H63" s="616"/>
      <c r="I63" s="616"/>
      <c r="J63" s="616"/>
      <c r="K63" s="616"/>
      <c r="L63" s="616"/>
      <c r="M63" s="617"/>
      <c r="N63" s="617"/>
      <c r="O63" s="617"/>
      <c r="P63" s="617"/>
      <c r="Q63" s="616"/>
    </row>
    <row r="64" spans="4:18" ht="36" customHeight="1" x14ac:dyDescent="0.45">
      <c r="D64" s="616" t="s">
        <v>1191</v>
      </c>
      <c r="E64" s="616"/>
      <c r="F64" s="616"/>
      <c r="G64" s="616"/>
      <c r="H64" s="616"/>
      <c r="I64" s="616"/>
      <c r="J64" s="616"/>
      <c r="K64" s="616"/>
      <c r="L64" s="616"/>
      <c r="M64" s="617"/>
      <c r="N64" s="617"/>
      <c r="O64" s="617"/>
      <c r="P64" s="617"/>
      <c r="Q64" s="616"/>
    </row>
    <row r="65" spans="4:17" ht="36" customHeight="1" x14ac:dyDescent="0.45">
      <c r="D65" s="616" t="str">
        <f>IF(MAX(Criteria!H54:H58)=1,"presented to the Shareholder:","presented to the Shareholders:")</f>
        <v>presented to the Shareholders:</v>
      </c>
      <c r="E65" s="616"/>
      <c r="F65" s="616"/>
      <c r="G65" s="616"/>
      <c r="H65" s="616"/>
      <c r="I65" s="616"/>
      <c r="J65" s="616"/>
      <c r="K65" s="616"/>
      <c r="L65" s="616"/>
      <c r="M65" s="617"/>
      <c r="N65" s="617"/>
      <c r="O65" s="617"/>
      <c r="P65" s="617"/>
      <c r="Q65" s="616"/>
    </row>
    <row r="66" spans="4:17" ht="36" customHeight="1" x14ac:dyDescent="0.45">
      <c r="D66" s="616"/>
      <c r="E66" s="616"/>
      <c r="F66" s="616"/>
      <c r="G66" s="616"/>
      <c r="H66" s="616"/>
      <c r="I66" s="616"/>
      <c r="J66" s="616"/>
      <c r="K66" s="616"/>
      <c r="L66" s="616"/>
      <c r="M66" s="617"/>
      <c r="N66" s="617"/>
      <c r="O66" s="617"/>
      <c r="P66" s="617"/>
      <c r="Q66" s="616"/>
    </row>
    <row r="67" spans="4:17" ht="36" customHeight="1" x14ac:dyDescent="0.45">
      <c r="D67" s="615" t="s">
        <v>1476</v>
      </c>
      <c r="E67" s="616"/>
      <c r="F67" s="616"/>
      <c r="G67" s="616"/>
      <c r="H67" s="616"/>
      <c r="I67" s="616"/>
      <c r="J67" s="616"/>
      <c r="K67" s="616"/>
      <c r="L67" s="616"/>
      <c r="M67" s="617"/>
      <c r="N67" s="618"/>
      <c r="O67" s="618" t="s">
        <v>1488</v>
      </c>
      <c r="P67" s="617"/>
      <c r="Q67" s="616"/>
    </row>
    <row r="68" spans="4:17" ht="36" customHeight="1" x14ac:dyDescent="0.45">
      <c r="D68" s="616"/>
      <c r="E68" s="616"/>
      <c r="F68" s="616"/>
      <c r="G68" s="616"/>
      <c r="H68" s="616"/>
      <c r="I68" s="616"/>
      <c r="J68" s="616"/>
      <c r="K68" s="616"/>
      <c r="L68" s="616"/>
      <c r="M68" s="617"/>
      <c r="N68" s="617"/>
      <c r="O68" s="617"/>
      <c r="P68" s="617"/>
      <c r="Q68" s="616"/>
    </row>
    <row r="69" spans="4:17" ht="36" customHeight="1" x14ac:dyDescent="0.45">
      <c r="D69" s="616" t="s">
        <v>1477</v>
      </c>
      <c r="E69" s="616"/>
      <c r="F69" s="616"/>
      <c r="G69" s="616"/>
      <c r="H69" s="616"/>
      <c r="I69" s="616"/>
      <c r="J69" s="616"/>
      <c r="K69" s="616"/>
      <c r="L69" s="616"/>
      <c r="M69" s="617"/>
      <c r="N69" s="619"/>
      <c r="O69" s="619">
        <f>Q103</f>
        <v>1</v>
      </c>
      <c r="P69" s="617"/>
      <c r="Q69" s="616"/>
    </row>
    <row r="70" spans="4:17" ht="36" customHeight="1" x14ac:dyDescent="0.45">
      <c r="D70" s="616"/>
      <c r="E70" s="616"/>
      <c r="F70" s="616"/>
      <c r="G70" s="616"/>
      <c r="H70" s="616"/>
      <c r="I70" s="616"/>
      <c r="J70" s="616"/>
      <c r="K70" s="616"/>
      <c r="L70" s="616"/>
      <c r="M70" s="617"/>
      <c r="N70" s="619"/>
      <c r="O70" s="619"/>
      <c r="P70" s="617"/>
      <c r="Q70" s="616"/>
    </row>
    <row r="71" spans="4:17" ht="36" customHeight="1" x14ac:dyDescent="0.45">
      <c r="D71" s="616" t="str">
        <f>IF(MAX(Criteria!I41:I45)&gt;1,"Directors' responsibility statement and approval","Director's responsibility statement and approval")</f>
        <v>Directors' responsibility statement and approval</v>
      </c>
      <c r="E71" s="616"/>
      <c r="F71" s="616"/>
      <c r="G71" s="616"/>
      <c r="H71" s="616"/>
      <c r="I71" s="616"/>
      <c r="J71" s="616"/>
      <c r="K71" s="616"/>
      <c r="L71" s="616"/>
      <c r="M71" s="617"/>
      <c r="N71" s="619"/>
      <c r="O71" s="619">
        <f>Q155</f>
        <v>2</v>
      </c>
      <c r="P71" s="617"/>
      <c r="Q71" s="616"/>
    </row>
    <row r="72" spans="4:17" ht="36" customHeight="1" x14ac:dyDescent="0.45">
      <c r="D72" s="616"/>
      <c r="E72" s="616"/>
      <c r="F72" s="616"/>
      <c r="G72" s="616"/>
      <c r="H72" s="616"/>
      <c r="I72" s="616"/>
      <c r="J72" s="616"/>
      <c r="K72" s="616"/>
      <c r="L72" s="616"/>
      <c r="M72" s="617"/>
      <c r="N72" s="619"/>
      <c r="O72" s="619"/>
      <c r="P72" s="617"/>
      <c r="Q72" s="616"/>
    </row>
    <row r="73" spans="4:17" ht="36" customHeight="1" x14ac:dyDescent="0.45">
      <c r="D73" s="616" t="str">
        <f>IF(Criteria!E29="Compilation","Accounting Officer's compilation report",IF(Criteria!E29="Review","Independent reviewer's report","Auditor's report"))</f>
        <v>Accounting Officer's compilation report</v>
      </c>
      <c r="E73" s="616"/>
      <c r="F73" s="616"/>
      <c r="G73" s="616"/>
      <c r="H73" s="616"/>
      <c r="I73" s="616"/>
      <c r="J73" s="616"/>
      <c r="K73" s="616"/>
      <c r="L73" s="616"/>
      <c r="M73" s="617"/>
      <c r="N73" s="619"/>
      <c r="O73" s="619" t="str">
        <f>IF(O71+1&lt;MAX(Q204:Q442),CONCATENATE(O71+1," - ",MAX(Q204:Q442)),O71+1)</f>
        <v>3 - 7</v>
      </c>
      <c r="P73" s="617"/>
      <c r="Q73" s="616"/>
    </row>
    <row r="74" spans="4:17" ht="36" customHeight="1" x14ac:dyDescent="0.45">
      <c r="D74" s="616"/>
      <c r="E74" s="616"/>
      <c r="F74" s="616"/>
      <c r="G74" s="616"/>
      <c r="H74" s="616"/>
      <c r="I74" s="616"/>
      <c r="J74" s="616"/>
      <c r="K74" s="616"/>
      <c r="L74" s="616"/>
      <c r="M74" s="617"/>
      <c r="N74" s="619"/>
      <c r="O74" s="619"/>
      <c r="P74" s="617"/>
      <c r="Q74" s="616"/>
    </row>
    <row r="75" spans="4:17" ht="36" customHeight="1" x14ac:dyDescent="0.45">
      <c r="D75" s="616" t="str">
        <f>IF(MAX(Criteria!I41:I45)&gt;1,"Directors' report","Director's report")</f>
        <v>Directors' report</v>
      </c>
      <c r="E75" s="616"/>
      <c r="F75" s="616"/>
      <c r="G75" s="616"/>
      <c r="H75" s="616"/>
      <c r="I75" s="616"/>
      <c r="J75" s="616"/>
      <c r="K75" s="616"/>
      <c r="L75" s="616"/>
      <c r="M75" s="617"/>
      <c r="N75" s="619"/>
      <c r="O75" s="619" t="str">
        <f>CONCATENATE(Q443," - ",MAX(Q443:Q600))</f>
        <v>8 - 12</v>
      </c>
      <c r="P75" s="617"/>
      <c r="Q75" s="616"/>
    </row>
    <row r="76" spans="4:17" ht="36" customHeight="1" x14ac:dyDescent="0.45">
      <c r="D76" s="616"/>
      <c r="E76" s="616"/>
      <c r="F76" s="616"/>
      <c r="G76" s="616"/>
      <c r="H76" s="616"/>
      <c r="I76" s="616"/>
      <c r="J76" s="616"/>
      <c r="K76" s="616"/>
      <c r="L76" s="616"/>
      <c r="M76" s="617"/>
      <c r="N76" s="619"/>
      <c r="O76" s="619"/>
      <c r="P76" s="617"/>
      <c r="Q76" s="616"/>
    </row>
    <row r="77" spans="4:17" ht="36" customHeight="1" x14ac:dyDescent="0.45">
      <c r="D77" s="616" t="s">
        <v>1478</v>
      </c>
      <c r="E77" s="616"/>
      <c r="F77" s="616"/>
      <c r="G77" s="616"/>
      <c r="H77" s="616"/>
      <c r="I77" s="616"/>
      <c r="J77" s="616"/>
      <c r="K77" s="616"/>
      <c r="L77" s="616"/>
      <c r="M77" s="617"/>
      <c r="N77" s="619"/>
      <c r="O77" s="619">
        <f>Q601</f>
        <v>13</v>
      </c>
      <c r="P77" s="617"/>
      <c r="Q77" s="616"/>
    </row>
    <row r="78" spans="4:17" ht="36" customHeight="1" x14ac:dyDescent="0.45">
      <c r="D78" s="616"/>
      <c r="E78" s="616"/>
      <c r="F78" s="616"/>
      <c r="G78" s="616"/>
      <c r="H78" s="616"/>
      <c r="I78" s="616"/>
      <c r="J78" s="616"/>
      <c r="K78" s="616"/>
      <c r="L78" s="616"/>
      <c r="M78" s="617"/>
      <c r="N78" s="619"/>
      <c r="O78" s="619"/>
      <c r="P78" s="617"/>
      <c r="Q78" s="616"/>
    </row>
    <row r="79" spans="4:17" ht="36" customHeight="1" x14ac:dyDescent="0.45">
      <c r="D79" s="616" t="s">
        <v>1479</v>
      </c>
      <c r="E79" s="616"/>
      <c r="F79" s="616"/>
      <c r="G79" s="616"/>
      <c r="H79" s="616"/>
      <c r="I79" s="616"/>
      <c r="J79" s="616"/>
      <c r="K79" s="616"/>
      <c r="L79" s="616"/>
      <c r="M79" s="617"/>
      <c r="N79" s="619"/>
      <c r="O79" s="619">
        <f>Q658</f>
        <v>14</v>
      </c>
      <c r="P79" s="617"/>
      <c r="Q79" s="616"/>
    </row>
    <row r="80" spans="4:17" ht="36" customHeight="1" x14ac:dyDescent="0.45">
      <c r="D80" s="616"/>
      <c r="E80" s="616"/>
      <c r="F80" s="616"/>
      <c r="G80" s="616"/>
      <c r="H80" s="616"/>
      <c r="I80" s="616"/>
      <c r="J80" s="616"/>
      <c r="K80" s="616"/>
      <c r="L80" s="616"/>
      <c r="M80" s="617"/>
      <c r="N80" s="619"/>
      <c r="O80" s="619"/>
      <c r="P80" s="617"/>
      <c r="Q80" s="616"/>
    </row>
    <row r="81" spans="4:18" ht="36" customHeight="1" x14ac:dyDescent="0.45">
      <c r="D81" s="616" t="s">
        <v>1480</v>
      </c>
      <c r="E81" s="616"/>
      <c r="F81" s="616"/>
      <c r="G81" s="616"/>
      <c r="H81" s="616"/>
      <c r="I81" s="616"/>
      <c r="J81" s="616"/>
      <c r="K81" s="616"/>
      <c r="L81" s="616"/>
      <c r="M81" s="617"/>
      <c r="N81" s="619"/>
      <c r="O81" s="619">
        <f>Q732</f>
        <v>15</v>
      </c>
      <c r="P81" s="617"/>
      <c r="Q81" s="616"/>
    </row>
    <row r="82" spans="4:18" ht="36" customHeight="1" x14ac:dyDescent="0.45">
      <c r="D82" s="616"/>
      <c r="E82" s="616"/>
      <c r="F82" s="616"/>
      <c r="G82" s="616"/>
      <c r="H82" s="616"/>
      <c r="I82" s="616"/>
      <c r="J82" s="616"/>
      <c r="K82" s="616"/>
      <c r="L82" s="616"/>
      <c r="M82" s="617"/>
      <c r="N82" s="619"/>
      <c r="O82" s="619"/>
      <c r="P82" s="617"/>
      <c r="Q82" s="616"/>
    </row>
    <row r="83" spans="4:18" ht="36" customHeight="1" x14ac:dyDescent="0.45">
      <c r="D83" s="616" t="s">
        <v>1481</v>
      </c>
      <c r="E83" s="616"/>
      <c r="F83" s="616"/>
      <c r="G83" s="616"/>
      <c r="H83" s="616"/>
      <c r="I83" s="616"/>
      <c r="J83" s="616"/>
      <c r="K83" s="616"/>
      <c r="L83" s="616"/>
      <c r="M83" s="617"/>
      <c r="N83" s="619"/>
      <c r="O83" s="619">
        <f>Q788</f>
        <v>16</v>
      </c>
      <c r="P83" s="617"/>
      <c r="Q83" s="616"/>
    </row>
    <row r="84" spans="4:18" ht="36" customHeight="1" x14ac:dyDescent="0.45">
      <c r="D84" s="616"/>
      <c r="E84" s="616"/>
      <c r="F84" s="616"/>
      <c r="G84" s="616"/>
      <c r="H84" s="616"/>
      <c r="I84" s="616"/>
      <c r="J84" s="616"/>
      <c r="K84" s="616"/>
      <c r="L84" s="616"/>
      <c r="M84" s="617"/>
      <c r="N84" s="619"/>
      <c r="O84" s="619"/>
      <c r="P84" s="617"/>
      <c r="Q84" s="616"/>
    </row>
    <row r="85" spans="4:18" ht="36" customHeight="1" x14ac:dyDescent="0.45">
      <c r="D85" s="616" t="s">
        <v>1483</v>
      </c>
      <c r="E85" s="616"/>
      <c r="F85" s="616"/>
      <c r="G85" s="616"/>
      <c r="H85" s="616"/>
      <c r="I85" s="616"/>
      <c r="J85" s="616"/>
      <c r="K85" s="616"/>
      <c r="L85" s="616"/>
      <c r="M85" s="617"/>
      <c r="N85" s="619"/>
      <c r="O85" s="619" t="str">
        <f>CONCATENATE(Q863," - ",MAX(Q863:Q2803))</f>
        <v>17 - 74</v>
      </c>
      <c r="P85" s="617"/>
      <c r="Q85" s="616"/>
    </row>
    <row r="86" spans="4:18" ht="36" customHeight="1" x14ac:dyDescent="0.45">
      <c r="D86" s="616"/>
      <c r="E86" s="616"/>
      <c r="F86" s="616"/>
      <c r="G86" s="616"/>
      <c r="H86" s="616"/>
      <c r="I86" s="616"/>
      <c r="J86" s="616"/>
      <c r="K86" s="616"/>
      <c r="L86" s="616"/>
      <c r="M86" s="617"/>
      <c r="N86" s="619"/>
      <c r="O86" s="619"/>
      <c r="P86" s="617"/>
      <c r="Q86" s="616"/>
    </row>
    <row r="87" spans="4:18" ht="36" customHeight="1" x14ac:dyDescent="0.45">
      <c r="D87" s="616" t="s">
        <v>1484</v>
      </c>
      <c r="E87" s="616"/>
      <c r="F87" s="616"/>
      <c r="G87" s="616"/>
      <c r="H87" s="616"/>
      <c r="I87" s="616"/>
      <c r="J87" s="616"/>
      <c r="K87" s="616"/>
      <c r="L87" s="616"/>
      <c r="M87" s="617"/>
      <c r="N87" s="619"/>
      <c r="O87" s="619" t="str">
        <f>IF(Q2804&lt;MAX(Q2804:Q2971),CONCATENATE(Q2804," - ",MAX(Q2804:Q2971)),Q2804)</f>
        <v>75 - 76</v>
      </c>
      <c r="P87" s="617"/>
      <c r="Q87" s="616"/>
    </row>
    <row r="88" spans="4:18" ht="36" customHeight="1" x14ac:dyDescent="0.45">
      <c r="D88" s="616"/>
      <c r="E88" s="616"/>
      <c r="F88" s="616"/>
      <c r="G88" s="616"/>
      <c r="H88" s="616"/>
      <c r="I88" s="616"/>
      <c r="J88" s="616"/>
      <c r="K88" s="616"/>
      <c r="L88" s="616"/>
      <c r="M88" s="617"/>
      <c r="N88" s="619"/>
      <c r="O88" s="619"/>
      <c r="P88" s="617"/>
      <c r="Q88" s="616"/>
    </row>
    <row r="89" spans="4:18" ht="36" customHeight="1" x14ac:dyDescent="0.45">
      <c r="D89" s="616" t="s">
        <v>1485</v>
      </c>
      <c r="E89" s="616"/>
      <c r="F89" s="616"/>
      <c r="G89" s="616"/>
      <c r="H89" s="616"/>
      <c r="I89" s="616"/>
      <c r="J89" s="616"/>
      <c r="K89" s="616"/>
      <c r="L89" s="616"/>
      <c r="M89" s="617"/>
      <c r="N89" s="619"/>
      <c r="O89" s="619">
        <f>Q2972</f>
        <v>77</v>
      </c>
      <c r="P89" s="617"/>
      <c r="Q89" s="616"/>
    </row>
    <row r="90" spans="4:18" ht="36" customHeight="1" x14ac:dyDescent="0.45">
      <c r="D90" s="616"/>
      <c r="E90" s="616"/>
      <c r="F90" s="616"/>
      <c r="G90" s="616"/>
      <c r="H90" s="616"/>
      <c r="I90" s="616"/>
      <c r="J90" s="616"/>
      <c r="K90" s="616"/>
      <c r="L90" s="616"/>
      <c r="M90" s="617"/>
      <c r="N90" s="619"/>
      <c r="O90" s="619"/>
      <c r="P90" s="617"/>
      <c r="Q90" s="616"/>
    </row>
    <row r="91" spans="4:18" ht="36" customHeight="1" x14ac:dyDescent="0.45">
      <c r="D91" s="616" t="s">
        <v>1486</v>
      </c>
      <c r="E91" s="616"/>
      <c r="F91" s="616"/>
      <c r="G91" s="616"/>
      <c r="H91" s="616"/>
      <c r="I91" s="616"/>
      <c r="J91" s="616"/>
      <c r="K91" s="616"/>
      <c r="L91" s="616"/>
      <c r="M91" s="617"/>
      <c r="N91" s="619"/>
      <c r="O91" s="619">
        <f>Q3046</f>
        <v>78</v>
      </c>
      <c r="P91" s="617"/>
      <c r="Q91" s="616"/>
      <c r="R91" s="490" t="str">
        <f>R3046</f>
        <v>DELETE</v>
      </c>
    </row>
    <row r="92" spans="4:18" ht="36" customHeight="1" x14ac:dyDescent="0.45">
      <c r="D92" s="616"/>
      <c r="E92" s="616"/>
      <c r="F92" s="616"/>
      <c r="G92" s="616"/>
      <c r="H92" s="616"/>
      <c r="I92" s="616"/>
      <c r="J92" s="616"/>
      <c r="K92" s="616"/>
      <c r="L92" s="616"/>
      <c r="M92" s="617"/>
      <c r="N92" s="617"/>
      <c r="O92" s="617"/>
      <c r="P92" s="617"/>
      <c r="Q92" s="616"/>
    </row>
    <row r="93" spans="4:18" ht="36" customHeight="1" x14ac:dyDescent="0.45">
      <c r="D93" s="616" t="s">
        <v>1487</v>
      </c>
      <c r="E93" s="616"/>
      <c r="F93" s="616"/>
      <c r="G93" s="616"/>
      <c r="H93" s="616"/>
      <c r="I93" s="616"/>
      <c r="J93" s="616"/>
      <c r="K93" s="616"/>
      <c r="L93" s="616"/>
      <c r="M93" s="617"/>
      <c r="N93" s="617"/>
      <c r="O93" s="617"/>
      <c r="P93" s="617"/>
      <c r="Q93" s="616"/>
      <c r="R93" s="490" t="str">
        <f>IF(Criteria!E14=0,"DELETE"," ")</f>
        <v xml:space="preserve"> </v>
      </c>
    </row>
    <row r="94" spans="4:18" ht="36" customHeight="1" x14ac:dyDescent="0.45">
      <c r="D94" s="616" t="s">
        <v>25</v>
      </c>
      <c r="E94" s="616" t="str">
        <f>CONCATENATE("Detailed income statement"," - ",Criteria!H14)</f>
        <v>Detailed income statement - ABC Restaurant</v>
      </c>
      <c r="F94" s="616"/>
      <c r="G94" s="616"/>
      <c r="H94" s="616"/>
      <c r="I94" s="616"/>
      <c r="J94" s="616"/>
      <c r="K94" s="616"/>
      <c r="L94" s="616"/>
      <c r="M94" s="617"/>
      <c r="N94" s="617"/>
      <c r="O94" s="617"/>
      <c r="P94" s="617"/>
      <c r="Q94" s="616"/>
      <c r="R94" s="490" t="str">
        <f>IF(Criteria!E14=0,"DELETE"," ")</f>
        <v xml:space="preserve"> </v>
      </c>
    </row>
    <row r="95" spans="4:18" ht="36" customHeight="1" x14ac:dyDescent="0.45">
      <c r="D95" s="616" t="s">
        <v>697</v>
      </c>
      <c r="E95" s="616" t="str">
        <f>CONCATENATE("Detailed income statement"," - ",Criteria!H15)</f>
        <v>Detailed income statement - Rental Properties</v>
      </c>
      <c r="F95" s="616"/>
      <c r="G95" s="616"/>
      <c r="H95" s="616"/>
      <c r="I95" s="616"/>
      <c r="J95" s="616"/>
      <c r="K95" s="616"/>
      <c r="L95" s="616"/>
      <c r="M95" s="617"/>
      <c r="N95" s="617"/>
      <c r="O95" s="617"/>
      <c r="P95" s="617"/>
      <c r="Q95" s="616"/>
      <c r="R95" s="490" t="str">
        <f>IF(Criteria!E15=0,"DELETE"," ")</f>
        <v xml:space="preserve"> </v>
      </c>
    </row>
    <row r="96" spans="4:18" ht="36" customHeight="1" x14ac:dyDescent="0.45">
      <c r="D96" s="616" t="s">
        <v>703</v>
      </c>
      <c r="E96" s="616" t="str">
        <f>CONCATENATE("Detailed income statement"," - ",Criteria!H16)</f>
        <v xml:space="preserve">Detailed income statement - </v>
      </c>
      <c r="F96" s="616"/>
      <c r="G96" s="616"/>
      <c r="H96" s="616"/>
      <c r="I96" s="616"/>
      <c r="J96" s="616"/>
      <c r="K96" s="616"/>
      <c r="L96" s="616"/>
      <c r="M96" s="617"/>
      <c r="N96" s="617"/>
      <c r="O96" s="617"/>
      <c r="P96" s="617"/>
      <c r="Q96" s="616"/>
      <c r="R96" s="490" t="str">
        <f>IF(Criteria!E16=0,"DELETE"," ")</f>
        <v>DELETE</v>
      </c>
    </row>
    <row r="97" spans="4:18" ht="36" customHeight="1" x14ac:dyDescent="0.45">
      <c r="D97" s="616"/>
      <c r="E97" s="616"/>
      <c r="F97" s="616"/>
      <c r="G97" s="616"/>
      <c r="H97" s="616"/>
      <c r="I97" s="616"/>
      <c r="J97" s="616"/>
      <c r="K97" s="616"/>
      <c r="L97" s="616"/>
      <c r="M97" s="617"/>
      <c r="N97" s="617"/>
      <c r="O97" s="617"/>
      <c r="P97" s="617"/>
      <c r="Q97" s="616"/>
    </row>
    <row r="98" spans="4:18" ht="36" customHeight="1" x14ac:dyDescent="0.45">
      <c r="D98" s="615"/>
      <c r="E98" s="616"/>
      <c r="F98" s="616"/>
      <c r="G98" s="616"/>
      <c r="H98" s="616"/>
      <c r="I98" s="616"/>
      <c r="J98" s="616"/>
      <c r="K98" s="616"/>
      <c r="L98" s="616"/>
      <c r="M98" s="617"/>
      <c r="N98" s="617"/>
      <c r="O98" s="617"/>
      <c r="P98" s="617"/>
      <c r="Q98" s="616"/>
    </row>
    <row r="99" spans="4:18" ht="36" customHeight="1" x14ac:dyDescent="0.45">
      <c r="D99" s="616"/>
      <c r="E99" s="616"/>
      <c r="F99" s="616"/>
      <c r="G99" s="616"/>
      <c r="H99" s="616"/>
      <c r="I99" s="616"/>
      <c r="J99" s="616"/>
      <c r="K99" s="616"/>
      <c r="L99" s="616"/>
      <c r="M99" s="617"/>
      <c r="N99" s="617"/>
      <c r="O99" s="617"/>
      <c r="P99" s="617"/>
      <c r="Q99" s="616"/>
    </row>
    <row r="100" spans="4:18" ht="36" customHeight="1" x14ac:dyDescent="0.45">
      <c r="D100" s="616"/>
      <c r="E100" s="616"/>
      <c r="F100" s="616"/>
      <c r="G100" s="616"/>
      <c r="H100" s="616"/>
      <c r="I100" s="616"/>
      <c r="J100" s="616"/>
      <c r="K100" s="616"/>
      <c r="L100" s="616"/>
      <c r="M100" s="617"/>
      <c r="N100" s="617"/>
      <c r="O100" s="617"/>
      <c r="P100" s="617"/>
      <c r="Q100" s="616"/>
    </row>
    <row r="101" spans="4:18" ht="36" customHeight="1" x14ac:dyDescent="0.45">
      <c r="D101" s="616"/>
      <c r="E101" s="616"/>
      <c r="F101" s="616"/>
      <c r="G101" s="616"/>
      <c r="H101" s="616"/>
      <c r="I101" s="616"/>
      <c r="J101" s="616"/>
      <c r="K101" s="616"/>
      <c r="L101" s="616"/>
      <c r="M101" s="617"/>
      <c r="N101" s="617"/>
      <c r="O101" s="617"/>
      <c r="P101" s="617"/>
      <c r="Q101" s="616"/>
    </row>
    <row r="102" spans="4:18" ht="36" customHeight="1" x14ac:dyDescent="0.45">
      <c r="D102" s="616"/>
      <c r="E102" s="616"/>
      <c r="F102" s="616"/>
      <c r="G102" s="616"/>
      <c r="H102" s="616"/>
      <c r="I102" s="616"/>
      <c r="J102" s="616"/>
      <c r="K102" s="616"/>
      <c r="L102" s="616"/>
      <c r="M102" s="617"/>
      <c r="N102" s="617"/>
      <c r="O102" s="617"/>
      <c r="P102" s="617"/>
      <c r="Q102" s="616"/>
    </row>
    <row r="103" spans="4:18" ht="36" customHeight="1" x14ac:dyDescent="0.45">
      <c r="O103" s="454" t="s">
        <v>112</v>
      </c>
      <c r="P103" s="454"/>
      <c r="Q103" s="450">
        <v>1</v>
      </c>
    </row>
    <row r="104" spans="4:18" ht="36" customHeight="1" x14ac:dyDescent="0.45">
      <c r="D104" s="615" t="str">
        <f>Criteria!E9</f>
        <v>ABC COMPANY (PROPRIETARY) LIMITED</v>
      </c>
      <c r="E104" s="616"/>
      <c r="F104" s="616"/>
      <c r="G104" s="616"/>
      <c r="H104" s="616"/>
      <c r="I104" s="616"/>
      <c r="J104" s="616"/>
      <c r="K104" s="616"/>
      <c r="L104" s="616"/>
      <c r="M104" s="617"/>
      <c r="N104" s="617"/>
      <c r="O104" s="617"/>
      <c r="P104" s="617"/>
      <c r="Q104" s="616"/>
    </row>
    <row r="105" spans="4:18" ht="36" customHeight="1" x14ac:dyDescent="0.45">
      <c r="D105" s="615" t="str">
        <f>Criteria!E10</f>
        <v>T/A SEAFRONT HOTEL, ABC RESTAURANT AND RENTAL PROPERTIES</v>
      </c>
      <c r="E105" s="616"/>
      <c r="F105" s="616"/>
      <c r="G105" s="616"/>
      <c r="H105" s="616"/>
      <c r="I105" s="616"/>
      <c r="J105" s="616"/>
      <c r="K105" s="616"/>
      <c r="L105" s="616"/>
      <c r="M105" s="617"/>
      <c r="N105" s="617"/>
      <c r="O105" s="617"/>
      <c r="P105" s="617"/>
      <c r="Q105" s="616"/>
      <c r="R105" s="490" t="str">
        <f>IF(D105=0,"DELETE"," ")</f>
        <v xml:space="preserve"> </v>
      </c>
    </row>
    <row r="106" spans="4:18" ht="36" customHeight="1" x14ac:dyDescent="0.45">
      <c r="D106" s="616"/>
      <c r="E106" s="616"/>
      <c r="F106" s="616"/>
      <c r="G106" s="616"/>
      <c r="H106" s="616"/>
      <c r="I106" s="616"/>
      <c r="J106" s="616"/>
      <c r="K106" s="616"/>
      <c r="L106" s="616"/>
      <c r="M106" s="617"/>
      <c r="N106" s="617"/>
      <c r="O106" s="617"/>
      <c r="P106" s="617"/>
      <c r="Q106" s="616"/>
    </row>
    <row r="107" spans="4:18" ht="36" customHeight="1" x14ac:dyDescent="0.45">
      <c r="D107" s="615" t="s">
        <v>181</v>
      </c>
      <c r="E107" s="616"/>
      <c r="F107" s="616"/>
      <c r="G107" s="616"/>
      <c r="H107" s="616"/>
      <c r="I107" s="616"/>
      <c r="J107" s="616"/>
      <c r="K107" s="616"/>
      <c r="L107" s="616"/>
      <c r="M107" s="617"/>
      <c r="N107" s="617"/>
      <c r="O107" s="617"/>
      <c r="P107" s="617"/>
      <c r="Q107" s="616"/>
    </row>
    <row r="108" spans="4:18" ht="36" customHeight="1" x14ac:dyDescent="0.45">
      <c r="D108" s="616"/>
      <c r="E108" s="616"/>
      <c r="F108" s="616"/>
      <c r="G108" s="616"/>
      <c r="H108" s="616"/>
      <c r="I108" s="616"/>
      <c r="J108" s="616"/>
      <c r="K108" s="616"/>
      <c r="L108" s="616"/>
      <c r="M108" s="617"/>
      <c r="N108" s="617"/>
      <c r="O108" s="617"/>
      <c r="P108" s="617"/>
      <c r="Q108" s="616"/>
    </row>
    <row r="109" spans="4:18" ht="36" customHeight="1" x14ac:dyDescent="0.45">
      <c r="D109" s="616" t="s">
        <v>1190</v>
      </c>
      <c r="E109" s="616"/>
      <c r="F109" s="616"/>
      <c r="G109" s="616"/>
      <c r="H109" s="616"/>
      <c r="I109" s="616"/>
      <c r="J109" s="620"/>
      <c r="K109" s="616"/>
      <c r="L109" s="616"/>
      <c r="M109" s="617"/>
      <c r="N109" s="617"/>
      <c r="O109" s="617"/>
      <c r="P109" s="617"/>
      <c r="Q109" s="616"/>
    </row>
    <row r="110" spans="4:18" ht="36" customHeight="1" x14ac:dyDescent="0.45">
      <c r="D110" s="616" t="s">
        <v>1189</v>
      </c>
      <c r="E110" s="616"/>
      <c r="F110" s="616"/>
      <c r="G110" s="616"/>
      <c r="H110" s="616"/>
      <c r="I110" s="616"/>
      <c r="J110" s="621" t="s">
        <v>704</v>
      </c>
      <c r="K110" s="616"/>
      <c r="L110" s="616"/>
      <c r="M110" s="617"/>
      <c r="N110" s="617"/>
      <c r="O110" s="617"/>
      <c r="P110" s="617"/>
      <c r="Q110" s="616"/>
    </row>
    <row r="111" spans="4:18" ht="36" customHeight="1" x14ac:dyDescent="0.45">
      <c r="D111" s="616"/>
      <c r="E111" s="616"/>
      <c r="F111" s="616"/>
      <c r="G111" s="616"/>
      <c r="H111" s="616"/>
      <c r="I111" s="616"/>
      <c r="J111" s="621"/>
      <c r="K111" s="616"/>
      <c r="L111" s="616"/>
      <c r="M111" s="617"/>
      <c r="N111" s="617"/>
      <c r="O111" s="617"/>
      <c r="P111" s="617"/>
      <c r="Q111" s="616"/>
    </row>
    <row r="112" spans="4:18" ht="36" customHeight="1" x14ac:dyDescent="0.45">
      <c r="D112" s="616" t="s">
        <v>864</v>
      </c>
      <c r="E112" s="616"/>
      <c r="F112" s="616"/>
      <c r="G112" s="616"/>
      <c r="H112" s="616"/>
      <c r="I112" s="616"/>
      <c r="J112" s="621" t="s">
        <v>865</v>
      </c>
      <c r="K112" s="616"/>
      <c r="L112" s="616"/>
      <c r="M112" s="617"/>
      <c r="N112" s="617"/>
      <c r="O112" s="617"/>
      <c r="P112" s="617"/>
      <c r="Q112" s="616"/>
    </row>
    <row r="113" spans="4:18" ht="36" customHeight="1" x14ac:dyDescent="0.45">
      <c r="D113" s="616"/>
      <c r="E113" s="616"/>
      <c r="F113" s="616"/>
      <c r="G113" s="616"/>
      <c r="H113" s="616"/>
      <c r="I113" s="616"/>
      <c r="J113" s="621"/>
      <c r="K113" s="616"/>
      <c r="L113" s="616"/>
      <c r="M113" s="617"/>
      <c r="N113" s="617"/>
      <c r="O113" s="617"/>
      <c r="P113" s="617"/>
      <c r="Q113" s="616"/>
    </row>
    <row r="114" spans="4:18" ht="36" customHeight="1" x14ac:dyDescent="0.45">
      <c r="D114" s="616" t="s">
        <v>1474</v>
      </c>
      <c r="E114" s="616"/>
      <c r="F114" s="616"/>
      <c r="G114" s="616"/>
      <c r="H114" s="616"/>
      <c r="I114" s="616"/>
      <c r="J114" s="621"/>
      <c r="K114" s="616"/>
      <c r="L114" s="616"/>
      <c r="M114" s="617"/>
      <c r="N114" s="617"/>
      <c r="O114" s="617"/>
      <c r="P114" s="617"/>
      <c r="Q114" s="616"/>
    </row>
    <row r="115" spans="4:18" ht="36" customHeight="1" x14ac:dyDescent="0.45">
      <c r="D115" s="616" t="s">
        <v>1475</v>
      </c>
      <c r="E115" s="616"/>
      <c r="F115" s="616"/>
      <c r="G115" s="616"/>
      <c r="H115" s="616"/>
      <c r="I115" s="616"/>
      <c r="J115" s="621" t="str">
        <f>Criteria!E36</f>
        <v>Hotel trade</v>
      </c>
      <c r="K115" s="616"/>
      <c r="L115" s="616"/>
      <c r="M115" s="617"/>
      <c r="N115" s="617"/>
      <c r="O115" s="617"/>
      <c r="P115" s="617"/>
      <c r="Q115" s="616"/>
    </row>
    <row r="116" spans="4:18" ht="36" customHeight="1" x14ac:dyDescent="0.45">
      <c r="D116" s="620"/>
      <c r="E116" s="616"/>
      <c r="F116" s="616"/>
      <c r="G116" s="616"/>
      <c r="H116" s="616"/>
      <c r="I116" s="616"/>
      <c r="J116" s="621" t="str">
        <f>Criteria!E37</f>
        <v>Restaurant industry</v>
      </c>
      <c r="K116" s="616"/>
      <c r="L116" s="616"/>
      <c r="M116" s="617"/>
      <c r="N116" s="617"/>
      <c r="O116" s="617"/>
      <c r="P116" s="617"/>
      <c r="Q116" s="616"/>
      <c r="R116" s="490" t="str">
        <f>IF(J116=0,"DELETE"," ")</f>
        <v xml:space="preserve"> </v>
      </c>
    </row>
    <row r="117" spans="4:18" ht="36" customHeight="1" x14ac:dyDescent="0.45">
      <c r="D117" s="616"/>
      <c r="E117" s="616"/>
      <c r="F117" s="616"/>
      <c r="G117" s="616"/>
      <c r="H117" s="616"/>
      <c r="I117" s="616"/>
      <c r="J117" s="621" t="str">
        <f>Criteria!E38</f>
        <v>Investment in immovable property</v>
      </c>
      <c r="K117" s="616"/>
      <c r="L117" s="616"/>
      <c r="M117" s="617"/>
      <c r="N117" s="617"/>
      <c r="O117" s="617"/>
      <c r="P117" s="617"/>
      <c r="Q117" s="616"/>
      <c r="R117" s="490" t="str">
        <f>IF(J117=0,"DELETE"," ")</f>
        <v xml:space="preserve"> </v>
      </c>
    </row>
    <row r="118" spans="4:18" ht="36" customHeight="1" x14ac:dyDescent="0.45">
      <c r="D118" s="616"/>
      <c r="E118" s="616"/>
      <c r="F118" s="616"/>
      <c r="G118" s="616"/>
      <c r="H118" s="616"/>
      <c r="I118" s="616"/>
      <c r="J118" s="621">
        <f>Criteria!E39</f>
        <v>0</v>
      </c>
      <c r="K118" s="616"/>
      <c r="L118" s="616"/>
      <c r="M118" s="617"/>
      <c r="N118" s="617"/>
      <c r="O118" s="617"/>
      <c r="P118" s="617"/>
      <c r="Q118" s="616"/>
      <c r="R118" s="490" t="str">
        <f>IF(J118=0,"DELETE"," ")</f>
        <v>DELETE</v>
      </c>
    </row>
    <row r="119" spans="4:18" ht="36" customHeight="1" x14ac:dyDescent="0.45">
      <c r="D119" s="616"/>
      <c r="E119" s="616"/>
      <c r="F119" s="616"/>
      <c r="G119" s="616"/>
      <c r="H119" s="616"/>
      <c r="I119" s="616"/>
      <c r="J119" s="621"/>
      <c r="K119" s="616"/>
      <c r="L119" s="616"/>
      <c r="M119" s="617"/>
      <c r="N119" s="617"/>
      <c r="O119" s="617"/>
      <c r="P119" s="617"/>
      <c r="Q119" s="616"/>
    </row>
    <row r="120" spans="4:18" ht="36" customHeight="1" x14ac:dyDescent="0.45">
      <c r="D120" s="616" t="str">
        <f>IF(MAX(Criteria!I41:I45)&gt;1,"Directors","Director")</f>
        <v>Directors</v>
      </c>
      <c r="E120" s="616"/>
      <c r="F120" s="616"/>
      <c r="G120" s="616"/>
      <c r="H120" s="616"/>
      <c r="I120" s="616"/>
      <c r="J120" s="621" t="str">
        <f>Criteria!E41</f>
        <v>A Director</v>
      </c>
      <c r="K120" s="616"/>
      <c r="L120" s="616"/>
      <c r="M120" s="617"/>
      <c r="N120" s="617"/>
      <c r="O120" s="617"/>
      <c r="P120" s="617"/>
      <c r="Q120" s="616"/>
    </row>
    <row r="121" spans="4:18" ht="36" customHeight="1" x14ac:dyDescent="0.45">
      <c r="D121" s="616"/>
      <c r="E121" s="616"/>
      <c r="F121" s="616"/>
      <c r="G121" s="616"/>
      <c r="H121" s="616"/>
      <c r="I121" s="616"/>
      <c r="J121" s="621" t="str">
        <f>Criteria!E42</f>
        <v>B Director</v>
      </c>
      <c r="K121" s="616"/>
      <c r="L121" s="616"/>
      <c r="M121" s="617"/>
      <c r="N121" s="617"/>
      <c r="O121" s="617"/>
      <c r="P121" s="617"/>
      <c r="Q121" s="616"/>
      <c r="R121" s="490" t="str">
        <f>IF(J121=0,"DELETE"," ")</f>
        <v xml:space="preserve"> </v>
      </c>
    </row>
    <row r="122" spans="4:18" ht="36" customHeight="1" x14ac:dyDescent="0.45">
      <c r="D122" s="616"/>
      <c r="E122" s="616"/>
      <c r="F122" s="616"/>
      <c r="G122" s="616"/>
      <c r="H122" s="616"/>
      <c r="I122" s="616"/>
      <c r="J122" s="621">
        <f>Criteria!E43</f>
        <v>0</v>
      </c>
      <c r="K122" s="616"/>
      <c r="L122" s="616"/>
      <c r="M122" s="617"/>
      <c r="N122" s="617"/>
      <c r="O122" s="617"/>
      <c r="P122" s="617"/>
      <c r="Q122" s="616"/>
      <c r="R122" s="490" t="str">
        <f>IF(J122=0,"DELETE"," ")</f>
        <v>DELETE</v>
      </c>
    </row>
    <row r="123" spans="4:18" ht="36" customHeight="1" x14ac:dyDescent="0.45">
      <c r="D123" s="616"/>
      <c r="E123" s="616"/>
      <c r="F123" s="616"/>
      <c r="G123" s="616"/>
      <c r="H123" s="616"/>
      <c r="I123" s="616"/>
      <c r="J123" s="621">
        <f>Criteria!E44</f>
        <v>0</v>
      </c>
      <c r="K123" s="616"/>
      <c r="L123" s="616"/>
      <c r="M123" s="617"/>
      <c r="N123" s="617"/>
      <c r="O123" s="617"/>
      <c r="P123" s="617"/>
      <c r="Q123" s="616"/>
      <c r="R123" s="490" t="str">
        <f>IF(J123=0,"DELETE"," ")</f>
        <v>DELETE</v>
      </c>
    </row>
    <row r="124" spans="4:18" ht="36" customHeight="1" x14ac:dyDescent="0.45">
      <c r="D124" s="616"/>
      <c r="E124" s="616"/>
      <c r="F124" s="616"/>
      <c r="G124" s="616"/>
      <c r="H124" s="616"/>
      <c r="I124" s="616"/>
      <c r="J124" s="621">
        <f>Criteria!E45</f>
        <v>0</v>
      </c>
      <c r="K124" s="616"/>
      <c r="L124" s="616"/>
      <c r="M124" s="617"/>
      <c r="N124" s="617"/>
      <c r="O124" s="617"/>
      <c r="P124" s="617"/>
      <c r="Q124" s="616"/>
      <c r="R124" s="490" t="str">
        <f>IF(J124=0,"DELETE"," ")</f>
        <v>DELETE</v>
      </c>
    </row>
    <row r="125" spans="4:18" ht="36" customHeight="1" x14ac:dyDescent="0.45">
      <c r="D125" s="616"/>
      <c r="E125" s="616"/>
      <c r="F125" s="616"/>
      <c r="G125" s="616"/>
      <c r="H125" s="616"/>
      <c r="I125" s="616"/>
      <c r="J125" s="621"/>
      <c r="K125" s="616"/>
      <c r="L125" s="616"/>
      <c r="M125" s="617"/>
      <c r="N125" s="617"/>
      <c r="O125" s="617"/>
      <c r="P125" s="617"/>
      <c r="Q125" s="616"/>
    </row>
    <row r="126" spans="4:18" ht="36" customHeight="1" x14ac:dyDescent="0.45">
      <c r="D126" s="616" t="s">
        <v>114</v>
      </c>
      <c r="E126" s="616"/>
      <c r="F126" s="616"/>
      <c r="G126" s="616"/>
      <c r="H126" s="616"/>
      <c r="I126" s="616"/>
      <c r="J126" s="621">
        <f>Criteria!E60</f>
        <v>0</v>
      </c>
      <c r="K126" s="616"/>
      <c r="L126" s="616"/>
      <c r="M126" s="617"/>
      <c r="N126" s="617"/>
      <c r="O126" s="617"/>
      <c r="P126" s="617"/>
      <c r="Q126" s="616"/>
    </row>
    <row r="127" spans="4:18" ht="36" customHeight="1" x14ac:dyDescent="0.45">
      <c r="D127" s="616"/>
      <c r="E127" s="616"/>
      <c r="F127" s="616"/>
      <c r="G127" s="616"/>
      <c r="H127" s="616"/>
      <c r="I127" s="616"/>
      <c r="J127" s="621">
        <f>Criteria!E61</f>
        <v>0</v>
      </c>
      <c r="K127" s="616"/>
      <c r="L127" s="616"/>
      <c r="M127" s="617"/>
      <c r="N127" s="617"/>
      <c r="O127" s="617"/>
      <c r="P127" s="617"/>
      <c r="Q127" s="616"/>
    </row>
    <row r="128" spans="4:18" ht="36" customHeight="1" x14ac:dyDescent="0.45">
      <c r="D128" s="616"/>
      <c r="E128" s="616"/>
      <c r="F128" s="616"/>
      <c r="G128" s="616"/>
      <c r="H128" s="616"/>
      <c r="I128" s="616"/>
      <c r="J128" s="621">
        <f>Criteria!E62</f>
        <v>0</v>
      </c>
      <c r="K128" s="616"/>
      <c r="L128" s="616"/>
      <c r="M128" s="617"/>
      <c r="N128" s="617"/>
      <c r="O128" s="617"/>
      <c r="P128" s="617"/>
      <c r="Q128" s="616"/>
      <c r="R128" s="490" t="str">
        <f>IF(J128=0,"DELETE"," ")</f>
        <v>DELETE</v>
      </c>
    </row>
    <row r="129" spans="4:18" ht="36" customHeight="1" x14ac:dyDescent="0.45">
      <c r="D129" s="616"/>
      <c r="E129" s="616"/>
      <c r="F129" s="616"/>
      <c r="G129" s="616"/>
      <c r="H129" s="616"/>
      <c r="I129" s="616"/>
      <c r="J129" s="621">
        <f>Criteria!E63</f>
        <v>0</v>
      </c>
      <c r="K129" s="616"/>
      <c r="L129" s="616"/>
      <c r="M129" s="617"/>
      <c r="N129" s="617"/>
      <c r="O129" s="617"/>
      <c r="P129" s="617"/>
      <c r="Q129" s="616"/>
      <c r="R129" s="490" t="str">
        <f>IF(J129=0,"DELETE"," ")</f>
        <v>DELETE</v>
      </c>
    </row>
    <row r="130" spans="4:18" ht="36" customHeight="1" x14ac:dyDescent="0.45">
      <c r="D130" s="616"/>
      <c r="E130" s="616"/>
      <c r="F130" s="616"/>
      <c r="G130" s="616"/>
      <c r="H130" s="616"/>
      <c r="I130" s="616"/>
      <c r="J130" s="621"/>
      <c r="K130" s="616"/>
      <c r="L130" s="616"/>
      <c r="M130" s="617"/>
      <c r="N130" s="617"/>
      <c r="O130" s="617"/>
      <c r="P130" s="617"/>
      <c r="Q130" s="616"/>
      <c r="R130" s="490" t="str">
        <f>R131</f>
        <v>DELETE</v>
      </c>
    </row>
    <row r="131" spans="4:18" ht="36" customHeight="1" x14ac:dyDescent="0.45">
      <c r="D131" s="616" t="s">
        <v>984</v>
      </c>
      <c r="E131" s="616"/>
      <c r="F131" s="616"/>
      <c r="G131" s="616"/>
      <c r="H131" s="616"/>
      <c r="I131" s="616"/>
      <c r="J131" s="621">
        <f>Criteria!E65</f>
        <v>0</v>
      </c>
      <c r="K131" s="616"/>
      <c r="L131" s="616"/>
      <c r="M131" s="617"/>
      <c r="N131" s="617"/>
      <c r="O131" s="617"/>
      <c r="P131" s="617"/>
      <c r="Q131" s="616"/>
      <c r="R131" s="490" t="str">
        <f t="shared" ref="R131:R134" si="0">IF(J131=0,"DELETE"," ")</f>
        <v>DELETE</v>
      </c>
    </row>
    <row r="132" spans="4:18" ht="36" customHeight="1" x14ac:dyDescent="0.45">
      <c r="D132" s="616"/>
      <c r="E132" s="616"/>
      <c r="F132" s="616"/>
      <c r="G132" s="616"/>
      <c r="H132" s="616"/>
      <c r="I132" s="616"/>
      <c r="J132" s="621">
        <f>Criteria!E66</f>
        <v>0</v>
      </c>
      <c r="K132" s="616"/>
      <c r="L132" s="616"/>
      <c r="M132" s="617"/>
      <c r="N132" s="617"/>
      <c r="O132" s="617"/>
      <c r="P132" s="617"/>
      <c r="Q132" s="616"/>
      <c r="R132" s="490" t="str">
        <f t="shared" si="0"/>
        <v>DELETE</v>
      </c>
    </row>
    <row r="133" spans="4:18" ht="36" customHeight="1" x14ac:dyDescent="0.45">
      <c r="D133" s="616"/>
      <c r="E133" s="616"/>
      <c r="F133" s="616"/>
      <c r="G133" s="616"/>
      <c r="H133" s="616"/>
      <c r="I133" s="616"/>
      <c r="J133" s="621">
        <f>Criteria!E67</f>
        <v>0</v>
      </c>
      <c r="K133" s="616"/>
      <c r="L133" s="616"/>
      <c r="M133" s="617"/>
      <c r="N133" s="617"/>
      <c r="O133" s="617"/>
      <c r="P133" s="617"/>
      <c r="Q133" s="616"/>
      <c r="R133" s="490" t="str">
        <f t="shared" si="0"/>
        <v>DELETE</v>
      </c>
    </row>
    <row r="134" spans="4:18" ht="36" customHeight="1" x14ac:dyDescent="0.45">
      <c r="D134" s="616"/>
      <c r="E134" s="616"/>
      <c r="F134" s="616"/>
      <c r="G134" s="616"/>
      <c r="H134" s="616"/>
      <c r="I134" s="616"/>
      <c r="J134" s="621">
        <f>Criteria!E68</f>
        <v>0</v>
      </c>
      <c r="K134" s="616"/>
      <c r="L134" s="616"/>
      <c r="M134" s="617"/>
      <c r="N134" s="617"/>
      <c r="O134" s="617"/>
      <c r="P134" s="617"/>
      <c r="Q134" s="616"/>
      <c r="R134" s="490" t="str">
        <f t="shared" si="0"/>
        <v>DELETE</v>
      </c>
    </row>
    <row r="135" spans="4:18" ht="36" customHeight="1" x14ac:dyDescent="0.45">
      <c r="D135" s="616"/>
      <c r="E135" s="616"/>
      <c r="F135" s="616"/>
      <c r="G135" s="616"/>
      <c r="H135" s="616"/>
      <c r="I135" s="616"/>
      <c r="J135" s="621"/>
      <c r="K135" s="616"/>
      <c r="L135" s="616"/>
      <c r="M135" s="617"/>
      <c r="N135" s="617"/>
      <c r="O135" s="617"/>
      <c r="P135" s="617"/>
      <c r="Q135" s="616"/>
    </row>
    <row r="136" spans="4:18" ht="36" customHeight="1" x14ac:dyDescent="0.45">
      <c r="D136" s="616" t="s">
        <v>115</v>
      </c>
      <c r="E136" s="616"/>
      <c r="F136" s="616"/>
      <c r="G136" s="616"/>
      <c r="H136" s="616"/>
      <c r="I136" s="616"/>
      <c r="J136" s="621">
        <f>Criteria!E70</f>
        <v>0</v>
      </c>
      <c r="K136" s="616"/>
      <c r="L136" s="616"/>
      <c r="M136" s="617"/>
      <c r="N136" s="617"/>
      <c r="O136" s="617"/>
      <c r="P136" s="617"/>
      <c r="Q136" s="616"/>
      <c r="R136" s="490" t="str">
        <f>IF(J136=0,"DELETE"," ")</f>
        <v>DELETE</v>
      </c>
    </row>
    <row r="137" spans="4:18" ht="36" customHeight="1" x14ac:dyDescent="0.45">
      <c r="D137" s="616"/>
      <c r="E137" s="616"/>
      <c r="F137" s="616"/>
      <c r="G137" s="616"/>
      <c r="H137" s="616"/>
      <c r="I137" s="616"/>
      <c r="J137" s="621">
        <f>Criteria!E71</f>
        <v>0</v>
      </c>
      <c r="K137" s="616"/>
      <c r="L137" s="616"/>
      <c r="M137" s="617"/>
      <c r="N137" s="617"/>
      <c r="O137" s="617"/>
      <c r="P137" s="617"/>
      <c r="Q137" s="616"/>
      <c r="R137" s="490" t="str">
        <f>IF(J137=0,"DELETE"," ")</f>
        <v>DELETE</v>
      </c>
    </row>
    <row r="138" spans="4:18" ht="36" customHeight="1" x14ac:dyDescent="0.45">
      <c r="D138" s="616"/>
      <c r="E138" s="616"/>
      <c r="F138" s="616"/>
      <c r="G138" s="616"/>
      <c r="H138" s="616"/>
      <c r="I138" s="616"/>
      <c r="J138" s="621">
        <f>Criteria!E72</f>
        <v>0</v>
      </c>
      <c r="K138" s="616"/>
      <c r="L138" s="616"/>
      <c r="M138" s="617"/>
      <c r="N138" s="617"/>
      <c r="O138" s="617"/>
      <c r="P138" s="617"/>
      <c r="Q138" s="616"/>
      <c r="R138" s="490" t="str">
        <f>IF(J138=0,"DELETE"," ")</f>
        <v>DELETE</v>
      </c>
    </row>
    <row r="139" spans="4:18" ht="36" customHeight="1" x14ac:dyDescent="0.45">
      <c r="D139" s="616"/>
      <c r="E139" s="616"/>
      <c r="F139" s="616"/>
      <c r="G139" s="616"/>
      <c r="H139" s="616"/>
      <c r="I139" s="616"/>
      <c r="J139" s="621">
        <f>Criteria!E73</f>
        <v>0</v>
      </c>
      <c r="K139" s="616"/>
      <c r="L139" s="616"/>
      <c r="M139" s="617"/>
      <c r="N139" s="617"/>
      <c r="O139" s="617"/>
      <c r="P139" s="617"/>
      <c r="Q139" s="616"/>
      <c r="R139" s="490" t="str">
        <f>IF(J139=0,"DELETE"," ")</f>
        <v>DELETE</v>
      </c>
    </row>
    <row r="140" spans="4:18" ht="36" customHeight="1" x14ac:dyDescent="0.45">
      <c r="D140" s="616"/>
      <c r="E140" s="616"/>
      <c r="F140" s="616"/>
      <c r="G140" s="616"/>
      <c r="H140" s="616"/>
      <c r="I140" s="616"/>
      <c r="J140" s="621"/>
      <c r="K140" s="616"/>
      <c r="L140" s="616"/>
      <c r="M140" s="617"/>
      <c r="N140" s="617"/>
      <c r="O140" s="617"/>
      <c r="P140" s="617"/>
      <c r="Q140" s="616"/>
    </row>
    <row r="141" spans="4:18" ht="36" customHeight="1" x14ac:dyDescent="0.45">
      <c r="D141" s="616" t="s">
        <v>863</v>
      </c>
      <c r="E141" s="616"/>
      <c r="F141" s="616"/>
      <c r="G141" s="616"/>
      <c r="H141" s="616"/>
      <c r="I141" s="616"/>
      <c r="J141" s="621">
        <f>Criteria!E75</f>
        <v>0</v>
      </c>
      <c r="K141" s="616"/>
      <c r="L141" s="616"/>
      <c r="M141" s="617"/>
      <c r="N141" s="617"/>
      <c r="O141" s="617"/>
      <c r="P141" s="617"/>
      <c r="Q141" s="616"/>
      <c r="R141" s="490" t="str">
        <f t="shared" ref="R141:R143" si="1">IF(J141=0,"DELETE"," ")</f>
        <v>DELETE</v>
      </c>
    </row>
    <row r="142" spans="4:18" ht="36" customHeight="1" x14ac:dyDescent="0.45">
      <c r="D142" s="616"/>
      <c r="E142" s="616"/>
      <c r="F142" s="616"/>
      <c r="G142" s="616"/>
      <c r="H142" s="616"/>
      <c r="I142" s="616"/>
      <c r="J142" s="621">
        <f>Criteria!E76</f>
        <v>0</v>
      </c>
      <c r="K142" s="616"/>
      <c r="L142" s="616"/>
      <c r="M142" s="617"/>
      <c r="N142" s="617"/>
      <c r="O142" s="617"/>
      <c r="P142" s="617"/>
      <c r="Q142" s="616"/>
      <c r="R142" s="490" t="str">
        <f t="shared" si="1"/>
        <v>DELETE</v>
      </c>
    </row>
    <row r="143" spans="4:18" ht="36" customHeight="1" x14ac:dyDescent="0.45">
      <c r="D143" s="616"/>
      <c r="E143" s="616"/>
      <c r="F143" s="616"/>
      <c r="G143" s="616"/>
      <c r="H143" s="616"/>
      <c r="I143" s="616"/>
      <c r="J143" s="621">
        <f>Criteria!E77</f>
        <v>0</v>
      </c>
      <c r="K143" s="616"/>
      <c r="L143" s="616"/>
      <c r="M143" s="617"/>
      <c r="N143" s="617"/>
      <c r="O143" s="617"/>
      <c r="P143" s="617"/>
      <c r="Q143" s="616"/>
      <c r="R143" s="490" t="str">
        <f t="shared" si="1"/>
        <v>DELETE</v>
      </c>
    </row>
    <row r="144" spans="4:18" ht="36" customHeight="1" x14ac:dyDescent="0.45">
      <c r="D144" s="616"/>
      <c r="E144" s="616"/>
      <c r="F144" s="616"/>
      <c r="G144" s="616"/>
      <c r="H144" s="616"/>
      <c r="I144" s="616"/>
      <c r="J144" s="621"/>
      <c r="K144" s="616"/>
      <c r="L144" s="616"/>
      <c r="M144" s="617"/>
      <c r="N144" s="617"/>
      <c r="O144" s="617"/>
      <c r="P144" s="617"/>
      <c r="Q144" s="616"/>
    </row>
    <row r="145" spans="4:18" ht="36" customHeight="1" x14ac:dyDescent="0.45">
      <c r="D145" s="616" t="s">
        <v>887</v>
      </c>
      <c r="E145" s="616"/>
      <c r="F145" s="616"/>
      <c r="G145" s="616"/>
      <c r="H145" s="616"/>
      <c r="I145" s="616"/>
      <c r="J145" s="621" t="str">
        <f>Criteria!E18</f>
        <v>2000/123456/07</v>
      </c>
      <c r="K145" s="616"/>
      <c r="L145" s="616"/>
      <c r="M145" s="617"/>
      <c r="N145" s="617"/>
      <c r="O145" s="617"/>
      <c r="P145" s="617"/>
      <c r="Q145" s="616"/>
    </row>
    <row r="146" spans="4:18" ht="36" customHeight="1" x14ac:dyDescent="0.45">
      <c r="D146" s="616"/>
      <c r="E146" s="616"/>
      <c r="F146" s="616"/>
      <c r="G146" s="616"/>
      <c r="H146" s="616"/>
      <c r="I146" s="616"/>
      <c r="J146" s="621"/>
      <c r="K146" s="616"/>
      <c r="L146" s="616"/>
      <c r="M146" s="617"/>
      <c r="N146" s="617"/>
      <c r="O146" s="617"/>
      <c r="P146" s="617"/>
      <c r="Q146" s="616"/>
    </row>
    <row r="147" spans="4:18" ht="36" customHeight="1" x14ac:dyDescent="0.45">
      <c r="D147" s="616" t="s">
        <v>747</v>
      </c>
      <c r="E147" s="616"/>
      <c r="F147" s="616"/>
      <c r="G147" s="616"/>
      <c r="H147" s="616"/>
      <c r="I147" s="616"/>
      <c r="J147" s="622"/>
      <c r="K147" s="616"/>
      <c r="L147" s="616"/>
      <c r="M147" s="617"/>
      <c r="N147" s="617"/>
      <c r="O147" s="617"/>
      <c r="P147" s="617"/>
      <c r="Q147" s="616"/>
    </row>
    <row r="148" spans="4:18" ht="36" customHeight="1" x14ac:dyDescent="0.45">
      <c r="D148" s="616"/>
      <c r="E148" s="616"/>
      <c r="F148" s="616"/>
      <c r="G148" s="616"/>
      <c r="H148" s="616"/>
      <c r="I148" s="616"/>
      <c r="J148" s="621"/>
      <c r="K148" s="616"/>
      <c r="L148" s="616"/>
      <c r="M148" s="617"/>
      <c r="N148" s="617"/>
      <c r="O148" s="617"/>
      <c r="P148" s="617"/>
      <c r="Q148" s="616"/>
    </row>
    <row r="149" spans="4:18" ht="36" customHeight="1" x14ac:dyDescent="0.45">
      <c r="D149" s="616"/>
      <c r="E149" s="616"/>
      <c r="F149" s="616"/>
      <c r="G149" s="616"/>
      <c r="H149" s="616"/>
      <c r="I149" s="616"/>
      <c r="J149" s="621"/>
      <c r="K149" s="616"/>
      <c r="L149" s="616"/>
      <c r="M149" s="617"/>
      <c r="N149" s="617"/>
      <c r="O149" s="617"/>
      <c r="P149" s="617"/>
      <c r="Q149" s="616"/>
    </row>
    <row r="150" spans="4:18" ht="36" customHeight="1" x14ac:dyDescent="0.45">
      <c r="D150" s="616"/>
      <c r="E150" s="616"/>
      <c r="F150" s="616"/>
      <c r="G150" s="616"/>
      <c r="H150" s="616"/>
      <c r="I150" s="616"/>
      <c r="J150" s="621"/>
      <c r="K150" s="616"/>
      <c r="L150" s="616"/>
      <c r="M150" s="617"/>
      <c r="N150" s="617"/>
      <c r="O150" s="617"/>
      <c r="P150" s="617"/>
      <c r="Q150" s="616"/>
    </row>
    <row r="151" spans="4:18" ht="36" customHeight="1" x14ac:dyDescent="0.45">
      <c r="D151" s="616"/>
      <c r="E151" s="616"/>
      <c r="F151" s="616"/>
      <c r="G151" s="616"/>
      <c r="H151" s="616"/>
      <c r="I151" s="616"/>
      <c r="J151" s="621"/>
      <c r="K151" s="616"/>
      <c r="L151" s="616"/>
      <c r="M151" s="617"/>
      <c r="N151" s="617"/>
      <c r="O151" s="617"/>
      <c r="P151" s="617"/>
      <c r="Q151" s="616"/>
    </row>
    <row r="152" spans="4:18" ht="36" customHeight="1" x14ac:dyDescent="0.45">
      <c r="D152" s="616"/>
      <c r="E152" s="616"/>
      <c r="F152" s="616"/>
      <c r="G152" s="616"/>
      <c r="H152" s="616"/>
      <c r="I152" s="616"/>
      <c r="J152" s="621"/>
      <c r="K152" s="616"/>
      <c r="L152" s="616"/>
      <c r="M152" s="617"/>
      <c r="N152" s="617"/>
      <c r="O152" s="617"/>
      <c r="P152" s="617"/>
      <c r="Q152" s="616"/>
    </row>
    <row r="153" spans="4:18" ht="36" customHeight="1" x14ac:dyDescent="0.45">
      <c r="D153" s="616"/>
      <c r="E153" s="616"/>
      <c r="F153" s="616"/>
      <c r="G153" s="616"/>
      <c r="H153" s="616"/>
      <c r="I153" s="616"/>
      <c r="J153" s="621"/>
      <c r="K153" s="616"/>
      <c r="L153" s="616"/>
      <c r="M153" s="617"/>
      <c r="N153" s="617"/>
      <c r="O153" s="617"/>
      <c r="P153" s="617"/>
      <c r="Q153" s="616"/>
    </row>
    <row r="154" spans="4:18" ht="36" customHeight="1" x14ac:dyDescent="0.45">
      <c r="D154" s="616"/>
      <c r="E154" s="616"/>
      <c r="F154" s="616"/>
      <c r="G154" s="616"/>
      <c r="H154" s="616"/>
      <c r="I154" s="616"/>
      <c r="J154" s="621"/>
      <c r="K154" s="616"/>
      <c r="L154" s="616"/>
      <c r="M154" s="617"/>
      <c r="N154" s="617"/>
      <c r="O154" s="617"/>
      <c r="P154" s="617"/>
      <c r="Q154" s="616"/>
    </row>
    <row r="155" spans="4:18" ht="36" customHeight="1" x14ac:dyDescent="0.5">
      <c r="D155" s="520"/>
      <c r="E155" s="520"/>
      <c r="F155" s="520"/>
      <c r="G155" s="520"/>
      <c r="H155" s="520"/>
      <c r="I155" s="520"/>
      <c r="J155" s="520"/>
      <c r="K155" s="520"/>
      <c r="L155" s="520"/>
      <c r="M155" s="576"/>
      <c r="N155" s="576"/>
      <c r="O155" s="454" t="s">
        <v>112</v>
      </c>
      <c r="P155" s="454"/>
      <c r="Q155" s="450">
        <f>MAX($Q$103:Q154)+1</f>
        <v>2</v>
      </c>
    </row>
    <row r="156" spans="4:18" ht="36" customHeight="1" x14ac:dyDescent="0.45">
      <c r="D156" s="615" t="str">
        <f>Criteria!E9</f>
        <v>ABC COMPANY (PROPRIETARY) LIMITED</v>
      </c>
      <c r="E156" s="616"/>
      <c r="F156" s="616"/>
      <c r="G156" s="616"/>
      <c r="H156" s="616"/>
      <c r="I156" s="616"/>
      <c r="J156" s="616"/>
      <c r="K156" s="616"/>
      <c r="L156" s="616"/>
      <c r="M156" s="617"/>
      <c r="N156" s="617"/>
      <c r="O156" s="617"/>
      <c r="P156" s="617"/>
      <c r="Q156" s="616"/>
    </row>
    <row r="157" spans="4:18" ht="36" customHeight="1" x14ac:dyDescent="0.45">
      <c r="D157" s="615" t="str">
        <f>Criteria!E10</f>
        <v>T/A SEAFRONT HOTEL, ABC RESTAURANT AND RENTAL PROPERTIES</v>
      </c>
      <c r="E157" s="616"/>
      <c r="F157" s="616"/>
      <c r="G157" s="616"/>
      <c r="H157" s="616"/>
      <c r="I157" s="616"/>
      <c r="J157" s="616"/>
      <c r="K157" s="616"/>
      <c r="L157" s="616"/>
      <c r="M157" s="617"/>
      <c r="N157" s="617"/>
      <c r="O157" s="617"/>
      <c r="P157" s="617"/>
      <c r="Q157" s="616"/>
      <c r="R157" s="490" t="str">
        <f>IF(D157=0,"DELETE"," ")</f>
        <v xml:space="preserve"> </v>
      </c>
    </row>
    <row r="158" spans="4:18" ht="36" customHeight="1" x14ac:dyDescent="0.45">
      <c r="D158" s="616"/>
      <c r="E158" s="616"/>
      <c r="F158" s="616"/>
      <c r="G158" s="616"/>
      <c r="H158" s="616"/>
      <c r="I158" s="616"/>
      <c r="J158" s="616"/>
      <c r="K158" s="616"/>
      <c r="L158" s="616"/>
      <c r="M158" s="617"/>
      <c r="N158" s="617"/>
      <c r="O158" s="617"/>
      <c r="P158" s="617"/>
      <c r="Q158" s="616"/>
    </row>
    <row r="159" spans="4:18" ht="36" customHeight="1" x14ac:dyDescent="0.45">
      <c r="D159" s="615" t="str">
        <f>IF(MAX(Criteria!I41:I45)&gt;1,"DIRECTORS' RESPONSIBILITY STATEMENT AND APPROVAL","DIRECTOR'S RESPONSIBILITY STATEMENT AND APPROVAL")</f>
        <v>DIRECTORS' RESPONSIBILITY STATEMENT AND APPROVAL</v>
      </c>
      <c r="E159" s="616"/>
      <c r="F159" s="616"/>
      <c r="G159" s="616"/>
      <c r="H159" s="616"/>
      <c r="I159" s="616"/>
      <c r="J159" s="616"/>
      <c r="K159" s="616"/>
      <c r="L159" s="616"/>
      <c r="M159" s="617"/>
      <c r="N159" s="617"/>
      <c r="O159" s="617"/>
      <c r="P159" s="617"/>
      <c r="Q159" s="616"/>
    </row>
    <row r="160" spans="4:18" ht="36" customHeight="1" x14ac:dyDescent="0.45">
      <c r="D160" s="623"/>
      <c r="E160" s="623"/>
      <c r="F160" s="623"/>
      <c r="G160" s="623"/>
      <c r="H160" s="623"/>
      <c r="I160" s="623"/>
      <c r="J160" s="623"/>
      <c r="K160" s="623"/>
      <c r="L160" s="623"/>
      <c r="M160" s="624"/>
      <c r="N160" s="624"/>
      <c r="O160" s="625"/>
      <c r="P160" s="625"/>
      <c r="Q160" s="623"/>
    </row>
    <row r="161" spans="4:17" ht="36" customHeight="1" x14ac:dyDescent="0.45">
      <c r="D161" s="616"/>
      <c r="E161" s="616"/>
      <c r="F161" s="616"/>
      <c r="G161" s="616"/>
      <c r="H161" s="616"/>
      <c r="I161" s="616"/>
      <c r="J161" s="616"/>
      <c r="K161" s="616"/>
      <c r="L161" s="616"/>
      <c r="M161" s="617"/>
      <c r="N161" s="617"/>
      <c r="O161" s="617"/>
      <c r="P161" s="617"/>
      <c r="Q161" s="616"/>
    </row>
    <row r="162" spans="4:17" ht="36" customHeight="1" x14ac:dyDescent="0.45">
      <c r="D162" s="615" t="str">
        <f>IF(MAX(Criteria!I41:I45)&gt;1,"Directors' responsibility statement","Director's responsibility statement")</f>
        <v>Directors' responsibility statement</v>
      </c>
      <c r="E162" s="616"/>
      <c r="F162" s="616"/>
      <c r="G162" s="616"/>
      <c r="H162" s="616"/>
      <c r="I162" s="616"/>
      <c r="J162" s="616"/>
      <c r="K162" s="616"/>
      <c r="L162" s="616"/>
      <c r="M162" s="617"/>
      <c r="N162" s="617"/>
      <c r="O162" s="617"/>
      <c r="P162" s="617"/>
      <c r="Q162" s="616"/>
    </row>
    <row r="163" spans="4:17" ht="36" customHeight="1" x14ac:dyDescent="0.45">
      <c r="D163" s="616"/>
      <c r="E163" s="616"/>
      <c r="F163" s="616"/>
      <c r="G163" s="616"/>
      <c r="H163" s="616"/>
      <c r="I163" s="616"/>
      <c r="J163" s="616"/>
      <c r="K163" s="616"/>
      <c r="L163" s="616"/>
      <c r="M163" s="617"/>
      <c r="N163" s="617"/>
      <c r="O163" s="617"/>
      <c r="P163" s="617"/>
      <c r="Q163" s="616"/>
    </row>
    <row r="164" spans="4:17" ht="36" customHeight="1" x14ac:dyDescent="0.45">
      <c r="D164" s="616" t="str">
        <f>CONCATENATE("The ",IF(MAX(Criteria!I41:I45)&gt;1,"directors have","director has")," the pleasure of presenting the annual Financial Statements for the")</f>
        <v>The directors have the pleasure of presenting the annual Financial Statements for the</v>
      </c>
      <c r="E164" s="616"/>
      <c r="F164" s="616"/>
      <c r="G164" s="616"/>
      <c r="H164" s="616"/>
      <c r="I164" s="616"/>
      <c r="J164" s="616"/>
      <c r="K164" s="616"/>
      <c r="L164" s="616"/>
      <c r="M164" s="617"/>
      <c r="N164" s="617"/>
      <c r="O164" s="617"/>
      <c r="P164" s="617"/>
      <c r="Q164" s="616"/>
    </row>
    <row r="165" spans="4:17" ht="36" customHeight="1" x14ac:dyDescent="0.45">
      <c r="D165" s="616" t="str">
        <f>CONCATENATE("year ended ",Criteria!G24,". The ",IF(MAX(Criteria!I41:I45)&gt;1,"directors are","director is")," responsible for the preparation and")</f>
        <v>year ended 28 February 2026. The directors are responsible for the preparation and</v>
      </c>
      <c r="E165" s="616"/>
      <c r="F165" s="616"/>
      <c r="G165" s="616"/>
      <c r="H165" s="616"/>
      <c r="I165" s="616"/>
      <c r="J165" s="616"/>
      <c r="K165" s="616"/>
      <c r="L165" s="616"/>
      <c r="M165" s="617"/>
      <c r="N165" s="617"/>
      <c r="O165" s="617"/>
      <c r="P165" s="617"/>
      <c r="Q165" s="616"/>
    </row>
    <row r="166" spans="4:17" ht="36" customHeight="1" x14ac:dyDescent="0.45">
      <c r="D166" s="616" t="s">
        <v>1598</v>
      </c>
      <c r="E166" s="616"/>
      <c r="F166" s="616"/>
      <c r="G166" s="616"/>
      <c r="H166" s="616"/>
      <c r="I166" s="616"/>
      <c r="J166" s="616"/>
      <c r="K166" s="616"/>
      <c r="L166" s="616"/>
      <c r="M166" s="617"/>
      <c r="N166" s="617"/>
      <c r="O166" s="617"/>
      <c r="P166" s="617"/>
      <c r="Q166" s="616"/>
    </row>
    <row r="167" spans="4:17" ht="36" customHeight="1" x14ac:dyDescent="0.45">
      <c r="D167" s="616" t="s">
        <v>1599</v>
      </c>
      <c r="E167" s="616"/>
      <c r="F167" s="616"/>
      <c r="G167" s="616"/>
      <c r="H167" s="616"/>
      <c r="I167" s="616"/>
      <c r="J167" s="616"/>
      <c r="K167" s="616"/>
      <c r="L167" s="616"/>
      <c r="M167" s="617"/>
      <c r="N167" s="617"/>
      <c r="O167" s="617"/>
      <c r="P167" s="617"/>
      <c r="Q167" s="616"/>
    </row>
    <row r="168" spans="4:17" ht="36" customHeight="1" x14ac:dyDescent="0.45">
      <c r="D168" s="616" t="s">
        <v>1600</v>
      </c>
      <c r="E168" s="616"/>
      <c r="F168" s="616"/>
      <c r="G168" s="616"/>
      <c r="H168" s="616"/>
      <c r="I168" s="616"/>
      <c r="J168" s="616"/>
      <c r="K168" s="616"/>
      <c r="L168" s="616"/>
      <c r="M168" s="617"/>
      <c r="N168" s="617"/>
      <c r="O168" s="617"/>
      <c r="P168" s="617"/>
      <c r="Q168" s="616"/>
    </row>
    <row r="169" spans="4:17" ht="36" customHeight="1" x14ac:dyDescent="0.45">
      <c r="D169" s="616" t="s">
        <v>1601</v>
      </c>
      <c r="E169" s="616"/>
      <c r="F169" s="616"/>
      <c r="G169" s="616"/>
      <c r="H169" s="616"/>
      <c r="I169" s="616"/>
      <c r="J169" s="616"/>
      <c r="K169" s="616"/>
      <c r="L169" s="616"/>
      <c r="M169" s="617"/>
      <c r="N169" s="617"/>
      <c r="O169" s="617"/>
      <c r="P169" s="617"/>
      <c r="Q169" s="616"/>
    </row>
    <row r="170" spans="4:17" ht="36" customHeight="1" x14ac:dyDescent="0.45">
      <c r="D170" s="616" t="s">
        <v>1602</v>
      </c>
      <c r="E170" s="616"/>
      <c r="F170" s="616"/>
      <c r="G170" s="616"/>
      <c r="H170" s="616"/>
      <c r="I170" s="616"/>
      <c r="J170" s="616"/>
      <c r="K170" s="616"/>
      <c r="L170" s="616"/>
      <c r="M170" s="617"/>
      <c r="N170" s="617"/>
      <c r="O170" s="617"/>
      <c r="P170" s="617"/>
      <c r="Q170" s="616"/>
    </row>
    <row r="171" spans="4:17" ht="36" customHeight="1" x14ac:dyDescent="0.45">
      <c r="D171" s="616" t="str">
        <f>CONCATENATE(Criteria!E11,".")</f>
        <v>ABC Company (Pty) Ltd.</v>
      </c>
      <c r="E171" s="616"/>
      <c r="F171" s="616"/>
      <c r="G171" s="616"/>
      <c r="H171" s="616"/>
      <c r="I171" s="616"/>
      <c r="J171" s="616"/>
      <c r="K171" s="616"/>
      <c r="L171" s="616"/>
      <c r="M171" s="617"/>
      <c r="N171" s="617"/>
      <c r="O171" s="617"/>
      <c r="P171" s="617"/>
      <c r="Q171" s="616"/>
    </row>
    <row r="172" spans="4:17" ht="36" customHeight="1" x14ac:dyDescent="0.45">
      <c r="D172" s="616"/>
      <c r="E172" s="616"/>
      <c r="F172" s="616"/>
      <c r="G172" s="616"/>
      <c r="H172" s="616"/>
      <c r="I172" s="616"/>
      <c r="J172" s="616"/>
      <c r="K172" s="616"/>
      <c r="L172" s="616"/>
      <c r="M172" s="617"/>
      <c r="N172" s="617"/>
      <c r="O172" s="617"/>
      <c r="P172" s="617"/>
      <c r="Q172" s="616"/>
    </row>
    <row r="173" spans="4:17" ht="36" customHeight="1" x14ac:dyDescent="0.45">
      <c r="D173" s="616" t="str">
        <f>CONCATENATE("The ",IF(MAX(Criteria!I41:I45)&gt;1,"directors","director")," assessed the effectiveness of the system of internal controls and risk")</f>
        <v>The directors assessed the effectiveness of the system of internal controls and risk</v>
      </c>
      <c r="E173" s="616"/>
      <c r="F173" s="616"/>
      <c r="G173" s="616"/>
      <c r="H173" s="616"/>
      <c r="I173" s="616"/>
      <c r="J173" s="616"/>
      <c r="K173" s="616"/>
      <c r="L173" s="616"/>
      <c r="M173" s="617"/>
      <c r="N173" s="617"/>
      <c r="O173" s="617"/>
      <c r="P173" s="617"/>
      <c r="Q173" s="616"/>
    </row>
    <row r="174" spans="4:17" ht="36" customHeight="1" x14ac:dyDescent="0.45">
      <c r="D174" s="616" t="s">
        <v>1542</v>
      </c>
      <c r="E174" s="616"/>
      <c r="F174" s="616"/>
      <c r="G174" s="616"/>
      <c r="H174" s="616"/>
      <c r="I174" s="616"/>
      <c r="J174" s="616"/>
      <c r="K174" s="616"/>
      <c r="L174" s="616"/>
      <c r="M174" s="617"/>
      <c r="N174" s="617"/>
      <c r="O174" s="617"/>
      <c r="P174" s="617"/>
      <c r="Q174" s="616"/>
    </row>
    <row r="175" spans="4:17" ht="36" customHeight="1" x14ac:dyDescent="0.45">
      <c r="D175" s="616" t="str">
        <f>CONCATENATE("information and reports from management. The ",IF(MAX(Criteria!I41:I45)&gt;1,"directors are","director is")," satisfied that adequate")</f>
        <v>information and reports from management. The directors are satisfied that adequate</v>
      </c>
      <c r="E175" s="616"/>
      <c r="F175" s="616"/>
      <c r="G175" s="616"/>
      <c r="H175" s="616"/>
      <c r="I175" s="616"/>
      <c r="J175" s="616"/>
      <c r="K175" s="616"/>
      <c r="L175" s="616"/>
      <c r="M175" s="617"/>
      <c r="N175" s="617"/>
      <c r="O175" s="617"/>
      <c r="P175" s="617"/>
      <c r="Q175" s="616"/>
    </row>
    <row r="176" spans="4:17" ht="36" customHeight="1" x14ac:dyDescent="0.45">
      <c r="D176" s="616" t="s">
        <v>1543</v>
      </c>
      <c r="E176" s="616"/>
      <c r="F176" s="616"/>
      <c r="G176" s="616"/>
      <c r="H176" s="616"/>
      <c r="I176" s="616"/>
      <c r="J176" s="616"/>
      <c r="K176" s="616"/>
      <c r="L176" s="616"/>
      <c r="M176" s="617"/>
      <c r="N176" s="617"/>
      <c r="O176" s="617"/>
      <c r="P176" s="617"/>
      <c r="Q176" s="616"/>
    </row>
    <row r="177" spans="4:17" ht="36" customHeight="1" x14ac:dyDescent="0.45">
      <c r="D177" s="616" t="s">
        <v>1605</v>
      </c>
      <c r="E177" s="616"/>
      <c r="F177" s="616"/>
      <c r="G177" s="616"/>
      <c r="H177" s="616"/>
      <c r="I177" s="616"/>
      <c r="J177" s="616"/>
      <c r="K177" s="616"/>
      <c r="L177" s="616"/>
      <c r="M177" s="617"/>
      <c r="N177" s="617"/>
      <c r="O177" s="617"/>
      <c r="P177" s="617"/>
      <c r="Q177" s="616"/>
    </row>
    <row r="178" spans="4:17" ht="36" customHeight="1" x14ac:dyDescent="0.45">
      <c r="D178" s="616" t="s">
        <v>1606</v>
      </c>
      <c r="E178" s="616"/>
      <c r="F178" s="616"/>
      <c r="G178" s="616"/>
      <c r="H178" s="616"/>
      <c r="I178" s="616"/>
      <c r="J178" s="616"/>
      <c r="K178" s="616"/>
      <c r="L178" s="616"/>
      <c r="M178" s="617"/>
      <c r="N178" s="617"/>
      <c r="O178" s="617"/>
      <c r="P178" s="617"/>
      <c r="Q178" s="616"/>
    </row>
    <row r="179" spans="4:17" ht="36" customHeight="1" x14ac:dyDescent="0.45">
      <c r="D179" s="616" t="s">
        <v>1608</v>
      </c>
      <c r="E179" s="616"/>
      <c r="F179" s="616"/>
      <c r="G179" s="616"/>
      <c r="H179" s="616"/>
      <c r="I179" s="616"/>
      <c r="J179" s="616"/>
      <c r="K179" s="616"/>
      <c r="L179" s="616"/>
      <c r="M179" s="617"/>
      <c r="N179" s="617"/>
      <c r="O179" s="617"/>
      <c r="P179" s="617"/>
      <c r="Q179" s="616"/>
    </row>
    <row r="180" spans="4:17" ht="36" customHeight="1" x14ac:dyDescent="0.45">
      <c r="D180" s="616" t="s">
        <v>1607</v>
      </c>
      <c r="E180" s="616"/>
      <c r="F180" s="616"/>
      <c r="G180" s="616"/>
      <c r="H180" s="616"/>
      <c r="I180" s="616"/>
      <c r="J180" s="616"/>
      <c r="K180" s="616"/>
      <c r="L180" s="616"/>
      <c r="M180" s="617"/>
      <c r="N180" s="617"/>
      <c r="O180" s="617"/>
      <c r="P180" s="617"/>
      <c r="Q180" s="616"/>
    </row>
    <row r="181" spans="4:17" ht="36" customHeight="1" x14ac:dyDescent="0.45">
      <c r="D181" s="616"/>
      <c r="E181" s="616"/>
      <c r="F181" s="616"/>
      <c r="G181" s="616"/>
      <c r="H181" s="616"/>
      <c r="I181" s="616"/>
      <c r="J181" s="616"/>
      <c r="K181" s="616"/>
      <c r="L181" s="616"/>
      <c r="M181" s="617"/>
      <c r="N181" s="617"/>
      <c r="O181" s="617"/>
      <c r="P181" s="617"/>
      <c r="Q181" s="616"/>
    </row>
    <row r="182" spans="4:17" ht="36" customHeight="1" x14ac:dyDescent="0.45">
      <c r="D182" s="616" t="str">
        <f>CONCATENATE("The ",IF(MAX(Criteria!I41:I45)&gt;1,"directors have","director has")," reviewed the appropriateness of the accounting policies and")</f>
        <v>The directors have reviewed the appropriateness of the accounting policies and</v>
      </c>
      <c r="E182" s="616"/>
      <c r="F182" s="616"/>
      <c r="G182" s="616"/>
      <c r="H182" s="616"/>
      <c r="I182" s="616"/>
      <c r="J182" s="616"/>
      <c r="K182" s="616"/>
      <c r="L182" s="616"/>
      <c r="M182" s="617"/>
      <c r="N182" s="617"/>
      <c r="O182" s="617"/>
      <c r="P182" s="617"/>
      <c r="Q182" s="616"/>
    </row>
    <row r="183" spans="4:17" ht="36" customHeight="1" x14ac:dyDescent="0.45">
      <c r="D183" s="616" t="str">
        <f>CONCATENATE("concluded that judgements and estimates are prudent. The ",IF(MAX(Criteria!I41:I45)&gt;1,"directors are","director is")," of the opinion")</f>
        <v>concluded that judgements and estimates are prudent. The directors are of the opinion</v>
      </c>
      <c r="E183" s="616"/>
      <c r="F183" s="616"/>
      <c r="G183" s="616"/>
      <c r="H183" s="616"/>
      <c r="I183" s="616"/>
      <c r="J183" s="616"/>
      <c r="K183" s="616"/>
      <c r="L183" s="616"/>
      <c r="M183" s="617"/>
      <c r="N183" s="617"/>
      <c r="O183" s="617"/>
      <c r="P183" s="617"/>
      <c r="Q183" s="616"/>
    </row>
    <row r="184" spans="4:17" ht="36" customHeight="1" x14ac:dyDescent="0.45">
      <c r="D184" s="616" t="s">
        <v>1610</v>
      </c>
      <c r="E184" s="616"/>
      <c r="F184" s="616"/>
      <c r="G184" s="616"/>
      <c r="H184" s="616"/>
      <c r="I184" s="616"/>
      <c r="J184" s="616"/>
      <c r="K184" s="616"/>
      <c r="L184" s="616"/>
      <c r="M184" s="617"/>
      <c r="N184" s="617"/>
      <c r="O184" s="617"/>
      <c r="P184" s="617"/>
      <c r="Q184" s="616"/>
    </row>
    <row r="185" spans="4:17" ht="36" customHeight="1" x14ac:dyDescent="0.45">
      <c r="D185" s="616" t="str">
        <f>CONCATENATE("affairs and business of the company as at ",Criteria!G24," and believe that the")</f>
        <v>affairs and business of the company as at 28 February 2026 and believe that the</v>
      </c>
      <c r="E185" s="616"/>
      <c r="F185" s="616"/>
      <c r="G185" s="616"/>
      <c r="H185" s="616"/>
      <c r="I185" s="616"/>
      <c r="J185" s="616"/>
      <c r="K185" s="616"/>
      <c r="L185" s="616"/>
      <c r="M185" s="617"/>
      <c r="N185" s="617"/>
      <c r="O185" s="617"/>
      <c r="P185" s="617"/>
      <c r="Q185" s="616"/>
    </row>
    <row r="186" spans="4:17" ht="36" customHeight="1" x14ac:dyDescent="0.45">
      <c r="D186" s="616" t="s">
        <v>1611</v>
      </c>
      <c r="E186" s="616"/>
      <c r="F186" s="616"/>
      <c r="G186" s="616"/>
      <c r="H186" s="616"/>
      <c r="I186" s="616"/>
      <c r="J186" s="616"/>
      <c r="K186" s="616"/>
      <c r="L186" s="616"/>
      <c r="M186" s="617"/>
      <c r="N186" s="617"/>
      <c r="O186" s="617"/>
      <c r="P186" s="617"/>
      <c r="Q186" s="616"/>
    </row>
    <row r="187" spans="4:17" ht="36" customHeight="1" x14ac:dyDescent="0.45">
      <c r="D187" s="616" t="s">
        <v>1613</v>
      </c>
      <c r="E187" s="616"/>
      <c r="F187" s="616"/>
      <c r="G187" s="616"/>
      <c r="H187" s="616"/>
      <c r="I187" s="616"/>
      <c r="J187" s="616"/>
      <c r="K187" s="616"/>
      <c r="L187" s="616"/>
      <c r="M187" s="617"/>
      <c r="N187" s="617"/>
      <c r="O187" s="617"/>
      <c r="P187" s="617"/>
      <c r="Q187" s="616"/>
    </row>
    <row r="188" spans="4:17" ht="36" customHeight="1" x14ac:dyDescent="0.45">
      <c r="D188" s="616" t="s">
        <v>1612</v>
      </c>
      <c r="E188" s="616"/>
      <c r="F188" s="616"/>
      <c r="G188" s="616"/>
      <c r="H188" s="616"/>
      <c r="I188" s="616"/>
      <c r="J188" s="616"/>
      <c r="K188" s="616"/>
      <c r="L188" s="616"/>
      <c r="M188" s="617"/>
      <c r="N188" s="617"/>
      <c r="O188" s="617"/>
      <c r="P188" s="617"/>
      <c r="Q188" s="616"/>
    </row>
    <row r="189" spans="4:17" ht="36" customHeight="1" x14ac:dyDescent="0.45">
      <c r="D189" s="616"/>
      <c r="E189" s="616"/>
      <c r="F189" s="616"/>
      <c r="G189" s="616"/>
      <c r="H189" s="616"/>
      <c r="I189" s="616"/>
      <c r="J189" s="616"/>
      <c r="K189" s="616"/>
      <c r="L189" s="616"/>
      <c r="M189" s="617"/>
      <c r="N189" s="617"/>
      <c r="O189" s="617"/>
      <c r="P189" s="617"/>
      <c r="Q189" s="616"/>
    </row>
    <row r="190" spans="4:17" ht="36" customHeight="1" x14ac:dyDescent="0.45">
      <c r="D190" s="615" t="s">
        <v>1511</v>
      </c>
      <c r="E190" s="616"/>
      <c r="F190" s="616"/>
      <c r="G190" s="616"/>
      <c r="H190" s="616"/>
      <c r="I190" s="616"/>
      <c r="J190" s="616"/>
      <c r="K190" s="616"/>
      <c r="L190" s="616"/>
      <c r="M190" s="617"/>
      <c r="N190" s="617"/>
      <c r="O190" s="617"/>
      <c r="P190" s="617"/>
      <c r="Q190" s="616"/>
    </row>
    <row r="191" spans="4:17" ht="36" customHeight="1" x14ac:dyDescent="0.45">
      <c r="D191" s="616"/>
      <c r="E191" s="616"/>
      <c r="F191" s="616"/>
      <c r="G191" s="616"/>
      <c r="H191" s="616"/>
      <c r="I191" s="616"/>
      <c r="J191" s="616"/>
      <c r="K191" s="616"/>
      <c r="L191" s="616"/>
      <c r="M191" s="617"/>
      <c r="N191" s="617"/>
      <c r="O191" s="617"/>
      <c r="P191" s="617"/>
      <c r="Q191" s="616"/>
    </row>
    <row r="192" spans="4:17" ht="36" customHeight="1" x14ac:dyDescent="0.45">
      <c r="D192" s="616" t="str">
        <f>CONCATENATE("The annual Financial Statements for the year ended ",Criteria!G24,", set out on")</f>
        <v>The annual Financial Statements for the year ended 28 February 2026, set out on</v>
      </c>
      <c r="E192" s="616"/>
      <c r="F192" s="616"/>
      <c r="G192" s="616"/>
      <c r="H192" s="616"/>
      <c r="I192" s="616"/>
      <c r="J192" s="616"/>
      <c r="K192" s="616"/>
      <c r="L192" s="616"/>
      <c r="M192" s="617"/>
      <c r="N192" s="617"/>
      <c r="O192" s="617"/>
      <c r="P192" s="617"/>
      <c r="Q192" s="616"/>
    </row>
    <row r="193" spans="1:18" ht="36" customHeight="1" x14ac:dyDescent="0.45">
      <c r="D193" s="616" t="str">
        <f>CONCATENATE("pages ",Q601," to ",MAX(Q601:Q2803),IF(MAX(Criteria!I41:I45)&gt;1,", were approved by the board of directors and signed on their behalf by:",", was approved by the director and signed accordingly:"))</f>
        <v>pages 13 to 74, were approved by the board of directors and signed on their behalf by:</v>
      </c>
      <c r="E193" s="616"/>
      <c r="F193" s="616"/>
      <c r="G193" s="616"/>
      <c r="H193" s="616"/>
      <c r="I193" s="616"/>
      <c r="J193" s="616"/>
      <c r="K193" s="616"/>
      <c r="L193" s="616"/>
      <c r="M193" s="617"/>
      <c r="N193" s="617"/>
      <c r="O193" s="617"/>
      <c r="P193" s="617"/>
      <c r="Q193" s="616"/>
    </row>
    <row r="194" spans="1:18" ht="36" customHeight="1" x14ac:dyDescent="0.45">
      <c r="D194" s="616"/>
      <c r="E194" s="616"/>
      <c r="F194" s="616"/>
      <c r="G194" s="616"/>
      <c r="H194" s="616"/>
      <c r="I194" s="616"/>
      <c r="J194" s="616"/>
      <c r="K194" s="616"/>
      <c r="L194" s="616"/>
      <c r="M194" s="617"/>
      <c r="N194" s="617"/>
      <c r="O194" s="617"/>
      <c r="P194" s="617"/>
      <c r="Q194" s="616"/>
    </row>
    <row r="195" spans="1:18" ht="36" customHeight="1" x14ac:dyDescent="0.45">
      <c r="D195" s="616"/>
      <c r="E195" s="616"/>
      <c r="F195" s="616"/>
      <c r="G195" s="616"/>
      <c r="H195" s="616"/>
      <c r="I195" s="616"/>
      <c r="J195" s="616"/>
      <c r="K195" s="616"/>
      <c r="L195" s="616"/>
      <c r="M195" s="617"/>
      <c r="N195" s="617"/>
      <c r="O195" s="617"/>
      <c r="P195" s="617"/>
      <c r="Q195" s="616"/>
    </row>
    <row r="196" spans="1:18" ht="36" customHeight="1" x14ac:dyDescent="0.45">
      <c r="D196" s="616"/>
      <c r="E196" s="616"/>
      <c r="F196" s="616"/>
      <c r="G196" s="616"/>
      <c r="H196" s="616"/>
      <c r="I196" s="616"/>
      <c r="J196" s="616"/>
      <c r="K196" s="616"/>
      <c r="L196" s="616"/>
      <c r="M196" s="617"/>
      <c r="N196" s="617"/>
      <c r="O196" s="617"/>
      <c r="P196" s="617"/>
      <c r="Q196" s="616"/>
    </row>
    <row r="197" spans="1:18" ht="36" customHeight="1" x14ac:dyDescent="0.45">
      <c r="D197" s="616"/>
      <c r="E197" s="616"/>
      <c r="F197" s="616"/>
      <c r="G197" s="616"/>
      <c r="H197" s="616"/>
      <c r="I197" s="616"/>
      <c r="J197" s="616"/>
      <c r="K197" s="616"/>
      <c r="L197" s="616"/>
      <c r="M197" s="617"/>
      <c r="N197" s="617"/>
      <c r="O197" s="617"/>
      <c r="P197" s="617"/>
      <c r="Q197" s="616"/>
    </row>
    <row r="198" spans="1:18" ht="36" customHeight="1" x14ac:dyDescent="0.45">
      <c r="D198" s="616" t="s">
        <v>167</v>
      </c>
      <c r="E198" s="616"/>
      <c r="F198" s="616"/>
      <c r="G198" s="616"/>
      <c r="H198" s="616"/>
      <c r="I198" s="616"/>
      <c r="J198" s="616"/>
      <c r="K198" s="616"/>
      <c r="L198" s="616"/>
      <c r="M198" s="617" t="str">
        <f>IF(Criteria!F42="Signature",D198," ")</f>
        <v>. . . . . . . . . . . . . . . . . . . . . . .</v>
      </c>
      <c r="N198" s="617"/>
      <c r="O198" s="617"/>
      <c r="P198" s="617"/>
      <c r="Q198" s="616"/>
    </row>
    <row r="199" spans="1:18" ht="36" customHeight="1" x14ac:dyDescent="0.45">
      <c r="D199" s="616" t="str">
        <f>Criteria!E41</f>
        <v>A Director</v>
      </c>
      <c r="E199" s="616"/>
      <c r="F199" s="616"/>
      <c r="G199" s="616"/>
      <c r="H199" s="616"/>
      <c r="I199" s="616"/>
      <c r="J199" s="616"/>
      <c r="K199" s="616"/>
      <c r="L199" s="616"/>
      <c r="M199" s="617" t="str">
        <f>IF(Criteria!F42="Signature",Criteria!E42," ")</f>
        <v>B Director</v>
      </c>
      <c r="N199" s="617"/>
      <c r="O199" s="617"/>
      <c r="P199" s="617"/>
      <c r="Q199" s="616"/>
    </row>
    <row r="200" spans="1:18" ht="36" customHeight="1" x14ac:dyDescent="0.45">
      <c r="D200" s="616"/>
      <c r="E200" s="616"/>
      <c r="F200" s="616"/>
      <c r="G200" s="616"/>
      <c r="H200" s="616"/>
      <c r="I200" s="616"/>
      <c r="J200" s="616"/>
      <c r="K200" s="616"/>
      <c r="L200" s="616"/>
      <c r="M200" s="617"/>
      <c r="N200" s="617"/>
      <c r="O200" s="617"/>
      <c r="P200" s="617"/>
      <c r="Q200" s="616"/>
    </row>
    <row r="201" spans="1:18" ht="36" customHeight="1" x14ac:dyDescent="0.45">
      <c r="D201" s="616" t="str">
        <f>Criteria!E32</f>
        <v>Johannesburg</v>
      </c>
      <c r="E201" s="616"/>
      <c r="F201" s="616"/>
      <c r="G201" s="616"/>
      <c r="H201" s="616" t="s">
        <v>117</v>
      </c>
      <c r="I201" s="616"/>
      <c r="J201" s="666"/>
      <c r="K201" s="666"/>
      <c r="L201" s="616"/>
      <c r="M201" s="617"/>
      <c r="N201" s="617"/>
      <c r="O201" s="617"/>
      <c r="P201" s="617"/>
      <c r="Q201" s="616"/>
    </row>
    <row r="202" spans="1:18" ht="21" customHeight="1" x14ac:dyDescent="0.45">
      <c r="D202" s="616"/>
      <c r="E202" s="616"/>
      <c r="F202" s="616"/>
      <c r="G202" s="616"/>
      <c r="H202" s="616"/>
      <c r="I202" s="616"/>
      <c r="J202" s="616" t="s">
        <v>983</v>
      </c>
      <c r="K202" s="616"/>
      <c r="L202" s="616"/>
      <c r="M202" s="617"/>
      <c r="N202" s="617"/>
      <c r="O202" s="617"/>
      <c r="P202" s="617"/>
      <c r="Q202" s="616"/>
    </row>
    <row r="203" spans="1:18" ht="36" customHeight="1" x14ac:dyDescent="0.45">
      <c r="D203" s="616"/>
      <c r="E203" s="616"/>
      <c r="F203" s="616"/>
      <c r="G203" s="616"/>
      <c r="H203" s="616"/>
      <c r="I203" s="616"/>
      <c r="J203" s="616"/>
      <c r="K203" s="616"/>
      <c r="L203" s="616"/>
      <c r="M203" s="617"/>
      <c r="N203" s="617"/>
      <c r="O203" s="617"/>
      <c r="P203" s="617"/>
      <c r="Q203" s="616"/>
    </row>
    <row r="204" spans="1:18" ht="36" customHeight="1" x14ac:dyDescent="0.45">
      <c r="O204" s="454" t="s">
        <v>112</v>
      </c>
      <c r="Q204" s="450">
        <f>MAX($Q$103:Q203)+1</f>
        <v>3</v>
      </c>
      <c r="R204" s="490" t="str">
        <f>IF(Criteria!E$29="Audit"," ","DELETE")</f>
        <v>DELETE</v>
      </c>
    </row>
    <row r="205" spans="1:18" ht="36" customHeight="1" x14ac:dyDescent="0.4">
      <c r="A205" s="616"/>
      <c r="B205" s="616"/>
      <c r="C205" s="616"/>
      <c r="D205" s="616"/>
      <c r="E205" s="616"/>
      <c r="F205" s="616"/>
      <c r="G205" s="616"/>
      <c r="H205" s="616"/>
      <c r="I205" s="616"/>
      <c r="J205" s="616"/>
      <c r="K205" s="616"/>
      <c r="L205" s="616"/>
      <c r="M205" s="617"/>
      <c r="N205" s="617"/>
      <c r="O205" s="617"/>
      <c r="P205" s="617"/>
      <c r="Q205" s="616"/>
      <c r="R205" s="490" t="str">
        <f>R$204</f>
        <v>DELETE</v>
      </c>
    </row>
    <row r="206" spans="1:18" ht="36" customHeight="1" x14ac:dyDescent="0.4">
      <c r="A206" s="616"/>
      <c r="B206" s="616"/>
      <c r="C206" s="616"/>
      <c r="D206" s="616"/>
      <c r="E206" s="616"/>
      <c r="F206" s="616"/>
      <c r="G206" s="616"/>
      <c r="H206" s="616"/>
      <c r="I206" s="616"/>
      <c r="J206" s="616"/>
      <c r="K206" s="616"/>
      <c r="L206" s="616"/>
      <c r="M206" s="617"/>
      <c r="N206" s="617"/>
      <c r="O206" s="617"/>
      <c r="P206" s="617"/>
      <c r="Q206" s="616"/>
      <c r="R206" s="490" t="str">
        <f t="shared" ref="R206:R250" si="2">R$204</f>
        <v>DELETE</v>
      </c>
    </row>
    <row r="207" spans="1:18" ht="36" customHeight="1" x14ac:dyDescent="0.4">
      <c r="A207" s="616"/>
      <c r="B207" s="616"/>
      <c r="C207" s="616"/>
      <c r="D207" s="616"/>
      <c r="E207" s="616"/>
      <c r="F207" s="616"/>
      <c r="G207" s="616"/>
      <c r="H207" s="616"/>
      <c r="I207" s="616"/>
      <c r="J207" s="616"/>
      <c r="K207" s="616"/>
      <c r="L207" s="616"/>
      <c r="M207" s="617"/>
      <c r="N207" s="617"/>
      <c r="O207" s="617"/>
      <c r="P207" s="617"/>
      <c r="Q207" s="616"/>
      <c r="R207" s="490" t="str">
        <f t="shared" si="2"/>
        <v>DELETE</v>
      </c>
    </row>
    <row r="208" spans="1:18" ht="36" customHeight="1" x14ac:dyDescent="0.4">
      <c r="A208" s="616"/>
      <c r="B208" s="616"/>
      <c r="C208" s="616"/>
      <c r="D208" s="616"/>
      <c r="E208" s="616"/>
      <c r="F208" s="616"/>
      <c r="G208" s="616"/>
      <c r="H208" s="616"/>
      <c r="I208" s="616"/>
      <c r="J208" s="616"/>
      <c r="K208" s="616"/>
      <c r="L208" s="616"/>
      <c r="M208" s="617"/>
      <c r="N208" s="617"/>
      <c r="O208" s="617"/>
      <c r="P208" s="617"/>
      <c r="Q208" s="616"/>
      <c r="R208" s="490" t="str">
        <f t="shared" si="2"/>
        <v>DELETE</v>
      </c>
    </row>
    <row r="209" spans="1:18" ht="36" customHeight="1" x14ac:dyDescent="0.4">
      <c r="A209" s="616"/>
      <c r="B209" s="616"/>
      <c r="C209" s="616"/>
      <c r="D209" s="616"/>
      <c r="E209" s="616"/>
      <c r="F209" s="616"/>
      <c r="G209" s="616"/>
      <c r="H209" s="616"/>
      <c r="I209" s="616"/>
      <c r="J209" s="616"/>
      <c r="K209" s="616"/>
      <c r="L209" s="616"/>
      <c r="M209" s="617"/>
      <c r="N209" s="617"/>
      <c r="O209" s="617"/>
      <c r="P209" s="617"/>
      <c r="Q209" s="616"/>
      <c r="R209" s="490" t="str">
        <f t="shared" si="2"/>
        <v>DELETE</v>
      </c>
    </row>
    <row r="210" spans="1:18" ht="36" customHeight="1" x14ac:dyDescent="0.4">
      <c r="A210" s="616"/>
      <c r="B210" s="616"/>
      <c r="C210" s="616"/>
      <c r="D210" s="616"/>
      <c r="E210" s="616"/>
      <c r="F210" s="616"/>
      <c r="G210" s="616"/>
      <c r="H210" s="616"/>
      <c r="I210" s="616"/>
      <c r="J210" s="616"/>
      <c r="K210" s="616"/>
      <c r="L210" s="616"/>
      <c r="M210" s="617"/>
      <c r="N210" s="617"/>
      <c r="O210" s="617"/>
      <c r="P210" s="617"/>
      <c r="Q210" s="616"/>
      <c r="R210" s="490" t="str">
        <f t="shared" si="2"/>
        <v>DELETE</v>
      </c>
    </row>
    <row r="211" spans="1:18" ht="36" customHeight="1" x14ac:dyDescent="0.4">
      <c r="A211" s="616"/>
      <c r="B211" s="616"/>
      <c r="C211" s="616"/>
      <c r="D211" s="616"/>
      <c r="E211" s="616"/>
      <c r="F211" s="616"/>
      <c r="G211" s="616"/>
      <c r="H211" s="616"/>
      <c r="I211" s="616"/>
      <c r="J211" s="616"/>
      <c r="K211" s="616"/>
      <c r="L211" s="616"/>
      <c r="M211" s="617"/>
      <c r="N211" s="617"/>
      <c r="O211" s="617"/>
      <c r="P211" s="617"/>
      <c r="Q211" s="616"/>
      <c r="R211" s="490" t="str">
        <f t="shared" si="2"/>
        <v>DELETE</v>
      </c>
    </row>
    <row r="212" spans="1:18" ht="36" customHeight="1" x14ac:dyDescent="0.4">
      <c r="A212" s="616"/>
      <c r="B212" s="616"/>
      <c r="C212" s="616"/>
      <c r="D212" s="616"/>
      <c r="E212" s="616"/>
      <c r="F212" s="616"/>
      <c r="G212" s="616"/>
      <c r="H212" s="616"/>
      <c r="I212" s="616"/>
      <c r="J212" s="616"/>
      <c r="K212" s="616"/>
      <c r="L212" s="616"/>
      <c r="M212" s="617"/>
      <c r="N212" s="617"/>
      <c r="O212" s="617"/>
      <c r="P212" s="617"/>
      <c r="Q212" s="616"/>
      <c r="R212" s="490" t="str">
        <f t="shared" si="2"/>
        <v>DELETE</v>
      </c>
    </row>
    <row r="213" spans="1:18" ht="36" customHeight="1" x14ac:dyDescent="0.4">
      <c r="A213" s="667" t="s">
        <v>1246</v>
      </c>
      <c r="B213" s="667"/>
      <c r="C213" s="667"/>
      <c r="D213" s="667"/>
      <c r="E213" s="667"/>
      <c r="F213" s="667"/>
      <c r="G213" s="667"/>
      <c r="H213" s="667"/>
      <c r="I213" s="667"/>
      <c r="J213" s="667"/>
      <c r="K213" s="667"/>
      <c r="L213" s="667"/>
      <c r="M213" s="667"/>
      <c r="N213" s="667"/>
      <c r="O213" s="667"/>
      <c r="P213" s="667"/>
      <c r="Q213" s="667"/>
      <c r="R213" s="490" t="str">
        <f t="shared" si="2"/>
        <v>DELETE</v>
      </c>
    </row>
    <row r="214" spans="1:18" ht="36" customHeight="1" x14ac:dyDescent="0.4">
      <c r="A214" s="616"/>
      <c r="B214" s="616"/>
      <c r="C214" s="616"/>
      <c r="D214" s="616"/>
      <c r="E214" s="616"/>
      <c r="F214" s="616"/>
      <c r="G214" s="616"/>
      <c r="H214" s="616"/>
      <c r="I214" s="616"/>
      <c r="J214" s="616"/>
      <c r="K214" s="616"/>
      <c r="L214" s="616"/>
      <c r="M214" s="617"/>
      <c r="N214" s="617"/>
      <c r="O214" s="617"/>
      <c r="P214" s="617"/>
      <c r="Q214" s="616"/>
      <c r="R214" s="490" t="str">
        <f t="shared" si="2"/>
        <v>DELETE</v>
      </c>
    </row>
    <row r="215" spans="1:18" ht="36" customHeight="1" x14ac:dyDescent="0.4">
      <c r="A215" s="616"/>
      <c r="B215" s="616"/>
      <c r="C215" s="616"/>
      <c r="D215" s="615" t="str">
        <f>CONCATENATE("TO THE ",IF(MAX(Criteria!H54:H58)=1,"SHAREHOLDER OF ","SHAREHOLDERS OF "))</f>
        <v xml:space="preserve">TO THE SHAREHOLDERS OF </v>
      </c>
      <c r="E215" s="616"/>
      <c r="F215" s="616"/>
      <c r="G215" s="616"/>
      <c r="H215" s="616"/>
      <c r="I215" s="616"/>
      <c r="J215" s="616"/>
      <c r="K215" s="616"/>
      <c r="L215" s="616"/>
      <c r="M215" s="617"/>
      <c r="N215" s="617"/>
      <c r="O215" s="617"/>
      <c r="P215" s="617"/>
      <c r="Q215" s="616"/>
      <c r="R215" s="490" t="str">
        <f t="shared" si="2"/>
        <v>DELETE</v>
      </c>
    </row>
    <row r="216" spans="1:18" ht="36" customHeight="1" x14ac:dyDescent="0.4">
      <c r="A216" s="616"/>
      <c r="B216" s="616"/>
      <c r="C216" s="616"/>
      <c r="D216" s="615" t="str">
        <f>Criteria!E9</f>
        <v>ABC COMPANY (PROPRIETARY) LIMITED</v>
      </c>
      <c r="E216" s="616"/>
      <c r="F216" s="616"/>
      <c r="G216" s="616"/>
      <c r="H216" s="616"/>
      <c r="I216" s="616"/>
      <c r="J216" s="616"/>
      <c r="K216" s="616"/>
      <c r="L216" s="616"/>
      <c r="M216" s="617"/>
      <c r="N216" s="617"/>
      <c r="O216" s="617"/>
      <c r="P216" s="617"/>
      <c r="Q216" s="616"/>
      <c r="R216" s="490" t="str">
        <f t="shared" si="2"/>
        <v>DELETE</v>
      </c>
    </row>
    <row r="217" spans="1:18" ht="36" customHeight="1" x14ac:dyDescent="0.4">
      <c r="A217" s="616"/>
      <c r="B217" s="616"/>
      <c r="C217" s="616"/>
      <c r="D217" s="616"/>
      <c r="E217" s="616"/>
      <c r="F217" s="616"/>
      <c r="G217" s="616"/>
      <c r="H217" s="616"/>
      <c r="I217" s="616"/>
      <c r="J217" s="616"/>
      <c r="K217" s="616"/>
      <c r="L217" s="616"/>
      <c r="M217" s="617"/>
      <c r="N217" s="617"/>
      <c r="O217" s="617"/>
      <c r="P217" s="617"/>
      <c r="Q217" s="616"/>
      <c r="R217" s="490" t="str">
        <f t="shared" si="2"/>
        <v>DELETE</v>
      </c>
    </row>
    <row r="218" spans="1:18" ht="36" customHeight="1" x14ac:dyDescent="0.4">
      <c r="A218" s="616"/>
      <c r="B218" s="616"/>
      <c r="C218" s="616"/>
      <c r="D218" s="616" t="s">
        <v>1247</v>
      </c>
      <c r="E218" s="616"/>
      <c r="F218" s="616"/>
      <c r="G218" s="616"/>
      <c r="H218" s="616"/>
      <c r="I218" s="616"/>
      <c r="J218" s="616"/>
      <c r="K218" s="616"/>
      <c r="L218" s="616"/>
      <c r="M218" s="617"/>
      <c r="N218" s="617"/>
      <c r="O218" s="617"/>
      <c r="P218" s="617"/>
      <c r="Q218" s="616"/>
      <c r="R218" s="490" t="str">
        <f t="shared" si="2"/>
        <v>DELETE</v>
      </c>
    </row>
    <row r="219" spans="1:18" ht="36" customHeight="1" x14ac:dyDescent="0.4">
      <c r="A219" s="616"/>
      <c r="B219" s="616"/>
      <c r="C219" s="616"/>
      <c r="D219" s="616"/>
      <c r="E219" s="616"/>
      <c r="F219" s="616"/>
      <c r="G219" s="616"/>
      <c r="H219" s="616"/>
      <c r="I219" s="616"/>
      <c r="J219" s="616"/>
      <c r="K219" s="616"/>
      <c r="L219" s="616"/>
      <c r="M219" s="617"/>
      <c r="N219" s="617"/>
      <c r="O219" s="617"/>
      <c r="P219" s="617"/>
      <c r="Q219" s="616"/>
      <c r="R219" s="490" t="str">
        <f t="shared" si="2"/>
        <v>DELETE</v>
      </c>
    </row>
    <row r="220" spans="1:18" ht="36" customHeight="1" x14ac:dyDescent="0.4">
      <c r="A220" s="616"/>
      <c r="B220" s="616"/>
      <c r="C220" s="616"/>
      <c r="D220" s="626" t="s">
        <v>1248</v>
      </c>
      <c r="E220" s="616"/>
      <c r="F220" s="616"/>
      <c r="G220" s="616"/>
      <c r="H220" s="616"/>
      <c r="I220" s="616"/>
      <c r="J220" s="616"/>
      <c r="K220" s="616"/>
      <c r="L220" s="616"/>
      <c r="M220" s="617"/>
      <c r="N220" s="617"/>
      <c r="O220" s="617"/>
      <c r="P220" s="617"/>
      <c r="Q220" s="616"/>
      <c r="R220" s="490" t="str">
        <f t="shared" si="2"/>
        <v>DELETE</v>
      </c>
    </row>
    <row r="221" spans="1:18" ht="36" customHeight="1" x14ac:dyDescent="0.4">
      <c r="A221" s="616"/>
      <c r="B221" s="616"/>
      <c r="C221" s="616"/>
      <c r="D221" s="616"/>
      <c r="E221" s="616"/>
      <c r="F221" s="616"/>
      <c r="G221" s="616"/>
      <c r="H221" s="616"/>
      <c r="I221" s="616"/>
      <c r="J221" s="616"/>
      <c r="K221" s="616"/>
      <c r="L221" s="616"/>
      <c r="M221" s="617"/>
      <c r="N221" s="617"/>
      <c r="O221" s="617"/>
      <c r="P221" s="617"/>
      <c r="Q221" s="616"/>
      <c r="R221" s="490" t="str">
        <f t="shared" si="2"/>
        <v>DELETE</v>
      </c>
    </row>
    <row r="222" spans="1:18" ht="36" customHeight="1" x14ac:dyDescent="0.4">
      <c r="A222" s="616"/>
      <c r="B222" s="616"/>
      <c r="C222" s="616"/>
      <c r="D222" s="664" t="str">
        <f>CONCATENATE("We have audited the annual Financial Statements of ",Criteria!E11,", as set out on pages ",Q601," to ",MAX(Q601:Q2803),", which comprise the statement of financial position as at ",Criteria!G24," and the statement of comprehensive income, statement of changes in equity and statement of cash flows for the year then ended and notes to the Financial Statements, including a summary of significant accounting policies and other explanatory information.")</f>
        <v>We have audited the annual Financial Statements of ABC Company (Pty) Ltd, as set out on pages 13 to 74, which comprise the statement of financial position as at 28 February 2026 and the statement of comprehensive income, statement of changes in equity and statement of cash flows for the year then ended and notes to the Financial Statements, including a summary of significant accounting policies and other explanatory information.</v>
      </c>
      <c r="E222" s="664"/>
      <c r="F222" s="664"/>
      <c r="G222" s="664"/>
      <c r="H222" s="664"/>
      <c r="I222" s="664"/>
      <c r="J222" s="664"/>
      <c r="K222" s="664"/>
      <c r="L222" s="664"/>
      <c r="M222" s="664"/>
      <c r="N222" s="664"/>
      <c r="O222" s="664"/>
      <c r="P222" s="664"/>
      <c r="Q222" s="664"/>
      <c r="R222" s="490" t="str">
        <f t="shared" si="2"/>
        <v>DELETE</v>
      </c>
    </row>
    <row r="223" spans="1:18" ht="36" customHeight="1" x14ac:dyDescent="0.4">
      <c r="A223" s="616"/>
      <c r="B223" s="616"/>
      <c r="C223" s="616"/>
      <c r="D223" s="664"/>
      <c r="E223" s="664"/>
      <c r="F223" s="664"/>
      <c r="G223" s="664"/>
      <c r="H223" s="664"/>
      <c r="I223" s="664"/>
      <c r="J223" s="664"/>
      <c r="K223" s="664"/>
      <c r="L223" s="664"/>
      <c r="M223" s="664"/>
      <c r="N223" s="664"/>
      <c r="O223" s="664"/>
      <c r="P223" s="664"/>
      <c r="Q223" s="664"/>
      <c r="R223" s="490" t="str">
        <f t="shared" si="2"/>
        <v>DELETE</v>
      </c>
    </row>
    <row r="224" spans="1:18" ht="36" customHeight="1" x14ac:dyDescent="0.4">
      <c r="A224" s="616"/>
      <c r="B224" s="616"/>
      <c r="C224" s="616"/>
      <c r="D224" s="664"/>
      <c r="E224" s="664"/>
      <c r="F224" s="664"/>
      <c r="G224" s="664"/>
      <c r="H224" s="664"/>
      <c r="I224" s="664"/>
      <c r="J224" s="664"/>
      <c r="K224" s="664"/>
      <c r="L224" s="664"/>
      <c r="M224" s="664"/>
      <c r="N224" s="664"/>
      <c r="O224" s="664"/>
      <c r="P224" s="664"/>
      <c r="Q224" s="664"/>
      <c r="R224" s="490" t="str">
        <f t="shared" si="2"/>
        <v>DELETE</v>
      </c>
    </row>
    <row r="225" spans="1:18" ht="36" customHeight="1" x14ac:dyDescent="0.4">
      <c r="A225" s="616"/>
      <c r="B225" s="616"/>
      <c r="C225" s="616"/>
      <c r="D225" s="664"/>
      <c r="E225" s="664"/>
      <c r="F225" s="664"/>
      <c r="G225" s="664"/>
      <c r="H225" s="664"/>
      <c r="I225" s="664"/>
      <c r="J225" s="664"/>
      <c r="K225" s="664"/>
      <c r="L225" s="664"/>
      <c r="M225" s="664"/>
      <c r="N225" s="664"/>
      <c r="O225" s="664"/>
      <c r="P225" s="664"/>
      <c r="Q225" s="664"/>
      <c r="R225" s="490" t="str">
        <f t="shared" si="2"/>
        <v>DELETE</v>
      </c>
    </row>
    <row r="226" spans="1:18" ht="36" customHeight="1" x14ac:dyDescent="0.4">
      <c r="A226" s="616"/>
      <c r="B226" s="616"/>
      <c r="C226" s="616"/>
      <c r="D226" s="664"/>
      <c r="E226" s="664"/>
      <c r="F226" s="664"/>
      <c r="G226" s="664"/>
      <c r="H226" s="664"/>
      <c r="I226" s="664"/>
      <c r="J226" s="664"/>
      <c r="K226" s="664"/>
      <c r="L226" s="664"/>
      <c r="M226" s="664"/>
      <c r="N226" s="664"/>
      <c r="O226" s="664"/>
      <c r="P226" s="664"/>
      <c r="Q226" s="664"/>
      <c r="R226" s="490" t="str">
        <f t="shared" si="2"/>
        <v>DELETE</v>
      </c>
    </row>
    <row r="227" spans="1:18" ht="36" customHeight="1" x14ac:dyDescent="0.4">
      <c r="A227" s="616"/>
      <c r="B227" s="616"/>
      <c r="C227" s="616"/>
      <c r="D227" s="664"/>
      <c r="E227" s="664"/>
      <c r="F227" s="664"/>
      <c r="G227" s="664"/>
      <c r="H227" s="664"/>
      <c r="I227" s="664"/>
      <c r="J227" s="664"/>
      <c r="K227" s="664"/>
      <c r="L227" s="664"/>
      <c r="M227" s="664"/>
      <c r="N227" s="664"/>
      <c r="O227" s="664"/>
      <c r="P227" s="664"/>
      <c r="Q227" s="664"/>
      <c r="R227" s="490" t="str">
        <f t="shared" si="2"/>
        <v>DELETE</v>
      </c>
    </row>
    <row r="228" spans="1:18" ht="36" customHeight="1" x14ac:dyDescent="0.4">
      <c r="A228" s="616"/>
      <c r="B228" s="616"/>
      <c r="C228" s="616"/>
      <c r="D228" s="616"/>
      <c r="E228" s="616"/>
      <c r="F228" s="616"/>
      <c r="G228" s="616"/>
      <c r="H228" s="616"/>
      <c r="I228" s="616"/>
      <c r="J228" s="616"/>
      <c r="K228" s="616"/>
      <c r="L228" s="616"/>
      <c r="M228" s="617"/>
      <c r="N228" s="617"/>
      <c r="O228" s="617"/>
      <c r="P228" s="617"/>
      <c r="Q228" s="616"/>
      <c r="R228" s="490" t="str">
        <f t="shared" si="2"/>
        <v>DELETE</v>
      </c>
    </row>
    <row r="229" spans="1:18" ht="36" customHeight="1" x14ac:dyDescent="0.4">
      <c r="A229" s="616"/>
      <c r="B229" s="616"/>
      <c r="C229" s="616"/>
      <c r="D229" s="664" t="str">
        <f>CONCATENATE("In our opinion, the Financial Statements present fairly, in all material respects, the financial position of ",Criteria!E11," as at ",Criteria!G24," and its financial performance and cash flows for the year then ended in accordance with the International Financial Reporting Standard for Small- and Medium-sized Entities and the requirements of the Companies Act of South Africa.")</f>
        <v>In our opinion, the Financial Statements present fairly, in all material respects, the financial position of ABC Company (Pty) Ltd as at 28 February 2026 and its financial performance and cash flows for the year then ended in accordance with the International Financial Reporting Standard for Small- and Medium-sized Entities and the requirements of the Companies Act of South Africa.</v>
      </c>
      <c r="E229" s="664"/>
      <c r="F229" s="664"/>
      <c r="G229" s="664"/>
      <c r="H229" s="664"/>
      <c r="I229" s="664"/>
      <c r="J229" s="664"/>
      <c r="K229" s="664"/>
      <c r="L229" s="664"/>
      <c r="M229" s="664"/>
      <c r="N229" s="664"/>
      <c r="O229" s="664"/>
      <c r="P229" s="664"/>
      <c r="Q229" s="664"/>
      <c r="R229" s="490" t="str">
        <f t="shared" si="2"/>
        <v>DELETE</v>
      </c>
    </row>
    <row r="230" spans="1:18" ht="36" customHeight="1" x14ac:dyDescent="0.4">
      <c r="A230" s="616"/>
      <c r="B230" s="616"/>
      <c r="C230" s="616"/>
      <c r="D230" s="664"/>
      <c r="E230" s="664"/>
      <c r="F230" s="664"/>
      <c r="G230" s="664"/>
      <c r="H230" s="664"/>
      <c r="I230" s="664"/>
      <c r="J230" s="664"/>
      <c r="K230" s="664"/>
      <c r="L230" s="664"/>
      <c r="M230" s="664"/>
      <c r="N230" s="664"/>
      <c r="O230" s="664"/>
      <c r="P230" s="664"/>
      <c r="Q230" s="664"/>
      <c r="R230" s="490" t="str">
        <f t="shared" si="2"/>
        <v>DELETE</v>
      </c>
    </row>
    <row r="231" spans="1:18" ht="36" customHeight="1" x14ac:dyDescent="0.4">
      <c r="A231" s="616"/>
      <c r="B231" s="616"/>
      <c r="C231" s="616"/>
      <c r="D231" s="664"/>
      <c r="E231" s="664"/>
      <c r="F231" s="664"/>
      <c r="G231" s="664"/>
      <c r="H231" s="664"/>
      <c r="I231" s="664"/>
      <c r="J231" s="664"/>
      <c r="K231" s="664"/>
      <c r="L231" s="664"/>
      <c r="M231" s="664"/>
      <c r="N231" s="664"/>
      <c r="O231" s="664"/>
      <c r="P231" s="664"/>
      <c r="Q231" s="664"/>
      <c r="R231" s="490" t="str">
        <f t="shared" si="2"/>
        <v>DELETE</v>
      </c>
    </row>
    <row r="232" spans="1:18" ht="36" customHeight="1" x14ac:dyDescent="0.4">
      <c r="A232" s="616"/>
      <c r="B232" s="616"/>
      <c r="C232" s="616"/>
      <c r="D232" s="664"/>
      <c r="E232" s="664"/>
      <c r="F232" s="664"/>
      <c r="G232" s="664"/>
      <c r="H232" s="664"/>
      <c r="I232" s="664"/>
      <c r="J232" s="664"/>
      <c r="K232" s="664"/>
      <c r="L232" s="664"/>
      <c r="M232" s="664"/>
      <c r="N232" s="664"/>
      <c r="O232" s="664"/>
      <c r="P232" s="664"/>
      <c r="Q232" s="664"/>
      <c r="R232" s="490" t="str">
        <f t="shared" si="2"/>
        <v>DELETE</v>
      </c>
    </row>
    <row r="233" spans="1:18" ht="36" customHeight="1" x14ac:dyDescent="0.4">
      <c r="A233" s="616"/>
      <c r="B233" s="616"/>
      <c r="C233" s="616"/>
      <c r="D233" s="664"/>
      <c r="E233" s="664"/>
      <c r="F233" s="664"/>
      <c r="G233" s="664"/>
      <c r="H233" s="664"/>
      <c r="I233" s="664"/>
      <c r="J233" s="664"/>
      <c r="K233" s="664"/>
      <c r="L233" s="664"/>
      <c r="M233" s="664"/>
      <c r="N233" s="664"/>
      <c r="O233" s="664"/>
      <c r="P233" s="664"/>
      <c r="Q233" s="664"/>
      <c r="R233" s="490" t="str">
        <f t="shared" si="2"/>
        <v>DELETE</v>
      </c>
    </row>
    <row r="234" spans="1:18" ht="36" customHeight="1" x14ac:dyDescent="0.4">
      <c r="A234" s="616"/>
      <c r="B234" s="616"/>
      <c r="C234" s="616"/>
      <c r="D234" s="664"/>
      <c r="E234" s="664"/>
      <c r="F234" s="664"/>
      <c r="G234" s="664"/>
      <c r="H234" s="664"/>
      <c r="I234" s="664"/>
      <c r="J234" s="664"/>
      <c r="K234" s="664"/>
      <c r="L234" s="664"/>
      <c r="M234" s="664"/>
      <c r="N234" s="664"/>
      <c r="O234" s="664"/>
      <c r="P234" s="664"/>
      <c r="Q234" s="664"/>
      <c r="R234" s="490" t="str">
        <f t="shared" si="2"/>
        <v>DELETE</v>
      </c>
    </row>
    <row r="235" spans="1:18" ht="36" customHeight="1" x14ac:dyDescent="0.4">
      <c r="A235" s="616"/>
      <c r="B235" s="616"/>
      <c r="C235" s="616"/>
      <c r="D235" s="616"/>
      <c r="E235" s="616"/>
      <c r="F235" s="616"/>
      <c r="G235" s="616"/>
      <c r="H235" s="616"/>
      <c r="I235" s="616"/>
      <c r="J235" s="616"/>
      <c r="K235" s="616"/>
      <c r="L235" s="616"/>
      <c r="M235" s="617"/>
      <c r="N235" s="617"/>
      <c r="O235" s="617"/>
      <c r="P235" s="617"/>
      <c r="Q235" s="616"/>
      <c r="R235" s="490" t="str">
        <f t="shared" si="2"/>
        <v>DELETE</v>
      </c>
    </row>
    <row r="236" spans="1:18" ht="36" customHeight="1" x14ac:dyDescent="0.4">
      <c r="A236" s="616"/>
      <c r="B236" s="616"/>
      <c r="C236" s="616"/>
      <c r="D236" s="616"/>
      <c r="E236" s="616"/>
      <c r="F236" s="616"/>
      <c r="G236" s="616"/>
      <c r="H236" s="616"/>
      <c r="I236" s="616"/>
      <c r="J236" s="616"/>
      <c r="K236" s="616"/>
      <c r="L236" s="616"/>
      <c r="M236" s="617"/>
      <c r="N236" s="617"/>
      <c r="O236" s="617"/>
      <c r="P236" s="617"/>
      <c r="Q236" s="616"/>
      <c r="R236" s="490" t="str">
        <f t="shared" si="2"/>
        <v>DELETE</v>
      </c>
    </row>
    <row r="237" spans="1:18" ht="36" customHeight="1" x14ac:dyDescent="0.4">
      <c r="A237" s="616"/>
      <c r="B237" s="616"/>
      <c r="C237" s="616"/>
      <c r="D237" s="616" t="s">
        <v>141</v>
      </c>
      <c r="E237" s="616"/>
      <c r="F237" s="616"/>
      <c r="G237" s="616"/>
      <c r="H237" s="616"/>
      <c r="I237" s="616"/>
      <c r="J237" s="616"/>
      <c r="K237" s="616"/>
      <c r="L237" s="616"/>
      <c r="M237" s="617"/>
      <c r="N237" s="617"/>
      <c r="O237" s="617"/>
      <c r="P237" s="617"/>
      <c r="Q237" s="616"/>
      <c r="R237" s="490" t="str">
        <f t="shared" si="2"/>
        <v>DELETE</v>
      </c>
    </row>
    <row r="238" spans="1:18" ht="36" customHeight="1" x14ac:dyDescent="0.4">
      <c r="A238" s="616"/>
      <c r="B238" s="616"/>
      <c r="C238" s="616"/>
      <c r="D238" s="616" t="s">
        <v>1249</v>
      </c>
      <c r="E238" s="616"/>
      <c r="F238" s="616"/>
      <c r="G238" s="616"/>
      <c r="H238" s="616"/>
      <c r="I238" s="616"/>
      <c r="J238" s="616"/>
      <c r="K238" s="616"/>
      <c r="L238" s="616"/>
      <c r="M238" s="617"/>
      <c r="N238" s="617"/>
      <c r="O238" s="617"/>
      <c r="P238" s="617"/>
      <c r="Q238" s="616"/>
      <c r="R238" s="490" t="str">
        <f t="shared" si="2"/>
        <v>DELETE</v>
      </c>
    </row>
    <row r="239" spans="1:18" ht="36" customHeight="1" x14ac:dyDescent="0.4">
      <c r="A239" s="616"/>
      <c r="B239" s="616"/>
      <c r="C239" s="616"/>
      <c r="D239" s="616"/>
      <c r="E239" s="616"/>
      <c r="F239" s="616"/>
      <c r="G239" s="616"/>
      <c r="H239" s="616"/>
      <c r="I239" s="616"/>
      <c r="J239" s="616"/>
      <c r="K239" s="616"/>
      <c r="L239" s="616"/>
      <c r="M239" s="617"/>
      <c r="N239" s="617"/>
      <c r="O239" s="617"/>
      <c r="P239" s="617"/>
      <c r="Q239" s="616"/>
      <c r="R239" s="490" t="str">
        <f t="shared" si="2"/>
        <v>DELETE</v>
      </c>
    </row>
    <row r="240" spans="1:18" ht="36" customHeight="1" x14ac:dyDescent="0.4">
      <c r="A240" s="616"/>
      <c r="B240" s="616"/>
      <c r="C240" s="616"/>
      <c r="D240" s="616" t="s">
        <v>117</v>
      </c>
      <c r="E240" s="616"/>
      <c r="F240" s="616"/>
      <c r="G240" s="616"/>
      <c r="H240" s="616"/>
      <c r="I240" s="616"/>
      <c r="J240" s="616"/>
      <c r="K240" s="616"/>
      <c r="L240" s="616"/>
      <c r="M240" s="617"/>
      <c r="N240" s="617"/>
      <c r="O240" s="617"/>
      <c r="P240" s="617"/>
      <c r="Q240" s="616"/>
      <c r="R240" s="490" t="str">
        <f t="shared" si="2"/>
        <v>DELETE</v>
      </c>
    </row>
    <row r="241" spans="1:18" ht="36" customHeight="1" x14ac:dyDescent="0.4">
      <c r="A241" s="616"/>
      <c r="B241" s="616"/>
      <c r="C241" s="616"/>
      <c r="D241" s="616"/>
      <c r="E241" s="616" t="s">
        <v>142</v>
      </c>
      <c r="F241" s="616"/>
      <c r="G241" s="616"/>
      <c r="H241" s="616"/>
      <c r="I241" s="616"/>
      <c r="J241" s="616"/>
      <c r="K241" s="616"/>
      <c r="L241" s="616"/>
      <c r="M241" s="617"/>
      <c r="N241" s="617"/>
      <c r="O241" s="617"/>
      <c r="P241" s="617"/>
      <c r="Q241" s="616"/>
      <c r="R241" s="490" t="str">
        <f t="shared" si="2"/>
        <v>DELETE</v>
      </c>
    </row>
    <row r="242" spans="1:18" ht="36" customHeight="1" x14ac:dyDescent="0.4">
      <c r="A242" s="616"/>
      <c r="B242" s="616"/>
      <c r="C242" s="616"/>
      <c r="D242" s="616" t="str">
        <f>Criteria!E32</f>
        <v>Johannesburg</v>
      </c>
      <c r="E242" s="616"/>
      <c r="F242" s="616"/>
      <c r="G242" s="616"/>
      <c r="H242" s="616"/>
      <c r="I242" s="616"/>
      <c r="J242" s="616"/>
      <c r="K242" s="616"/>
      <c r="L242" s="616"/>
      <c r="M242" s="617"/>
      <c r="N242" s="617"/>
      <c r="O242" s="617"/>
      <c r="P242" s="617"/>
      <c r="Q242" s="616"/>
      <c r="R242" s="490" t="str">
        <f t="shared" si="2"/>
        <v>DELETE</v>
      </c>
    </row>
    <row r="243" spans="1:18" ht="36" customHeight="1" x14ac:dyDescent="0.4">
      <c r="A243" s="616"/>
      <c r="B243" s="616"/>
      <c r="C243" s="616"/>
      <c r="D243" s="616"/>
      <c r="E243" s="616"/>
      <c r="F243" s="616"/>
      <c r="G243" s="616"/>
      <c r="H243" s="616"/>
      <c r="I243" s="616"/>
      <c r="J243" s="616"/>
      <c r="K243" s="616"/>
      <c r="L243" s="616"/>
      <c r="M243" s="617"/>
      <c r="N243" s="617"/>
      <c r="O243" s="617"/>
      <c r="P243" s="617"/>
      <c r="Q243" s="616"/>
      <c r="R243" s="490" t="str">
        <f t="shared" si="2"/>
        <v>DELETE</v>
      </c>
    </row>
    <row r="244" spans="1:18" ht="36" customHeight="1" x14ac:dyDescent="0.4">
      <c r="A244" s="616"/>
      <c r="B244" s="616"/>
      <c r="C244" s="616"/>
      <c r="D244" s="616"/>
      <c r="E244" s="616"/>
      <c r="F244" s="616"/>
      <c r="G244" s="616"/>
      <c r="H244" s="616"/>
      <c r="I244" s="616"/>
      <c r="J244" s="616"/>
      <c r="K244" s="616"/>
      <c r="L244" s="616"/>
      <c r="M244" s="617"/>
      <c r="N244" s="617"/>
      <c r="O244" s="617"/>
      <c r="P244" s="617"/>
      <c r="Q244" s="616"/>
      <c r="R244" s="490" t="str">
        <f t="shared" si="2"/>
        <v>DELETE</v>
      </c>
    </row>
    <row r="245" spans="1:18" ht="36" customHeight="1" x14ac:dyDescent="0.4">
      <c r="A245" s="616"/>
      <c r="B245" s="616"/>
      <c r="C245" s="616"/>
      <c r="D245" s="616"/>
      <c r="E245" s="616"/>
      <c r="F245" s="616"/>
      <c r="G245" s="616"/>
      <c r="H245" s="616"/>
      <c r="I245" s="616"/>
      <c r="J245" s="616"/>
      <c r="K245" s="616"/>
      <c r="L245" s="616"/>
      <c r="M245" s="617"/>
      <c r="N245" s="617"/>
      <c r="O245" s="617"/>
      <c r="P245" s="617"/>
      <c r="Q245" s="616"/>
      <c r="R245" s="490" t="str">
        <f t="shared" si="2"/>
        <v>DELETE</v>
      </c>
    </row>
    <row r="246" spans="1:18" ht="36" customHeight="1" x14ac:dyDescent="0.4">
      <c r="A246" s="616"/>
      <c r="B246" s="616"/>
      <c r="C246" s="616"/>
      <c r="D246" s="616"/>
      <c r="E246" s="616"/>
      <c r="F246" s="616"/>
      <c r="G246" s="616"/>
      <c r="H246" s="616"/>
      <c r="I246" s="616"/>
      <c r="J246" s="616"/>
      <c r="K246" s="616"/>
      <c r="L246" s="616"/>
      <c r="M246" s="617"/>
      <c r="N246" s="617"/>
      <c r="O246" s="617"/>
      <c r="P246" s="617"/>
      <c r="Q246" s="616"/>
      <c r="R246" s="490" t="str">
        <f t="shared" si="2"/>
        <v>DELETE</v>
      </c>
    </row>
    <row r="247" spans="1:18" ht="36" customHeight="1" x14ac:dyDescent="0.4">
      <c r="A247" s="616"/>
      <c r="B247" s="616"/>
      <c r="C247" s="616"/>
      <c r="D247" s="616"/>
      <c r="E247" s="616"/>
      <c r="F247" s="616"/>
      <c r="G247" s="616"/>
      <c r="H247" s="616"/>
      <c r="I247" s="616"/>
      <c r="J247" s="616"/>
      <c r="K247" s="616"/>
      <c r="L247" s="616"/>
      <c r="M247" s="617"/>
      <c r="N247" s="617"/>
      <c r="O247" s="617"/>
      <c r="P247" s="617"/>
      <c r="Q247" s="616"/>
      <c r="R247" s="490" t="str">
        <f t="shared" si="2"/>
        <v>DELETE</v>
      </c>
    </row>
    <row r="248" spans="1:18" ht="36" customHeight="1" x14ac:dyDescent="0.4">
      <c r="A248" s="616"/>
      <c r="B248" s="616"/>
      <c r="C248" s="616"/>
      <c r="D248" s="616"/>
      <c r="E248" s="616"/>
      <c r="F248" s="616"/>
      <c r="G248" s="616"/>
      <c r="H248" s="616"/>
      <c r="I248" s="616"/>
      <c r="J248" s="616"/>
      <c r="K248" s="616"/>
      <c r="L248" s="616"/>
      <c r="M248" s="617"/>
      <c r="N248" s="617"/>
      <c r="O248" s="617"/>
      <c r="P248" s="617"/>
      <c r="Q248" s="616"/>
      <c r="R248" s="490" t="str">
        <f t="shared" si="2"/>
        <v>DELETE</v>
      </c>
    </row>
    <row r="249" spans="1:18" ht="36" customHeight="1" x14ac:dyDescent="0.4">
      <c r="A249" s="616"/>
      <c r="B249" s="616"/>
      <c r="C249" s="616"/>
      <c r="D249" s="616"/>
      <c r="E249" s="616"/>
      <c r="F249" s="616"/>
      <c r="G249" s="616"/>
      <c r="H249" s="616"/>
      <c r="I249" s="616"/>
      <c r="J249" s="616"/>
      <c r="K249" s="616"/>
      <c r="L249" s="616"/>
      <c r="M249" s="617"/>
      <c r="N249" s="617"/>
      <c r="O249" s="617"/>
      <c r="P249" s="617"/>
      <c r="Q249" s="616"/>
      <c r="R249" s="490" t="str">
        <f t="shared" si="2"/>
        <v>DELETE</v>
      </c>
    </row>
    <row r="250" spans="1:18" ht="36" customHeight="1" x14ac:dyDescent="0.4">
      <c r="A250" s="616"/>
      <c r="B250" s="616"/>
      <c r="C250" s="616"/>
      <c r="D250" s="616"/>
      <c r="E250" s="616"/>
      <c r="F250" s="616"/>
      <c r="G250" s="616"/>
      <c r="H250" s="616"/>
      <c r="I250" s="616"/>
      <c r="J250" s="616"/>
      <c r="K250" s="616"/>
      <c r="L250" s="616"/>
      <c r="M250" s="617"/>
      <c r="N250" s="617"/>
      <c r="O250" s="617"/>
      <c r="P250" s="617"/>
      <c r="Q250" s="616"/>
      <c r="R250" s="490" t="str">
        <f t="shared" si="2"/>
        <v>DELETE</v>
      </c>
    </row>
    <row r="251" spans="1:18" ht="36" customHeight="1" x14ac:dyDescent="0.45">
      <c r="O251" s="454" t="s">
        <v>112</v>
      </c>
      <c r="Q251" s="450">
        <f>MAX($Q$103:Q250)+1</f>
        <v>4</v>
      </c>
      <c r="R251" s="490" t="str">
        <f>IF(Criteria!E$29="Review"," ","DELETE")</f>
        <v>DELETE</v>
      </c>
    </row>
    <row r="252" spans="1:18" ht="36" customHeight="1" x14ac:dyDescent="0.4">
      <c r="A252" s="616"/>
      <c r="B252" s="616"/>
      <c r="C252" s="616"/>
      <c r="D252" s="616"/>
      <c r="E252" s="616"/>
      <c r="F252" s="616"/>
      <c r="G252" s="616"/>
      <c r="H252" s="616"/>
      <c r="I252" s="616"/>
      <c r="J252" s="616"/>
      <c r="K252" s="616"/>
      <c r="L252" s="616"/>
      <c r="M252" s="617"/>
      <c r="N252" s="617"/>
      <c r="O252" s="617"/>
      <c r="P252" s="617"/>
      <c r="Q252" s="616"/>
      <c r="R252" s="490" t="str">
        <f>R$251</f>
        <v>DELETE</v>
      </c>
    </row>
    <row r="253" spans="1:18" ht="36" customHeight="1" x14ac:dyDescent="0.4">
      <c r="A253" s="616"/>
      <c r="B253" s="616"/>
      <c r="C253" s="616"/>
      <c r="D253" s="616"/>
      <c r="E253" s="616"/>
      <c r="F253" s="616"/>
      <c r="G253" s="616"/>
      <c r="H253" s="616"/>
      <c r="I253" s="616"/>
      <c r="J253" s="616"/>
      <c r="K253" s="616"/>
      <c r="L253" s="616"/>
      <c r="M253" s="617"/>
      <c r="N253" s="617"/>
      <c r="O253" s="617"/>
      <c r="P253" s="617"/>
      <c r="Q253" s="616"/>
      <c r="R253" s="490" t="str">
        <f t="shared" ref="R253:R346" si="3">R$251</f>
        <v>DELETE</v>
      </c>
    </row>
    <row r="254" spans="1:18" ht="36" customHeight="1" x14ac:dyDescent="0.4">
      <c r="A254" s="616"/>
      <c r="B254" s="616"/>
      <c r="C254" s="616"/>
      <c r="D254" s="616"/>
      <c r="E254" s="616"/>
      <c r="F254" s="616"/>
      <c r="G254" s="616"/>
      <c r="H254" s="616"/>
      <c r="I254" s="616"/>
      <c r="J254" s="616"/>
      <c r="K254" s="616"/>
      <c r="L254" s="616"/>
      <c r="M254" s="617"/>
      <c r="N254" s="617"/>
      <c r="O254" s="617"/>
      <c r="P254" s="617"/>
      <c r="Q254" s="616"/>
      <c r="R254" s="490" t="str">
        <f t="shared" si="3"/>
        <v>DELETE</v>
      </c>
    </row>
    <row r="255" spans="1:18" ht="36" customHeight="1" x14ac:dyDescent="0.4">
      <c r="A255" s="616"/>
      <c r="B255" s="616"/>
      <c r="C255" s="616"/>
      <c r="D255" s="616"/>
      <c r="E255" s="616"/>
      <c r="F255" s="616"/>
      <c r="G255" s="616"/>
      <c r="H255" s="616"/>
      <c r="I255" s="616"/>
      <c r="J255" s="616"/>
      <c r="K255" s="616"/>
      <c r="L255" s="616"/>
      <c r="M255" s="617"/>
      <c r="N255" s="617"/>
      <c r="O255" s="617"/>
      <c r="P255" s="617"/>
      <c r="Q255" s="616"/>
      <c r="R255" s="490" t="str">
        <f t="shared" si="3"/>
        <v>DELETE</v>
      </c>
    </row>
    <row r="256" spans="1:18" ht="36" customHeight="1" x14ac:dyDescent="0.4">
      <c r="A256" s="616"/>
      <c r="B256" s="616"/>
      <c r="C256" s="616"/>
      <c r="D256" s="616"/>
      <c r="E256" s="616"/>
      <c r="F256" s="616"/>
      <c r="G256" s="616"/>
      <c r="H256" s="616"/>
      <c r="I256" s="616"/>
      <c r="J256" s="616"/>
      <c r="K256" s="616"/>
      <c r="L256" s="616"/>
      <c r="M256" s="617"/>
      <c r="N256" s="617"/>
      <c r="O256" s="617"/>
      <c r="P256" s="617"/>
      <c r="Q256" s="616"/>
      <c r="R256" s="490" t="str">
        <f t="shared" si="3"/>
        <v>DELETE</v>
      </c>
    </row>
    <row r="257" spans="1:18" ht="36" customHeight="1" x14ac:dyDescent="0.4">
      <c r="A257" s="616"/>
      <c r="B257" s="616"/>
      <c r="C257" s="616"/>
      <c r="D257" s="616"/>
      <c r="E257" s="616"/>
      <c r="F257" s="616"/>
      <c r="G257" s="616"/>
      <c r="H257" s="616"/>
      <c r="I257" s="616"/>
      <c r="J257" s="616"/>
      <c r="K257" s="616"/>
      <c r="L257" s="616"/>
      <c r="M257" s="617"/>
      <c r="N257" s="617"/>
      <c r="O257" s="617"/>
      <c r="P257" s="617"/>
      <c r="Q257" s="616"/>
      <c r="R257" s="490" t="str">
        <f t="shared" si="3"/>
        <v>DELETE</v>
      </c>
    </row>
    <row r="258" spans="1:18" ht="36" customHeight="1" x14ac:dyDescent="0.4">
      <c r="A258" s="616"/>
      <c r="B258" s="616"/>
      <c r="C258" s="616"/>
      <c r="D258" s="616"/>
      <c r="E258" s="616"/>
      <c r="F258" s="616"/>
      <c r="G258" s="616"/>
      <c r="H258" s="616"/>
      <c r="I258" s="616"/>
      <c r="J258" s="616"/>
      <c r="K258" s="616"/>
      <c r="L258" s="616"/>
      <c r="M258" s="617"/>
      <c r="N258" s="617"/>
      <c r="O258" s="617"/>
      <c r="P258" s="617"/>
      <c r="Q258" s="616"/>
      <c r="R258" s="490" t="str">
        <f t="shared" si="3"/>
        <v>DELETE</v>
      </c>
    </row>
    <row r="259" spans="1:18" ht="36" customHeight="1" x14ac:dyDescent="0.4">
      <c r="A259" s="616"/>
      <c r="B259" s="616"/>
      <c r="C259" s="616"/>
      <c r="D259" s="616"/>
      <c r="E259" s="616"/>
      <c r="F259" s="616"/>
      <c r="G259" s="616"/>
      <c r="H259" s="616"/>
      <c r="I259" s="616"/>
      <c r="J259" s="616"/>
      <c r="K259" s="616"/>
      <c r="L259" s="616"/>
      <c r="M259" s="617"/>
      <c r="N259" s="617"/>
      <c r="O259" s="617"/>
      <c r="P259" s="617"/>
      <c r="Q259" s="616"/>
      <c r="R259" s="490" t="str">
        <f t="shared" si="3"/>
        <v>DELETE</v>
      </c>
    </row>
    <row r="260" spans="1:18" ht="36" customHeight="1" x14ac:dyDescent="0.4">
      <c r="A260" s="667" t="s">
        <v>1250</v>
      </c>
      <c r="B260" s="667"/>
      <c r="C260" s="667"/>
      <c r="D260" s="667"/>
      <c r="E260" s="667"/>
      <c r="F260" s="667"/>
      <c r="G260" s="667"/>
      <c r="H260" s="667"/>
      <c r="I260" s="667"/>
      <c r="J260" s="667"/>
      <c r="K260" s="667"/>
      <c r="L260" s="667"/>
      <c r="M260" s="667"/>
      <c r="N260" s="667"/>
      <c r="O260" s="667"/>
      <c r="P260" s="667"/>
      <c r="Q260" s="616"/>
      <c r="R260" s="490" t="str">
        <f t="shared" si="3"/>
        <v>DELETE</v>
      </c>
    </row>
    <row r="261" spans="1:18" ht="36" customHeight="1" x14ac:dyDescent="0.4">
      <c r="A261" s="616"/>
      <c r="B261" s="616"/>
      <c r="C261" s="616"/>
      <c r="D261" s="616"/>
      <c r="E261" s="616"/>
      <c r="F261" s="616"/>
      <c r="G261" s="616"/>
      <c r="H261" s="616"/>
      <c r="I261" s="616"/>
      <c r="J261" s="616"/>
      <c r="K261" s="616"/>
      <c r="L261" s="616"/>
      <c r="M261" s="617"/>
      <c r="N261" s="617"/>
      <c r="O261" s="617"/>
      <c r="P261" s="617"/>
      <c r="Q261" s="616"/>
      <c r="R261" s="490" t="str">
        <f t="shared" si="3"/>
        <v>DELETE</v>
      </c>
    </row>
    <row r="262" spans="1:18" ht="36" customHeight="1" x14ac:dyDescent="0.4">
      <c r="A262" s="616"/>
      <c r="B262" s="616"/>
      <c r="C262" s="616"/>
      <c r="D262" s="615" t="str">
        <f>CONCATENATE("TO THE ",IF(MAX(Criteria!H54:H58)=1,"SHAREHOLDER OF ","SHAREHOLDERS OF "))</f>
        <v xml:space="preserve">TO THE SHAREHOLDERS OF </v>
      </c>
      <c r="E262" s="616"/>
      <c r="F262" s="616"/>
      <c r="G262" s="616"/>
      <c r="H262" s="616"/>
      <c r="I262" s="616"/>
      <c r="J262" s="616"/>
      <c r="K262" s="616"/>
      <c r="L262" s="616"/>
      <c r="M262" s="617"/>
      <c r="N262" s="617"/>
      <c r="O262" s="617"/>
      <c r="P262" s="617"/>
      <c r="Q262" s="616"/>
      <c r="R262" s="490" t="str">
        <f t="shared" si="3"/>
        <v>DELETE</v>
      </c>
    </row>
    <row r="263" spans="1:18" ht="36" customHeight="1" x14ac:dyDescent="0.4">
      <c r="A263" s="616"/>
      <c r="B263" s="616"/>
      <c r="C263" s="616"/>
      <c r="D263" s="615" t="str">
        <f>Criteria!E9</f>
        <v>ABC COMPANY (PROPRIETARY) LIMITED</v>
      </c>
      <c r="E263" s="616"/>
      <c r="F263" s="616"/>
      <c r="G263" s="616"/>
      <c r="H263" s="616"/>
      <c r="I263" s="616"/>
      <c r="J263" s="616"/>
      <c r="K263" s="616"/>
      <c r="L263" s="616"/>
      <c r="M263" s="617"/>
      <c r="N263" s="617"/>
      <c r="O263" s="617"/>
      <c r="P263" s="617"/>
      <c r="Q263" s="616"/>
      <c r="R263" s="490" t="str">
        <f t="shared" si="3"/>
        <v>DELETE</v>
      </c>
    </row>
    <row r="264" spans="1:18" ht="36" customHeight="1" x14ac:dyDescent="0.4">
      <c r="A264" s="616"/>
      <c r="B264" s="616"/>
      <c r="C264" s="616"/>
      <c r="D264" s="616"/>
      <c r="E264" s="616"/>
      <c r="F264" s="616"/>
      <c r="G264" s="616"/>
      <c r="H264" s="616"/>
      <c r="I264" s="616"/>
      <c r="J264" s="616"/>
      <c r="K264" s="616"/>
      <c r="L264" s="616"/>
      <c r="M264" s="617"/>
      <c r="N264" s="617"/>
      <c r="O264" s="617"/>
      <c r="P264" s="617"/>
      <c r="Q264" s="616"/>
      <c r="R264" s="490" t="str">
        <f t="shared" si="3"/>
        <v>DELETE</v>
      </c>
    </row>
    <row r="265" spans="1:18" ht="36" customHeight="1" x14ac:dyDescent="0.4">
      <c r="A265" s="616"/>
      <c r="B265" s="616"/>
      <c r="C265" s="616"/>
      <c r="D265" s="664" t="str">
        <f>CONCATENATE("We have reviewed the annual Financial Statements of ",Criteria!E11,", set out on pages ",Q601," to ",MAX(Q601:Q2803),", which comprise the statement of financial position as at ",Criteria!G24," and the statement of comprehensive income, statement of changes in equity and statement of cash flows for the year then ended and notes to the Financial Statements, including a summary of significant accounting policies and other explanatory information.")</f>
        <v>We have reviewed the annual Financial Statements of ABC Company (Pty) Ltd, set out on pages 13 to 74, which comprise the statement of financial position as at 28 February 2026 and the statement of comprehensive income, statement of changes in equity and statement of cash flows for the year then ended and notes to the Financial Statements, including a summary of significant accounting policies and other explanatory information.</v>
      </c>
      <c r="E265" s="664"/>
      <c r="F265" s="664"/>
      <c r="G265" s="664"/>
      <c r="H265" s="664"/>
      <c r="I265" s="664"/>
      <c r="J265" s="664"/>
      <c r="K265" s="664"/>
      <c r="L265" s="664"/>
      <c r="M265" s="664"/>
      <c r="N265" s="664"/>
      <c r="O265" s="664"/>
      <c r="P265" s="664"/>
      <c r="Q265" s="664"/>
      <c r="R265" s="490" t="str">
        <f t="shared" si="3"/>
        <v>DELETE</v>
      </c>
    </row>
    <row r="266" spans="1:18" ht="36" customHeight="1" x14ac:dyDescent="0.4">
      <c r="A266" s="616"/>
      <c r="B266" s="616"/>
      <c r="C266" s="616"/>
      <c r="D266" s="664"/>
      <c r="E266" s="664"/>
      <c r="F266" s="664"/>
      <c r="G266" s="664"/>
      <c r="H266" s="664"/>
      <c r="I266" s="664"/>
      <c r="J266" s="664"/>
      <c r="K266" s="664"/>
      <c r="L266" s="664"/>
      <c r="M266" s="664"/>
      <c r="N266" s="664"/>
      <c r="O266" s="664"/>
      <c r="P266" s="664"/>
      <c r="Q266" s="664"/>
      <c r="R266" s="490" t="str">
        <f t="shared" si="3"/>
        <v>DELETE</v>
      </c>
    </row>
    <row r="267" spans="1:18" ht="36" customHeight="1" x14ac:dyDescent="0.4">
      <c r="A267" s="616"/>
      <c r="B267" s="616"/>
      <c r="C267" s="616"/>
      <c r="D267" s="664"/>
      <c r="E267" s="664"/>
      <c r="F267" s="664"/>
      <c r="G267" s="664"/>
      <c r="H267" s="664"/>
      <c r="I267" s="664"/>
      <c r="J267" s="664"/>
      <c r="K267" s="664"/>
      <c r="L267" s="664"/>
      <c r="M267" s="664"/>
      <c r="N267" s="664"/>
      <c r="O267" s="664"/>
      <c r="P267" s="664"/>
      <c r="Q267" s="664"/>
      <c r="R267" s="490" t="str">
        <f t="shared" si="3"/>
        <v>DELETE</v>
      </c>
    </row>
    <row r="268" spans="1:18" ht="36" customHeight="1" x14ac:dyDescent="0.4">
      <c r="A268" s="616"/>
      <c r="B268" s="616"/>
      <c r="C268" s="616"/>
      <c r="D268" s="664"/>
      <c r="E268" s="664"/>
      <c r="F268" s="664"/>
      <c r="G268" s="664"/>
      <c r="H268" s="664"/>
      <c r="I268" s="664"/>
      <c r="J268" s="664"/>
      <c r="K268" s="664"/>
      <c r="L268" s="664"/>
      <c r="M268" s="664"/>
      <c r="N268" s="664"/>
      <c r="O268" s="664"/>
      <c r="P268" s="664"/>
      <c r="Q268" s="664"/>
      <c r="R268" s="490" t="str">
        <f t="shared" si="3"/>
        <v>DELETE</v>
      </c>
    </row>
    <row r="269" spans="1:18" ht="36" customHeight="1" x14ac:dyDescent="0.4">
      <c r="A269" s="616"/>
      <c r="B269" s="616"/>
      <c r="C269" s="616"/>
      <c r="D269" s="664"/>
      <c r="E269" s="664"/>
      <c r="F269" s="664"/>
      <c r="G269" s="664"/>
      <c r="H269" s="664"/>
      <c r="I269" s="664"/>
      <c r="J269" s="664"/>
      <c r="K269" s="664"/>
      <c r="L269" s="664"/>
      <c r="M269" s="664"/>
      <c r="N269" s="664"/>
      <c r="O269" s="664"/>
      <c r="P269" s="664"/>
      <c r="Q269" s="664"/>
      <c r="R269" s="490" t="str">
        <f t="shared" si="3"/>
        <v>DELETE</v>
      </c>
    </row>
    <row r="270" spans="1:18" ht="36" customHeight="1" x14ac:dyDescent="0.4">
      <c r="A270" s="616"/>
      <c r="B270" s="616"/>
      <c r="C270" s="616"/>
      <c r="D270" s="664"/>
      <c r="E270" s="664"/>
      <c r="F270" s="664"/>
      <c r="G270" s="664"/>
      <c r="H270" s="664"/>
      <c r="I270" s="664"/>
      <c r="J270" s="664"/>
      <c r="K270" s="664"/>
      <c r="L270" s="664"/>
      <c r="M270" s="664"/>
      <c r="N270" s="664"/>
      <c r="O270" s="664"/>
      <c r="P270" s="664"/>
      <c r="Q270" s="664"/>
      <c r="R270" s="490" t="str">
        <f t="shared" si="3"/>
        <v>DELETE</v>
      </c>
    </row>
    <row r="271" spans="1:18" ht="36" customHeight="1" x14ac:dyDescent="0.4">
      <c r="A271" s="616"/>
      <c r="B271" s="616"/>
      <c r="C271" s="616"/>
      <c r="D271" s="616"/>
      <c r="E271" s="616"/>
      <c r="F271" s="616"/>
      <c r="G271" s="616"/>
      <c r="H271" s="616"/>
      <c r="I271" s="616"/>
      <c r="J271" s="616"/>
      <c r="K271" s="616"/>
      <c r="L271" s="616"/>
      <c r="M271" s="617"/>
      <c r="N271" s="617"/>
      <c r="O271" s="617"/>
      <c r="P271" s="617"/>
      <c r="Q271" s="616"/>
      <c r="R271" s="490" t="str">
        <f t="shared" si="3"/>
        <v>DELETE</v>
      </c>
    </row>
    <row r="272" spans="1:18" ht="36" customHeight="1" x14ac:dyDescent="0.4">
      <c r="A272" s="616"/>
      <c r="B272" s="616"/>
      <c r="C272" s="616"/>
      <c r="D272" s="626" t="s">
        <v>1251</v>
      </c>
      <c r="E272" s="616"/>
      <c r="F272" s="616"/>
      <c r="G272" s="616"/>
      <c r="H272" s="616"/>
      <c r="I272" s="616"/>
      <c r="J272" s="616"/>
      <c r="K272" s="616"/>
      <c r="L272" s="616"/>
      <c r="M272" s="617"/>
      <c r="N272" s="617"/>
      <c r="O272" s="617"/>
      <c r="P272" s="617"/>
      <c r="Q272" s="616"/>
      <c r="R272" s="490" t="str">
        <f t="shared" si="3"/>
        <v>DELETE</v>
      </c>
    </row>
    <row r="273" spans="1:18" ht="36" customHeight="1" x14ac:dyDescent="0.4">
      <c r="A273" s="616"/>
      <c r="B273" s="616"/>
      <c r="C273" s="616"/>
      <c r="D273" s="616"/>
      <c r="E273" s="616"/>
      <c r="F273" s="616"/>
      <c r="G273" s="616"/>
      <c r="H273" s="616"/>
      <c r="I273" s="616"/>
      <c r="J273" s="616"/>
      <c r="K273" s="616"/>
      <c r="L273" s="616"/>
      <c r="M273" s="617"/>
      <c r="N273" s="617"/>
      <c r="O273" s="617"/>
      <c r="P273" s="617"/>
      <c r="Q273" s="616"/>
      <c r="R273" s="490" t="str">
        <f t="shared" si="3"/>
        <v>DELETE</v>
      </c>
    </row>
    <row r="274" spans="1:18" ht="36" customHeight="1" x14ac:dyDescent="0.4">
      <c r="A274" s="616"/>
      <c r="B274" s="616"/>
      <c r="C274" s="616"/>
      <c r="D274" s="616" t="s">
        <v>1614</v>
      </c>
      <c r="E274" s="616"/>
      <c r="F274" s="616"/>
      <c r="G274" s="616"/>
      <c r="H274" s="616"/>
      <c r="I274" s="616"/>
      <c r="J274" s="616"/>
      <c r="K274" s="616"/>
      <c r="L274" s="616"/>
      <c r="M274" s="617"/>
      <c r="N274" s="617"/>
      <c r="O274" s="617"/>
      <c r="P274" s="617"/>
      <c r="Q274" s="616"/>
      <c r="R274" s="490" t="str">
        <f t="shared" si="3"/>
        <v>DELETE</v>
      </c>
    </row>
    <row r="275" spans="1:18" ht="36" customHeight="1" x14ac:dyDescent="0.4">
      <c r="A275" s="616"/>
      <c r="B275" s="616"/>
      <c r="C275" s="616"/>
      <c r="D275" s="616" t="s">
        <v>1615</v>
      </c>
      <c r="E275" s="616"/>
      <c r="F275" s="616"/>
      <c r="G275" s="616"/>
      <c r="H275" s="616"/>
      <c r="I275" s="616"/>
      <c r="J275" s="616"/>
      <c r="K275" s="616"/>
      <c r="L275" s="616"/>
      <c r="M275" s="617"/>
      <c r="N275" s="617"/>
      <c r="O275" s="617"/>
      <c r="P275" s="617"/>
      <c r="Q275" s="616"/>
      <c r="R275" s="490" t="str">
        <f t="shared" si="3"/>
        <v>DELETE</v>
      </c>
    </row>
    <row r="276" spans="1:18" ht="36" customHeight="1" x14ac:dyDescent="0.4">
      <c r="A276" s="616"/>
      <c r="B276" s="616"/>
      <c r="C276" s="616"/>
      <c r="D276" s="616" t="s">
        <v>1616</v>
      </c>
      <c r="E276" s="616"/>
      <c r="F276" s="616"/>
      <c r="G276" s="616"/>
      <c r="H276" s="616"/>
      <c r="I276" s="616"/>
      <c r="J276" s="616"/>
      <c r="K276" s="616"/>
      <c r="L276" s="616"/>
      <c r="M276" s="617"/>
      <c r="N276" s="617"/>
      <c r="O276" s="617"/>
      <c r="P276" s="617"/>
      <c r="Q276" s="616"/>
      <c r="R276" s="490" t="str">
        <f t="shared" si="3"/>
        <v>DELETE</v>
      </c>
    </row>
    <row r="277" spans="1:18" ht="36" customHeight="1" x14ac:dyDescent="0.4">
      <c r="A277" s="616"/>
      <c r="B277" s="616"/>
      <c r="C277" s="616"/>
      <c r="D277" s="616" t="s">
        <v>1617</v>
      </c>
      <c r="E277" s="616"/>
      <c r="F277" s="616"/>
      <c r="G277" s="616"/>
      <c r="H277" s="616"/>
      <c r="I277" s="616"/>
      <c r="J277" s="616"/>
      <c r="K277" s="616"/>
      <c r="L277" s="616"/>
      <c r="M277" s="617"/>
      <c r="N277" s="617"/>
      <c r="O277" s="617"/>
      <c r="P277" s="617"/>
      <c r="Q277" s="616"/>
      <c r="R277" s="490" t="str">
        <f t="shared" si="3"/>
        <v>DELETE</v>
      </c>
    </row>
    <row r="278" spans="1:18" ht="36" customHeight="1" x14ac:dyDescent="0.4">
      <c r="A278" s="616"/>
      <c r="B278" s="616"/>
      <c r="C278" s="616"/>
      <c r="D278" s="616" t="s">
        <v>1618</v>
      </c>
      <c r="E278" s="616"/>
      <c r="F278" s="616"/>
      <c r="G278" s="616"/>
      <c r="H278" s="616"/>
      <c r="I278" s="616"/>
      <c r="J278" s="616"/>
      <c r="K278" s="616"/>
      <c r="L278" s="616"/>
      <c r="M278" s="617"/>
      <c r="N278" s="617"/>
      <c r="O278" s="617"/>
      <c r="P278" s="617"/>
      <c r="Q278" s="616"/>
      <c r="R278" s="490" t="str">
        <f t="shared" si="3"/>
        <v>DELETE</v>
      </c>
    </row>
    <row r="279" spans="1:18" ht="36" customHeight="1" x14ac:dyDescent="0.4">
      <c r="A279" s="616"/>
      <c r="B279" s="616"/>
      <c r="C279" s="616"/>
      <c r="D279" s="616" t="s">
        <v>1619</v>
      </c>
      <c r="E279" s="616"/>
      <c r="F279" s="616"/>
      <c r="G279" s="616"/>
      <c r="H279" s="616"/>
      <c r="I279" s="616"/>
      <c r="J279" s="616"/>
      <c r="K279" s="616"/>
      <c r="L279" s="616"/>
      <c r="M279" s="617"/>
      <c r="N279" s="617"/>
      <c r="O279" s="617"/>
      <c r="P279" s="617"/>
      <c r="Q279" s="616"/>
      <c r="R279" s="490" t="str">
        <f t="shared" si="3"/>
        <v>DELETE</v>
      </c>
    </row>
    <row r="280" spans="1:18" ht="36" customHeight="1" x14ac:dyDescent="0.4">
      <c r="A280" s="616"/>
      <c r="B280" s="616"/>
      <c r="C280" s="616"/>
      <c r="D280" s="616" t="s">
        <v>1621</v>
      </c>
      <c r="E280" s="616"/>
      <c r="F280" s="616"/>
      <c r="G280" s="616"/>
      <c r="H280" s="616"/>
      <c r="I280" s="616"/>
      <c r="J280" s="616"/>
      <c r="K280" s="616"/>
      <c r="L280" s="616"/>
      <c r="M280" s="617"/>
      <c r="N280" s="617"/>
      <c r="O280" s="617"/>
      <c r="P280" s="617"/>
      <c r="Q280" s="616"/>
      <c r="R280" s="490" t="str">
        <f t="shared" si="3"/>
        <v>DELETE</v>
      </c>
    </row>
    <row r="281" spans="1:18" ht="36" customHeight="1" x14ac:dyDescent="0.4">
      <c r="A281" s="616"/>
      <c r="B281" s="616"/>
      <c r="C281" s="616"/>
      <c r="D281" s="616" t="s">
        <v>1620</v>
      </c>
      <c r="E281" s="616"/>
      <c r="F281" s="616"/>
      <c r="G281" s="616"/>
      <c r="H281" s="616"/>
      <c r="I281" s="616"/>
      <c r="J281" s="616"/>
      <c r="K281" s="616"/>
      <c r="L281" s="616"/>
      <c r="M281" s="617"/>
      <c r="N281" s="617"/>
      <c r="O281" s="617"/>
      <c r="P281" s="617"/>
      <c r="Q281" s="616"/>
      <c r="R281" s="490" t="str">
        <f t="shared" si="3"/>
        <v>DELETE</v>
      </c>
    </row>
    <row r="282" spans="1:18" ht="36" customHeight="1" x14ac:dyDescent="0.4">
      <c r="A282" s="616"/>
      <c r="B282" s="616"/>
      <c r="C282" s="616"/>
      <c r="D282" s="616"/>
      <c r="E282" s="616"/>
      <c r="F282" s="616"/>
      <c r="G282" s="616"/>
      <c r="H282" s="616"/>
      <c r="I282" s="616"/>
      <c r="J282" s="616"/>
      <c r="K282" s="616"/>
      <c r="L282" s="616"/>
      <c r="M282" s="617"/>
      <c r="N282" s="617"/>
      <c r="O282" s="617"/>
      <c r="P282" s="617"/>
      <c r="Q282" s="616"/>
      <c r="R282" s="490" t="str">
        <f t="shared" si="3"/>
        <v>DELETE</v>
      </c>
    </row>
    <row r="283" spans="1:18" ht="36" customHeight="1" x14ac:dyDescent="0.4">
      <c r="A283" s="616"/>
      <c r="B283" s="616"/>
      <c r="C283" s="616"/>
      <c r="D283" s="616" t="s">
        <v>1545</v>
      </c>
      <c r="E283" s="616"/>
      <c r="F283" s="616"/>
      <c r="G283" s="616"/>
      <c r="H283" s="616"/>
      <c r="I283" s="616"/>
      <c r="J283" s="616"/>
      <c r="K283" s="616"/>
      <c r="L283" s="616"/>
      <c r="M283" s="617"/>
      <c r="N283" s="617"/>
      <c r="O283" s="617"/>
      <c r="P283" s="617"/>
      <c r="Q283" s="616"/>
      <c r="R283" s="490" t="str">
        <f t="shared" si="3"/>
        <v>DELETE</v>
      </c>
    </row>
    <row r="284" spans="1:18" ht="36" customHeight="1" x14ac:dyDescent="0.4">
      <c r="A284" s="616"/>
      <c r="B284" s="616"/>
      <c r="C284" s="616"/>
      <c r="D284" s="616" t="s">
        <v>1546</v>
      </c>
      <c r="E284" s="616"/>
      <c r="F284" s="616"/>
      <c r="G284" s="616"/>
      <c r="H284" s="616"/>
      <c r="I284" s="616"/>
      <c r="J284" s="616"/>
      <c r="K284" s="616"/>
      <c r="L284" s="616"/>
      <c r="M284" s="617"/>
      <c r="N284" s="617"/>
      <c r="O284" s="617"/>
      <c r="P284" s="617"/>
      <c r="Q284" s="616"/>
      <c r="R284" s="490" t="str">
        <f t="shared" si="3"/>
        <v>DELETE</v>
      </c>
    </row>
    <row r="285" spans="1:18" ht="36" customHeight="1" x14ac:dyDescent="0.4">
      <c r="A285" s="616"/>
      <c r="B285" s="616"/>
      <c r="C285" s="616"/>
      <c r="D285" s="616" t="s">
        <v>1624</v>
      </c>
      <c r="E285" s="616"/>
      <c r="F285" s="616"/>
      <c r="G285" s="616"/>
      <c r="H285" s="616"/>
      <c r="I285" s="616"/>
      <c r="J285" s="616"/>
      <c r="K285" s="616"/>
      <c r="L285" s="616"/>
      <c r="M285" s="617"/>
      <c r="N285" s="617"/>
      <c r="O285" s="617"/>
      <c r="P285" s="617"/>
      <c r="Q285" s="616"/>
      <c r="R285" s="490" t="str">
        <f t="shared" si="3"/>
        <v>DELETE</v>
      </c>
    </row>
    <row r="286" spans="1:18" ht="36" customHeight="1" x14ac:dyDescent="0.4">
      <c r="A286" s="616"/>
      <c r="B286" s="616"/>
      <c r="C286" s="616"/>
      <c r="D286" s="616" t="s">
        <v>1623</v>
      </c>
      <c r="E286" s="616"/>
      <c r="F286" s="616"/>
      <c r="G286" s="616"/>
      <c r="H286" s="616"/>
      <c r="I286" s="616"/>
      <c r="J286" s="616"/>
      <c r="K286" s="616"/>
      <c r="L286" s="616"/>
      <c r="M286" s="617"/>
      <c r="N286" s="617"/>
      <c r="O286" s="617"/>
      <c r="P286" s="617"/>
      <c r="Q286" s="616"/>
      <c r="R286" s="490" t="str">
        <f t="shared" si="3"/>
        <v>DELETE</v>
      </c>
    </row>
    <row r="287" spans="1:18" ht="36" customHeight="1" x14ac:dyDescent="0.4">
      <c r="A287" s="616"/>
      <c r="B287" s="616"/>
      <c r="C287" s="616"/>
      <c r="D287" s="616"/>
      <c r="E287" s="616"/>
      <c r="F287" s="616"/>
      <c r="G287" s="616"/>
      <c r="H287" s="616"/>
      <c r="I287" s="616"/>
      <c r="J287" s="616"/>
      <c r="K287" s="616"/>
      <c r="L287" s="616"/>
      <c r="M287" s="617"/>
      <c r="N287" s="617"/>
      <c r="O287" s="617"/>
      <c r="P287" s="617"/>
      <c r="Q287" s="616"/>
      <c r="R287" s="490" t="str">
        <f t="shared" si="3"/>
        <v>DELETE</v>
      </c>
    </row>
    <row r="288" spans="1:18" ht="36" customHeight="1" x14ac:dyDescent="0.4">
      <c r="A288" s="616"/>
      <c r="B288" s="616"/>
      <c r="C288" s="616"/>
      <c r="D288" s="616" t="s">
        <v>1625</v>
      </c>
      <c r="E288" s="616"/>
      <c r="F288" s="616"/>
      <c r="G288" s="616"/>
      <c r="H288" s="616"/>
      <c r="I288" s="616"/>
      <c r="J288" s="616"/>
      <c r="K288" s="616"/>
      <c r="L288" s="616"/>
      <c r="M288" s="617"/>
      <c r="N288" s="617"/>
      <c r="O288" s="617"/>
      <c r="P288" s="617"/>
      <c r="Q288" s="616"/>
      <c r="R288" s="490" t="str">
        <f t="shared" si="3"/>
        <v>DELETE</v>
      </c>
    </row>
    <row r="289" spans="1:18" ht="36" customHeight="1" x14ac:dyDescent="0.4">
      <c r="A289" s="616"/>
      <c r="B289" s="616"/>
      <c r="C289" s="616"/>
      <c r="D289" s="616" t="s">
        <v>1627</v>
      </c>
      <c r="E289" s="616"/>
      <c r="F289" s="616"/>
      <c r="G289" s="616"/>
      <c r="H289" s="616"/>
      <c r="I289" s="616"/>
      <c r="J289" s="616"/>
      <c r="K289" s="616"/>
      <c r="L289" s="616"/>
      <c r="M289" s="617"/>
      <c r="N289" s="617"/>
      <c r="O289" s="617"/>
      <c r="P289" s="617"/>
      <c r="Q289" s="616"/>
      <c r="R289" s="490" t="str">
        <f t="shared" si="3"/>
        <v>DELETE</v>
      </c>
    </row>
    <row r="290" spans="1:18" ht="36" customHeight="1" x14ac:dyDescent="0.4">
      <c r="A290" s="616"/>
      <c r="B290" s="616"/>
      <c r="C290" s="616"/>
      <c r="D290" s="616" t="s">
        <v>1626</v>
      </c>
      <c r="E290" s="616"/>
      <c r="F290" s="616"/>
      <c r="G290" s="616"/>
      <c r="H290" s="616"/>
      <c r="I290" s="616"/>
      <c r="J290" s="616"/>
      <c r="K290" s="616"/>
      <c r="L290" s="616"/>
      <c r="M290" s="617"/>
      <c r="N290" s="617"/>
      <c r="O290" s="617"/>
      <c r="P290" s="617"/>
      <c r="Q290" s="616"/>
      <c r="R290" s="490" t="str">
        <f t="shared" si="3"/>
        <v>DELETE</v>
      </c>
    </row>
    <row r="291" spans="1:18" ht="36" customHeight="1" x14ac:dyDescent="0.4">
      <c r="A291" s="616"/>
      <c r="B291" s="616"/>
      <c r="C291" s="616"/>
      <c r="D291" s="616"/>
      <c r="E291" s="616"/>
      <c r="F291" s="616"/>
      <c r="G291" s="616"/>
      <c r="H291" s="616"/>
      <c r="I291" s="616"/>
      <c r="J291" s="616"/>
      <c r="K291" s="616"/>
      <c r="L291" s="616"/>
      <c r="M291" s="617"/>
      <c r="N291" s="617"/>
      <c r="O291" s="617"/>
      <c r="P291" s="617"/>
      <c r="Q291" s="616"/>
      <c r="R291" s="490" t="str">
        <f t="shared" si="3"/>
        <v>DELETE</v>
      </c>
    </row>
    <row r="292" spans="1:18" ht="36" customHeight="1" x14ac:dyDescent="0.4">
      <c r="A292" s="616"/>
      <c r="B292" s="616"/>
      <c r="C292" s="616"/>
      <c r="D292" s="616"/>
      <c r="E292" s="616"/>
      <c r="F292" s="616"/>
      <c r="G292" s="616"/>
      <c r="H292" s="616"/>
      <c r="I292" s="616"/>
      <c r="J292" s="616"/>
      <c r="K292" s="616"/>
      <c r="L292" s="616"/>
      <c r="M292" s="617"/>
      <c r="N292" s="617"/>
      <c r="O292" s="617"/>
      <c r="P292" s="617"/>
      <c r="Q292" s="616"/>
      <c r="R292" s="490" t="str">
        <f t="shared" si="3"/>
        <v>DELETE</v>
      </c>
    </row>
    <row r="293" spans="1:18" ht="36" customHeight="1" x14ac:dyDescent="0.4">
      <c r="A293" s="616"/>
      <c r="B293" s="616"/>
      <c r="C293" s="616"/>
      <c r="D293" s="616"/>
      <c r="E293" s="616"/>
      <c r="F293" s="616"/>
      <c r="G293" s="616"/>
      <c r="H293" s="616"/>
      <c r="I293" s="616"/>
      <c r="J293" s="616"/>
      <c r="K293" s="616"/>
      <c r="L293" s="616"/>
      <c r="M293" s="617"/>
      <c r="N293" s="617"/>
      <c r="O293" s="617"/>
      <c r="P293" s="617"/>
      <c r="Q293" s="616"/>
      <c r="R293" s="490" t="str">
        <f t="shared" si="3"/>
        <v>DELETE</v>
      </c>
    </row>
    <row r="294" spans="1:18" ht="36" customHeight="1" x14ac:dyDescent="0.4">
      <c r="A294" s="616"/>
      <c r="B294" s="616"/>
      <c r="C294" s="616"/>
      <c r="D294" s="616"/>
      <c r="E294" s="616"/>
      <c r="F294" s="616"/>
      <c r="G294" s="616"/>
      <c r="H294" s="616"/>
      <c r="I294" s="616"/>
      <c r="J294" s="616"/>
      <c r="K294" s="616"/>
      <c r="L294" s="616"/>
      <c r="M294" s="617"/>
      <c r="N294" s="617"/>
      <c r="O294" s="617"/>
      <c r="P294" s="617"/>
      <c r="Q294" s="616"/>
      <c r="R294" s="490" t="str">
        <f t="shared" si="3"/>
        <v>DELETE</v>
      </c>
    </row>
    <row r="295" spans="1:18" ht="36" customHeight="1" x14ac:dyDescent="0.4">
      <c r="A295" s="616"/>
      <c r="B295" s="616"/>
      <c r="C295" s="616"/>
      <c r="D295" s="616"/>
      <c r="E295" s="616"/>
      <c r="F295" s="616"/>
      <c r="G295" s="616"/>
      <c r="H295" s="616"/>
      <c r="I295" s="616"/>
      <c r="J295" s="616"/>
      <c r="K295" s="616"/>
      <c r="L295" s="616"/>
      <c r="M295" s="617"/>
      <c r="N295" s="617"/>
      <c r="O295" s="617"/>
      <c r="P295" s="617"/>
      <c r="Q295" s="616"/>
      <c r="R295" s="490" t="str">
        <f t="shared" si="3"/>
        <v>DELETE</v>
      </c>
    </row>
    <row r="296" spans="1:18" ht="36" customHeight="1" x14ac:dyDescent="0.4">
      <c r="A296" s="616"/>
      <c r="B296" s="616"/>
      <c r="C296" s="616"/>
      <c r="D296" s="616"/>
      <c r="E296" s="616"/>
      <c r="F296" s="616"/>
      <c r="G296" s="616"/>
      <c r="H296" s="616"/>
      <c r="I296" s="616"/>
      <c r="J296" s="616"/>
      <c r="K296" s="616"/>
      <c r="L296" s="616"/>
      <c r="M296" s="617"/>
      <c r="N296" s="617"/>
      <c r="O296" s="617"/>
      <c r="P296" s="617"/>
      <c r="Q296" s="616"/>
      <c r="R296" s="490" t="str">
        <f t="shared" si="3"/>
        <v>DELETE</v>
      </c>
    </row>
    <row r="297" spans="1:18" ht="36" customHeight="1" x14ac:dyDescent="0.4">
      <c r="A297" s="616"/>
      <c r="B297" s="616"/>
      <c r="C297" s="616"/>
      <c r="D297" s="616"/>
      <c r="E297" s="616"/>
      <c r="F297" s="616"/>
      <c r="G297" s="616"/>
      <c r="H297" s="616"/>
      <c r="I297" s="616"/>
      <c r="J297" s="616"/>
      <c r="K297" s="616"/>
      <c r="L297" s="616"/>
      <c r="M297" s="617"/>
      <c r="N297" s="617"/>
      <c r="O297" s="617"/>
      <c r="P297" s="617"/>
      <c r="Q297" s="616"/>
      <c r="R297" s="490" t="str">
        <f t="shared" si="3"/>
        <v>DELETE</v>
      </c>
    </row>
    <row r="298" spans="1:18" ht="36" customHeight="1" x14ac:dyDescent="0.45">
      <c r="A298" s="616"/>
      <c r="B298" s="616"/>
      <c r="C298" s="616"/>
      <c r="D298" s="616"/>
      <c r="E298" s="616"/>
      <c r="F298" s="616"/>
      <c r="G298" s="616"/>
      <c r="H298" s="616"/>
      <c r="I298" s="616"/>
      <c r="J298" s="616"/>
      <c r="K298" s="616"/>
      <c r="L298" s="616"/>
      <c r="M298" s="617"/>
      <c r="N298" s="617"/>
      <c r="O298" s="454" t="s">
        <v>112</v>
      </c>
      <c r="Q298" s="450">
        <f>MAX($Q$103:Q297)+1</f>
        <v>5</v>
      </c>
      <c r="R298" s="490" t="str">
        <f t="shared" si="3"/>
        <v>DELETE</v>
      </c>
    </row>
    <row r="299" spans="1:18" ht="36" customHeight="1" x14ac:dyDescent="0.4">
      <c r="A299" s="616"/>
      <c r="B299" s="616"/>
      <c r="C299" s="616"/>
      <c r="D299" s="616"/>
      <c r="E299" s="616"/>
      <c r="F299" s="616"/>
      <c r="G299" s="616"/>
      <c r="H299" s="616"/>
      <c r="I299" s="616"/>
      <c r="J299" s="616"/>
      <c r="K299" s="616"/>
      <c r="L299" s="616"/>
      <c r="M299" s="617"/>
      <c r="N299" s="617"/>
      <c r="O299" s="617"/>
      <c r="P299" s="617"/>
      <c r="Q299" s="616"/>
      <c r="R299" s="490" t="str">
        <f t="shared" si="3"/>
        <v>DELETE</v>
      </c>
    </row>
    <row r="300" spans="1:18" ht="36" customHeight="1" x14ac:dyDescent="0.4">
      <c r="A300" s="616"/>
      <c r="B300" s="616"/>
      <c r="C300" s="616"/>
      <c r="D300" s="616"/>
      <c r="E300" s="616"/>
      <c r="F300" s="616"/>
      <c r="G300" s="616"/>
      <c r="H300" s="616"/>
      <c r="I300" s="616"/>
      <c r="J300" s="616"/>
      <c r="K300" s="616"/>
      <c r="L300" s="616"/>
      <c r="M300" s="617"/>
      <c r="N300" s="617"/>
      <c r="O300" s="617"/>
      <c r="P300" s="617"/>
      <c r="Q300" s="616"/>
      <c r="R300" s="490" t="str">
        <f t="shared" si="3"/>
        <v>DELETE</v>
      </c>
    </row>
    <row r="301" spans="1:18" ht="36" customHeight="1" x14ac:dyDescent="0.4">
      <c r="A301" s="616"/>
      <c r="B301" s="616"/>
      <c r="C301" s="616"/>
      <c r="D301" s="616"/>
      <c r="E301" s="616"/>
      <c r="F301" s="616"/>
      <c r="G301" s="616"/>
      <c r="H301" s="616"/>
      <c r="I301" s="616"/>
      <c r="J301" s="616"/>
      <c r="K301" s="616"/>
      <c r="L301" s="616"/>
      <c r="M301" s="617"/>
      <c r="N301" s="617"/>
      <c r="O301" s="617"/>
      <c r="P301" s="617"/>
      <c r="Q301" s="616"/>
      <c r="R301" s="490" t="str">
        <f t="shared" si="3"/>
        <v>DELETE</v>
      </c>
    </row>
    <row r="302" spans="1:18" ht="36" customHeight="1" x14ac:dyDescent="0.4">
      <c r="A302" s="616"/>
      <c r="B302" s="616"/>
      <c r="C302" s="616"/>
      <c r="D302" s="616"/>
      <c r="E302" s="616"/>
      <c r="F302" s="616"/>
      <c r="G302" s="616"/>
      <c r="H302" s="616"/>
      <c r="I302" s="616"/>
      <c r="J302" s="616"/>
      <c r="K302" s="616"/>
      <c r="L302" s="616"/>
      <c r="M302" s="617"/>
      <c r="N302" s="617"/>
      <c r="O302" s="617"/>
      <c r="P302" s="617"/>
      <c r="Q302" s="616"/>
      <c r="R302" s="490" t="str">
        <f t="shared" si="3"/>
        <v>DELETE</v>
      </c>
    </row>
    <row r="303" spans="1:18" ht="36" customHeight="1" x14ac:dyDescent="0.4">
      <c r="A303" s="616"/>
      <c r="B303" s="616"/>
      <c r="C303" s="616"/>
      <c r="D303" s="626" t="s">
        <v>1252</v>
      </c>
      <c r="E303" s="616"/>
      <c r="F303" s="616"/>
      <c r="G303" s="616"/>
      <c r="H303" s="616"/>
      <c r="I303" s="616"/>
      <c r="J303" s="616"/>
      <c r="K303" s="616"/>
      <c r="L303" s="616"/>
      <c r="M303" s="617"/>
      <c r="N303" s="617"/>
      <c r="O303" s="617"/>
      <c r="P303" s="617"/>
      <c r="Q303" s="616"/>
      <c r="R303" s="490" t="str">
        <f t="shared" si="3"/>
        <v>DELETE</v>
      </c>
    </row>
    <row r="304" spans="1:18" ht="36" customHeight="1" x14ac:dyDescent="0.4">
      <c r="A304" s="616"/>
      <c r="B304" s="616"/>
      <c r="C304" s="616"/>
      <c r="D304" s="664" t="str">
        <f>CONCATENATE("Based on our review, nothing has come to our attention that causes us to believe that these Financial Statements do not present fairly, in all material respects, the financial position of ",Criteria!E11," as at ",Criteria!G24," and its financial performance and cash flows for the year then ended in accordance with the International Financial Reporting Standard for Small- and Medium-sized entities and the requirements of the Companies Act of South Africa.")</f>
        <v>Based on our review, nothing has come to our attention that causes us to believe that these Financial Statements do not present fairly, in all material respects, the financial position of ABC Company (Pty) Ltd as at 28 February 2026 and its financial performance and cash flows for the year then ended in accordance with the International Financial Reporting Standard for Small- and Medium-sized entities and the requirements of the Companies Act of South Africa.</v>
      </c>
      <c r="E304" s="664"/>
      <c r="F304" s="664"/>
      <c r="G304" s="664"/>
      <c r="H304" s="664"/>
      <c r="I304" s="664"/>
      <c r="J304" s="664"/>
      <c r="K304" s="664"/>
      <c r="L304" s="664"/>
      <c r="M304" s="664"/>
      <c r="N304" s="664"/>
      <c r="O304" s="664"/>
      <c r="P304" s="664"/>
      <c r="Q304" s="664"/>
      <c r="R304" s="490" t="str">
        <f t="shared" si="3"/>
        <v>DELETE</v>
      </c>
    </row>
    <row r="305" spans="1:18" ht="36" customHeight="1" x14ac:dyDescent="0.4">
      <c r="A305" s="616"/>
      <c r="B305" s="616"/>
      <c r="C305" s="616"/>
      <c r="D305" s="664"/>
      <c r="E305" s="664"/>
      <c r="F305" s="664"/>
      <c r="G305" s="664"/>
      <c r="H305" s="664"/>
      <c r="I305" s="664"/>
      <c r="J305" s="664"/>
      <c r="K305" s="664"/>
      <c r="L305" s="664"/>
      <c r="M305" s="664"/>
      <c r="N305" s="664"/>
      <c r="O305" s="664"/>
      <c r="P305" s="664"/>
      <c r="Q305" s="664"/>
      <c r="R305" s="490" t="str">
        <f t="shared" si="3"/>
        <v>DELETE</v>
      </c>
    </row>
    <row r="306" spans="1:18" ht="36" customHeight="1" x14ac:dyDescent="0.4">
      <c r="A306" s="616"/>
      <c r="B306" s="616"/>
      <c r="C306" s="616"/>
      <c r="D306" s="664"/>
      <c r="E306" s="664"/>
      <c r="F306" s="664"/>
      <c r="G306" s="664"/>
      <c r="H306" s="664"/>
      <c r="I306" s="664"/>
      <c r="J306" s="664"/>
      <c r="K306" s="664"/>
      <c r="L306" s="664"/>
      <c r="M306" s="664"/>
      <c r="N306" s="664"/>
      <c r="O306" s="664"/>
      <c r="P306" s="664"/>
      <c r="Q306" s="664"/>
      <c r="R306" s="490" t="str">
        <f t="shared" si="3"/>
        <v>DELETE</v>
      </c>
    </row>
    <row r="307" spans="1:18" ht="36" customHeight="1" x14ac:dyDescent="0.4">
      <c r="A307" s="616"/>
      <c r="B307" s="616"/>
      <c r="C307" s="616"/>
      <c r="D307" s="664"/>
      <c r="E307" s="664"/>
      <c r="F307" s="664"/>
      <c r="G307" s="664"/>
      <c r="H307" s="664"/>
      <c r="I307" s="664"/>
      <c r="J307" s="664"/>
      <c r="K307" s="664"/>
      <c r="L307" s="664"/>
      <c r="M307" s="664"/>
      <c r="N307" s="664"/>
      <c r="O307" s="664"/>
      <c r="P307" s="664"/>
      <c r="Q307" s="664"/>
      <c r="R307" s="490" t="str">
        <f t="shared" si="3"/>
        <v>DELETE</v>
      </c>
    </row>
    <row r="308" spans="1:18" ht="36" customHeight="1" x14ac:dyDescent="0.4">
      <c r="A308" s="616"/>
      <c r="B308" s="616"/>
      <c r="C308" s="616"/>
      <c r="D308" s="664"/>
      <c r="E308" s="664"/>
      <c r="F308" s="664"/>
      <c r="G308" s="664"/>
      <c r="H308" s="664"/>
      <c r="I308" s="664"/>
      <c r="J308" s="664"/>
      <c r="K308" s="664"/>
      <c r="L308" s="664"/>
      <c r="M308" s="664"/>
      <c r="N308" s="664"/>
      <c r="O308" s="664"/>
      <c r="P308" s="664"/>
      <c r="Q308" s="664"/>
      <c r="R308" s="490" t="str">
        <f t="shared" si="3"/>
        <v>DELETE</v>
      </c>
    </row>
    <row r="309" spans="1:18" ht="36" customHeight="1" x14ac:dyDescent="0.4">
      <c r="A309" s="616"/>
      <c r="B309" s="616"/>
      <c r="C309" s="616"/>
      <c r="D309" s="664"/>
      <c r="E309" s="664"/>
      <c r="F309" s="664"/>
      <c r="G309" s="664"/>
      <c r="H309" s="664"/>
      <c r="I309" s="664"/>
      <c r="J309" s="664"/>
      <c r="K309" s="664"/>
      <c r="L309" s="664"/>
      <c r="M309" s="664"/>
      <c r="N309" s="664"/>
      <c r="O309" s="664"/>
      <c r="P309" s="664"/>
      <c r="Q309" s="664"/>
      <c r="R309" s="490" t="str">
        <f t="shared" si="3"/>
        <v>DELETE</v>
      </c>
    </row>
    <row r="310" spans="1:18" ht="36" customHeight="1" x14ac:dyDescent="0.4">
      <c r="A310" s="616"/>
      <c r="B310" s="616"/>
      <c r="C310" s="616"/>
      <c r="D310" s="664"/>
      <c r="E310" s="664"/>
      <c r="F310" s="664"/>
      <c r="G310" s="664"/>
      <c r="H310" s="664"/>
      <c r="I310" s="664"/>
      <c r="J310" s="664"/>
      <c r="K310" s="664"/>
      <c r="L310" s="664"/>
      <c r="M310" s="664"/>
      <c r="N310" s="664"/>
      <c r="O310" s="664"/>
      <c r="P310" s="664"/>
      <c r="Q310" s="664"/>
      <c r="R310" s="490" t="str">
        <f t="shared" si="3"/>
        <v>DELETE</v>
      </c>
    </row>
    <row r="311" spans="1:18" ht="36" customHeight="1" x14ac:dyDescent="0.4">
      <c r="A311" s="616"/>
      <c r="B311" s="616"/>
      <c r="C311" s="616"/>
      <c r="D311" s="616"/>
      <c r="E311" s="616"/>
      <c r="F311" s="616"/>
      <c r="G311" s="616"/>
      <c r="H311" s="616"/>
      <c r="I311" s="616"/>
      <c r="J311" s="616"/>
      <c r="K311" s="616"/>
      <c r="L311" s="616"/>
      <c r="M311" s="617"/>
      <c r="N311" s="617"/>
      <c r="O311" s="617"/>
      <c r="P311" s="617"/>
      <c r="Q311" s="616"/>
      <c r="R311" s="490" t="str">
        <f t="shared" si="3"/>
        <v>DELETE</v>
      </c>
    </row>
    <row r="312" spans="1:18" ht="36" customHeight="1" x14ac:dyDescent="0.4">
      <c r="A312" s="616"/>
      <c r="B312" s="616"/>
      <c r="C312" s="616"/>
      <c r="D312" s="616"/>
      <c r="E312" s="616"/>
      <c r="F312" s="616"/>
      <c r="G312" s="616"/>
      <c r="H312" s="616"/>
      <c r="I312" s="616"/>
      <c r="J312" s="616"/>
      <c r="K312" s="616"/>
      <c r="L312" s="616"/>
      <c r="M312" s="617"/>
      <c r="N312" s="617"/>
      <c r="O312" s="617"/>
      <c r="P312" s="617"/>
      <c r="Q312" s="616"/>
      <c r="R312" s="490" t="str">
        <f t="shared" si="3"/>
        <v>DELETE</v>
      </c>
    </row>
    <row r="313" spans="1:18" ht="36" customHeight="1" x14ac:dyDescent="0.4">
      <c r="A313" s="616"/>
      <c r="B313" s="616"/>
      <c r="C313" s="616"/>
      <c r="D313" s="616"/>
      <c r="E313" s="616"/>
      <c r="F313" s="616"/>
      <c r="G313" s="616"/>
      <c r="H313" s="616"/>
      <c r="I313" s="616"/>
      <c r="J313" s="616"/>
      <c r="K313" s="616"/>
      <c r="L313" s="616"/>
      <c r="M313" s="617"/>
      <c r="N313" s="617"/>
      <c r="O313" s="617"/>
      <c r="P313" s="617"/>
      <c r="Q313" s="616"/>
      <c r="R313" s="490" t="str">
        <f t="shared" si="3"/>
        <v>DELETE</v>
      </c>
    </row>
    <row r="314" spans="1:18" ht="36" customHeight="1" x14ac:dyDescent="0.4">
      <c r="A314" s="616"/>
      <c r="B314" s="616"/>
      <c r="C314" s="616"/>
      <c r="D314" s="616"/>
      <c r="E314" s="616"/>
      <c r="F314" s="616"/>
      <c r="G314" s="616"/>
      <c r="H314" s="616"/>
      <c r="I314" s="616"/>
      <c r="J314" s="616"/>
      <c r="K314" s="616"/>
      <c r="L314" s="616"/>
      <c r="M314" s="617"/>
      <c r="N314" s="617"/>
      <c r="O314" s="617"/>
      <c r="P314" s="617"/>
      <c r="Q314" s="616"/>
      <c r="R314" s="490" t="str">
        <f t="shared" si="3"/>
        <v>DELETE</v>
      </c>
    </row>
    <row r="315" spans="1:18" ht="36" customHeight="1" x14ac:dyDescent="0.4">
      <c r="A315" s="616"/>
      <c r="B315" s="616"/>
      <c r="C315" s="616"/>
      <c r="D315" s="616"/>
      <c r="E315" s="616"/>
      <c r="F315" s="616"/>
      <c r="G315" s="616"/>
      <c r="H315" s="616"/>
      <c r="I315" s="616"/>
      <c r="J315" s="616"/>
      <c r="K315" s="616"/>
      <c r="L315" s="616"/>
      <c r="M315" s="617"/>
      <c r="N315" s="617"/>
      <c r="O315" s="617"/>
      <c r="P315" s="617"/>
      <c r="Q315" s="616"/>
      <c r="R315" s="490" t="str">
        <f t="shared" si="3"/>
        <v>DELETE</v>
      </c>
    </row>
    <row r="316" spans="1:18" ht="36" customHeight="1" x14ac:dyDescent="0.4">
      <c r="A316" s="616"/>
      <c r="B316" s="616"/>
      <c r="C316" s="616"/>
      <c r="D316" s="616" t="s">
        <v>141</v>
      </c>
      <c r="E316" s="616"/>
      <c r="F316" s="616"/>
      <c r="G316" s="616"/>
      <c r="H316" s="616"/>
      <c r="I316" s="616"/>
      <c r="J316" s="616"/>
      <c r="K316" s="451"/>
      <c r="L316" s="451"/>
      <c r="M316" s="451"/>
      <c r="N316" s="451"/>
      <c r="O316" s="451"/>
      <c r="P316" s="451"/>
      <c r="Q316" s="451"/>
      <c r="R316" s="490" t="str">
        <f t="shared" si="3"/>
        <v>DELETE</v>
      </c>
    </row>
    <row r="317" spans="1:18" ht="36" customHeight="1" x14ac:dyDescent="0.4">
      <c r="A317" s="616"/>
      <c r="B317" s="616"/>
      <c r="C317" s="616"/>
      <c r="D317" s="616" t="s">
        <v>747</v>
      </c>
      <c r="E317" s="616"/>
      <c r="F317" s="616"/>
      <c r="G317" s="616"/>
      <c r="H317" s="616"/>
      <c r="I317" s="616"/>
      <c r="J317" s="616"/>
      <c r="K317" s="451"/>
      <c r="L317" s="451"/>
      <c r="M317" s="451"/>
      <c r="N317" s="451"/>
      <c r="O317" s="451"/>
      <c r="P317" s="451"/>
      <c r="Q317" s="451"/>
      <c r="R317" s="490" t="str">
        <f t="shared" si="3"/>
        <v>DELETE</v>
      </c>
    </row>
    <row r="318" spans="1:18" ht="36" customHeight="1" x14ac:dyDescent="0.4">
      <c r="A318" s="616"/>
      <c r="B318" s="616"/>
      <c r="C318" s="616"/>
      <c r="D318" s="616"/>
      <c r="E318" s="616"/>
      <c r="F318" s="616"/>
      <c r="G318" s="616"/>
      <c r="H318" s="616"/>
      <c r="I318" s="616"/>
      <c r="J318" s="616"/>
      <c r="K318" s="616"/>
      <c r="L318" s="616"/>
      <c r="M318" s="617"/>
      <c r="N318" s="617"/>
      <c r="O318" s="617"/>
      <c r="P318" s="617"/>
      <c r="Q318" s="616"/>
      <c r="R318" s="490" t="str">
        <f t="shared" si="3"/>
        <v>DELETE</v>
      </c>
    </row>
    <row r="319" spans="1:18" ht="36" customHeight="1" x14ac:dyDescent="0.4">
      <c r="A319" s="616"/>
      <c r="B319" s="616"/>
      <c r="C319" s="616"/>
      <c r="D319" s="616"/>
      <c r="E319" s="616"/>
      <c r="F319" s="616"/>
      <c r="G319" s="616"/>
      <c r="H319" s="616"/>
      <c r="I319" s="616"/>
      <c r="J319" s="616"/>
      <c r="K319" s="616" t="s">
        <v>117</v>
      </c>
      <c r="L319" s="616" t="s">
        <v>142</v>
      </c>
      <c r="M319" s="617"/>
      <c r="N319" s="617"/>
      <c r="O319" s="617"/>
      <c r="P319" s="617"/>
      <c r="Q319" s="616"/>
      <c r="R319" s="490" t="str">
        <f t="shared" si="3"/>
        <v>DELETE</v>
      </c>
    </row>
    <row r="320" spans="1:18" ht="36" customHeight="1" x14ac:dyDescent="0.4">
      <c r="A320" s="616"/>
      <c r="B320" s="616"/>
      <c r="C320" s="616"/>
      <c r="D320" s="616"/>
      <c r="E320" s="616"/>
      <c r="F320" s="616"/>
      <c r="G320" s="616"/>
      <c r="H320" s="616"/>
      <c r="I320" s="616"/>
      <c r="J320" s="616"/>
      <c r="K320" s="616"/>
      <c r="L320" s="616" t="str">
        <f>Criteria!E32</f>
        <v>Johannesburg</v>
      </c>
      <c r="M320" s="617"/>
      <c r="N320" s="617"/>
      <c r="O320" s="617"/>
      <c r="P320" s="617"/>
      <c r="Q320" s="616"/>
      <c r="R320" s="490" t="str">
        <f t="shared" si="3"/>
        <v>DELETE</v>
      </c>
    </row>
    <row r="321" spans="1:18" ht="36" customHeight="1" x14ac:dyDescent="0.4">
      <c r="A321" s="616"/>
      <c r="B321" s="616"/>
      <c r="C321" s="616"/>
      <c r="D321" s="616"/>
      <c r="E321" s="616"/>
      <c r="F321" s="616"/>
      <c r="G321" s="616"/>
      <c r="H321" s="616"/>
      <c r="I321" s="616"/>
      <c r="J321" s="616"/>
      <c r="K321" s="616"/>
      <c r="L321" s="616"/>
      <c r="M321" s="617"/>
      <c r="N321" s="617"/>
      <c r="O321" s="617"/>
      <c r="P321" s="617"/>
      <c r="Q321" s="616"/>
      <c r="R321" s="490" t="str">
        <f t="shared" si="3"/>
        <v>DELETE</v>
      </c>
    </row>
    <row r="322" spans="1:18" ht="36" customHeight="1" x14ac:dyDescent="0.4">
      <c r="A322" s="616"/>
      <c r="B322" s="616"/>
      <c r="C322" s="616"/>
      <c r="D322" s="616"/>
      <c r="E322" s="616"/>
      <c r="F322" s="616"/>
      <c r="G322" s="616"/>
      <c r="H322" s="616"/>
      <c r="I322" s="616"/>
      <c r="J322" s="616"/>
      <c r="K322" s="616"/>
      <c r="L322" s="616"/>
      <c r="M322" s="617"/>
      <c r="N322" s="617"/>
      <c r="O322" s="617"/>
      <c r="P322" s="617"/>
      <c r="Q322" s="616"/>
      <c r="R322" s="490" t="str">
        <f t="shared" si="3"/>
        <v>DELETE</v>
      </c>
    </row>
    <row r="323" spans="1:18" ht="36" customHeight="1" x14ac:dyDescent="0.4">
      <c r="A323" s="616"/>
      <c r="B323" s="616"/>
      <c r="C323" s="616"/>
      <c r="D323" s="616"/>
      <c r="E323" s="616"/>
      <c r="F323" s="616"/>
      <c r="G323" s="616"/>
      <c r="H323" s="616"/>
      <c r="I323" s="616"/>
      <c r="J323" s="616"/>
      <c r="K323" s="616"/>
      <c r="L323" s="616"/>
      <c r="M323" s="617"/>
      <c r="N323" s="617"/>
      <c r="O323" s="617"/>
      <c r="P323" s="617"/>
      <c r="Q323" s="616"/>
      <c r="R323" s="490" t="str">
        <f t="shared" si="3"/>
        <v>DELETE</v>
      </c>
    </row>
    <row r="324" spans="1:18" ht="36" customHeight="1" x14ac:dyDescent="0.4">
      <c r="A324" s="616"/>
      <c r="B324" s="616"/>
      <c r="C324" s="616"/>
      <c r="D324" s="616"/>
      <c r="E324" s="616"/>
      <c r="F324" s="616"/>
      <c r="G324" s="616"/>
      <c r="H324" s="616"/>
      <c r="I324" s="616"/>
      <c r="J324" s="616"/>
      <c r="K324" s="616"/>
      <c r="L324" s="616"/>
      <c r="M324" s="617"/>
      <c r="N324" s="617"/>
      <c r="O324" s="617"/>
      <c r="P324" s="617"/>
      <c r="Q324" s="616"/>
      <c r="R324" s="490" t="str">
        <f t="shared" si="3"/>
        <v>DELETE</v>
      </c>
    </row>
    <row r="325" spans="1:18" ht="36" customHeight="1" x14ac:dyDescent="0.4">
      <c r="A325" s="616"/>
      <c r="B325" s="616"/>
      <c r="C325" s="616"/>
      <c r="D325" s="616"/>
      <c r="E325" s="616"/>
      <c r="F325" s="616"/>
      <c r="G325" s="616"/>
      <c r="H325" s="616"/>
      <c r="I325" s="616"/>
      <c r="J325" s="616"/>
      <c r="K325" s="616"/>
      <c r="L325" s="616"/>
      <c r="M325" s="617"/>
      <c r="N325" s="617"/>
      <c r="O325" s="617"/>
      <c r="P325" s="617"/>
      <c r="Q325" s="616"/>
      <c r="R325" s="490" t="str">
        <f t="shared" si="3"/>
        <v>DELETE</v>
      </c>
    </row>
    <row r="326" spans="1:18" ht="36" customHeight="1" x14ac:dyDescent="0.4">
      <c r="A326" s="616"/>
      <c r="B326" s="616"/>
      <c r="C326" s="616"/>
      <c r="D326" s="616"/>
      <c r="E326" s="616"/>
      <c r="F326" s="616"/>
      <c r="G326" s="616"/>
      <c r="H326" s="616"/>
      <c r="I326" s="616"/>
      <c r="J326" s="616"/>
      <c r="K326" s="616"/>
      <c r="L326" s="616"/>
      <c r="M326" s="617"/>
      <c r="N326" s="617"/>
      <c r="O326" s="617"/>
      <c r="P326" s="617"/>
      <c r="Q326" s="616"/>
      <c r="R326" s="490" t="str">
        <f t="shared" si="3"/>
        <v>DELETE</v>
      </c>
    </row>
    <row r="327" spans="1:18" ht="36" customHeight="1" x14ac:dyDescent="0.4">
      <c r="A327" s="616"/>
      <c r="B327" s="616"/>
      <c r="C327" s="616"/>
      <c r="D327" s="616"/>
      <c r="E327" s="616"/>
      <c r="F327" s="616"/>
      <c r="G327" s="616"/>
      <c r="H327" s="616"/>
      <c r="I327" s="616"/>
      <c r="J327" s="616"/>
      <c r="K327" s="616"/>
      <c r="L327" s="616"/>
      <c r="M327" s="617"/>
      <c r="N327" s="617"/>
      <c r="O327" s="617"/>
      <c r="P327" s="617"/>
      <c r="Q327" s="616"/>
      <c r="R327" s="490" t="str">
        <f t="shared" si="3"/>
        <v>DELETE</v>
      </c>
    </row>
    <row r="328" spans="1:18" ht="36" customHeight="1" x14ac:dyDescent="0.4">
      <c r="A328" s="616"/>
      <c r="B328" s="616"/>
      <c r="C328" s="616"/>
      <c r="D328" s="616"/>
      <c r="E328" s="616"/>
      <c r="F328" s="616"/>
      <c r="G328" s="616"/>
      <c r="H328" s="616"/>
      <c r="I328" s="616"/>
      <c r="J328" s="616"/>
      <c r="K328" s="616"/>
      <c r="L328" s="616"/>
      <c r="M328" s="617"/>
      <c r="N328" s="617"/>
      <c r="O328" s="617"/>
      <c r="P328" s="617"/>
      <c r="Q328" s="616"/>
      <c r="R328" s="490" t="str">
        <f t="shared" si="3"/>
        <v>DELETE</v>
      </c>
    </row>
    <row r="329" spans="1:18" ht="36" customHeight="1" x14ac:dyDescent="0.4">
      <c r="A329" s="616"/>
      <c r="B329" s="616"/>
      <c r="C329" s="616"/>
      <c r="D329" s="616"/>
      <c r="E329" s="616"/>
      <c r="F329" s="616"/>
      <c r="G329" s="616"/>
      <c r="H329" s="616"/>
      <c r="I329" s="616"/>
      <c r="J329" s="616"/>
      <c r="K329" s="616"/>
      <c r="L329" s="616"/>
      <c r="M329" s="617"/>
      <c r="N329" s="617"/>
      <c r="O329" s="617"/>
      <c r="P329" s="617"/>
      <c r="Q329" s="616"/>
      <c r="R329" s="490" t="str">
        <f t="shared" si="3"/>
        <v>DELETE</v>
      </c>
    </row>
    <row r="330" spans="1:18" ht="36" customHeight="1" x14ac:dyDescent="0.4">
      <c r="A330" s="616"/>
      <c r="B330" s="616"/>
      <c r="C330" s="616"/>
      <c r="D330" s="616"/>
      <c r="E330" s="616"/>
      <c r="F330" s="616"/>
      <c r="G330" s="616"/>
      <c r="H330" s="616"/>
      <c r="I330" s="616"/>
      <c r="J330" s="616"/>
      <c r="K330" s="616"/>
      <c r="L330" s="616"/>
      <c r="M330" s="617"/>
      <c r="N330" s="617"/>
      <c r="O330" s="617"/>
      <c r="P330" s="617"/>
      <c r="Q330" s="616"/>
      <c r="R330" s="490" t="str">
        <f t="shared" si="3"/>
        <v>DELETE</v>
      </c>
    </row>
    <row r="331" spans="1:18" ht="36" customHeight="1" x14ac:dyDescent="0.4">
      <c r="A331" s="616"/>
      <c r="B331" s="616"/>
      <c r="C331" s="616"/>
      <c r="D331" s="616"/>
      <c r="E331" s="616"/>
      <c r="F331" s="616"/>
      <c r="G331" s="616"/>
      <c r="H331" s="616"/>
      <c r="I331" s="616"/>
      <c r="J331" s="616"/>
      <c r="K331" s="616"/>
      <c r="L331" s="616"/>
      <c r="M331" s="617"/>
      <c r="N331" s="617"/>
      <c r="O331" s="617"/>
      <c r="P331" s="617"/>
      <c r="Q331" s="616"/>
      <c r="R331" s="490" t="str">
        <f t="shared" si="3"/>
        <v>DELETE</v>
      </c>
    </row>
    <row r="332" spans="1:18" ht="36" customHeight="1" x14ac:dyDescent="0.4">
      <c r="A332" s="616"/>
      <c r="B332" s="616"/>
      <c r="C332" s="616"/>
      <c r="D332" s="616"/>
      <c r="E332" s="616"/>
      <c r="F332" s="616"/>
      <c r="G332" s="616"/>
      <c r="H332" s="616"/>
      <c r="I332" s="616"/>
      <c r="J332" s="616"/>
      <c r="K332" s="616"/>
      <c r="L332" s="616"/>
      <c r="M332" s="617"/>
      <c r="N332" s="617"/>
      <c r="O332" s="617"/>
      <c r="P332" s="617"/>
      <c r="Q332" s="616"/>
      <c r="R332" s="490" t="str">
        <f t="shared" si="3"/>
        <v>DELETE</v>
      </c>
    </row>
    <row r="333" spans="1:18" ht="36" customHeight="1" x14ac:dyDescent="0.4">
      <c r="A333" s="616"/>
      <c r="B333" s="616"/>
      <c r="C333" s="616"/>
      <c r="D333" s="616"/>
      <c r="E333" s="616"/>
      <c r="F333" s="616"/>
      <c r="G333" s="616"/>
      <c r="H333" s="616"/>
      <c r="I333" s="616"/>
      <c r="J333" s="616"/>
      <c r="K333" s="616"/>
      <c r="L333" s="616"/>
      <c r="M333" s="617"/>
      <c r="N333" s="617"/>
      <c r="O333" s="617"/>
      <c r="P333" s="617"/>
      <c r="Q333" s="616"/>
      <c r="R333" s="490" t="str">
        <f t="shared" si="3"/>
        <v>DELETE</v>
      </c>
    </row>
    <row r="334" spans="1:18" ht="36" customHeight="1" x14ac:dyDescent="0.4">
      <c r="A334" s="616"/>
      <c r="B334" s="616"/>
      <c r="C334" s="616"/>
      <c r="D334" s="616"/>
      <c r="E334" s="616"/>
      <c r="F334" s="616"/>
      <c r="G334" s="616"/>
      <c r="H334" s="616"/>
      <c r="I334" s="616"/>
      <c r="J334" s="616"/>
      <c r="K334" s="616"/>
      <c r="L334" s="616"/>
      <c r="M334" s="617"/>
      <c r="N334" s="617"/>
      <c r="O334" s="617"/>
      <c r="P334" s="617"/>
      <c r="Q334" s="616"/>
      <c r="R334" s="490" t="str">
        <f t="shared" si="3"/>
        <v>DELETE</v>
      </c>
    </row>
    <row r="335" spans="1:18" ht="36" customHeight="1" x14ac:dyDescent="0.4">
      <c r="A335" s="616"/>
      <c r="B335" s="616"/>
      <c r="C335" s="616"/>
      <c r="D335" s="616"/>
      <c r="E335" s="616"/>
      <c r="F335" s="616"/>
      <c r="G335" s="616"/>
      <c r="H335" s="616"/>
      <c r="I335" s="616"/>
      <c r="J335" s="616"/>
      <c r="K335" s="616"/>
      <c r="L335" s="616"/>
      <c r="M335" s="617"/>
      <c r="N335" s="617"/>
      <c r="O335" s="617"/>
      <c r="P335" s="617"/>
      <c r="Q335" s="616"/>
      <c r="R335" s="490" t="str">
        <f t="shared" si="3"/>
        <v>DELETE</v>
      </c>
    </row>
    <row r="336" spans="1:18" ht="36" customHeight="1" x14ac:dyDescent="0.4">
      <c r="A336" s="616"/>
      <c r="B336" s="616"/>
      <c r="C336" s="616"/>
      <c r="D336" s="616"/>
      <c r="E336" s="616"/>
      <c r="F336" s="616"/>
      <c r="G336" s="616"/>
      <c r="H336" s="616"/>
      <c r="I336" s="616"/>
      <c r="J336" s="616"/>
      <c r="K336" s="616"/>
      <c r="L336" s="616"/>
      <c r="M336" s="617"/>
      <c r="N336" s="617"/>
      <c r="O336" s="617"/>
      <c r="P336" s="617"/>
      <c r="Q336" s="616"/>
      <c r="R336" s="490" t="str">
        <f t="shared" si="3"/>
        <v>DELETE</v>
      </c>
    </row>
    <row r="337" spans="1:18" ht="36" customHeight="1" x14ac:dyDescent="0.4">
      <c r="A337" s="616"/>
      <c r="B337" s="616"/>
      <c r="C337" s="616"/>
      <c r="D337" s="616"/>
      <c r="E337" s="616"/>
      <c r="F337" s="616"/>
      <c r="G337" s="616"/>
      <c r="H337" s="616"/>
      <c r="I337" s="616"/>
      <c r="J337" s="616"/>
      <c r="K337" s="616"/>
      <c r="L337" s="616"/>
      <c r="M337" s="617"/>
      <c r="N337" s="617"/>
      <c r="O337" s="617"/>
      <c r="P337" s="617"/>
      <c r="Q337" s="616"/>
      <c r="R337" s="490" t="str">
        <f t="shared" si="3"/>
        <v>DELETE</v>
      </c>
    </row>
    <row r="338" spans="1:18" ht="36" customHeight="1" x14ac:dyDescent="0.4">
      <c r="A338" s="616"/>
      <c r="B338" s="616"/>
      <c r="C338" s="616"/>
      <c r="D338" s="616"/>
      <c r="E338" s="616"/>
      <c r="F338" s="616"/>
      <c r="G338" s="616"/>
      <c r="H338" s="616"/>
      <c r="I338" s="616"/>
      <c r="J338" s="616"/>
      <c r="K338" s="616"/>
      <c r="L338" s="616"/>
      <c r="M338" s="617"/>
      <c r="N338" s="617"/>
      <c r="O338" s="617"/>
      <c r="P338" s="617"/>
      <c r="Q338" s="616"/>
      <c r="R338" s="490" t="str">
        <f t="shared" si="3"/>
        <v>DELETE</v>
      </c>
    </row>
    <row r="339" spans="1:18" ht="36" customHeight="1" x14ac:dyDescent="0.4">
      <c r="A339" s="616"/>
      <c r="B339" s="616"/>
      <c r="C339" s="616"/>
      <c r="D339" s="616"/>
      <c r="E339" s="616"/>
      <c r="F339" s="616"/>
      <c r="G339" s="616"/>
      <c r="H339" s="616"/>
      <c r="I339" s="616"/>
      <c r="J339" s="616"/>
      <c r="K339" s="616"/>
      <c r="L339" s="616"/>
      <c r="M339" s="617"/>
      <c r="N339" s="617"/>
      <c r="O339" s="617"/>
      <c r="P339" s="617"/>
      <c r="Q339" s="616"/>
      <c r="R339" s="490" t="str">
        <f t="shared" si="3"/>
        <v>DELETE</v>
      </c>
    </row>
    <row r="340" spans="1:18" ht="36" customHeight="1" x14ac:dyDescent="0.4">
      <c r="A340" s="616"/>
      <c r="B340" s="616"/>
      <c r="C340" s="616"/>
      <c r="D340" s="616"/>
      <c r="E340" s="616"/>
      <c r="F340" s="616"/>
      <c r="G340" s="616"/>
      <c r="H340" s="616"/>
      <c r="I340" s="616"/>
      <c r="J340" s="616"/>
      <c r="K340" s="616"/>
      <c r="L340" s="616"/>
      <c r="M340" s="617"/>
      <c r="N340" s="617"/>
      <c r="O340" s="617"/>
      <c r="P340" s="617"/>
      <c r="Q340" s="616"/>
      <c r="R340" s="490" t="str">
        <f t="shared" si="3"/>
        <v>DELETE</v>
      </c>
    </row>
    <row r="341" spans="1:18" ht="36" customHeight="1" x14ac:dyDescent="0.4">
      <c r="A341" s="616"/>
      <c r="B341" s="616"/>
      <c r="C341" s="616"/>
      <c r="D341" s="616"/>
      <c r="E341" s="616"/>
      <c r="F341" s="616"/>
      <c r="G341" s="616"/>
      <c r="H341" s="616"/>
      <c r="I341" s="616"/>
      <c r="J341" s="616"/>
      <c r="K341" s="616"/>
      <c r="L341" s="616"/>
      <c r="M341" s="617"/>
      <c r="N341" s="617"/>
      <c r="O341" s="617"/>
      <c r="P341" s="617"/>
      <c r="Q341" s="616"/>
      <c r="R341" s="490" t="str">
        <f t="shared" si="3"/>
        <v>DELETE</v>
      </c>
    </row>
    <row r="342" spans="1:18" ht="36" customHeight="1" x14ac:dyDescent="0.4">
      <c r="A342" s="616"/>
      <c r="B342" s="616"/>
      <c r="C342" s="616"/>
      <c r="D342" s="616"/>
      <c r="E342" s="616"/>
      <c r="F342" s="616"/>
      <c r="G342" s="616"/>
      <c r="H342" s="616"/>
      <c r="I342" s="616"/>
      <c r="J342" s="616"/>
      <c r="K342" s="616"/>
      <c r="L342" s="616"/>
      <c r="M342" s="617"/>
      <c r="N342" s="617"/>
      <c r="O342" s="617"/>
      <c r="P342" s="617"/>
      <c r="Q342" s="616"/>
      <c r="R342" s="490" t="str">
        <f t="shared" si="3"/>
        <v>DELETE</v>
      </c>
    </row>
    <row r="343" spans="1:18" ht="36" customHeight="1" x14ac:dyDescent="0.4">
      <c r="A343" s="616"/>
      <c r="B343" s="616"/>
      <c r="C343" s="616"/>
      <c r="D343" s="616"/>
      <c r="E343" s="616"/>
      <c r="F343" s="616"/>
      <c r="G343" s="616"/>
      <c r="H343" s="616"/>
      <c r="I343" s="616"/>
      <c r="J343" s="616"/>
      <c r="K343" s="616"/>
      <c r="L343" s="616"/>
      <c r="M343" s="617"/>
      <c r="N343" s="617"/>
      <c r="O343" s="617"/>
      <c r="P343" s="617"/>
      <c r="Q343" s="616"/>
      <c r="R343" s="490" t="str">
        <f t="shared" si="3"/>
        <v>DELETE</v>
      </c>
    </row>
    <row r="344" spans="1:18" ht="36" customHeight="1" x14ac:dyDescent="0.4">
      <c r="A344" s="616"/>
      <c r="B344" s="616"/>
      <c r="C344" s="616"/>
      <c r="D344" s="616"/>
      <c r="E344" s="616"/>
      <c r="F344" s="616"/>
      <c r="G344" s="616"/>
      <c r="H344" s="616"/>
      <c r="I344" s="616"/>
      <c r="J344" s="616"/>
      <c r="K344" s="616"/>
      <c r="L344" s="616"/>
      <c r="M344" s="617"/>
      <c r="N344" s="617"/>
      <c r="O344" s="617"/>
      <c r="P344" s="617"/>
      <c r="Q344" s="616"/>
      <c r="R344" s="490" t="str">
        <f t="shared" si="3"/>
        <v>DELETE</v>
      </c>
    </row>
    <row r="345" spans="1:18" ht="36" customHeight="1" x14ac:dyDescent="0.4">
      <c r="A345" s="616"/>
      <c r="B345" s="616"/>
      <c r="C345" s="616"/>
      <c r="D345" s="616"/>
      <c r="E345" s="616"/>
      <c r="F345" s="616"/>
      <c r="G345" s="616"/>
      <c r="H345" s="616"/>
      <c r="I345" s="616"/>
      <c r="J345" s="616"/>
      <c r="K345" s="616"/>
      <c r="L345" s="616"/>
      <c r="M345" s="617"/>
      <c r="N345" s="617"/>
      <c r="O345" s="617"/>
      <c r="P345" s="617"/>
      <c r="Q345" s="616"/>
      <c r="R345" s="490" t="str">
        <f t="shared" si="3"/>
        <v>DELETE</v>
      </c>
    </row>
    <row r="346" spans="1:18" ht="36" customHeight="1" x14ac:dyDescent="0.4">
      <c r="A346" s="616"/>
      <c r="B346" s="616"/>
      <c r="C346" s="616"/>
      <c r="D346" s="616"/>
      <c r="E346" s="616"/>
      <c r="F346" s="616"/>
      <c r="G346" s="616"/>
      <c r="H346" s="616"/>
      <c r="I346" s="616"/>
      <c r="J346" s="616"/>
      <c r="K346" s="616"/>
      <c r="L346" s="616"/>
      <c r="M346" s="617"/>
      <c r="N346" s="617"/>
      <c r="O346" s="617"/>
      <c r="P346" s="617"/>
      <c r="Q346" s="616"/>
      <c r="R346" s="490" t="str">
        <f t="shared" si="3"/>
        <v>DELETE</v>
      </c>
    </row>
    <row r="347" spans="1:18" ht="36" customHeight="1" x14ac:dyDescent="0.45">
      <c r="O347" s="454" t="s">
        <v>112</v>
      </c>
      <c r="Q347" s="450">
        <f>MAX($Q$103:Q346)+1</f>
        <v>6</v>
      </c>
      <c r="R347" s="490" t="str">
        <f>IF(Criteria!E$29="Compilation"," ","DELETE")</f>
        <v xml:space="preserve"> </v>
      </c>
    </row>
    <row r="348" spans="1:18" ht="36" customHeight="1" x14ac:dyDescent="0.45">
      <c r="D348" s="616"/>
      <c r="E348" s="616"/>
      <c r="F348" s="616"/>
      <c r="G348" s="616"/>
      <c r="H348" s="616"/>
      <c r="I348" s="616"/>
      <c r="J348" s="616"/>
      <c r="K348" s="620"/>
      <c r="L348" s="620"/>
      <c r="M348" s="620"/>
      <c r="N348" s="620"/>
      <c r="O348" s="617"/>
      <c r="P348" s="617"/>
      <c r="Q348" s="616"/>
      <c r="R348" s="490" t="str">
        <f t="shared" ref="R348:R400" si="4">R$347</f>
        <v xml:space="preserve"> </v>
      </c>
    </row>
    <row r="349" spans="1:18" ht="36" customHeight="1" x14ac:dyDescent="0.45">
      <c r="D349" s="616"/>
      <c r="E349" s="616"/>
      <c r="F349" s="616"/>
      <c r="G349" s="616"/>
      <c r="H349" s="616"/>
      <c r="I349" s="616"/>
      <c r="J349" s="616"/>
      <c r="K349" s="616"/>
      <c r="L349" s="616"/>
      <c r="M349" s="616"/>
      <c r="N349" s="617"/>
      <c r="O349" s="616"/>
      <c r="P349" s="617"/>
      <c r="Q349" s="616"/>
      <c r="R349" s="490" t="str">
        <f t="shared" si="4"/>
        <v xml:space="preserve"> </v>
      </c>
    </row>
    <row r="350" spans="1:18" ht="36" customHeight="1" x14ac:dyDescent="0.45">
      <c r="D350" s="616"/>
      <c r="E350" s="616"/>
      <c r="F350" s="616"/>
      <c r="G350" s="616"/>
      <c r="H350" s="616"/>
      <c r="I350" s="616"/>
      <c r="J350" s="616"/>
      <c r="K350" s="616"/>
      <c r="L350" s="616"/>
      <c r="M350" s="616"/>
      <c r="N350" s="617"/>
      <c r="O350" s="616"/>
      <c r="P350" s="617"/>
      <c r="Q350" s="616"/>
      <c r="R350" s="490" t="str">
        <f t="shared" si="4"/>
        <v xml:space="preserve"> </v>
      </c>
    </row>
    <row r="351" spans="1:18" ht="36" customHeight="1" x14ac:dyDescent="0.45">
      <c r="D351" s="616"/>
      <c r="E351" s="616"/>
      <c r="F351" s="616"/>
      <c r="G351" s="616"/>
      <c r="H351" s="616"/>
      <c r="I351" s="616"/>
      <c r="J351" s="616"/>
      <c r="K351" s="616"/>
      <c r="L351" s="620"/>
      <c r="M351" s="620"/>
      <c r="N351" s="617"/>
      <c r="O351" s="627"/>
      <c r="P351" s="617"/>
      <c r="Q351" s="616"/>
      <c r="R351" s="490" t="str">
        <f t="shared" si="4"/>
        <v xml:space="preserve"> </v>
      </c>
    </row>
    <row r="352" spans="1:18" ht="36" customHeight="1" x14ac:dyDescent="0.45">
      <c r="D352" s="616"/>
      <c r="E352" s="616"/>
      <c r="F352" s="616"/>
      <c r="G352" s="616"/>
      <c r="H352" s="616"/>
      <c r="I352" s="616"/>
      <c r="J352" s="616"/>
      <c r="K352" s="616"/>
      <c r="L352" s="620"/>
      <c r="M352" s="620"/>
      <c r="N352" s="617"/>
      <c r="O352" s="627"/>
      <c r="P352" s="617"/>
      <c r="Q352" s="616"/>
      <c r="R352" s="490" t="str">
        <f t="shared" si="4"/>
        <v xml:space="preserve"> </v>
      </c>
    </row>
    <row r="353" spans="4:18" ht="36" customHeight="1" x14ac:dyDescent="0.45">
      <c r="D353" s="616"/>
      <c r="E353" s="616"/>
      <c r="F353" s="616"/>
      <c r="G353" s="616"/>
      <c r="H353" s="616"/>
      <c r="I353" s="616"/>
      <c r="J353" s="616"/>
      <c r="K353" s="616"/>
      <c r="L353" s="620"/>
      <c r="M353" s="620"/>
      <c r="N353" s="617"/>
      <c r="O353" s="627"/>
      <c r="P353" s="617"/>
      <c r="Q353" s="616"/>
      <c r="R353" s="490" t="str">
        <f t="shared" si="4"/>
        <v xml:space="preserve"> </v>
      </c>
    </row>
    <row r="354" spans="4:18" ht="36" customHeight="1" x14ac:dyDescent="0.45">
      <c r="D354" s="616"/>
      <c r="E354" s="616"/>
      <c r="F354" s="616"/>
      <c r="G354" s="616"/>
      <c r="H354" s="616"/>
      <c r="I354" s="616"/>
      <c r="J354" s="616"/>
      <c r="K354" s="616"/>
      <c r="L354" s="620"/>
      <c r="M354" s="616"/>
      <c r="N354" s="617"/>
      <c r="O354" s="616"/>
      <c r="P354" s="617"/>
      <c r="Q354" s="616"/>
      <c r="R354" s="490" t="str">
        <f t="shared" si="4"/>
        <v xml:space="preserve"> </v>
      </c>
    </row>
    <row r="355" spans="4:18" ht="36" customHeight="1" x14ac:dyDescent="0.45">
      <c r="D355" s="616"/>
      <c r="E355" s="616"/>
      <c r="F355" s="616"/>
      <c r="G355" s="616"/>
      <c r="H355" s="616"/>
      <c r="I355" s="616"/>
      <c r="J355" s="616"/>
      <c r="K355" s="616"/>
      <c r="L355" s="616"/>
      <c r="M355" s="617"/>
      <c r="N355" s="617"/>
      <c r="O355" s="617"/>
      <c r="P355" s="617"/>
      <c r="Q355" s="616"/>
      <c r="R355" s="490" t="str">
        <f t="shared" si="4"/>
        <v xml:space="preserve"> </v>
      </c>
    </row>
    <row r="356" spans="4:18" ht="36" customHeight="1" x14ac:dyDescent="0.45">
      <c r="D356" s="616"/>
      <c r="E356" s="616"/>
      <c r="F356" s="616"/>
      <c r="G356" s="616"/>
      <c r="H356" s="616"/>
      <c r="I356" s="616"/>
      <c r="J356" s="616"/>
      <c r="K356" s="616"/>
      <c r="L356" s="616"/>
      <c r="M356" s="617"/>
      <c r="N356" s="617"/>
      <c r="O356" s="617"/>
      <c r="P356" s="617"/>
      <c r="Q356" s="616"/>
      <c r="R356" s="490" t="str">
        <f t="shared" si="4"/>
        <v xml:space="preserve"> </v>
      </c>
    </row>
    <row r="357" spans="4:18" ht="36" customHeight="1" x14ac:dyDescent="0.45">
      <c r="D357" s="615" t="s">
        <v>1644</v>
      </c>
      <c r="E357" s="616"/>
      <c r="F357" s="616"/>
      <c r="G357" s="616"/>
      <c r="H357" s="616"/>
      <c r="I357" s="616"/>
      <c r="J357" s="616"/>
      <c r="K357" s="616"/>
      <c r="L357" s="616"/>
      <c r="M357" s="617"/>
      <c r="N357" s="617"/>
      <c r="O357" s="617"/>
      <c r="P357" s="617"/>
      <c r="Q357" s="616"/>
      <c r="R357" s="490" t="str">
        <f t="shared" si="4"/>
        <v xml:space="preserve"> </v>
      </c>
    </row>
    <row r="358" spans="4:18" ht="36" customHeight="1" x14ac:dyDescent="0.45">
      <c r="D358" s="615" t="str">
        <f>IF(MAX(Criteria!I41:I45)&gt;1,"TO THE DIRECTORS OF","TO THE DIRECTOR OF")</f>
        <v>TO THE DIRECTORS OF</v>
      </c>
      <c r="E358" s="616"/>
      <c r="F358" s="616"/>
      <c r="G358" s="616"/>
      <c r="H358" s="616"/>
      <c r="I358" s="616"/>
      <c r="J358" s="616"/>
      <c r="K358" s="616"/>
      <c r="L358" s="616"/>
      <c r="M358" s="617"/>
      <c r="N358" s="617"/>
      <c r="O358" s="617"/>
      <c r="P358" s="617"/>
      <c r="Q358" s="616"/>
      <c r="R358" s="490" t="str">
        <f t="shared" si="4"/>
        <v xml:space="preserve"> </v>
      </c>
    </row>
    <row r="359" spans="4:18" ht="36" customHeight="1" x14ac:dyDescent="0.45">
      <c r="D359" s="615" t="str">
        <f>Criteria!E9</f>
        <v>ABC COMPANY (PROPRIETARY) LIMITED</v>
      </c>
      <c r="E359" s="616"/>
      <c r="F359" s="616"/>
      <c r="G359" s="616"/>
      <c r="H359" s="616"/>
      <c r="I359" s="616"/>
      <c r="J359" s="616"/>
      <c r="K359" s="616"/>
      <c r="L359" s="616"/>
      <c r="M359" s="617"/>
      <c r="N359" s="617"/>
      <c r="O359" s="617"/>
      <c r="P359" s="617"/>
      <c r="Q359" s="616"/>
      <c r="R359" s="490" t="str">
        <f t="shared" si="4"/>
        <v xml:space="preserve"> </v>
      </c>
    </row>
    <row r="360" spans="4:18" ht="36" customHeight="1" x14ac:dyDescent="0.45">
      <c r="D360" s="616"/>
      <c r="E360" s="616"/>
      <c r="F360" s="616"/>
      <c r="G360" s="616"/>
      <c r="H360" s="616"/>
      <c r="I360" s="616"/>
      <c r="J360" s="616"/>
      <c r="K360" s="616"/>
      <c r="L360" s="616"/>
      <c r="M360" s="617"/>
      <c r="N360" s="617"/>
      <c r="O360" s="617"/>
      <c r="P360" s="617"/>
      <c r="Q360" s="616"/>
      <c r="R360" s="490" t="str">
        <f t="shared" si="4"/>
        <v xml:space="preserve"> </v>
      </c>
    </row>
    <row r="361" spans="4:18" ht="36" customHeight="1" x14ac:dyDescent="0.45">
      <c r="D361" s="664" t="str">
        <f>CONCATENATE("We have compiled the annual Financial Statements of ",Criteria!E11,", as set out on pages ",O77," to ",MAX(Q601:Q2803),", based on information you have provided. These Financial Statements comprise the statement of financial position of ",Criteria!E11," as at ",Criteria!G24,", the statement of comprehensive income, statement of changes in equity and statement of cash flows for the year then ended and notes to the Financial Statements, including a summary of significant accounting policies and other explanatory information.")</f>
        <v>We have compiled the annual Financial Statements of ABC Company (Pty) Ltd, as set out on pages 13 to 74, based on information you have provided. These Financial Statements comprise the statement of financial position of ABC Company (Pty) Ltd as at 28 February 2026, the statement of comprehensive income, statement of changes in equity and statement of cash flows for the year then ended and notes to the Financial Statements, including a summary of significant accounting policies and other explanatory information.</v>
      </c>
      <c r="E361" s="664"/>
      <c r="F361" s="664"/>
      <c r="G361" s="664"/>
      <c r="H361" s="664"/>
      <c r="I361" s="664"/>
      <c r="J361" s="664"/>
      <c r="K361" s="664"/>
      <c r="L361" s="664"/>
      <c r="M361" s="664"/>
      <c r="N361" s="664"/>
      <c r="O361" s="664"/>
      <c r="P361" s="664"/>
      <c r="Q361" s="664"/>
      <c r="R361" s="490" t="str">
        <f t="shared" si="4"/>
        <v xml:space="preserve"> </v>
      </c>
    </row>
    <row r="362" spans="4:18" ht="36" customHeight="1" x14ac:dyDescent="0.45">
      <c r="D362" s="664"/>
      <c r="E362" s="664"/>
      <c r="F362" s="664"/>
      <c r="G362" s="664"/>
      <c r="H362" s="664"/>
      <c r="I362" s="664"/>
      <c r="J362" s="664"/>
      <c r="K362" s="664"/>
      <c r="L362" s="664"/>
      <c r="M362" s="664"/>
      <c r="N362" s="664"/>
      <c r="O362" s="664"/>
      <c r="P362" s="664"/>
      <c r="Q362" s="664"/>
      <c r="R362" s="490" t="str">
        <f t="shared" si="4"/>
        <v xml:space="preserve"> </v>
      </c>
    </row>
    <row r="363" spans="4:18" ht="36" customHeight="1" x14ac:dyDescent="0.45">
      <c r="D363" s="664"/>
      <c r="E363" s="664"/>
      <c r="F363" s="664"/>
      <c r="G363" s="664"/>
      <c r="H363" s="664"/>
      <c r="I363" s="664"/>
      <c r="J363" s="664"/>
      <c r="K363" s="664"/>
      <c r="L363" s="664"/>
      <c r="M363" s="664"/>
      <c r="N363" s="664"/>
      <c r="O363" s="664"/>
      <c r="P363" s="664"/>
      <c r="Q363" s="664"/>
      <c r="R363" s="490" t="str">
        <f t="shared" si="4"/>
        <v xml:space="preserve"> </v>
      </c>
    </row>
    <row r="364" spans="4:18" ht="36" customHeight="1" x14ac:dyDescent="0.45">
      <c r="D364" s="664"/>
      <c r="E364" s="664"/>
      <c r="F364" s="664"/>
      <c r="G364" s="664"/>
      <c r="H364" s="664"/>
      <c r="I364" s="664"/>
      <c r="J364" s="664"/>
      <c r="K364" s="664"/>
      <c r="L364" s="664"/>
      <c r="M364" s="664"/>
      <c r="N364" s="664"/>
      <c r="O364" s="664"/>
      <c r="P364" s="664"/>
      <c r="Q364" s="664"/>
      <c r="R364" s="490" t="str">
        <f t="shared" si="4"/>
        <v xml:space="preserve"> </v>
      </c>
    </row>
    <row r="365" spans="4:18" ht="36" customHeight="1" x14ac:dyDescent="0.45">
      <c r="D365" s="664"/>
      <c r="E365" s="664"/>
      <c r="F365" s="664"/>
      <c r="G365" s="664"/>
      <c r="H365" s="664"/>
      <c r="I365" s="664"/>
      <c r="J365" s="664"/>
      <c r="K365" s="664"/>
      <c r="L365" s="664"/>
      <c r="M365" s="664"/>
      <c r="N365" s="664"/>
      <c r="O365" s="664"/>
      <c r="P365" s="664"/>
      <c r="Q365" s="664"/>
      <c r="R365" s="490" t="str">
        <f t="shared" si="4"/>
        <v xml:space="preserve"> </v>
      </c>
    </row>
    <row r="366" spans="4:18" ht="36" customHeight="1" x14ac:dyDescent="0.45">
      <c r="D366" s="664"/>
      <c r="E366" s="664"/>
      <c r="F366" s="664"/>
      <c r="G366" s="664"/>
      <c r="H366" s="664"/>
      <c r="I366" s="664"/>
      <c r="J366" s="664"/>
      <c r="K366" s="664"/>
      <c r="L366" s="664"/>
      <c r="M366" s="664"/>
      <c r="N366" s="664"/>
      <c r="O366" s="664"/>
      <c r="P366" s="664"/>
      <c r="Q366" s="664"/>
      <c r="R366" s="490" t="str">
        <f t="shared" si="4"/>
        <v xml:space="preserve"> </v>
      </c>
    </row>
    <row r="367" spans="4:18" ht="36" customHeight="1" x14ac:dyDescent="0.45">
      <c r="D367" s="664"/>
      <c r="E367" s="664"/>
      <c r="F367" s="664"/>
      <c r="G367" s="664"/>
      <c r="H367" s="664"/>
      <c r="I367" s="664"/>
      <c r="J367" s="664"/>
      <c r="K367" s="664"/>
      <c r="L367" s="664"/>
      <c r="M367" s="664"/>
      <c r="N367" s="664"/>
      <c r="O367" s="664"/>
      <c r="P367" s="664"/>
      <c r="Q367" s="664"/>
      <c r="R367" s="490" t="str">
        <f t="shared" si="4"/>
        <v xml:space="preserve"> </v>
      </c>
    </row>
    <row r="368" spans="4:18" ht="36" customHeight="1" x14ac:dyDescent="0.45">
      <c r="D368" s="616"/>
      <c r="E368" s="616"/>
      <c r="F368" s="616"/>
      <c r="G368" s="616"/>
      <c r="H368" s="616"/>
      <c r="I368" s="616"/>
      <c r="J368" s="616"/>
      <c r="K368" s="616"/>
      <c r="L368" s="616"/>
      <c r="M368" s="617"/>
      <c r="N368" s="617"/>
      <c r="O368" s="617"/>
      <c r="P368" s="617"/>
      <c r="Q368" s="616"/>
      <c r="R368" s="490" t="str">
        <f t="shared" si="4"/>
        <v xml:space="preserve"> </v>
      </c>
    </row>
    <row r="369" spans="4:18" ht="36" customHeight="1" x14ac:dyDescent="0.45">
      <c r="D369" s="616" t="s">
        <v>1629</v>
      </c>
      <c r="E369" s="616"/>
      <c r="F369" s="616"/>
      <c r="G369" s="616"/>
      <c r="H369" s="616"/>
      <c r="I369" s="616"/>
      <c r="J369" s="616"/>
      <c r="K369" s="616"/>
      <c r="L369" s="616"/>
      <c r="M369" s="617"/>
      <c r="N369" s="617"/>
      <c r="O369" s="617"/>
      <c r="P369" s="617"/>
      <c r="Q369" s="616"/>
      <c r="R369" s="490" t="str">
        <f t="shared" si="4"/>
        <v xml:space="preserve"> </v>
      </c>
    </row>
    <row r="370" spans="4:18" ht="36" customHeight="1" x14ac:dyDescent="0.45">
      <c r="D370" s="616" t="s">
        <v>1628</v>
      </c>
      <c r="E370" s="616"/>
      <c r="F370" s="616"/>
      <c r="G370" s="616"/>
      <c r="H370" s="616"/>
      <c r="I370" s="616"/>
      <c r="J370" s="616"/>
      <c r="K370" s="616"/>
      <c r="L370" s="616"/>
      <c r="M370" s="617"/>
      <c r="N370" s="617"/>
      <c r="O370" s="617"/>
      <c r="P370" s="617"/>
      <c r="Q370" s="616"/>
      <c r="R370" s="490" t="str">
        <f t="shared" si="4"/>
        <v xml:space="preserve"> </v>
      </c>
    </row>
    <row r="371" spans="4:18" ht="36" customHeight="1" x14ac:dyDescent="0.45">
      <c r="D371" s="616"/>
      <c r="E371" s="616"/>
      <c r="F371" s="616"/>
      <c r="G371" s="616"/>
      <c r="H371" s="616"/>
      <c r="I371" s="616"/>
      <c r="J371" s="616"/>
      <c r="K371" s="616"/>
      <c r="L371" s="616"/>
      <c r="M371" s="617"/>
      <c r="N371" s="617"/>
      <c r="O371" s="617"/>
      <c r="P371" s="617"/>
      <c r="Q371" s="616"/>
      <c r="R371" s="490" t="str">
        <f t="shared" si="4"/>
        <v xml:space="preserve"> </v>
      </c>
    </row>
    <row r="372" spans="4:18" ht="36" customHeight="1" x14ac:dyDescent="0.45">
      <c r="D372" s="616" t="s">
        <v>1631</v>
      </c>
      <c r="E372" s="616"/>
      <c r="F372" s="616"/>
      <c r="G372" s="616"/>
      <c r="H372" s="616"/>
      <c r="I372" s="616"/>
      <c r="J372" s="616"/>
      <c r="K372" s="616"/>
      <c r="L372" s="616"/>
      <c r="M372" s="617"/>
      <c r="N372" s="617"/>
      <c r="O372" s="617"/>
      <c r="P372" s="617"/>
      <c r="Q372" s="616"/>
      <c r="R372" s="490" t="str">
        <f t="shared" si="4"/>
        <v xml:space="preserve"> </v>
      </c>
    </row>
    <row r="373" spans="4:18" ht="36" customHeight="1" x14ac:dyDescent="0.45">
      <c r="D373" s="616" t="s">
        <v>1630</v>
      </c>
      <c r="E373" s="616"/>
      <c r="F373" s="616"/>
      <c r="G373" s="616"/>
      <c r="H373" s="616"/>
      <c r="I373" s="616"/>
      <c r="J373" s="616"/>
      <c r="K373" s="616"/>
      <c r="L373" s="616"/>
      <c r="M373" s="617"/>
      <c r="N373" s="617"/>
      <c r="O373" s="617"/>
      <c r="P373" s="617"/>
      <c r="Q373" s="616"/>
      <c r="R373" s="490" t="str">
        <f t="shared" si="4"/>
        <v xml:space="preserve"> </v>
      </c>
    </row>
    <row r="374" spans="4:18" ht="36" customHeight="1" x14ac:dyDescent="0.45">
      <c r="D374" s="616" t="s">
        <v>1632</v>
      </c>
      <c r="E374" s="616"/>
      <c r="F374" s="616"/>
      <c r="G374" s="616"/>
      <c r="H374" s="616"/>
      <c r="I374" s="616"/>
      <c r="J374" s="616"/>
      <c r="K374" s="616"/>
      <c r="L374" s="616"/>
      <c r="M374" s="617"/>
      <c r="N374" s="617"/>
      <c r="O374" s="617"/>
      <c r="P374" s="617"/>
      <c r="Q374" s="616"/>
      <c r="R374" s="490" t="str">
        <f t="shared" si="4"/>
        <v xml:space="preserve"> </v>
      </c>
    </row>
    <row r="375" spans="4:18" ht="36" customHeight="1" x14ac:dyDescent="0.45">
      <c r="D375" s="616" t="s">
        <v>1634</v>
      </c>
      <c r="E375" s="616"/>
      <c r="F375" s="616"/>
      <c r="G375" s="616"/>
      <c r="H375" s="616"/>
      <c r="I375" s="616"/>
      <c r="J375" s="616"/>
      <c r="K375" s="616"/>
      <c r="L375" s="616"/>
      <c r="M375" s="617"/>
      <c r="N375" s="617"/>
      <c r="O375" s="617"/>
      <c r="P375" s="617"/>
      <c r="Q375" s="616"/>
      <c r="R375" s="490" t="str">
        <f t="shared" si="4"/>
        <v xml:space="preserve"> </v>
      </c>
    </row>
    <row r="376" spans="4:18" ht="36" customHeight="1" x14ac:dyDescent="0.45">
      <c r="D376" s="616" t="s">
        <v>1633</v>
      </c>
      <c r="E376" s="616"/>
      <c r="F376" s="616"/>
      <c r="G376" s="616"/>
      <c r="H376" s="616"/>
      <c r="I376" s="616"/>
      <c r="J376" s="616"/>
      <c r="K376" s="616"/>
      <c r="L376" s="616"/>
      <c r="M376" s="617"/>
      <c r="N376" s="617"/>
      <c r="O376" s="617"/>
      <c r="P376" s="617"/>
      <c r="Q376" s="616"/>
      <c r="R376" s="490" t="str">
        <f t="shared" si="4"/>
        <v xml:space="preserve"> </v>
      </c>
    </row>
    <row r="377" spans="4:18" ht="36" customHeight="1" x14ac:dyDescent="0.45">
      <c r="D377" s="616"/>
      <c r="E377" s="616"/>
      <c r="F377" s="616"/>
      <c r="G377" s="616"/>
      <c r="H377" s="616"/>
      <c r="I377" s="616"/>
      <c r="J377" s="616"/>
      <c r="K377" s="616"/>
      <c r="L377" s="616"/>
      <c r="M377" s="617"/>
      <c r="N377" s="617"/>
      <c r="O377" s="617"/>
      <c r="P377" s="617"/>
      <c r="Q377" s="616"/>
      <c r="R377" s="490" t="str">
        <f t="shared" si="4"/>
        <v xml:space="preserve"> </v>
      </c>
    </row>
    <row r="378" spans="4:18" ht="36" customHeight="1" x14ac:dyDescent="0.45">
      <c r="D378" s="616" t="s">
        <v>1636</v>
      </c>
      <c r="E378" s="616"/>
      <c r="F378" s="616"/>
      <c r="G378" s="616"/>
      <c r="H378" s="616"/>
      <c r="I378" s="616"/>
      <c r="J378" s="616"/>
      <c r="K378" s="616"/>
      <c r="L378" s="616"/>
      <c r="M378" s="617"/>
      <c r="N378" s="617"/>
      <c r="O378" s="617"/>
      <c r="P378" s="617"/>
      <c r="Q378" s="616"/>
      <c r="R378" s="490" t="str">
        <f t="shared" si="4"/>
        <v xml:space="preserve"> </v>
      </c>
    </row>
    <row r="379" spans="4:18" ht="36" customHeight="1" x14ac:dyDescent="0.45">
      <c r="D379" s="616" t="s">
        <v>1635</v>
      </c>
      <c r="E379" s="616"/>
      <c r="F379" s="616"/>
      <c r="G379" s="616"/>
      <c r="H379" s="616"/>
      <c r="I379" s="616"/>
      <c r="J379" s="616"/>
      <c r="K379" s="616"/>
      <c r="L379" s="616"/>
      <c r="M379" s="617"/>
      <c r="N379" s="617"/>
      <c r="O379" s="617"/>
      <c r="P379" s="617"/>
      <c r="Q379" s="616"/>
      <c r="R379" s="490" t="str">
        <f t="shared" si="4"/>
        <v xml:space="preserve"> </v>
      </c>
    </row>
    <row r="380" spans="4:18" ht="36" customHeight="1" x14ac:dyDescent="0.45">
      <c r="D380" s="616"/>
      <c r="E380" s="616"/>
      <c r="F380" s="616"/>
      <c r="G380" s="616"/>
      <c r="H380" s="616"/>
      <c r="I380" s="616"/>
      <c r="J380" s="616"/>
      <c r="K380" s="616"/>
      <c r="L380" s="616"/>
      <c r="M380" s="617"/>
      <c r="N380" s="617"/>
      <c r="O380" s="617"/>
      <c r="P380" s="617"/>
      <c r="Q380" s="616"/>
      <c r="R380" s="490" t="str">
        <f t="shared" si="4"/>
        <v xml:space="preserve"> </v>
      </c>
    </row>
    <row r="381" spans="4:18" ht="36" customHeight="1" x14ac:dyDescent="0.45">
      <c r="D381" s="616"/>
      <c r="E381" s="616"/>
      <c r="F381" s="616"/>
      <c r="G381" s="616"/>
      <c r="H381" s="616"/>
      <c r="I381" s="616"/>
      <c r="J381" s="616"/>
      <c r="K381" s="616"/>
      <c r="L381" s="616"/>
      <c r="M381" s="617"/>
      <c r="N381" s="617"/>
      <c r="O381" s="617"/>
      <c r="P381" s="617"/>
      <c r="Q381" s="616"/>
      <c r="R381" s="490" t="str">
        <f t="shared" si="4"/>
        <v xml:space="preserve"> </v>
      </c>
    </row>
    <row r="382" spans="4:18" ht="36" customHeight="1" x14ac:dyDescent="0.45">
      <c r="D382" s="616"/>
      <c r="E382" s="616"/>
      <c r="F382" s="616"/>
      <c r="G382" s="616"/>
      <c r="H382" s="616"/>
      <c r="I382" s="616"/>
      <c r="J382" s="616"/>
      <c r="K382" s="616"/>
      <c r="L382" s="616"/>
      <c r="M382" s="617"/>
      <c r="N382" s="617"/>
      <c r="O382" s="617"/>
      <c r="P382" s="617"/>
      <c r="Q382" s="616"/>
      <c r="R382" s="490" t="str">
        <f t="shared" si="4"/>
        <v xml:space="preserve"> </v>
      </c>
    </row>
    <row r="383" spans="4:18" ht="36" customHeight="1" x14ac:dyDescent="0.45">
      <c r="D383" s="616"/>
      <c r="E383" s="616"/>
      <c r="F383" s="616"/>
      <c r="G383" s="616"/>
      <c r="H383" s="616"/>
      <c r="I383" s="616"/>
      <c r="J383" s="616"/>
      <c r="K383" s="616"/>
      <c r="L383" s="616"/>
      <c r="M383" s="617"/>
      <c r="N383" s="617"/>
      <c r="O383" s="617"/>
      <c r="P383" s="617"/>
      <c r="Q383" s="616"/>
      <c r="R383" s="490" t="str">
        <f t="shared" si="4"/>
        <v xml:space="preserve"> </v>
      </c>
    </row>
    <row r="384" spans="4:18" ht="36" customHeight="1" x14ac:dyDescent="0.45">
      <c r="D384" s="616"/>
      <c r="E384" s="616"/>
      <c r="F384" s="616"/>
      <c r="G384" s="616"/>
      <c r="H384" s="616"/>
      <c r="I384" s="616"/>
      <c r="J384" s="616"/>
      <c r="K384" s="616"/>
      <c r="L384" s="616"/>
      <c r="M384" s="617"/>
      <c r="N384" s="617"/>
      <c r="O384" s="617"/>
      <c r="P384" s="617"/>
      <c r="Q384" s="616"/>
      <c r="R384" s="490" t="str">
        <f t="shared" si="4"/>
        <v xml:space="preserve"> </v>
      </c>
    </row>
    <row r="385" spans="4:18" ht="36" customHeight="1" x14ac:dyDescent="0.45">
      <c r="D385" s="616"/>
      <c r="E385" s="616"/>
      <c r="F385" s="616"/>
      <c r="G385" s="616"/>
      <c r="H385" s="616"/>
      <c r="I385" s="616"/>
      <c r="J385" s="616"/>
      <c r="K385" s="616"/>
      <c r="L385" s="616"/>
      <c r="M385" s="617"/>
      <c r="N385" s="617"/>
      <c r="O385" s="617"/>
      <c r="P385" s="617"/>
      <c r="Q385" s="616"/>
      <c r="R385" s="490" t="str">
        <f t="shared" si="4"/>
        <v xml:space="preserve"> </v>
      </c>
    </row>
    <row r="386" spans="4:18" ht="36" customHeight="1" x14ac:dyDescent="0.45">
      <c r="D386" s="616"/>
      <c r="E386" s="616"/>
      <c r="F386" s="616"/>
      <c r="G386" s="616"/>
      <c r="H386" s="616"/>
      <c r="I386" s="616"/>
      <c r="J386" s="616"/>
      <c r="K386" s="616"/>
      <c r="L386" s="616"/>
      <c r="M386" s="617"/>
      <c r="N386" s="617"/>
      <c r="O386" s="617"/>
      <c r="P386" s="617"/>
      <c r="Q386" s="616"/>
      <c r="R386" s="490" t="str">
        <f t="shared" si="4"/>
        <v xml:space="preserve"> </v>
      </c>
    </row>
    <row r="387" spans="4:18" ht="36" customHeight="1" x14ac:dyDescent="0.45">
      <c r="D387" s="616"/>
      <c r="E387" s="616"/>
      <c r="F387" s="616"/>
      <c r="G387" s="616"/>
      <c r="H387" s="616"/>
      <c r="I387" s="616"/>
      <c r="J387" s="616"/>
      <c r="K387" s="616"/>
      <c r="L387" s="616"/>
      <c r="M387" s="617"/>
      <c r="N387" s="617"/>
      <c r="O387" s="617"/>
      <c r="P387" s="617"/>
      <c r="Q387" s="616"/>
      <c r="R387" s="490" t="str">
        <f t="shared" si="4"/>
        <v xml:space="preserve"> </v>
      </c>
    </row>
    <row r="388" spans="4:18" ht="36" customHeight="1" x14ac:dyDescent="0.45">
      <c r="D388" s="616"/>
      <c r="E388" s="616"/>
      <c r="F388" s="616"/>
      <c r="G388" s="616"/>
      <c r="H388" s="616"/>
      <c r="I388" s="616"/>
      <c r="J388" s="616"/>
      <c r="K388" s="616"/>
      <c r="L388" s="616"/>
      <c r="M388" s="617"/>
      <c r="N388" s="617"/>
      <c r="O388" s="617"/>
      <c r="P388" s="617"/>
      <c r="Q388" s="616"/>
      <c r="R388" s="490" t="str">
        <f t="shared" si="4"/>
        <v xml:space="preserve"> </v>
      </c>
    </row>
    <row r="389" spans="4:18" ht="36" customHeight="1" x14ac:dyDescent="0.45">
      <c r="D389" s="616"/>
      <c r="E389" s="616"/>
      <c r="F389" s="616"/>
      <c r="G389" s="616"/>
      <c r="H389" s="616"/>
      <c r="I389" s="616"/>
      <c r="J389" s="616"/>
      <c r="K389" s="616"/>
      <c r="L389" s="616"/>
      <c r="M389" s="617"/>
      <c r="N389" s="617"/>
      <c r="O389" s="617"/>
      <c r="P389" s="617"/>
      <c r="Q389" s="616"/>
      <c r="R389" s="490" t="str">
        <f t="shared" si="4"/>
        <v xml:space="preserve"> </v>
      </c>
    </row>
    <row r="390" spans="4:18" ht="36" customHeight="1" x14ac:dyDescent="0.45">
      <c r="D390" s="616"/>
      <c r="E390" s="616"/>
      <c r="F390" s="616"/>
      <c r="G390" s="616"/>
      <c r="H390" s="616"/>
      <c r="I390" s="616"/>
      <c r="J390" s="616"/>
      <c r="K390" s="616"/>
      <c r="L390" s="616"/>
      <c r="M390" s="617"/>
      <c r="N390" s="617"/>
      <c r="O390" s="617"/>
      <c r="P390" s="617"/>
      <c r="Q390" s="616"/>
      <c r="R390" s="490" t="str">
        <f t="shared" si="4"/>
        <v xml:space="preserve"> </v>
      </c>
    </row>
    <row r="391" spans="4:18" ht="36" customHeight="1" x14ac:dyDescent="0.45">
      <c r="D391" s="616"/>
      <c r="E391" s="616"/>
      <c r="F391" s="616"/>
      <c r="G391" s="616"/>
      <c r="H391" s="616"/>
      <c r="I391" s="616"/>
      <c r="J391" s="616"/>
      <c r="K391" s="616"/>
      <c r="L391" s="616"/>
      <c r="M391" s="617"/>
      <c r="N391" s="617"/>
      <c r="O391" s="617"/>
      <c r="P391" s="617"/>
      <c r="Q391" s="616"/>
      <c r="R391" s="490" t="str">
        <f t="shared" si="4"/>
        <v xml:space="preserve"> </v>
      </c>
    </row>
    <row r="392" spans="4:18" ht="36" customHeight="1" x14ac:dyDescent="0.45">
      <c r="D392" s="616"/>
      <c r="E392" s="616"/>
      <c r="F392" s="616"/>
      <c r="G392" s="616"/>
      <c r="H392" s="616"/>
      <c r="I392" s="616"/>
      <c r="J392" s="616"/>
      <c r="K392" s="616"/>
      <c r="L392" s="616"/>
      <c r="M392" s="617"/>
      <c r="N392" s="617"/>
      <c r="O392" s="617"/>
      <c r="P392" s="617"/>
      <c r="Q392" s="616"/>
      <c r="R392" s="490" t="str">
        <f t="shared" si="4"/>
        <v xml:space="preserve"> </v>
      </c>
    </row>
    <row r="393" spans="4:18" ht="36" customHeight="1" x14ac:dyDescent="0.45">
      <c r="D393" s="616"/>
      <c r="E393" s="616"/>
      <c r="F393" s="616"/>
      <c r="G393" s="616"/>
      <c r="H393" s="616"/>
      <c r="I393" s="616"/>
      <c r="J393" s="616"/>
      <c r="K393" s="616"/>
      <c r="L393" s="616"/>
      <c r="M393" s="617"/>
      <c r="N393" s="617"/>
      <c r="O393" s="617"/>
      <c r="P393" s="617"/>
      <c r="Q393" s="616"/>
      <c r="R393" s="490" t="str">
        <f t="shared" si="4"/>
        <v xml:space="preserve"> </v>
      </c>
    </row>
    <row r="394" spans="4:18" ht="36" customHeight="1" x14ac:dyDescent="0.45">
      <c r="D394" s="616"/>
      <c r="E394" s="616"/>
      <c r="F394" s="616"/>
      <c r="G394" s="616"/>
      <c r="H394" s="616"/>
      <c r="I394" s="616"/>
      <c r="J394" s="616"/>
      <c r="K394" s="616"/>
      <c r="L394" s="616"/>
      <c r="M394" s="617"/>
      <c r="N394" s="617"/>
      <c r="O394" s="454" t="s">
        <v>112</v>
      </c>
      <c r="Q394" s="450">
        <f>MAX($Q$103:Q393)+1</f>
        <v>7</v>
      </c>
      <c r="R394" s="490" t="str">
        <f t="shared" si="4"/>
        <v xml:space="preserve"> </v>
      </c>
    </row>
    <row r="395" spans="4:18" ht="36" customHeight="1" x14ac:dyDescent="0.45">
      <c r="D395" s="616"/>
      <c r="E395" s="616"/>
      <c r="F395" s="616"/>
      <c r="G395" s="616"/>
      <c r="H395" s="616"/>
      <c r="I395" s="616"/>
      <c r="J395" s="616"/>
      <c r="K395" s="616"/>
      <c r="L395" s="616"/>
      <c r="M395" s="617"/>
      <c r="N395" s="617"/>
      <c r="O395" s="617"/>
      <c r="P395" s="617"/>
      <c r="Q395" s="616"/>
      <c r="R395" s="490" t="str">
        <f t="shared" si="4"/>
        <v xml:space="preserve"> </v>
      </c>
    </row>
    <row r="396" spans="4:18" ht="36" customHeight="1" x14ac:dyDescent="0.45">
      <c r="D396" s="616"/>
      <c r="E396" s="616"/>
      <c r="F396" s="616"/>
      <c r="G396" s="616"/>
      <c r="H396" s="616"/>
      <c r="I396" s="616"/>
      <c r="J396" s="616"/>
      <c r="K396" s="616"/>
      <c r="L396" s="616"/>
      <c r="M396" s="617"/>
      <c r="N396" s="617"/>
      <c r="O396" s="617"/>
      <c r="P396" s="617"/>
      <c r="Q396" s="616"/>
      <c r="R396" s="490" t="str">
        <f t="shared" si="4"/>
        <v xml:space="preserve"> </v>
      </c>
    </row>
    <row r="397" spans="4:18" ht="36" customHeight="1" x14ac:dyDescent="0.45">
      <c r="D397" s="616"/>
      <c r="E397" s="616"/>
      <c r="F397" s="616"/>
      <c r="G397" s="616"/>
      <c r="H397" s="616"/>
      <c r="I397" s="616"/>
      <c r="J397" s="616"/>
      <c r="K397" s="616"/>
      <c r="L397" s="616"/>
      <c r="M397" s="617"/>
      <c r="N397" s="617"/>
      <c r="O397" s="617"/>
      <c r="P397" s="617"/>
      <c r="Q397" s="616"/>
      <c r="R397" s="490" t="str">
        <f t="shared" si="4"/>
        <v xml:space="preserve"> </v>
      </c>
    </row>
    <row r="398" spans="4:18" ht="36" customHeight="1" x14ac:dyDescent="0.45">
      <c r="D398" s="616"/>
      <c r="E398" s="616"/>
      <c r="F398" s="616"/>
      <c r="G398" s="616"/>
      <c r="H398" s="616"/>
      <c r="I398" s="616"/>
      <c r="J398" s="616"/>
      <c r="K398" s="616"/>
      <c r="L398" s="616"/>
      <c r="M398" s="617"/>
      <c r="N398" s="617"/>
      <c r="O398" s="617"/>
      <c r="P398" s="617"/>
      <c r="Q398" s="616"/>
      <c r="R398" s="490" t="str">
        <f t="shared" si="4"/>
        <v xml:space="preserve"> </v>
      </c>
    </row>
    <row r="399" spans="4:18" ht="36" customHeight="1" x14ac:dyDescent="0.45">
      <c r="D399" s="616" t="s">
        <v>1637</v>
      </c>
      <c r="E399" s="616"/>
      <c r="F399" s="616"/>
      <c r="G399" s="616"/>
      <c r="H399" s="616"/>
      <c r="I399" s="616"/>
      <c r="J399" s="616"/>
      <c r="K399" s="616"/>
      <c r="L399" s="616"/>
      <c r="M399" s="617"/>
      <c r="N399" s="617"/>
      <c r="O399" s="617"/>
      <c r="P399" s="617"/>
      <c r="Q399" s="616"/>
      <c r="R399" s="490" t="str">
        <f t="shared" si="4"/>
        <v xml:space="preserve"> </v>
      </c>
    </row>
    <row r="400" spans="4:18" ht="36" customHeight="1" x14ac:dyDescent="0.45">
      <c r="D400" s="616" t="s">
        <v>1638</v>
      </c>
      <c r="E400" s="616"/>
      <c r="F400" s="616"/>
      <c r="G400" s="616"/>
      <c r="H400" s="616"/>
      <c r="I400" s="616"/>
      <c r="J400" s="616"/>
      <c r="K400" s="616"/>
      <c r="L400" s="616"/>
      <c r="M400" s="617"/>
      <c r="N400" s="617"/>
      <c r="O400" s="617"/>
      <c r="P400" s="617"/>
      <c r="Q400" s="616"/>
      <c r="R400" s="490" t="str">
        <f t="shared" si="4"/>
        <v xml:space="preserve"> </v>
      </c>
    </row>
    <row r="401" spans="4:18" ht="36" customHeight="1" x14ac:dyDescent="0.45">
      <c r="D401" s="616" t="s">
        <v>1639</v>
      </c>
      <c r="E401" s="616"/>
      <c r="F401" s="616"/>
      <c r="G401" s="616"/>
      <c r="H401" s="616"/>
      <c r="I401" s="616"/>
      <c r="J401" s="616"/>
      <c r="K401" s="616"/>
      <c r="L401" s="616"/>
      <c r="M401" s="617"/>
      <c r="N401" s="617"/>
      <c r="O401" s="617"/>
      <c r="P401" s="617"/>
      <c r="Q401" s="616"/>
      <c r="R401" s="490" t="str">
        <f t="shared" ref="R401:R442" si="5">R$347</f>
        <v xml:space="preserve"> </v>
      </c>
    </row>
    <row r="402" spans="4:18" ht="36" customHeight="1" x14ac:dyDescent="0.45">
      <c r="D402" s="616" t="s">
        <v>1640</v>
      </c>
      <c r="E402" s="616"/>
      <c r="F402" s="616"/>
      <c r="G402" s="616"/>
      <c r="H402" s="616"/>
      <c r="I402" s="616"/>
      <c r="J402" s="616"/>
      <c r="K402" s="616"/>
      <c r="L402" s="616"/>
      <c r="M402" s="617"/>
      <c r="N402" s="617"/>
      <c r="O402" s="617"/>
      <c r="P402" s="617"/>
      <c r="Q402" s="616"/>
      <c r="R402" s="490" t="str">
        <f t="shared" si="5"/>
        <v xml:space="preserve"> </v>
      </c>
    </row>
    <row r="403" spans="4:18" ht="36" customHeight="1" x14ac:dyDescent="0.45">
      <c r="D403" s="616" t="s">
        <v>1642</v>
      </c>
      <c r="E403" s="616"/>
      <c r="F403" s="616"/>
      <c r="G403" s="616"/>
      <c r="H403" s="616"/>
      <c r="I403" s="616"/>
      <c r="J403" s="616"/>
      <c r="K403" s="616"/>
      <c r="L403" s="616"/>
      <c r="M403" s="617"/>
      <c r="N403" s="617"/>
      <c r="O403" s="617"/>
      <c r="P403" s="617"/>
      <c r="Q403" s="616"/>
      <c r="R403" s="490" t="str">
        <f t="shared" si="5"/>
        <v xml:space="preserve"> </v>
      </c>
    </row>
    <row r="404" spans="4:18" ht="36" customHeight="1" x14ac:dyDescent="0.45">
      <c r="D404" s="616" t="s">
        <v>1641</v>
      </c>
      <c r="E404" s="616"/>
      <c r="F404" s="616"/>
      <c r="G404" s="616"/>
      <c r="H404" s="616"/>
      <c r="I404" s="616"/>
      <c r="J404" s="616"/>
      <c r="K404" s="616"/>
      <c r="L404" s="616"/>
      <c r="M404" s="617"/>
      <c r="N404" s="617"/>
      <c r="O404" s="617"/>
      <c r="P404" s="617"/>
      <c r="Q404" s="616"/>
      <c r="R404" s="490" t="str">
        <f t="shared" si="5"/>
        <v xml:space="preserve"> </v>
      </c>
    </row>
    <row r="405" spans="4:18" ht="36" customHeight="1" x14ac:dyDescent="0.45">
      <c r="D405" s="616"/>
      <c r="E405" s="616"/>
      <c r="F405" s="616"/>
      <c r="G405" s="616"/>
      <c r="H405" s="616"/>
      <c r="I405" s="616"/>
      <c r="J405" s="616"/>
      <c r="K405" s="616"/>
      <c r="L405" s="616"/>
      <c r="M405" s="617"/>
      <c r="N405" s="617"/>
      <c r="O405" s="617"/>
      <c r="P405" s="617"/>
      <c r="Q405" s="616"/>
      <c r="R405" s="490" t="str">
        <f t="shared" si="5"/>
        <v xml:space="preserve"> </v>
      </c>
    </row>
    <row r="406" spans="4:18" ht="36" customHeight="1" x14ac:dyDescent="0.45">
      <c r="D406" s="616"/>
      <c r="E406" s="616"/>
      <c r="F406" s="616"/>
      <c r="G406" s="616"/>
      <c r="H406" s="616"/>
      <c r="I406" s="616"/>
      <c r="J406" s="616"/>
      <c r="K406" s="616"/>
      <c r="L406" s="616"/>
      <c r="M406" s="617"/>
      <c r="N406" s="617"/>
      <c r="O406" s="617"/>
      <c r="P406" s="617"/>
      <c r="Q406" s="616"/>
      <c r="R406" s="490" t="str">
        <f t="shared" si="5"/>
        <v xml:space="preserve"> </v>
      </c>
    </row>
    <row r="407" spans="4:18" ht="36" customHeight="1" x14ac:dyDescent="0.45">
      <c r="D407" s="616"/>
      <c r="E407" s="616"/>
      <c r="F407" s="616"/>
      <c r="G407" s="616"/>
      <c r="H407" s="616"/>
      <c r="I407" s="616"/>
      <c r="J407" s="616"/>
      <c r="K407" s="616"/>
      <c r="L407" s="616"/>
      <c r="M407" s="617"/>
      <c r="N407" s="617"/>
      <c r="O407" s="617"/>
      <c r="P407" s="617"/>
      <c r="Q407" s="616"/>
      <c r="R407" s="490" t="str">
        <f t="shared" si="5"/>
        <v xml:space="preserve"> </v>
      </c>
    </row>
    <row r="408" spans="4:18" ht="36" customHeight="1" x14ac:dyDescent="0.45">
      <c r="D408" s="616"/>
      <c r="E408" s="616"/>
      <c r="F408" s="616"/>
      <c r="G408" s="616"/>
      <c r="H408" s="616"/>
      <c r="I408" s="616"/>
      <c r="J408" s="616"/>
      <c r="K408" s="616"/>
      <c r="L408" s="616"/>
      <c r="M408" s="617"/>
      <c r="N408" s="617"/>
      <c r="O408" s="617"/>
      <c r="P408" s="617"/>
      <c r="Q408" s="616"/>
      <c r="R408" s="490" t="str">
        <f t="shared" si="5"/>
        <v xml:space="preserve"> </v>
      </c>
    </row>
    <row r="409" spans="4:18" ht="36" customHeight="1" x14ac:dyDescent="0.45">
      <c r="D409" s="616"/>
      <c r="E409" s="616"/>
      <c r="F409" s="616"/>
      <c r="G409" s="616"/>
      <c r="H409" s="616"/>
      <c r="I409" s="616"/>
      <c r="J409" s="616"/>
      <c r="K409" s="616"/>
      <c r="L409" s="616"/>
      <c r="M409" s="617"/>
      <c r="N409" s="617"/>
      <c r="O409" s="617"/>
      <c r="P409" s="617"/>
      <c r="Q409" s="616"/>
      <c r="R409" s="490" t="str">
        <f t="shared" si="5"/>
        <v xml:space="preserve"> </v>
      </c>
    </row>
    <row r="410" spans="4:18" ht="36" customHeight="1" x14ac:dyDescent="0.45">
      <c r="D410" s="616" t="s">
        <v>141</v>
      </c>
      <c r="E410" s="616"/>
      <c r="F410" s="616"/>
      <c r="G410" s="616"/>
      <c r="H410" s="616"/>
      <c r="I410" s="616"/>
      <c r="J410" s="616"/>
      <c r="K410" s="616"/>
      <c r="L410" s="616"/>
      <c r="M410" s="617"/>
      <c r="N410" s="617"/>
      <c r="O410" s="617"/>
      <c r="P410" s="617"/>
      <c r="Q410" s="616"/>
      <c r="R410" s="490" t="str">
        <f t="shared" si="5"/>
        <v xml:space="preserve"> </v>
      </c>
    </row>
    <row r="411" spans="4:18" ht="36" customHeight="1" x14ac:dyDescent="0.45">
      <c r="D411" s="666" t="s">
        <v>747</v>
      </c>
      <c r="E411" s="666"/>
      <c r="F411" s="666"/>
      <c r="G411" s="666"/>
      <c r="H411" s="666"/>
      <c r="I411" s="616"/>
      <c r="J411" s="616"/>
      <c r="K411" s="616"/>
      <c r="L411" s="616"/>
      <c r="M411" s="617"/>
      <c r="N411" s="617"/>
      <c r="O411" s="617"/>
      <c r="P411" s="617"/>
      <c r="Q411" s="616"/>
      <c r="R411" s="490" t="str">
        <f t="shared" si="5"/>
        <v xml:space="preserve"> </v>
      </c>
    </row>
    <row r="412" spans="4:18" ht="36" customHeight="1" x14ac:dyDescent="0.45">
      <c r="D412" s="616"/>
      <c r="E412" s="616"/>
      <c r="F412" s="616"/>
      <c r="G412" s="616"/>
      <c r="H412" s="616"/>
      <c r="I412" s="616"/>
      <c r="J412" s="616"/>
      <c r="K412" s="616"/>
      <c r="L412" s="616"/>
      <c r="M412" s="617"/>
      <c r="N412" s="617"/>
      <c r="O412" s="617"/>
      <c r="P412" s="617"/>
      <c r="Q412" s="616"/>
      <c r="R412" s="490" t="str">
        <f t="shared" si="5"/>
        <v xml:space="preserve"> </v>
      </c>
    </row>
    <row r="413" spans="4:18" ht="36" customHeight="1" x14ac:dyDescent="0.45">
      <c r="D413" s="616" t="s">
        <v>117</v>
      </c>
      <c r="E413" s="616"/>
      <c r="F413" s="616"/>
      <c r="G413" s="616"/>
      <c r="H413" s="616"/>
      <c r="I413" s="616"/>
      <c r="J413" s="616"/>
      <c r="K413" s="616"/>
      <c r="L413" s="616"/>
      <c r="M413" s="617"/>
      <c r="N413" s="617"/>
      <c r="O413" s="617"/>
      <c r="P413" s="617"/>
      <c r="Q413" s="616"/>
      <c r="R413" s="490" t="str">
        <f t="shared" si="5"/>
        <v xml:space="preserve"> </v>
      </c>
    </row>
    <row r="414" spans="4:18" ht="21" customHeight="1" x14ac:dyDescent="0.45">
      <c r="D414" s="616"/>
      <c r="E414" s="616" t="s">
        <v>142</v>
      </c>
      <c r="F414" s="616"/>
      <c r="G414" s="616"/>
      <c r="H414" s="616"/>
      <c r="I414" s="616"/>
      <c r="J414" s="616"/>
      <c r="K414" s="616"/>
      <c r="L414" s="616"/>
      <c r="M414" s="617"/>
      <c r="N414" s="617"/>
      <c r="O414" s="617"/>
      <c r="P414" s="617"/>
      <c r="Q414" s="616"/>
      <c r="R414" s="490" t="str">
        <f t="shared" si="5"/>
        <v xml:space="preserve"> </v>
      </c>
    </row>
    <row r="415" spans="4:18" ht="36" customHeight="1" x14ac:dyDescent="0.45">
      <c r="D415" s="616" t="str">
        <f>Criteria!E32</f>
        <v>Johannesburg</v>
      </c>
      <c r="E415" s="616"/>
      <c r="F415" s="616"/>
      <c r="G415" s="616"/>
      <c r="H415" s="616"/>
      <c r="I415" s="616"/>
      <c r="J415" s="616"/>
      <c r="K415" s="616"/>
      <c r="L415" s="616"/>
      <c r="M415" s="617"/>
      <c r="N415" s="617"/>
      <c r="O415" s="617"/>
      <c r="P415" s="617"/>
      <c r="Q415" s="616"/>
      <c r="R415" s="490" t="str">
        <f t="shared" si="5"/>
        <v xml:space="preserve"> </v>
      </c>
    </row>
    <row r="416" spans="4:18" ht="36" customHeight="1" x14ac:dyDescent="0.45">
      <c r="D416" s="616"/>
      <c r="E416" s="616"/>
      <c r="F416" s="616"/>
      <c r="G416" s="616"/>
      <c r="H416" s="616"/>
      <c r="I416" s="616"/>
      <c r="J416" s="616"/>
      <c r="K416" s="616"/>
      <c r="L416" s="616"/>
      <c r="M416" s="617"/>
      <c r="N416" s="617"/>
      <c r="O416" s="617"/>
      <c r="P416" s="617"/>
      <c r="Q416" s="616"/>
      <c r="R416" s="490" t="str">
        <f t="shared" si="5"/>
        <v xml:space="preserve"> </v>
      </c>
    </row>
    <row r="417" spans="4:18" ht="36" customHeight="1" x14ac:dyDescent="0.45">
      <c r="D417" s="620"/>
      <c r="E417" s="616"/>
      <c r="F417" s="616"/>
      <c r="G417" s="616"/>
      <c r="H417" s="616"/>
      <c r="I417" s="616"/>
      <c r="J417" s="616"/>
      <c r="K417" s="616"/>
      <c r="L417" s="616"/>
      <c r="M417" s="617"/>
      <c r="N417" s="617"/>
      <c r="O417" s="617"/>
      <c r="P417" s="617"/>
      <c r="Q417" s="616"/>
      <c r="R417" s="490" t="str">
        <f t="shared" si="5"/>
        <v xml:space="preserve"> </v>
      </c>
    </row>
    <row r="418" spans="4:18" ht="36" customHeight="1" x14ac:dyDescent="0.45">
      <c r="D418" s="616"/>
      <c r="E418" s="616"/>
      <c r="F418" s="616"/>
      <c r="G418" s="616"/>
      <c r="H418" s="616"/>
      <c r="I418" s="616"/>
      <c r="J418" s="616"/>
      <c r="K418" s="616"/>
      <c r="L418" s="616"/>
      <c r="M418" s="617"/>
      <c r="N418" s="617"/>
      <c r="O418" s="617"/>
      <c r="P418" s="617"/>
      <c r="Q418" s="616"/>
      <c r="R418" s="490" t="str">
        <f t="shared" si="5"/>
        <v xml:space="preserve"> </v>
      </c>
    </row>
    <row r="419" spans="4:18" ht="36" customHeight="1" x14ac:dyDescent="0.45">
      <c r="D419" s="616"/>
      <c r="E419" s="616"/>
      <c r="F419" s="616"/>
      <c r="G419" s="616"/>
      <c r="H419" s="616"/>
      <c r="I419" s="616"/>
      <c r="J419" s="616"/>
      <c r="K419" s="616"/>
      <c r="L419" s="616"/>
      <c r="M419" s="617"/>
      <c r="N419" s="617"/>
      <c r="O419" s="617"/>
      <c r="P419" s="617"/>
      <c r="Q419" s="616"/>
      <c r="R419" s="490" t="str">
        <f t="shared" si="5"/>
        <v xml:space="preserve"> </v>
      </c>
    </row>
    <row r="420" spans="4:18" ht="36" customHeight="1" x14ac:dyDescent="0.45">
      <c r="D420" s="616"/>
      <c r="E420" s="616"/>
      <c r="F420" s="616"/>
      <c r="G420" s="616"/>
      <c r="H420" s="616"/>
      <c r="I420" s="616"/>
      <c r="J420" s="616"/>
      <c r="K420" s="616"/>
      <c r="L420" s="616"/>
      <c r="M420" s="617"/>
      <c r="N420" s="617"/>
      <c r="O420" s="617"/>
      <c r="P420" s="617"/>
      <c r="Q420" s="616"/>
      <c r="R420" s="490" t="str">
        <f t="shared" si="5"/>
        <v xml:space="preserve"> </v>
      </c>
    </row>
    <row r="421" spans="4:18" ht="36" customHeight="1" x14ac:dyDescent="0.45">
      <c r="D421" s="616"/>
      <c r="E421" s="616"/>
      <c r="F421" s="616"/>
      <c r="G421" s="616"/>
      <c r="H421" s="616"/>
      <c r="I421" s="616"/>
      <c r="J421" s="616"/>
      <c r="K421" s="616"/>
      <c r="L421" s="616"/>
      <c r="M421" s="617"/>
      <c r="N421" s="617"/>
      <c r="O421" s="617"/>
      <c r="P421" s="617"/>
      <c r="Q421" s="616"/>
      <c r="R421" s="490" t="str">
        <f t="shared" si="5"/>
        <v xml:space="preserve"> </v>
      </c>
    </row>
    <row r="422" spans="4:18" ht="36" customHeight="1" x14ac:dyDescent="0.45">
      <c r="D422" s="616"/>
      <c r="E422" s="616"/>
      <c r="F422" s="616"/>
      <c r="G422" s="616"/>
      <c r="H422" s="616"/>
      <c r="I422" s="616"/>
      <c r="J422" s="616"/>
      <c r="K422" s="616"/>
      <c r="L422" s="616"/>
      <c r="M422" s="617"/>
      <c r="N422" s="617"/>
      <c r="O422" s="617"/>
      <c r="P422" s="617"/>
      <c r="Q422" s="616"/>
      <c r="R422" s="490" t="str">
        <f t="shared" si="5"/>
        <v xml:space="preserve"> </v>
      </c>
    </row>
    <row r="423" spans="4:18" ht="36" customHeight="1" x14ac:dyDescent="0.45">
      <c r="D423" s="616"/>
      <c r="E423" s="616"/>
      <c r="F423" s="616"/>
      <c r="G423" s="616"/>
      <c r="H423" s="616"/>
      <c r="I423" s="616"/>
      <c r="J423" s="616"/>
      <c r="K423" s="616"/>
      <c r="L423" s="616"/>
      <c r="M423" s="617"/>
      <c r="N423" s="617"/>
      <c r="O423" s="617"/>
      <c r="P423" s="617"/>
      <c r="Q423" s="616"/>
      <c r="R423" s="490" t="str">
        <f t="shared" si="5"/>
        <v xml:space="preserve"> </v>
      </c>
    </row>
    <row r="424" spans="4:18" ht="36" customHeight="1" x14ac:dyDescent="0.45">
      <c r="D424" s="616"/>
      <c r="E424" s="616"/>
      <c r="F424" s="616"/>
      <c r="G424" s="616"/>
      <c r="H424" s="616"/>
      <c r="I424" s="616"/>
      <c r="J424" s="616"/>
      <c r="K424" s="616"/>
      <c r="L424" s="616"/>
      <c r="M424" s="617"/>
      <c r="N424" s="617"/>
      <c r="O424" s="617"/>
      <c r="P424" s="617"/>
      <c r="Q424" s="616"/>
      <c r="R424" s="490" t="str">
        <f t="shared" si="5"/>
        <v xml:space="preserve"> </v>
      </c>
    </row>
    <row r="425" spans="4:18" ht="36" customHeight="1" x14ac:dyDescent="0.45">
      <c r="D425" s="616"/>
      <c r="E425" s="616"/>
      <c r="F425" s="616"/>
      <c r="G425" s="616"/>
      <c r="H425" s="616"/>
      <c r="I425" s="616"/>
      <c r="J425" s="616"/>
      <c r="K425" s="616"/>
      <c r="L425" s="616"/>
      <c r="M425" s="617"/>
      <c r="N425" s="617"/>
      <c r="O425" s="617"/>
      <c r="P425" s="617"/>
      <c r="Q425" s="616"/>
      <c r="R425" s="490" t="str">
        <f t="shared" si="5"/>
        <v xml:space="preserve"> </v>
      </c>
    </row>
    <row r="426" spans="4:18" ht="36" customHeight="1" x14ac:dyDescent="0.45">
      <c r="D426" s="616"/>
      <c r="E426" s="616"/>
      <c r="F426" s="616"/>
      <c r="G426" s="616"/>
      <c r="H426" s="616"/>
      <c r="I426" s="616"/>
      <c r="J426" s="616"/>
      <c r="K426" s="616"/>
      <c r="L426" s="616"/>
      <c r="M426" s="617"/>
      <c r="N426" s="617"/>
      <c r="O426" s="617"/>
      <c r="P426" s="617"/>
      <c r="Q426" s="616"/>
      <c r="R426" s="490" t="str">
        <f t="shared" si="5"/>
        <v xml:space="preserve"> </v>
      </c>
    </row>
    <row r="427" spans="4:18" ht="36" customHeight="1" x14ac:dyDescent="0.45">
      <c r="D427" s="616"/>
      <c r="E427" s="616"/>
      <c r="F427" s="616"/>
      <c r="G427" s="616"/>
      <c r="H427" s="616"/>
      <c r="I427" s="616"/>
      <c r="J427" s="616"/>
      <c r="K427" s="616"/>
      <c r="L427" s="616"/>
      <c r="M427" s="617"/>
      <c r="N427" s="617"/>
      <c r="O427" s="617"/>
      <c r="P427" s="617"/>
      <c r="Q427" s="616"/>
      <c r="R427" s="490" t="str">
        <f t="shared" si="5"/>
        <v xml:space="preserve"> </v>
      </c>
    </row>
    <row r="428" spans="4:18" ht="36" customHeight="1" x14ac:dyDescent="0.45">
      <c r="D428" s="616"/>
      <c r="E428" s="616"/>
      <c r="F428" s="616"/>
      <c r="G428" s="616"/>
      <c r="H428" s="616"/>
      <c r="I428" s="616"/>
      <c r="J428" s="616"/>
      <c r="K428" s="616"/>
      <c r="L428" s="616"/>
      <c r="M428" s="617"/>
      <c r="N428" s="617"/>
      <c r="O428" s="617"/>
      <c r="P428" s="617"/>
      <c r="Q428" s="616"/>
      <c r="R428" s="490" t="str">
        <f t="shared" si="5"/>
        <v xml:space="preserve"> </v>
      </c>
    </row>
    <row r="429" spans="4:18" ht="36" customHeight="1" x14ac:dyDescent="0.45">
      <c r="D429" s="616"/>
      <c r="E429" s="616"/>
      <c r="F429" s="616"/>
      <c r="G429" s="616"/>
      <c r="H429" s="616"/>
      <c r="I429" s="616"/>
      <c r="J429" s="616"/>
      <c r="K429" s="616"/>
      <c r="L429" s="616"/>
      <c r="M429" s="617"/>
      <c r="N429" s="617"/>
      <c r="O429" s="617"/>
      <c r="P429" s="617"/>
      <c r="Q429" s="616"/>
      <c r="R429" s="490" t="str">
        <f t="shared" si="5"/>
        <v xml:space="preserve"> </v>
      </c>
    </row>
    <row r="430" spans="4:18" ht="36" customHeight="1" x14ac:dyDescent="0.45">
      <c r="D430" s="616"/>
      <c r="E430" s="616"/>
      <c r="F430" s="616"/>
      <c r="G430" s="616"/>
      <c r="H430" s="616"/>
      <c r="I430" s="616"/>
      <c r="J430" s="616"/>
      <c r="K430" s="616"/>
      <c r="L430" s="616"/>
      <c r="M430" s="617"/>
      <c r="N430" s="617"/>
      <c r="O430" s="617"/>
      <c r="P430" s="617"/>
      <c r="Q430" s="616"/>
      <c r="R430" s="490" t="str">
        <f t="shared" si="5"/>
        <v xml:space="preserve"> </v>
      </c>
    </row>
    <row r="431" spans="4:18" ht="36" customHeight="1" x14ac:dyDescent="0.45">
      <c r="D431" s="616"/>
      <c r="E431" s="616"/>
      <c r="F431" s="616"/>
      <c r="G431" s="616"/>
      <c r="H431" s="616"/>
      <c r="I431" s="616"/>
      <c r="J431" s="616"/>
      <c r="K431" s="616"/>
      <c r="L431" s="616"/>
      <c r="M431" s="617"/>
      <c r="N431" s="617"/>
      <c r="O431" s="617"/>
      <c r="P431" s="617"/>
      <c r="Q431" s="616"/>
      <c r="R431" s="490" t="str">
        <f t="shared" si="5"/>
        <v xml:space="preserve"> </v>
      </c>
    </row>
    <row r="432" spans="4:18" ht="36" customHeight="1" x14ac:dyDescent="0.45">
      <c r="D432" s="616"/>
      <c r="E432" s="616"/>
      <c r="F432" s="616"/>
      <c r="G432" s="616"/>
      <c r="H432" s="616"/>
      <c r="I432" s="616"/>
      <c r="J432" s="616"/>
      <c r="K432" s="616"/>
      <c r="L432" s="616"/>
      <c r="M432" s="617"/>
      <c r="N432" s="617"/>
      <c r="O432" s="617"/>
      <c r="P432" s="617"/>
      <c r="Q432" s="616"/>
      <c r="R432" s="490" t="str">
        <f t="shared" si="5"/>
        <v xml:space="preserve"> </v>
      </c>
    </row>
    <row r="433" spans="4:18" ht="36" customHeight="1" x14ac:dyDescent="0.45">
      <c r="D433" s="616"/>
      <c r="E433" s="616"/>
      <c r="F433" s="616"/>
      <c r="G433" s="616"/>
      <c r="H433" s="616"/>
      <c r="I433" s="616"/>
      <c r="J433" s="616"/>
      <c r="K433" s="616"/>
      <c r="L433" s="616"/>
      <c r="M433" s="617"/>
      <c r="N433" s="617"/>
      <c r="O433" s="617"/>
      <c r="P433" s="617"/>
      <c r="Q433" s="616"/>
      <c r="R433" s="490" t="str">
        <f t="shared" si="5"/>
        <v xml:space="preserve"> </v>
      </c>
    </row>
    <row r="434" spans="4:18" ht="36" customHeight="1" x14ac:dyDescent="0.45">
      <c r="D434" s="616"/>
      <c r="E434" s="616"/>
      <c r="F434" s="616"/>
      <c r="G434" s="616"/>
      <c r="H434" s="616"/>
      <c r="I434" s="616"/>
      <c r="J434" s="616"/>
      <c r="K434" s="616"/>
      <c r="L434" s="616"/>
      <c r="M434" s="617"/>
      <c r="N434" s="617"/>
      <c r="O434" s="617"/>
      <c r="P434" s="617"/>
      <c r="Q434" s="616"/>
      <c r="R434" s="490" t="str">
        <f t="shared" si="5"/>
        <v xml:space="preserve"> </v>
      </c>
    </row>
    <row r="435" spans="4:18" ht="36" customHeight="1" x14ac:dyDescent="0.45">
      <c r="D435" s="616"/>
      <c r="E435" s="616"/>
      <c r="F435" s="616"/>
      <c r="G435" s="616"/>
      <c r="H435" s="616"/>
      <c r="I435" s="616"/>
      <c r="J435" s="616"/>
      <c r="K435" s="616"/>
      <c r="L435" s="616"/>
      <c r="M435" s="617"/>
      <c r="N435" s="617"/>
      <c r="O435" s="617"/>
      <c r="P435" s="617"/>
      <c r="Q435" s="616"/>
      <c r="R435" s="490" t="str">
        <f t="shared" si="5"/>
        <v xml:space="preserve"> </v>
      </c>
    </row>
    <row r="436" spans="4:18" ht="36" customHeight="1" x14ac:dyDescent="0.45">
      <c r="D436" s="616"/>
      <c r="E436" s="616"/>
      <c r="F436" s="616"/>
      <c r="G436" s="616"/>
      <c r="H436" s="616"/>
      <c r="I436" s="616"/>
      <c r="J436" s="616"/>
      <c r="K436" s="616"/>
      <c r="L436" s="616"/>
      <c r="M436" s="617"/>
      <c r="N436" s="617"/>
      <c r="O436" s="617"/>
      <c r="P436" s="617"/>
      <c r="Q436" s="616"/>
      <c r="R436" s="490" t="str">
        <f t="shared" si="5"/>
        <v xml:space="preserve"> </v>
      </c>
    </row>
    <row r="437" spans="4:18" ht="36" customHeight="1" x14ac:dyDescent="0.45">
      <c r="D437" s="616"/>
      <c r="E437" s="616"/>
      <c r="F437" s="616"/>
      <c r="G437" s="616"/>
      <c r="H437" s="616"/>
      <c r="I437" s="616"/>
      <c r="J437" s="616"/>
      <c r="K437" s="616"/>
      <c r="L437" s="616"/>
      <c r="M437" s="617"/>
      <c r="N437" s="617"/>
      <c r="O437" s="617"/>
      <c r="P437" s="617"/>
      <c r="Q437" s="616"/>
      <c r="R437" s="490" t="str">
        <f t="shared" si="5"/>
        <v xml:space="preserve"> </v>
      </c>
    </row>
    <row r="438" spans="4:18" ht="36" customHeight="1" x14ac:dyDescent="0.45">
      <c r="D438" s="616"/>
      <c r="E438" s="616"/>
      <c r="F438" s="616"/>
      <c r="G438" s="616"/>
      <c r="H438" s="616"/>
      <c r="I438" s="616"/>
      <c r="J438" s="616"/>
      <c r="K438" s="616"/>
      <c r="L438" s="616"/>
      <c r="M438" s="617"/>
      <c r="N438" s="617"/>
      <c r="O438" s="617"/>
      <c r="P438" s="617"/>
      <c r="Q438" s="616"/>
      <c r="R438" s="490" t="str">
        <f t="shared" si="5"/>
        <v xml:space="preserve"> </v>
      </c>
    </row>
    <row r="439" spans="4:18" ht="36" customHeight="1" x14ac:dyDescent="0.45">
      <c r="D439" s="616"/>
      <c r="E439" s="616"/>
      <c r="F439" s="616"/>
      <c r="G439" s="616"/>
      <c r="H439" s="616"/>
      <c r="I439" s="616"/>
      <c r="J439" s="616"/>
      <c r="K439" s="616"/>
      <c r="L439" s="616"/>
      <c r="M439" s="617"/>
      <c r="N439" s="617"/>
      <c r="O439" s="617"/>
      <c r="P439" s="617"/>
      <c r="Q439" s="616"/>
      <c r="R439" s="490" t="str">
        <f t="shared" si="5"/>
        <v xml:space="preserve"> </v>
      </c>
    </row>
    <row r="440" spans="4:18" ht="36" customHeight="1" x14ac:dyDescent="0.45">
      <c r="D440" s="616"/>
      <c r="E440" s="616"/>
      <c r="F440" s="616"/>
      <c r="G440" s="616"/>
      <c r="H440" s="616"/>
      <c r="I440" s="616"/>
      <c r="J440" s="616"/>
      <c r="K440" s="616"/>
      <c r="L440" s="616"/>
      <c r="M440" s="617"/>
      <c r="N440" s="617"/>
      <c r="O440" s="617"/>
      <c r="P440" s="617"/>
      <c r="Q440" s="616"/>
      <c r="R440" s="490" t="str">
        <f t="shared" si="5"/>
        <v xml:space="preserve"> </v>
      </c>
    </row>
    <row r="441" spans="4:18" ht="36" customHeight="1" x14ac:dyDescent="0.45">
      <c r="D441" s="616"/>
      <c r="E441" s="616"/>
      <c r="F441" s="616"/>
      <c r="G441" s="616"/>
      <c r="H441" s="616"/>
      <c r="I441" s="616"/>
      <c r="J441" s="616"/>
      <c r="K441" s="616"/>
      <c r="L441" s="616"/>
      <c r="M441" s="616"/>
      <c r="N441" s="616"/>
      <c r="O441" s="616"/>
      <c r="P441" s="616"/>
      <c r="Q441" s="616"/>
      <c r="R441" s="490" t="str">
        <f t="shared" si="5"/>
        <v xml:space="preserve"> </v>
      </c>
    </row>
    <row r="442" spans="4:18" ht="36" customHeight="1" x14ac:dyDescent="0.45">
      <c r="D442" s="616"/>
      <c r="E442" s="616"/>
      <c r="F442" s="616"/>
      <c r="G442" s="616"/>
      <c r="H442" s="616"/>
      <c r="I442" s="616"/>
      <c r="J442" s="616"/>
      <c r="K442" s="616"/>
      <c r="L442" s="616"/>
      <c r="M442" s="616"/>
      <c r="N442" s="616"/>
      <c r="O442" s="616"/>
      <c r="P442" s="616"/>
      <c r="Q442" s="616"/>
      <c r="R442" s="490" t="str">
        <f t="shared" si="5"/>
        <v xml:space="preserve"> </v>
      </c>
    </row>
    <row r="443" spans="4:18" ht="36" customHeight="1" x14ac:dyDescent="0.45">
      <c r="M443" s="540"/>
      <c r="O443" s="454" t="s">
        <v>112</v>
      </c>
      <c r="P443" s="454"/>
      <c r="Q443" s="450">
        <f>MAX($Q$103:Q442)+1</f>
        <v>8</v>
      </c>
    </row>
    <row r="444" spans="4:18" ht="36" customHeight="1" x14ac:dyDescent="0.5">
      <c r="D444" s="630" t="str">
        <f>Criteria!E9</f>
        <v>ABC COMPANY (PROPRIETARY) LIMITED</v>
      </c>
      <c r="E444" s="631"/>
      <c r="F444" s="631"/>
      <c r="G444" s="631"/>
      <c r="H444" s="631"/>
      <c r="I444" s="631"/>
      <c r="J444" s="631"/>
      <c r="M444" s="540"/>
      <c r="O444" s="451"/>
      <c r="P444" s="451"/>
      <c r="Q444" s="451"/>
    </row>
    <row r="445" spans="4:18" ht="36" customHeight="1" x14ac:dyDescent="0.5">
      <c r="D445" s="630" t="str">
        <f>Criteria!E10</f>
        <v>T/A SEAFRONT HOTEL, ABC RESTAURANT AND RENTAL PROPERTIES</v>
      </c>
      <c r="E445" s="631"/>
      <c r="F445" s="631"/>
      <c r="G445" s="631"/>
      <c r="H445" s="631"/>
      <c r="I445" s="631"/>
      <c r="J445" s="631"/>
      <c r="M445" s="540"/>
      <c r="O445" s="540"/>
      <c r="R445" s="490" t="str">
        <f>IF(D445=0,"DELETE"," ")</f>
        <v xml:space="preserve"> </v>
      </c>
    </row>
    <row r="446" spans="4:18" ht="36" customHeight="1" x14ac:dyDescent="0.5">
      <c r="D446" s="631"/>
      <c r="E446" s="631"/>
      <c r="F446" s="631"/>
      <c r="G446" s="631"/>
      <c r="H446" s="631"/>
      <c r="I446" s="631"/>
      <c r="J446" s="631"/>
      <c r="M446" s="540"/>
      <c r="O446" s="540"/>
    </row>
    <row r="447" spans="4:18" ht="36" customHeight="1" x14ac:dyDescent="0.5">
      <c r="D447" s="630" t="str">
        <f>IF(SUM(Criteria!I41:I45)&gt;1,"DIRECTORS' REPORT FOR THE YEAR ENDED","DIRECTOR'S REPORT FOR THE YEAR ENDED")</f>
        <v>DIRECTORS' REPORT FOR THE YEAR ENDED</v>
      </c>
      <c r="E447" s="631"/>
      <c r="F447" s="631"/>
      <c r="G447" s="631"/>
      <c r="H447" s="631"/>
      <c r="I447" s="631"/>
      <c r="J447" s="631"/>
      <c r="M447" s="547"/>
      <c r="N447" s="547"/>
      <c r="O447" s="540"/>
    </row>
    <row r="448" spans="4:18" ht="36" customHeight="1" x14ac:dyDescent="0.5">
      <c r="D448" s="630" t="str">
        <f>Criteria!E20</f>
        <v>28 FEBRUARY 2026</v>
      </c>
      <c r="E448" s="631"/>
      <c r="F448" s="631"/>
      <c r="G448" s="631"/>
      <c r="H448" s="631"/>
      <c r="I448" s="631"/>
      <c r="J448" s="631"/>
      <c r="M448" s="547"/>
      <c r="N448" s="547"/>
      <c r="O448" s="540"/>
    </row>
    <row r="449" spans="2:17" ht="36" customHeight="1" x14ac:dyDescent="0.5">
      <c r="D449" s="633"/>
      <c r="E449" s="633"/>
      <c r="F449" s="633"/>
      <c r="G449" s="633"/>
      <c r="H449" s="633"/>
      <c r="I449" s="633"/>
      <c r="J449" s="633"/>
      <c r="K449" s="455"/>
      <c r="L449" s="455"/>
      <c r="M449" s="542"/>
      <c r="N449" s="542"/>
      <c r="O449" s="543"/>
      <c r="P449" s="543"/>
      <c r="Q449" s="455"/>
    </row>
    <row r="450" spans="2:17" ht="36" customHeight="1" x14ac:dyDescent="0.5">
      <c r="D450" s="631"/>
      <c r="E450" s="631"/>
      <c r="F450" s="631"/>
      <c r="G450" s="631"/>
      <c r="H450" s="631"/>
      <c r="I450" s="631"/>
      <c r="J450" s="631"/>
      <c r="M450" s="540"/>
      <c r="O450" s="540"/>
    </row>
    <row r="451" spans="2:17" ht="36" customHeight="1" x14ac:dyDescent="0.5">
      <c r="B451" s="451"/>
      <c r="C451" s="450">
        <v>1</v>
      </c>
      <c r="D451" s="631" t="str">
        <f>IF(MAX(Criteria!I41:I45)&gt;1,"The directors have pleasure in presenting the annual Financial Statements and their","The director has pleasure in presenting the annual Financial Statements and the")</f>
        <v>The directors have pleasure in presenting the annual Financial Statements and their</v>
      </c>
      <c r="E451" s="631"/>
      <c r="F451" s="631"/>
      <c r="G451" s="631"/>
      <c r="H451" s="631"/>
      <c r="I451" s="631"/>
      <c r="J451" s="631"/>
      <c r="M451" s="540"/>
      <c r="O451" s="540"/>
    </row>
    <row r="452" spans="2:17" ht="36" customHeight="1" x14ac:dyDescent="0.5">
      <c r="B452" s="451"/>
      <c r="C452" s="450"/>
      <c r="D452" s="631" t="str">
        <f>CONCATENATE(IF(MAX(Criteria!I41:I45)&gt;1,"annual ","Director's "),"report which forms part of the Financial Statements of the company for the")</f>
        <v>annual report which forms part of the Financial Statements of the company for the</v>
      </c>
      <c r="E452" s="631"/>
      <c r="F452" s="631"/>
      <c r="G452" s="631"/>
      <c r="H452" s="631"/>
      <c r="I452" s="631"/>
      <c r="J452" s="631"/>
      <c r="M452" s="540"/>
      <c r="O452" s="540"/>
    </row>
    <row r="453" spans="2:17" ht="36" customHeight="1" x14ac:dyDescent="0.5">
      <c r="B453" s="451"/>
      <c r="C453" s="450"/>
      <c r="D453" s="631" t="str">
        <f>CONCATENATE("year ended ",Criteria!G24,".")</f>
        <v>year ended 28 February 2026.</v>
      </c>
      <c r="E453" s="631"/>
      <c r="F453" s="631"/>
      <c r="G453" s="631"/>
      <c r="H453" s="631"/>
      <c r="I453" s="631"/>
      <c r="J453" s="631"/>
      <c r="M453" s="540"/>
      <c r="O453" s="540"/>
    </row>
    <row r="454" spans="2:17" ht="36" customHeight="1" x14ac:dyDescent="0.5">
      <c r="B454" s="451"/>
      <c r="C454" s="450"/>
      <c r="D454" s="631"/>
      <c r="E454" s="631"/>
      <c r="F454" s="631"/>
      <c r="G454" s="631"/>
      <c r="H454" s="631"/>
      <c r="I454" s="631"/>
      <c r="J454" s="631"/>
      <c r="M454" s="540"/>
      <c r="O454" s="540"/>
    </row>
    <row r="455" spans="2:17" ht="36" customHeight="1" x14ac:dyDescent="0.5">
      <c r="B455" s="451"/>
      <c r="C455" s="450">
        <f>MAX(C$451:C454)+1</f>
        <v>2</v>
      </c>
      <c r="D455" s="630" t="s">
        <v>1501</v>
      </c>
      <c r="E455" s="631"/>
      <c r="F455" s="631"/>
      <c r="G455" s="631"/>
      <c r="H455" s="631"/>
      <c r="I455" s="631"/>
      <c r="J455" s="631"/>
      <c r="M455" s="540"/>
      <c r="O455" s="540"/>
    </row>
    <row r="456" spans="2:17" ht="36" customHeight="1" x14ac:dyDescent="0.5">
      <c r="B456" s="451"/>
      <c r="C456" s="450"/>
      <c r="D456" s="630"/>
      <c r="E456" s="631"/>
      <c r="F456" s="631"/>
      <c r="G456" s="631"/>
      <c r="H456" s="631"/>
      <c r="I456" s="631"/>
      <c r="J456" s="631"/>
      <c r="M456" s="540"/>
      <c r="O456" s="540"/>
    </row>
    <row r="457" spans="2:17" ht="36" customHeight="1" x14ac:dyDescent="0.5">
      <c r="B457" s="451"/>
      <c r="C457" s="450"/>
      <c r="D457" s="631" t="str">
        <f>Criteria!C84</f>
        <v>The company's main objective is trading in the restaurant industry.</v>
      </c>
      <c r="E457" s="631"/>
      <c r="F457" s="631"/>
      <c r="G457" s="631"/>
      <c r="H457" s="631"/>
      <c r="I457" s="631"/>
      <c r="J457" s="631"/>
      <c r="M457" s="540"/>
      <c r="O457" s="540"/>
    </row>
    <row r="458" spans="2:17" ht="36" customHeight="1" x14ac:dyDescent="0.5">
      <c r="B458" s="451"/>
      <c r="C458" s="450"/>
      <c r="D458" s="631" t="str">
        <f>CONCATENATE(Criteria!E11," is registered, incorporated and operates")</f>
        <v>ABC Company (Pty) Ltd is registered, incorporated and operates</v>
      </c>
      <c r="E458" s="631"/>
      <c r="F458" s="631"/>
      <c r="G458" s="631"/>
      <c r="H458" s="631"/>
      <c r="I458" s="631"/>
      <c r="J458" s="631"/>
      <c r="M458" s="540"/>
      <c r="O458" s="540"/>
    </row>
    <row r="459" spans="2:17" ht="36" customHeight="1" x14ac:dyDescent="0.5">
      <c r="B459" s="451"/>
      <c r="C459" s="450"/>
      <c r="D459" s="631" t="s">
        <v>1645</v>
      </c>
      <c r="E459" s="631"/>
      <c r="F459" s="631"/>
      <c r="G459" s="631"/>
      <c r="H459" s="631"/>
      <c r="I459" s="631"/>
      <c r="J459" s="631"/>
      <c r="M459" s="540"/>
      <c r="O459" s="540"/>
    </row>
    <row r="460" spans="2:17" ht="36" customHeight="1" x14ac:dyDescent="0.5">
      <c r="B460" s="451"/>
      <c r="C460" s="450"/>
      <c r="D460" s="631" t="str">
        <f>CONCATENATE(Criteria!E18,".")</f>
        <v>2000/123456/07.</v>
      </c>
      <c r="E460" s="631"/>
      <c r="F460" s="631"/>
      <c r="G460" s="631"/>
      <c r="H460" s="631"/>
      <c r="I460" s="631"/>
      <c r="J460" s="631"/>
      <c r="M460" s="540"/>
      <c r="O460" s="540"/>
    </row>
    <row r="461" spans="2:17" ht="36" customHeight="1" x14ac:dyDescent="0.5">
      <c r="B461" s="451"/>
      <c r="C461" s="450"/>
      <c r="D461" s="631" t="str">
        <f>IF(Criteria!F90="No","There were no changes in the nature of the company's business during the period","The company sold all it's assets in the current financial year and will be deregistered")</f>
        <v>There were no changes in the nature of the company's business during the period</v>
      </c>
      <c r="E461" s="631"/>
      <c r="F461" s="631"/>
      <c r="G461" s="631"/>
      <c r="H461" s="631"/>
      <c r="I461" s="631"/>
      <c r="J461" s="631"/>
      <c r="M461" s="540"/>
      <c r="O461" s="540"/>
    </row>
    <row r="462" spans="2:17" ht="36" customHeight="1" x14ac:dyDescent="0.5">
      <c r="B462" s="451"/>
      <c r="C462" s="450"/>
      <c r="D462" s="631" t="str">
        <f>IF(Criteria!F90="No","under review.","the following year.")</f>
        <v>under review.</v>
      </c>
      <c r="E462" s="631"/>
      <c r="F462" s="631"/>
      <c r="G462" s="631"/>
      <c r="H462" s="631"/>
      <c r="I462" s="631"/>
      <c r="J462" s="631"/>
      <c r="M462" s="540"/>
      <c r="O462" s="540"/>
    </row>
    <row r="463" spans="2:17" ht="36" customHeight="1" x14ac:dyDescent="0.5">
      <c r="B463" s="451"/>
      <c r="C463" s="450"/>
      <c r="D463" s="631"/>
      <c r="E463" s="631"/>
      <c r="F463" s="631"/>
      <c r="G463" s="631"/>
      <c r="H463" s="631"/>
      <c r="I463" s="631"/>
      <c r="J463" s="631"/>
      <c r="M463" s="540"/>
      <c r="O463" s="540"/>
    </row>
    <row r="464" spans="2:17" ht="36" customHeight="1" x14ac:dyDescent="0.5">
      <c r="B464" s="451"/>
      <c r="C464" s="450">
        <f>MAX(C$451:C463)+1</f>
        <v>3</v>
      </c>
      <c r="D464" s="630" t="s">
        <v>1502</v>
      </c>
      <c r="E464" s="631"/>
      <c r="F464" s="631"/>
      <c r="G464" s="631"/>
      <c r="H464" s="631"/>
      <c r="I464" s="631"/>
      <c r="J464" s="631"/>
      <c r="M464" s="540"/>
      <c r="O464" s="540"/>
    </row>
    <row r="465" spans="2:18" ht="36" customHeight="1" x14ac:dyDescent="0.5">
      <c r="B465" s="451"/>
      <c r="C465" s="450"/>
      <c r="D465" s="630"/>
      <c r="E465" s="631"/>
      <c r="F465" s="631"/>
      <c r="G465" s="631"/>
      <c r="H465" s="631"/>
      <c r="I465" s="631"/>
      <c r="J465" s="631"/>
      <c r="M465" s="540"/>
      <c r="O465" s="540"/>
    </row>
    <row r="466" spans="2:18" ht="36" customHeight="1" x14ac:dyDescent="0.5">
      <c r="B466" s="451"/>
      <c r="C466" s="450"/>
      <c r="D466" s="631" t="s">
        <v>1646</v>
      </c>
      <c r="E466" s="631"/>
      <c r="F466" s="631"/>
      <c r="G466" s="631"/>
      <c r="H466" s="631"/>
      <c r="I466" s="631"/>
      <c r="J466" s="631"/>
      <c r="M466" s="540"/>
      <c r="O466" s="540"/>
    </row>
    <row r="467" spans="2:18" ht="36" customHeight="1" x14ac:dyDescent="0.5">
      <c r="B467" s="451"/>
      <c r="C467" s="450"/>
      <c r="D467" s="631" t="s">
        <v>1603</v>
      </c>
      <c r="E467" s="631"/>
      <c r="F467" s="631"/>
      <c r="G467" s="631"/>
      <c r="H467" s="631"/>
      <c r="I467" s="631"/>
      <c r="J467" s="631"/>
      <c r="M467" s="540"/>
      <c r="O467" s="540"/>
    </row>
    <row r="468" spans="2:18" ht="36" customHeight="1" x14ac:dyDescent="0.5">
      <c r="B468" s="451"/>
      <c r="C468" s="450"/>
      <c r="D468" s="631" t="s">
        <v>1647</v>
      </c>
      <c r="E468" s="631"/>
      <c r="F468" s="631"/>
      <c r="G468" s="631"/>
      <c r="H468" s="631"/>
      <c r="I468" s="631"/>
      <c r="J468" s="631"/>
      <c r="M468" s="540"/>
      <c r="O468" s="540"/>
    </row>
    <row r="469" spans="2:18" ht="36" customHeight="1" x14ac:dyDescent="0.5">
      <c r="B469" s="451"/>
      <c r="C469" s="450"/>
      <c r="D469" s="631" t="str">
        <f>IF(Criteria!F88="No"," ","The accounting policies have been applied consistently compared to the prior year.")</f>
        <v>The accounting policies have been applied consistently compared to the prior year.</v>
      </c>
      <c r="E469" s="631"/>
      <c r="F469" s="631"/>
      <c r="G469" s="631"/>
      <c r="H469" s="631"/>
      <c r="I469" s="631"/>
      <c r="J469" s="631"/>
      <c r="M469" s="540"/>
      <c r="O469" s="540"/>
      <c r="R469" s="490" t="str">
        <f>IF(D469=" ","DELETE"," ")</f>
        <v xml:space="preserve"> </v>
      </c>
    </row>
    <row r="470" spans="2:18" ht="36" customHeight="1" x14ac:dyDescent="0.5">
      <c r="B470" s="451"/>
      <c r="C470" s="450"/>
      <c r="D470" s="631" t="str">
        <f>CONCATENATE("The ",IF(MAX(Criteria!I41:I45)&gt;1,"directors present","director presents")," the following extracts from the Financial Statements for the")</f>
        <v>The directors present the following extracts from the Financial Statements for the</v>
      </c>
      <c r="E470" s="631"/>
      <c r="F470" s="631"/>
      <c r="G470" s="631"/>
      <c r="H470" s="631"/>
      <c r="I470" s="631"/>
      <c r="J470" s="631"/>
      <c r="M470" s="540"/>
      <c r="O470" s="540"/>
    </row>
    <row r="471" spans="2:18" ht="36" customHeight="1" x14ac:dyDescent="0.5">
      <c r="B471" s="451"/>
      <c r="C471" s="450"/>
      <c r="D471" s="631" t="s">
        <v>1648</v>
      </c>
      <c r="E471" s="631"/>
      <c r="F471" s="631"/>
      <c r="G471" s="631"/>
      <c r="H471" s="631"/>
      <c r="I471" s="631"/>
      <c r="J471" s="631"/>
      <c r="M471" s="540"/>
      <c r="O471" s="540"/>
    </row>
    <row r="472" spans="2:18" ht="36" customHeight="1" x14ac:dyDescent="0.5">
      <c r="B472" s="451"/>
      <c r="C472" s="450"/>
      <c r="D472" s="631"/>
      <c r="E472" s="631"/>
      <c r="F472" s="631"/>
      <c r="G472" s="631"/>
      <c r="H472" s="631"/>
      <c r="I472" s="631"/>
      <c r="J472" s="631"/>
      <c r="K472" s="451"/>
      <c r="M472" s="607" t="s">
        <v>979</v>
      </c>
      <c r="O472" s="540"/>
    </row>
    <row r="473" spans="2:18" ht="36" customHeight="1" x14ac:dyDescent="0.5">
      <c r="B473" s="451"/>
      <c r="C473" s="450"/>
      <c r="D473" s="631"/>
      <c r="E473" s="631"/>
      <c r="F473" s="631"/>
      <c r="G473" s="631"/>
      <c r="H473" s="631"/>
      <c r="I473" s="631"/>
      <c r="J473" s="631"/>
      <c r="K473" s="451"/>
      <c r="M473" s="607" t="s">
        <v>977</v>
      </c>
      <c r="O473" s="540"/>
    </row>
    <row r="474" spans="2:18" ht="36" customHeight="1" x14ac:dyDescent="0.5">
      <c r="B474" s="451"/>
      <c r="C474" s="450"/>
      <c r="D474" s="631" t="s">
        <v>1355</v>
      </c>
      <c r="E474" s="648"/>
      <c r="F474" s="631"/>
      <c r="G474" s="631"/>
      <c r="H474" s="631"/>
      <c r="I474" s="631"/>
      <c r="J474" s="631"/>
      <c r="K474" s="451"/>
      <c r="M474" s="456">
        <f>O474-SUM(TrialBalance!N230:N282)</f>
        <v>0</v>
      </c>
      <c r="N474" s="541"/>
      <c r="O474" s="541">
        <f>SUM(TrialBalance!L230:L282)</f>
        <v>0</v>
      </c>
    </row>
    <row r="475" spans="2:18" ht="9" customHeight="1" thickBot="1" x14ac:dyDescent="0.55000000000000004">
      <c r="B475" s="451"/>
      <c r="C475" s="450"/>
      <c r="D475" s="631"/>
      <c r="E475" s="648"/>
      <c r="F475" s="631"/>
      <c r="G475" s="631"/>
      <c r="H475" s="631"/>
      <c r="I475" s="631"/>
      <c r="J475" s="631"/>
      <c r="K475" s="451"/>
      <c r="M475" s="552"/>
      <c r="N475" s="541"/>
      <c r="O475" s="552"/>
    </row>
    <row r="476" spans="2:18" ht="9" customHeight="1" thickTop="1" x14ac:dyDescent="0.5">
      <c r="B476" s="451"/>
      <c r="C476" s="450"/>
      <c r="D476" s="631"/>
      <c r="E476" s="648"/>
      <c r="F476" s="631"/>
      <c r="G476" s="631"/>
      <c r="H476" s="631"/>
      <c r="I476" s="631"/>
      <c r="J476" s="631"/>
      <c r="K476" s="451"/>
      <c r="M476" s="456"/>
      <c r="N476" s="541"/>
      <c r="O476" s="541"/>
    </row>
    <row r="477" spans="2:18" ht="36.75" customHeight="1" x14ac:dyDescent="0.5">
      <c r="B477" s="451"/>
      <c r="C477" s="450"/>
      <c r="D477" s="631" t="s">
        <v>1356</v>
      </c>
      <c r="E477" s="648"/>
      <c r="F477" s="631"/>
      <c r="G477" s="631"/>
      <c r="H477" s="631"/>
      <c r="I477" s="631"/>
      <c r="J477" s="631"/>
      <c r="K477" s="451"/>
      <c r="M477" s="541">
        <f>O477-(SUM(TrialBalance!N230:N234)+SUM(TrialBalance!N241:N245)+SUM(TrialBalance!N252:N254)+SUM(TrialBalance!N260:N262)+SUM(TrialBalance!N268:N270)+SUM(TrialBalance!N276:N278))</f>
        <v>0</v>
      </c>
      <c r="N477" s="541"/>
      <c r="O477" s="541">
        <f>SUM(TrialBalance!L230:L234)+SUM(TrialBalance!L241:L245)+SUM(TrialBalance!L252:L254)+SUM(TrialBalance!L260:L262)+SUM(TrialBalance!L268:L270)+SUM(TrialBalance!L276:L278)</f>
        <v>0</v>
      </c>
    </row>
    <row r="478" spans="2:18" ht="9" customHeight="1" thickBot="1" x14ac:dyDescent="0.55000000000000004">
      <c r="B478" s="451"/>
      <c r="C478" s="450"/>
      <c r="D478" s="631"/>
      <c r="E478" s="648"/>
      <c r="F478" s="631"/>
      <c r="G478" s="631"/>
      <c r="H478" s="631"/>
      <c r="I478" s="631"/>
      <c r="J478" s="631"/>
      <c r="M478" s="552"/>
      <c r="N478" s="541"/>
      <c r="O478" s="552"/>
    </row>
    <row r="479" spans="2:18" ht="9" customHeight="1" thickTop="1" x14ac:dyDescent="0.5">
      <c r="B479" s="451"/>
      <c r="C479" s="450"/>
      <c r="D479" s="631"/>
      <c r="E479" s="648"/>
      <c r="F479" s="631"/>
      <c r="G479" s="631"/>
      <c r="H479" s="631"/>
      <c r="I479" s="631"/>
      <c r="J479" s="631"/>
      <c r="M479" s="541"/>
      <c r="N479" s="541"/>
      <c r="O479" s="541"/>
    </row>
    <row r="480" spans="2:18" ht="36.75" customHeight="1" x14ac:dyDescent="0.5">
      <c r="B480" s="451"/>
      <c r="C480" s="450"/>
      <c r="D480" s="631" t="s">
        <v>862</v>
      </c>
      <c r="E480" s="648"/>
      <c r="F480" s="631"/>
      <c r="G480" s="631"/>
      <c r="H480" s="631"/>
      <c r="I480" s="631"/>
      <c r="J480" s="631"/>
      <c r="M480" s="541">
        <f>O480-O692</f>
        <v>0</v>
      </c>
      <c r="N480" s="541"/>
      <c r="O480" s="541">
        <f>M692</f>
        <v>0</v>
      </c>
    </row>
    <row r="481" spans="2:22" ht="9" customHeight="1" thickBot="1" x14ac:dyDescent="0.55000000000000004">
      <c r="B481" s="451"/>
      <c r="C481" s="450"/>
      <c r="D481" s="631"/>
      <c r="E481" s="648"/>
      <c r="F481" s="631"/>
      <c r="G481" s="631"/>
      <c r="H481" s="631"/>
      <c r="I481" s="631"/>
      <c r="J481" s="631"/>
      <c r="M481" s="552"/>
      <c r="N481" s="541"/>
      <c r="O481" s="552"/>
    </row>
    <row r="482" spans="2:22" ht="9" customHeight="1" thickTop="1" x14ac:dyDescent="0.5">
      <c r="B482" s="451"/>
      <c r="C482" s="450"/>
      <c r="D482" s="631"/>
      <c r="E482" s="648"/>
      <c r="F482" s="631"/>
      <c r="G482" s="631"/>
      <c r="H482" s="631"/>
      <c r="I482" s="631"/>
      <c r="J482" s="631"/>
      <c r="M482" s="541"/>
      <c r="N482" s="541"/>
      <c r="O482" s="555"/>
    </row>
    <row r="483" spans="2:22" ht="36.75" customHeight="1" x14ac:dyDescent="0.5">
      <c r="B483" s="451"/>
      <c r="C483" s="450"/>
      <c r="D483" s="631" t="s">
        <v>1193</v>
      </c>
      <c r="E483" s="648"/>
      <c r="F483" s="631"/>
      <c r="G483" s="631"/>
      <c r="H483" s="631"/>
      <c r="I483" s="631"/>
      <c r="J483" s="631"/>
      <c r="M483" s="541">
        <f>O483-SUM(O611:O612)</f>
        <v>0</v>
      </c>
      <c r="N483" s="541"/>
      <c r="O483" s="541">
        <f>SUM(M611:M612)</f>
        <v>0</v>
      </c>
    </row>
    <row r="484" spans="2:22" ht="9" customHeight="1" thickBot="1" x14ac:dyDescent="0.55000000000000004">
      <c r="B484" s="451"/>
      <c r="C484" s="450"/>
      <c r="D484" s="631"/>
      <c r="E484" s="648"/>
      <c r="F484" s="631"/>
      <c r="G484" s="631"/>
      <c r="H484" s="631"/>
      <c r="I484" s="631"/>
      <c r="J484" s="631"/>
      <c r="M484" s="552"/>
      <c r="N484" s="541"/>
      <c r="O484" s="552"/>
    </row>
    <row r="485" spans="2:22" ht="36" customHeight="1" thickTop="1" x14ac:dyDescent="0.5">
      <c r="B485" s="451"/>
      <c r="C485" s="450"/>
      <c r="D485" s="631"/>
      <c r="E485" s="648"/>
      <c r="F485" s="631"/>
      <c r="G485" s="631"/>
      <c r="H485" s="631"/>
      <c r="I485" s="631"/>
      <c r="J485" s="631"/>
      <c r="M485" s="541"/>
      <c r="N485" s="541"/>
      <c r="O485" s="541"/>
    </row>
    <row r="486" spans="2:22" ht="36" customHeight="1" x14ac:dyDescent="0.5">
      <c r="B486" s="451"/>
      <c r="C486" s="450"/>
      <c r="D486" s="631" t="str">
        <f>IF(O486&lt;0,"Net loss before taxation","Net profit before taxation")</f>
        <v>Net profit before taxation</v>
      </c>
      <c r="E486" s="648"/>
      <c r="F486" s="631"/>
      <c r="G486" s="631"/>
      <c r="H486" s="631"/>
      <c r="I486" s="631"/>
      <c r="J486" s="631"/>
      <c r="M486" s="541">
        <f>O486-O634</f>
        <v>0</v>
      </c>
      <c r="N486" s="541"/>
      <c r="O486" s="541">
        <f>M634</f>
        <v>0</v>
      </c>
    </row>
    <row r="487" spans="2:22" ht="36" customHeight="1" x14ac:dyDescent="0.5">
      <c r="B487" s="451"/>
      <c r="C487" s="450"/>
      <c r="D487" s="631" t="s">
        <v>978</v>
      </c>
      <c r="E487" s="648"/>
      <c r="F487" s="631"/>
      <c r="G487" s="631"/>
      <c r="H487" s="631"/>
      <c r="I487" s="631"/>
      <c r="J487" s="631"/>
      <c r="M487" s="541"/>
      <c r="N487" s="541"/>
      <c r="O487" s="541">
        <f>M636</f>
        <v>0</v>
      </c>
    </row>
    <row r="488" spans="2:22" ht="9" customHeight="1" x14ac:dyDescent="0.5">
      <c r="B488" s="451"/>
      <c r="C488" s="450"/>
      <c r="D488" s="631"/>
      <c r="E488" s="648"/>
      <c r="F488" s="631"/>
      <c r="G488" s="631"/>
      <c r="H488" s="631"/>
      <c r="I488" s="631"/>
      <c r="J488" s="631"/>
      <c r="M488" s="541"/>
      <c r="N488" s="541"/>
      <c r="O488" s="554"/>
    </row>
    <row r="489" spans="2:22" ht="9" customHeight="1" x14ac:dyDescent="0.5">
      <c r="B489" s="451"/>
      <c r="C489" s="450"/>
      <c r="D489" s="631"/>
      <c r="E489" s="648"/>
      <c r="F489" s="631"/>
      <c r="G489" s="631"/>
      <c r="H489" s="631"/>
      <c r="I489" s="631"/>
      <c r="J489" s="631"/>
      <c r="M489" s="541"/>
      <c r="N489" s="541"/>
      <c r="O489" s="541"/>
    </row>
    <row r="490" spans="2:22" ht="36.75" customHeight="1" x14ac:dyDescent="0.5">
      <c r="B490" s="451"/>
      <c r="C490" s="450"/>
      <c r="D490" s="631" t="str">
        <f>IF(O490&lt;0,"Net loss after taxation","Net profit after taxation")</f>
        <v>Net profit after taxation</v>
      </c>
      <c r="E490" s="648"/>
      <c r="F490" s="631"/>
      <c r="G490" s="631"/>
      <c r="H490" s="631"/>
      <c r="I490" s="631"/>
      <c r="J490" s="631"/>
      <c r="M490" s="541"/>
      <c r="N490" s="541"/>
      <c r="O490" s="541">
        <f>SUM(O486:O489)</f>
        <v>0</v>
      </c>
    </row>
    <row r="491" spans="2:22" ht="36.75" customHeight="1" x14ac:dyDescent="0.5">
      <c r="B491" s="451"/>
      <c r="C491" s="450"/>
      <c r="D491" s="631" t="s">
        <v>1745</v>
      </c>
      <c r="E491" s="648"/>
      <c r="F491" s="631"/>
      <c r="G491" s="631"/>
      <c r="H491" s="631"/>
      <c r="I491" s="631"/>
      <c r="J491" s="631"/>
      <c r="M491" s="541"/>
      <c r="N491" s="541"/>
      <c r="O491" s="541">
        <f>M641</f>
        <v>0</v>
      </c>
      <c r="R491" s="490" t="str">
        <f>IF(O491=0,"DELETE"," ")</f>
        <v>DELETE</v>
      </c>
    </row>
    <row r="492" spans="2:22" ht="36.75" customHeight="1" x14ac:dyDescent="0.5">
      <c r="B492" s="451"/>
      <c r="C492" s="450"/>
      <c r="D492" s="631" t="s">
        <v>781</v>
      </c>
      <c r="E492" s="648"/>
      <c r="F492" s="631"/>
      <c r="G492" s="631"/>
      <c r="H492" s="631"/>
      <c r="I492" s="631"/>
      <c r="J492" s="631"/>
      <c r="M492" s="541"/>
      <c r="N492" s="541"/>
      <c r="O492" s="541">
        <f>-SUM(TrialBalance!L164:L165)</f>
        <v>0</v>
      </c>
    </row>
    <row r="493" spans="2:22" ht="9" customHeight="1" x14ac:dyDescent="0.5">
      <c r="B493" s="451"/>
      <c r="C493" s="450"/>
      <c r="D493" s="631"/>
      <c r="E493" s="648"/>
      <c r="F493" s="631"/>
      <c r="G493" s="631"/>
      <c r="H493" s="631"/>
      <c r="I493" s="631"/>
      <c r="J493" s="631"/>
      <c r="M493" s="541"/>
      <c r="N493" s="541"/>
      <c r="O493" s="554"/>
    </row>
    <row r="494" spans="2:22" ht="9" customHeight="1" x14ac:dyDescent="0.5">
      <c r="B494" s="451"/>
      <c r="C494" s="450"/>
      <c r="D494" s="631"/>
      <c r="E494" s="648"/>
      <c r="F494" s="631"/>
      <c r="G494" s="631"/>
      <c r="H494" s="631"/>
      <c r="I494" s="631"/>
      <c r="J494" s="631"/>
      <c r="M494" s="541"/>
      <c r="N494" s="541"/>
      <c r="O494" s="541"/>
    </row>
    <row r="495" spans="2:22" ht="36.75" customHeight="1" x14ac:dyDescent="0.5">
      <c r="B495" s="451"/>
      <c r="C495" s="450"/>
      <c r="D495" s="631" t="str">
        <f>IF(O495&lt;0,"Net loss for the year","Net profit for the year")</f>
        <v>Net profit for the year</v>
      </c>
      <c r="E495" s="648"/>
      <c r="F495" s="631"/>
      <c r="G495" s="631"/>
      <c r="H495" s="631"/>
      <c r="I495" s="631"/>
      <c r="J495" s="631"/>
      <c r="M495" s="541"/>
      <c r="N495" s="541"/>
      <c r="O495" s="541">
        <f>SUM(O490:O494)</f>
        <v>0</v>
      </c>
      <c r="V495" s="491" t="b">
        <f>O495=M644-SUM(TrialBalance!L164:L165)</f>
        <v>1</v>
      </c>
    </row>
    <row r="496" spans="2:22" ht="9" customHeight="1" thickBot="1" x14ac:dyDescent="0.55000000000000004">
      <c r="B496" s="451"/>
      <c r="C496" s="450"/>
      <c r="D496" s="631"/>
      <c r="E496" s="631"/>
      <c r="F496" s="631"/>
      <c r="G496" s="631"/>
      <c r="H496" s="631"/>
      <c r="I496" s="631"/>
      <c r="J496" s="631"/>
      <c r="M496" s="541"/>
      <c r="N496" s="541"/>
      <c r="O496" s="552"/>
    </row>
    <row r="497" spans="2:18" ht="9" customHeight="1" thickTop="1" x14ac:dyDescent="0.5">
      <c r="B497" s="451"/>
      <c r="C497" s="450"/>
      <c r="D497" s="631"/>
      <c r="E497" s="631"/>
      <c r="F497" s="631"/>
      <c r="G497" s="631"/>
      <c r="H497" s="631"/>
      <c r="I497" s="631"/>
      <c r="J497" s="631"/>
      <c r="M497" s="541"/>
      <c r="N497" s="541"/>
      <c r="O497" s="541"/>
    </row>
    <row r="498" spans="2:18" ht="36" customHeight="1" x14ac:dyDescent="0.5">
      <c r="B498" s="451"/>
      <c r="C498" s="450"/>
      <c r="D498" s="631" t="str">
        <f>IF(Criteria!F86="No","The company did not have any operations in the current financial year."," ")</f>
        <v xml:space="preserve"> </v>
      </c>
      <c r="E498" s="631"/>
      <c r="F498" s="631"/>
      <c r="G498" s="631"/>
      <c r="H498" s="631"/>
      <c r="I498" s="631"/>
      <c r="J498" s="631"/>
      <c r="M498" s="540"/>
      <c r="O498" s="540"/>
      <c r="R498" s="490" t="str">
        <f>IF(D498=" ","DELETE"," ")</f>
        <v>DELETE</v>
      </c>
    </row>
    <row r="499" spans="2:18" ht="36" customHeight="1" x14ac:dyDescent="0.5">
      <c r="B499" s="451"/>
      <c r="C499" s="450"/>
      <c r="D499" s="631" t="s">
        <v>1649</v>
      </c>
      <c r="E499" s="631"/>
      <c r="F499" s="631"/>
      <c r="G499" s="631"/>
      <c r="H499" s="631"/>
      <c r="I499" s="631"/>
      <c r="J499" s="631"/>
      <c r="M499" s="540"/>
      <c r="O499" s="540"/>
    </row>
    <row r="500" spans="2:18" ht="36" customHeight="1" x14ac:dyDescent="0.5">
      <c r="B500" s="451"/>
      <c r="C500" s="450"/>
      <c r="D500" s="631" t="str">
        <f>CONCATENATE("and the ",IF(MAX(Criteria!I41:I45)&gt;1,"directors are","director is")," of the opinion that no further comment thereon is necessary.")</f>
        <v>and the directors are of the opinion that no further comment thereon is necessary.</v>
      </c>
      <c r="E500" s="631"/>
      <c r="F500" s="631"/>
      <c r="G500" s="631"/>
      <c r="H500" s="631"/>
      <c r="I500" s="631"/>
      <c r="J500" s="631"/>
      <c r="M500" s="540"/>
      <c r="O500" s="540"/>
    </row>
    <row r="501" spans="2:18" ht="36" customHeight="1" x14ac:dyDescent="0.5">
      <c r="B501" s="451"/>
      <c r="C501" s="450"/>
      <c r="D501" s="631"/>
      <c r="E501" s="631"/>
      <c r="F501" s="631"/>
      <c r="G501" s="631"/>
      <c r="H501" s="631"/>
      <c r="I501" s="631"/>
      <c r="J501" s="631"/>
      <c r="M501" s="540"/>
      <c r="O501" s="454" t="s">
        <v>112</v>
      </c>
      <c r="P501" s="454"/>
      <c r="Q501" s="450">
        <f>MAX($Q$103:Q500)+1</f>
        <v>9</v>
      </c>
    </row>
    <row r="502" spans="2:18" ht="36" customHeight="1" x14ac:dyDescent="0.5">
      <c r="D502" s="630" t="str">
        <f>Criteria!E9</f>
        <v>ABC COMPANY (PROPRIETARY) LIMITED</v>
      </c>
      <c r="E502" s="631"/>
      <c r="F502" s="631"/>
      <c r="G502" s="631"/>
      <c r="H502" s="631"/>
      <c r="I502" s="631"/>
      <c r="J502" s="631"/>
      <c r="M502" s="540"/>
      <c r="O502" s="451"/>
      <c r="P502" s="451"/>
      <c r="Q502" s="451"/>
    </row>
    <row r="503" spans="2:18" ht="36" customHeight="1" x14ac:dyDescent="0.5">
      <c r="D503" s="630" t="str">
        <f>Criteria!E10</f>
        <v>T/A SEAFRONT HOTEL, ABC RESTAURANT AND RENTAL PROPERTIES</v>
      </c>
      <c r="E503" s="631"/>
      <c r="F503" s="631"/>
      <c r="G503" s="631"/>
      <c r="H503" s="631"/>
      <c r="I503" s="631"/>
      <c r="J503" s="631"/>
      <c r="M503" s="540"/>
      <c r="O503" s="540"/>
      <c r="R503" s="490" t="str">
        <f>IF(D503=0,"DELETE"," ")</f>
        <v xml:space="preserve"> </v>
      </c>
    </row>
    <row r="504" spans="2:18" ht="36" customHeight="1" x14ac:dyDescent="0.5">
      <c r="D504" s="631"/>
      <c r="E504" s="631"/>
      <c r="F504" s="631"/>
      <c r="G504" s="631"/>
      <c r="H504" s="631"/>
      <c r="I504" s="631"/>
      <c r="J504" s="631"/>
      <c r="M504" s="540"/>
      <c r="O504" s="540"/>
    </row>
    <row r="505" spans="2:18" ht="36" customHeight="1" x14ac:dyDescent="0.5">
      <c r="D505" s="630" t="str">
        <f>D447</f>
        <v>DIRECTORS' REPORT FOR THE YEAR ENDED</v>
      </c>
      <c r="E505" s="631"/>
      <c r="F505" s="631"/>
      <c r="G505" s="631"/>
      <c r="H505" s="631"/>
      <c r="I505" s="631"/>
      <c r="J505" s="631"/>
      <c r="M505" s="547"/>
      <c r="N505" s="547"/>
      <c r="O505" s="540"/>
    </row>
    <row r="506" spans="2:18" ht="36" customHeight="1" x14ac:dyDescent="0.5">
      <c r="D506" s="630" t="str">
        <f>Criteria!E20</f>
        <v>28 FEBRUARY 2026</v>
      </c>
      <c r="E506" s="631"/>
      <c r="F506" s="631"/>
      <c r="G506" s="631"/>
      <c r="H506" s="631"/>
      <c r="I506" s="631"/>
      <c r="J506" s="631" t="s">
        <v>282</v>
      </c>
      <c r="M506" s="547"/>
      <c r="N506" s="547"/>
      <c r="O506" s="540"/>
    </row>
    <row r="507" spans="2:18" ht="36" customHeight="1" x14ac:dyDescent="0.5">
      <c r="D507" s="633"/>
      <c r="E507" s="633"/>
      <c r="F507" s="633"/>
      <c r="G507" s="633"/>
      <c r="H507" s="633"/>
      <c r="I507" s="633"/>
      <c r="J507" s="633"/>
      <c r="K507" s="455"/>
      <c r="L507" s="455"/>
      <c r="M507" s="542"/>
      <c r="N507" s="542"/>
      <c r="O507" s="543"/>
      <c r="P507" s="543"/>
      <c r="Q507" s="455"/>
    </row>
    <row r="508" spans="2:18" ht="36" customHeight="1" x14ac:dyDescent="0.5">
      <c r="D508" s="631"/>
      <c r="E508" s="631"/>
      <c r="F508" s="631"/>
      <c r="G508" s="631"/>
      <c r="H508" s="631"/>
      <c r="I508" s="631"/>
      <c r="J508" s="631"/>
      <c r="M508" s="566"/>
      <c r="N508" s="566"/>
      <c r="O508" s="545"/>
      <c r="P508" s="545"/>
    </row>
    <row r="509" spans="2:18" ht="36" customHeight="1" x14ac:dyDescent="0.5">
      <c r="C509" s="450">
        <f>MAX(C$451:C508)+1</f>
        <v>4</v>
      </c>
      <c r="D509" s="630" t="s">
        <v>781</v>
      </c>
      <c r="E509" s="631"/>
      <c r="F509" s="631"/>
      <c r="G509" s="631"/>
      <c r="H509" s="631"/>
      <c r="I509" s="631"/>
      <c r="J509" s="631"/>
      <c r="M509" s="540"/>
      <c r="O509" s="540"/>
    </row>
    <row r="510" spans="2:18" ht="36" customHeight="1" x14ac:dyDescent="0.5">
      <c r="C510" s="450"/>
      <c r="D510" s="630"/>
      <c r="E510" s="631"/>
      <c r="F510" s="631"/>
      <c r="G510" s="631"/>
      <c r="H510" s="631"/>
      <c r="I510" s="631"/>
      <c r="J510" s="631"/>
      <c r="M510" s="540"/>
      <c r="O510" s="540"/>
    </row>
    <row r="511" spans="2:18" ht="36" customHeight="1" x14ac:dyDescent="0.5">
      <c r="C511" s="450"/>
      <c r="D511" s="631" t="str">
        <f>IF(Criteria!F92="Yes",Criteria!G92,"No dividends have been declared nor are any recommended.")</f>
        <v>No dividends have been declared nor are any recommended.</v>
      </c>
      <c r="E511" s="631"/>
      <c r="F511" s="631"/>
      <c r="G511" s="631"/>
      <c r="H511" s="631"/>
      <c r="I511" s="631"/>
      <c r="J511" s="631"/>
      <c r="M511" s="540"/>
      <c r="O511" s="540"/>
    </row>
    <row r="512" spans="2:18" ht="36" customHeight="1" x14ac:dyDescent="0.5">
      <c r="C512" s="450"/>
      <c r="D512" s="631" t="str">
        <f>IF(Criteria!F92="Yes",Criteria!G93," ")</f>
        <v xml:space="preserve"> </v>
      </c>
      <c r="E512" s="631"/>
      <c r="F512" s="631"/>
      <c r="G512" s="631"/>
      <c r="H512" s="631"/>
      <c r="I512" s="631"/>
      <c r="J512" s="631"/>
      <c r="M512" s="540"/>
      <c r="O512" s="540"/>
      <c r="R512" s="490" t="str">
        <f>IF(D512=" ","DELETE"," ")</f>
        <v>DELETE</v>
      </c>
    </row>
    <row r="513" spans="2:18" ht="36" customHeight="1" x14ac:dyDescent="0.5">
      <c r="D513" s="631"/>
      <c r="E513" s="631"/>
      <c r="F513" s="631"/>
      <c r="G513" s="631"/>
      <c r="H513" s="631"/>
      <c r="I513" s="631"/>
      <c r="J513" s="631"/>
      <c r="M513" s="566"/>
      <c r="N513" s="566"/>
      <c r="O513" s="545"/>
      <c r="P513" s="545"/>
    </row>
    <row r="514" spans="2:18" ht="36" customHeight="1" x14ac:dyDescent="0.5">
      <c r="C514" s="450">
        <f>MAX(C$451:C513)+1</f>
        <v>5</v>
      </c>
      <c r="D514" s="630" t="s">
        <v>593</v>
      </c>
      <c r="E514" s="631"/>
      <c r="F514" s="631"/>
      <c r="G514" s="631"/>
      <c r="H514" s="631"/>
      <c r="I514" s="631"/>
      <c r="J514" s="631"/>
      <c r="M514" s="540"/>
      <c r="O514" s="540"/>
    </row>
    <row r="515" spans="2:18" ht="36" customHeight="1" x14ac:dyDescent="0.5">
      <c r="C515" s="450"/>
      <c r="D515" s="630"/>
      <c r="E515" s="631"/>
      <c r="F515" s="631"/>
      <c r="G515" s="631"/>
      <c r="H515" s="631"/>
      <c r="I515" s="631"/>
      <c r="J515" s="631"/>
      <c r="M515" s="540"/>
      <c r="O515" s="540"/>
    </row>
    <row r="516" spans="2:18" ht="36" customHeight="1" x14ac:dyDescent="0.5">
      <c r="C516" s="450"/>
      <c r="D516" s="631" t="str">
        <f>CONCATENATE("The authorised and issued share capital are presented at Note ",B2280," of the Notes to the")</f>
        <v>The authorised and issued share capital are presented at Note 21 of the Notes to the</v>
      </c>
      <c r="E516" s="631"/>
      <c r="F516" s="631"/>
      <c r="G516" s="631"/>
      <c r="H516" s="631"/>
      <c r="I516" s="631"/>
      <c r="J516" s="631"/>
      <c r="M516" s="540"/>
      <c r="O516" s="540"/>
    </row>
    <row r="517" spans="2:18" ht="36" customHeight="1" x14ac:dyDescent="0.5">
      <c r="C517" s="450"/>
      <c r="D517" s="631" t="s">
        <v>1650</v>
      </c>
      <c r="E517" s="631"/>
      <c r="F517" s="631"/>
      <c r="G517" s="631"/>
      <c r="H517" s="631"/>
      <c r="I517" s="631"/>
      <c r="J517" s="631"/>
      <c r="M517" s="540"/>
      <c r="O517" s="540"/>
    </row>
    <row r="518" spans="2:18" ht="36" customHeight="1" x14ac:dyDescent="0.5">
      <c r="C518" s="450"/>
      <c r="D518" s="631" t="str">
        <f>IF(Criteria!F95="No","The authorised and issued share capital remained unchanged during the financial year",Criteria!G96)</f>
        <v>The authorised and issued share capital remained unchanged during the financial year</v>
      </c>
      <c r="E518" s="631"/>
      <c r="F518" s="631"/>
      <c r="G518" s="631"/>
      <c r="H518" s="631"/>
      <c r="I518" s="631"/>
      <c r="J518" s="631"/>
      <c r="M518" s="540"/>
      <c r="O518" s="540"/>
    </row>
    <row r="519" spans="2:18" ht="36" customHeight="1" x14ac:dyDescent="0.5">
      <c r="C519" s="450"/>
      <c r="D519" s="631" t="str">
        <f>IF(Criteria!F95="Yes",Criteria!G97,"under review.")</f>
        <v>under review.</v>
      </c>
      <c r="E519" s="631"/>
      <c r="F519" s="631"/>
      <c r="G519" s="631"/>
      <c r="H519" s="631"/>
      <c r="I519" s="631"/>
      <c r="J519" s="631"/>
      <c r="M519" s="540"/>
      <c r="O519" s="540"/>
      <c r="R519" s="490" t="str">
        <f>IF(D519=0,"DELETE",IF(D519=" ","DELETE"," "))</f>
        <v xml:space="preserve"> </v>
      </c>
    </row>
    <row r="520" spans="2:18" ht="36" customHeight="1" x14ac:dyDescent="0.5">
      <c r="D520" s="631"/>
      <c r="E520" s="631"/>
      <c r="F520" s="631"/>
      <c r="G520" s="631"/>
      <c r="H520" s="631"/>
      <c r="I520" s="631"/>
      <c r="J520" s="631"/>
      <c r="M520" s="566"/>
      <c r="N520" s="566"/>
      <c r="O520" s="545"/>
      <c r="P520" s="545"/>
    </row>
    <row r="521" spans="2:18" ht="36" customHeight="1" x14ac:dyDescent="0.5">
      <c r="C521" s="450">
        <f>MAX(C$451:C520)+1</f>
        <v>6</v>
      </c>
      <c r="D521" s="630" t="s">
        <v>1503</v>
      </c>
      <c r="E521" s="631"/>
      <c r="F521" s="631"/>
      <c r="G521" s="631"/>
      <c r="H521" s="631"/>
      <c r="I521" s="631"/>
      <c r="J521" s="631"/>
      <c r="M521" s="566"/>
      <c r="N521" s="566"/>
      <c r="O521" s="545"/>
      <c r="P521" s="545"/>
    </row>
    <row r="522" spans="2:18" ht="36" customHeight="1" x14ac:dyDescent="0.5">
      <c r="C522" s="450"/>
      <c r="D522" s="630"/>
      <c r="E522" s="631"/>
      <c r="F522" s="631"/>
      <c r="G522" s="631"/>
      <c r="H522" s="631"/>
      <c r="I522" s="631"/>
      <c r="J522" s="631"/>
      <c r="M522" s="566"/>
      <c r="N522" s="566"/>
      <c r="O522" s="545"/>
      <c r="P522" s="545"/>
    </row>
    <row r="523" spans="2:18" ht="36" customHeight="1" x14ac:dyDescent="0.5">
      <c r="D523" s="631" t="str">
        <f>IF(Criteria!F99="Yes",Criteria!G100,"No fundamental change in the nature or use of fixed assets took place during the")</f>
        <v>No fundamental change in the nature or use of fixed assets took place during the</v>
      </c>
      <c r="E523" s="631"/>
      <c r="F523" s="631"/>
      <c r="G523" s="631"/>
      <c r="H523" s="631"/>
      <c r="I523" s="631"/>
      <c r="J523" s="631"/>
      <c r="M523" s="566"/>
      <c r="N523" s="566"/>
      <c r="O523" s="545"/>
      <c r="P523" s="545"/>
    </row>
    <row r="524" spans="2:18" ht="36" customHeight="1" x14ac:dyDescent="0.5">
      <c r="D524" s="631" t="str">
        <f>IF(Criteria!F99="Yes"," ","financial year.")</f>
        <v>financial year.</v>
      </c>
      <c r="E524" s="631"/>
      <c r="F524" s="631"/>
      <c r="G524" s="631"/>
      <c r="H524" s="631"/>
      <c r="I524" s="631"/>
      <c r="J524" s="631"/>
      <c r="M524" s="566"/>
      <c r="N524" s="566"/>
      <c r="O524" s="545"/>
      <c r="P524" s="545"/>
      <c r="R524" s="490" t="str">
        <f>IF(D524=0,"DELETE",IF(D524=" ","DELETE"," "))</f>
        <v xml:space="preserve"> </v>
      </c>
    </row>
    <row r="525" spans="2:18" ht="36" customHeight="1" x14ac:dyDescent="0.5">
      <c r="D525" s="631"/>
      <c r="E525" s="631"/>
      <c r="F525" s="631"/>
      <c r="G525" s="631"/>
      <c r="H525" s="631"/>
      <c r="I525" s="631"/>
      <c r="J525" s="631"/>
      <c r="M525" s="566"/>
      <c r="N525" s="566"/>
      <c r="O525" s="545"/>
      <c r="P525" s="545"/>
    </row>
    <row r="526" spans="2:18" ht="36" customHeight="1" x14ac:dyDescent="0.5">
      <c r="B526" s="451"/>
      <c r="C526" s="450">
        <f>MAX(C$451:C525)+1</f>
        <v>7</v>
      </c>
      <c r="D526" s="630" t="str">
        <f>IF(MAX(Criteria!I41:I45)&gt;1,"Directors","Director")</f>
        <v>Directors</v>
      </c>
      <c r="E526" s="631"/>
      <c r="F526" s="631"/>
      <c r="G526" s="631"/>
      <c r="H526" s="631"/>
      <c r="I526" s="631"/>
      <c r="J526" s="631"/>
      <c r="M526" s="540"/>
      <c r="O526" s="540"/>
    </row>
    <row r="527" spans="2:18" ht="36" customHeight="1" x14ac:dyDescent="0.5">
      <c r="B527" s="451"/>
      <c r="C527" s="450"/>
      <c r="D527" s="630"/>
      <c r="E527" s="631"/>
      <c r="F527" s="631"/>
      <c r="G527" s="631"/>
      <c r="H527" s="631"/>
      <c r="I527" s="631"/>
      <c r="J527" s="631"/>
      <c r="M527" s="540"/>
      <c r="O527" s="540"/>
    </row>
    <row r="528" spans="2:18" ht="36" customHeight="1" x14ac:dyDescent="0.5">
      <c r="B528" s="451"/>
      <c r="C528" s="450"/>
      <c r="D528" s="631" t="str">
        <f>IF(MAX(Criteria!I41:I45)&gt;1,"The directors in office at the date of the financial year end are as follows:","The director in office at the date of the financial year end is as follows:")</f>
        <v>The directors in office at the date of the financial year end are as follows:</v>
      </c>
      <c r="E528" s="631"/>
      <c r="F528" s="631"/>
      <c r="G528" s="631"/>
      <c r="H528" s="631"/>
      <c r="I528" s="631"/>
      <c r="J528" s="631"/>
      <c r="M528" s="540"/>
      <c r="O528" s="540"/>
    </row>
    <row r="529" spans="2:18" ht="36" customHeight="1" x14ac:dyDescent="0.5">
      <c r="B529" s="451"/>
      <c r="C529" s="450"/>
      <c r="D529" s="630"/>
      <c r="E529" s="631"/>
      <c r="F529" s="631"/>
      <c r="G529" s="631"/>
      <c r="H529" s="631"/>
      <c r="I529" s="631"/>
      <c r="J529" s="631"/>
      <c r="M529" s="617" t="s">
        <v>859</v>
      </c>
      <c r="O529" s="540"/>
    </row>
    <row r="530" spans="2:18" ht="36" customHeight="1" x14ac:dyDescent="0.5">
      <c r="B530" s="451"/>
      <c r="C530" s="450"/>
      <c r="D530" s="631" t="str">
        <f>Criteria!E41</f>
        <v>A Director</v>
      </c>
      <c r="E530" s="631"/>
      <c r="F530" s="631"/>
      <c r="G530" s="631"/>
      <c r="H530" s="631"/>
      <c r="I530" s="631"/>
      <c r="J530" s="631"/>
      <c r="M530" s="619" t="str">
        <f>Criteria!G41</f>
        <v>RSA</v>
      </c>
      <c r="O530" s="540"/>
    </row>
    <row r="531" spans="2:18" ht="36" customHeight="1" x14ac:dyDescent="0.5">
      <c r="C531" s="450"/>
      <c r="D531" s="631" t="str">
        <f>Criteria!E42</f>
        <v>B Director</v>
      </c>
      <c r="E531" s="631"/>
      <c r="F531" s="631"/>
      <c r="G531" s="631"/>
      <c r="H531" s="631"/>
      <c r="I531" s="631"/>
      <c r="J531" s="631"/>
      <c r="M531" s="619" t="str">
        <f>Criteria!G42</f>
        <v>RSA</v>
      </c>
      <c r="O531" s="540"/>
      <c r="R531" s="490" t="str">
        <f>IF(D531=0,"DELETE"," ")</f>
        <v xml:space="preserve"> </v>
      </c>
    </row>
    <row r="532" spans="2:18" ht="36" customHeight="1" x14ac:dyDescent="0.5">
      <c r="C532" s="450"/>
      <c r="D532" s="631">
        <f>Criteria!E43</f>
        <v>0</v>
      </c>
      <c r="E532" s="631"/>
      <c r="F532" s="631"/>
      <c r="G532" s="631"/>
      <c r="H532" s="631"/>
      <c r="I532" s="631"/>
      <c r="J532" s="631"/>
      <c r="M532" s="619">
        <f>Criteria!G43</f>
        <v>0</v>
      </c>
      <c r="O532" s="540"/>
      <c r="R532" s="490" t="str">
        <f>IF(D532=0,"DELETE"," ")</f>
        <v>DELETE</v>
      </c>
    </row>
    <row r="533" spans="2:18" ht="36" customHeight="1" x14ac:dyDescent="0.5">
      <c r="C533" s="450"/>
      <c r="D533" s="631">
        <f>Criteria!E44</f>
        <v>0</v>
      </c>
      <c r="E533" s="631"/>
      <c r="F533" s="631"/>
      <c r="G533" s="631"/>
      <c r="H533" s="631"/>
      <c r="I533" s="631"/>
      <c r="J533" s="631"/>
      <c r="M533" s="619">
        <f>Criteria!G44</f>
        <v>0</v>
      </c>
      <c r="O533" s="540"/>
      <c r="R533" s="490" t="str">
        <f>IF(D533=0,"DELETE"," ")</f>
        <v>DELETE</v>
      </c>
    </row>
    <row r="534" spans="2:18" ht="36" customHeight="1" x14ac:dyDescent="0.5">
      <c r="C534" s="450"/>
      <c r="D534" s="631">
        <f>Criteria!E45</f>
        <v>0</v>
      </c>
      <c r="E534" s="631"/>
      <c r="F534" s="631"/>
      <c r="G534" s="631"/>
      <c r="H534" s="631"/>
      <c r="I534" s="631"/>
      <c r="J534" s="631"/>
      <c r="M534" s="619">
        <f>Criteria!G45</f>
        <v>0</v>
      </c>
      <c r="O534" s="540"/>
      <c r="R534" s="490" t="str">
        <f>IF(D534=0,"DELETE"," ")</f>
        <v>DELETE</v>
      </c>
    </row>
    <row r="535" spans="2:18" ht="36" customHeight="1" x14ac:dyDescent="0.5">
      <c r="C535" s="450"/>
      <c r="D535" s="631"/>
      <c r="E535" s="631"/>
      <c r="F535" s="631"/>
      <c r="G535" s="631"/>
      <c r="H535" s="631"/>
      <c r="I535" s="631"/>
      <c r="J535" s="631"/>
      <c r="M535" s="540"/>
      <c r="O535" s="540"/>
    </row>
    <row r="536" spans="2:18" ht="36" customHeight="1" x14ac:dyDescent="0.5">
      <c r="C536" s="450"/>
      <c r="D536" s="631" t="str">
        <f>IF(Criteria!G50="Yes",Criteria!G51,"There have been no changes to the directorate during the period under review.")</f>
        <v>There have been no changes to the directorate during the period under review.</v>
      </c>
      <c r="E536" s="631"/>
      <c r="F536" s="631"/>
      <c r="G536" s="631"/>
      <c r="H536" s="631"/>
      <c r="I536" s="631"/>
      <c r="J536" s="631"/>
      <c r="M536" s="540"/>
      <c r="O536" s="540"/>
    </row>
    <row r="537" spans="2:18" ht="36" customHeight="1" x14ac:dyDescent="0.5">
      <c r="C537" s="450"/>
      <c r="D537" s="631" t="str">
        <f>IF(Criteria!G50="Yes",Criteria!G52," ")</f>
        <v xml:space="preserve"> </v>
      </c>
      <c r="E537" s="631"/>
      <c r="F537" s="631"/>
      <c r="G537" s="631"/>
      <c r="H537" s="631"/>
      <c r="I537" s="631"/>
      <c r="J537" s="631"/>
      <c r="M537" s="540"/>
      <c r="O537" s="540"/>
      <c r="R537" s="490" t="str">
        <f>IF(D537=0,"DELETE",IF(D537=" ","DELETE"," "))</f>
        <v>DELETE</v>
      </c>
    </row>
    <row r="538" spans="2:18" ht="36" customHeight="1" x14ac:dyDescent="0.5">
      <c r="D538" s="631"/>
      <c r="E538" s="631"/>
      <c r="F538" s="631"/>
      <c r="G538" s="631"/>
      <c r="H538" s="631"/>
      <c r="I538" s="631"/>
      <c r="J538" s="631"/>
      <c r="M538" s="540"/>
      <c r="O538" s="540"/>
    </row>
    <row r="539" spans="2:18" ht="36" customHeight="1" x14ac:dyDescent="0.5">
      <c r="C539" s="450">
        <f>MAX(C$451:C538)+1</f>
        <v>8</v>
      </c>
      <c r="D539" s="630" t="s">
        <v>1504</v>
      </c>
      <c r="E539" s="631"/>
      <c r="F539" s="631"/>
      <c r="G539" s="631"/>
      <c r="H539" s="631"/>
      <c r="I539" s="631"/>
      <c r="J539" s="631"/>
      <c r="M539" s="540"/>
      <c r="O539" s="540"/>
    </row>
    <row r="540" spans="2:18" ht="36" customHeight="1" x14ac:dyDescent="0.5">
      <c r="C540" s="450"/>
      <c r="D540" s="630"/>
      <c r="E540" s="631"/>
      <c r="F540" s="631"/>
      <c r="G540" s="631"/>
      <c r="H540" s="631"/>
      <c r="I540" s="631"/>
      <c r="J540" s="631"/>
      <c r="M540" s="540"/>
      <c r="O540" s="540"/>
    </row>
    <row r="541" spans="2:18" ht="36" customHeight="1" x14ac:dyDescent="0.5">
      <c r="C541" s="450"/>
      <c r="D541" s="631" t="s">
        <v>1651</v>
      </c>
      <c r="E541" s="631"/>
      <c r="F541" s="631"/>
      <c r="G541" s="631"/>
      <c r="H541" s="631"/>
      <c r="I541" s="631"/>
      <c r="J541" s="631"/>
      <c r="M541" s="540"/>
      <c r="O541" s="540"/>
    </row>
    <row r="542" spans="2:18" ht="36" customHeight="1" x14ac:dyDescent="0.5">
      <c r="C542" s="450"/>
      <c r="D542" s="631" t="s">
        <v>1652</v>
      </c>
      <c r="E542" s="631"/>
      <c r="F542" s="631"/>
      <c r="G542" s="631"/>
      <c r="H542" s="631"/>
      <c r="I542" s="631"/>
      <c r="J542" s="631"/>
      <c r="M542" s="540"/>
      <c r="O542" s="540"/>
    </row>
    <row r="543" spans="2:18" ht="36" customHeight="1" x14ac:dyDescent="0.5">
      <c r="C543" s="450"/>
      <c r="D543" s="631" t="s">
        <v>1654</v>
      </c>
      <c r="E543" s="631"/>
      <c r="F543" s="631"/>
      <c r="G543" s="631"/>
      <c r="H543" s="631"/>
      <c r="I543" s="631"/>
      <c r="J543" s="631"/>
      <c r="M543" s="540"/>
      <c r="O543" s="540"/>
    </row>
    <row r="544" spans="2:18" ht="36" customHeight="1" x14ac:dyDescent="0.5">
      <c r="C544" s="450"/>
      <c r="D544" s="631" t="s">
        <v>1656</v>
      </c>
      <c r="E544" s="631"/>
      <c r="F544" s="631"/>
      <c r="G544" s="631"/>
      <c r="H544" s="631"/>
      <c r="I544" s="631"/>
      <c r="J544" s="631"/>
      <c r="M544" s="540"/>
      <c r="O544" s="540"/>
    </row>
    <row r="545" spans="3:18" ht="36" customHeight="1" x14ac:dyDescent="0.5">
      <c r="C545" s="450"/>
      <c r="D545" s="631" t="s">
        <v>1655</v>
      </c>
      <c r="E545" s="631"/>
      <c r="F545" s="631"/>
      <c r="G545" s="631"/>
      <c r="H545" s="631"/>
      <c r="I545" s="631"/>
      <c r="J545" s="631"/>
      <c r="M545" s="540"/>
      <c r="O545" s="540"/>
    </row>
    <row r="546" spans="3:18" ht="36" customHeight="1" x14ac:dyDescent="0.5">
      <c r="C546" s="450"/>
      <c r="D546" s="631"/>
      <c r="E546" s="631"/>
      <c r="F546" s="631"/>
      <c r="G546" s="631"/>
      <c r="H546" s="631"/>
      <c r="I546" s="631"/>
      <c r="J546" s="631"/>
      <c r="M546" s="540"/>
      <c r="O546" s="540"/>
    </row>
    <row r="547" spans="3:18" ht="36" customHeight="1" x14ac:dyDescent="0.5">
      <c r="C547" s="450"/>
      <c r="D547" s="631"/>
      <c r="E547" s="631"/>
      <c r="F547" s="631"/>
      <c r="G547" s="631"/>
      <c r="H547" s="631"/>
      <c r="I547" s="631"/>
      <c r="J547" s="631"/>
      <c r="M547" s="540"/>
      <c r="O547" s="540"/>
    </row>
    <row r="548" spans="3:18" ht="36" customHeight="1" x14ac:dyDescent="0.5">
      <c r="C548" s="450"/>
      <c r="D548" s="631"/>
      <c r="E548" s="631"/>
      <c r="F548" s="631"/>
      <c r="G548" s="631"/>
      <c r="H548" s="631"/>
      <c r="I548" s="631"/>
      <c r="J548" s="631"/>
      <c r="M548" s="540"/>
      <c r="O548" s="540"/>
    </row>
    <row r="549" spans="3:18" ht="36" customHeight="1" x14ac:dyDescent="0.5">
      <c r="C549" s="450"/>
      <c r="D549" s="631"/>
      <c r="E549" s="631"/>
      <c r="F549" s="631"/>
      <c r="G549" s="631"/>
      <c r="H549" s="631"/>
      <c r="I549" s="631"/>
      <c r="J549" s="631"/>
      <c r="M549" s="540"/>
      <c r="O549" s="454" t="s">
        <v>112</v>
      </c>
      <c r="P549" s="454"/>
      <c r="Q549" s="450">
        <f>MAX($Q$103:Q548)+1</f>
        <v>10</v>
      </c>
    </row>
    <row r="550" spans="3:18" ht="36" customHeight="1" x14ac:dyDescent="0.5">
      <c r="C550" s="450"/>
      <c r="D550" s="630" t="str">
        <f>Criteria!E9</f>
        <v>ABC COMPANY (PROPRIETARY) LIMITED</v>
      </c>
      <c r="E550" s="631"/>
      <c r="F550" s="631"/>
      <c r="G550" s="631"/>
      <c r="H550" s="631"/>
      <c r="I550" s="631"/>
      <c r="J550" s="631"/>
      <c r="M550" s="540"/>
      <c r="O550" s="451"/>
      <c r="P550" s="451"/>
      <c r="Q550" s="451"/>
    </row>
    <row r="551" spans="3:18" ht="36" customHeight="1" x14ac:dyDescent="0.5">
      <c r="C551" s="450"/>
      <c r="D551" s="630" t="str">
        <f>Criteria!E10</f>
        <v>T/A SEAFRONT HOTEL, ABC RESTAURANT AND RENTAL PROPERTIES</v>
      </c>
      <c r="E551" s="631"/>
      <c r="F551" s="631"/>
      <c r="G551" s="631"/>
      <c r="H551" s="631"/>
      <c r="I551" s="631"/>
      <c r="J551" s="631"/>
      <c r="M551" s="540"/>
      <c r="O551" s="540"/>
      <c r="R551" s="490" t="str">
        <f>IF(D551=0,"DELETE"," ")</f>
        <v xml:space="preserve"> </v>
      </c>
    </row>
    <row r="552" spans="3:18" ht="36" customHeight="1" x14ac:dyDescent="0.5">
      <c r="C552" s="450"/>
      <c r="D552" s="631"/>
      <c r="E552" s="631"/>
      <c r="F552" s="631"/>
      <c r="G552" s="631"/>
      <c r="H552" s="631"/>
      <c r="I552" s="631"/>
      <c r="J552" s="631"/>
      <c r="M552" s="540"/>
      <c r="O552" s="540"/>
    </row>
    <row r="553" spans="3:18" ht="36" customHeight="1" x14ac:dyDescent="0.5">
      <c r="C553" s="450"/>
      <c r="D553" s="630" t="str">
        <f>D447</f>
        <v>DIRECTORS' REPORT FOR THE YEAR ENDED</v>
      </c>
      <c r="E553" s="631"/>
      <c r="F553" s="631"/>
      <c r="G553" s="631"/>
      <c r="H553" s="631"/>
      <c r="I553" s="631"/>
      <c r="J553" s="631"/>
      <c r="M553" s="547"/>
      <c r="N553" s="547"/>
      <c r="O553" s="540"/>
    </row>
    <row r="554" spans="3:18" ht="36" customHeight="1" x14ac:dyDescent="0.5">
      <c r="C554" s="450"/>
      <c r="D554" s="630" t="str">
        <f>Criteria!E20</f>
        <v>28 FEBRUARY 2026</v>
      </c>
      <c r="E554" s="631"/>
      <c r="F554" s="631"/>
      <c r="G554" s="631"/>
      <c r="H554" s="631"/>
      <c r="I554" s="631"/>
      <c r="J554" s="631" t="s">
        <v>282</v>
      </c>
      <c r="M554" s="547"/>
      <c r="N554" s="547"/>
      <c r="O554" s="540"/>
    </row>
    <row r="555" spans="3:18" ht="36" customHeight="1" x14ac:dyDescent="0.5">
      <c r="C555" s="450"/>
      <c r="D555" s="633"/>
      <c r="E555" s="633"/>
      <c r="F555" s="633"/>
      <c r="G555" s="633"/>
      <c r="H555" s="633"/>
      <c r="I555" s="633"/>
      <c r="J555" s="633"/>
      <c r="K555" s="455"/>
      <c r="L555" s="455"/>
      <c r="M555" s="542"/>
      <c r="N555" s="542"/>
      <c r="O555" s="543"/>
      <c r="P555" s="543"/>
      <c r="Q555" s="455"/>
    </row>
    <row r="556" spans="3:18" ht="36" customHeight="1" x14ac:dyDescent="0.5">
      <c r="D556" s="631"/>
      <c r="E556" s="631"/>
      <c r="F556" s="631"/>
      <c r="G556" s="631"/>
      <c r="H556" s="631"/>
      <c r="I556" s="631"/>
      <c r="J556" s="631"/>
      <c r="M556" s="540"/>
      <c r="O556" s="540"/>
    </row>
    <row r="557" spans="3:18" ht="36" customHeight="1" x14ac:dyDescent="0.5">
      <c r="C557" s="450">
        <f>MAX(C$451:C556)+1</f>
        <v>9</v>
      </c>
      <c r="D557" s="630" t="s">
        <v>1505</v>
      </c>
      <c r="E557" s="631"/>
      <c r="F557" s="631"/>
      <c r="G557" s="631"/>
      <c r="H557" s="631"/>
      <c r="I557" s="631"/>
      <c r="J557" s="631"/>
      <c r="M557" s="540"/>
      <c r="O557" s="540"/>
    </row>
    <row r="558" spans="3:18" ht="36" customHeight="1" x14ac:dyDescent="0.5">
      <c r="C558" s="450"/>
      <c r="D558" s="630"/>
      <c r="E558" s="631"/>
      <c r="F558" s="631"/>
      <c r="G558" s="631"/>
      <c r="H558" s="631"/>
      <c r="I558" s="631"/>
      <c r="J558" s="631"/>
      <c r="M558" s="540"/>
      <c r="O558" s="540"/>
    </row>
    <row r="559" spans="3:18" ht="36" customHeight="1" x14ac:dyDescent="0.5">
      <c r="D559" s="631" t="str">
        <f>IF(Criteria!F102="No","No material fact or event that could have a major impact on the financial position of",Criteria!G104 )</f>
        <v>No material fact or event that could have a major impact on the financial position of</v>
      </c>
      <c r="E559" s="631"/>
      <c r="F559" s="631"/>
      <c r="G559" s="631"/>
      <c r="H559" s="631"/>
      <c r="I559" s="631"/>
      <c r="J559" s="631"/>
      <c r="M559" s="540"/>
      <c r="O559" s="540"/>
    </row>
    <row r="560" spans="3:18" ht="36" customHeight="1" x14ac:dyDescent="0.5">
      <c r="D560" s="631" t="str">
        <f>IF(Criteria!F102="No","the company or its results took place between the date of the Financial Statements and",Criteria!G105)</f>
        <v>the company or its results took place between the date of the Financial Statements and</v>
      </c>
      <c r="E560" s="631"/>
      <c r="F560" s="631"/>
      <c r="G560" s="631"/>
      <c r="H560" s="631"/>
      <c r="I560" s="631"/>
      <c r="J560" s="631"/>
      <c r="M560" s="540"/>
      <c r="O560" s="540"/>
      <c r="R560" s="490" t="str">
        <f>IF(D560=0,"DELETE"," ")</f>
        <v xml:space="preserve"> </v>
      </c>
    </row>
    <row r="561" spans="2:18" ht="36" customHeight="1" x14ac:dyDescent="0.5">
      <c r="D561" s="631" t="str">
        <f>IF(Criteria!F102="No","the date of approval thereof. ",Criteria!G106)</f>
        <v xml:space="preserve">the date of approval thereof. </v>
      </c>
      <c r="E561" s="631"/>
      <c r="F561" s="631"/>
      <c r="G561" s="631"/>
      <c r="H561" s="631"/>
      <c r="I561" s="631"/>
      <c r="J561" s="631"/>
      <c r="M561" s="540"/>
      <c r="O561" s="540"/>
      <c r="R561" s="490" t="str">
        <f>IF(D561=0,"DELETE"," ")</f>
        <v xml:space="preserve"> </v>
      </c>
    </row>
    <row r="562" spans="2:18" ht="36" customHeight="1" x14ac:dyDescent="0.5">
      <c r="D562" s="631"/>
      <c r="E562" s="631"/>
      <c r="F562" s="631"/>
      <c r="G562" s="631"/>
      <c r="H562" s="631"/>
      <c r="I562" s="631"/>
      <c r="J562" s="631"/>
      <c r="M562" s="540"/>
      <c r="O562" s="540"/>
    </row>
    <row r="563" spans="2:18" ht="36" customHeight="1" x14ac:dyDescent="0.5">
      <c r="D563" s="631"/>
      <c r="E563" s="631"/>
      <c r="F563" s="631"/>
      <c r="G563" s="631"/>
      <c r="H563" s="631"/>
      <c r="I563" s="631"/>
      <c r="J563" s="631"/>
      <c r="M563" s="540"/>
      <c r="O563" s="540"/>
    </row>
    <row r="564" spans="2:18" ht="36" customHeight="1" x14ac:dyDescent="0.5">
      <c r="D564" s="631"/>
      <c r="E564" s="631"/>
      <c r="F564" s="631"/>
      <c r="G564" s="631"/>
      <c r="H564" s="631"/>
      <c r="I564" s="631"/>
      <c r="J564" s="631"/>
      <c r="M564" s="540"/>
      <c r="O564" s="540"/>
    </row>
    <row r="565" spans="2:18" ht="36" customHeight="1" x14ac:dyDescent="0.5">
      <c r="D565" s="631"/>
      <c r="E565" s="631"/>
      <c r="F565" s="631"/>
      <c r="G565" s="631"/>
      <c r="H565" s="631"/>
      <c r="I565" s="631"/>
      <c r="J565" s="631"/>
      <c r="M565" s="540"/>
      <c r="O565" s="540"/>
    </row>
    <row r="566" spans="2:18" ht="36" customHeight="1" x14ac:dyDescent="0.5">
      <c r="D566" s="631"/>
      <c r="E566" s="631"/>
      <c r="F566" s="631"/>
      <c r="G566" s="631"/>
      <c r="H566" s="631"/>
      <c r="I566" s="631"/>
      <c r="J566" s="631"/>
      <c r="M566" s="540"/>
      <c r="O566" s="454" t="s">
        <v>112</v>
      </c>
      <c r="P566" s="454"/>
      <c r="Q566" s="450">
        <f>MAX($Q$103:Q565)+1</f>
        <v>11</v>
      </c>
      <c r="R566" s="490" t="str">
        <f>IF(R576="DELETE","DELETE"," ")</f>
        <v>DELETE</v>
      </c>
    </row>
    <row r="567" spans="2:18" ht="36" customHeight="1" x14ac:dyDescent="0.5">
      <c r="D567" s="630" t="str">
        <f>Criteria!E9</f>
        <v>ABC COMPANY (PROPRIETARY) LIMITED</v>
      </c>
      <c r="E567" s="631"/>
      <c r="F567" s="631"/>
      <c r="G567" s="631"/>
      <c r="H567" s="631"/>
      <c r="I567" s="631"/>
      <c r="J567" s="631"/>
      <c r="M567" s="540"/>
      <c r="O567" s="451"/>
      <c r="P567" s="451"/>
      <c r="Q567" s="451"/>
      <c r="R567" s="490" t="str">
        <f>R$566</f>
        <v>DELETE</v>
      </c>
    </row>
    <row r="568" spans="2:18" ht="36" customHeight="1" x14ac:dyDescent="0.5">
      <c r="D568" s="630" t="str">
        <f>Criteria!E10</f>
        <v>T/A SEAFRONT HOTEL, ABC RESTAURANT AND RENTAL PROPERTIES</v>
      </c>
      <c r="E568" s="631"/>
      <c r="F568" s="631"/>
      <c r="G568" s="631"/>
      <c r="H568" s="631"/>
      <c r="I568" s="631"/>
      <c r="J568" s="631"/>
      <c r="M568" s="540"/>
      <c r="O568" s="540"/>
      <c r="R568" s="490" t="str">
        <f>IF(R$566="DELETE","DELETE",IF(D568=0,"DELETE"," "))</f>
        <v>DELETE</v>
      </c>
    </row>
    <row r="569" spans="2:18" ht="36" customHeight="1" x14ac:dyDescent="0.5">
      <c r="D569" s="631"/>
      <c r="E569" s="631"/>
      <c r="F569" s="631"/>
      <c r="G569" s="631"/>
      <c r="H569" s="631"/>
      <c r="I569" s="631"/>
      <c r="J569" s="631"/>
      <c r="M569" s="540"/>
      <c r="O569" s="540"/>
      <c r="R569" s="490" t="str">
        <f t="shared" ref="R569:R572" si="6">R$566</f>
        <v>DELETE</v>
      </c>
    </row>
    <row r="570" spans="2:18" ht="36" customHeight="1" x14ac:dyDescent="0.5">
      <c r="D570" s="630" t="str">
        <f>D447</f>
        <v>DIRECTORS' REPORT FOR THE YEAR ENDED</v>
      </c>
      <c r="E570" s="631"/>
      <c r="F570" s="631"/>
      <c r="G570" s="631"/>
      <c r="H570" s="631"/>
      <c r="I570" s="631"/>
      <c r="J570" s="631"/>
      <c r="M570" s="547"/>
      <c r="N570" s="547"/>
      <c r="O570" s="540"/>
      <c r="R570" s="490" t="str">
        <f t="shared" si="6"/>
        <v>DELETE</v>
      </c>
    </row>
    <row r="571" spans="2:18" ht="36" customHeight="1" x14ac:dyDescent="0.5">
      <c r="D571" s="630" t="str">
        <f>Criteria!E20</f>
        <v>28 FEBRUARY 2026</v>
      </c>
      <c r="E571" s="631"/>
      <c r="F571" s="631"/>
      <c r="G571" s="631"/>
      <c r="H571" s="631"/>
      <c r="I571" s="631"/>
      <c r="J571" s="631" t="s">
        <v>282</v>
      </c>
      <c r="M571" s="547"/>
      <c r="N571" s="547"/>
      <c r="O571" s="540"/>
      <c r="R571" s="490" t="str">
        <f t="shared" si="6"/>
        <v>DELETE</v>
      </c>
    </row>
    <row r="572" spans="2:18" ht="36" customHeight="1" x14ac:dyDescent="0.5">
      <c r="D572" s="633"/>
      <c r="E572" s="633"/>
      <c r="F572" s="633"/>
      <c r="G572" s="633"/>
      <c r="H572" s="633"/>
      <c r="I572" s="633"/>
      <c r="J572" s="633"/>
      <c r="K572" s="455"/>
      <c r="L572" s="455"/>
      <c r="M572" s="542"/>
      <c r="N572" s="542"/>
      <c r="O572" s="543"/>
      <c r="P572" s="543"/>
      <c r="Q572" s="455"/>
      <c r="R572" s="490" t="str">
        <f t="shared" si="6"/>
        <v>DELETE</v>
      </c>
    </row>
    <row r="573" spans="2:18" ht="36" customHeight="1" x14ac:dyDescent="0.5">
      <c r="D573" s="631"/>
      <c r="E573" s="631"/>
      <c r="F573" s="631"/>
      <c r="G573" s="631"/>
      <c r="H573" s="631"/>
      <c r="I573" s="631"/>
      <c r="J573" s="631"/>
      <c r="M573" s="540"/>
      <c r="O573" s="540"/>
      <c r="R573" s="490" t="str">
        <f>R574</f>
        <v>DELETE</v>
      </c>
    </row>
    <row r="574" spans="2:18" ht="36" customHeight="1" x14ac:dyDescent="0.5">
      <c r="B574" s="450"/>
      <c r="C574" s="450">
        <f>MAX(C$451:C573)+1</f>
        <v>10</v>
      </c>
      <c r="D574" s="630" t="s">
        <v>1506</v>
      </c>
      <c r="E574" s="631"/>
      <c r="F574" s="631"/>
      <c r="G574" s="631"/>
      <c r="H574" s="631"/>
      <c r="I574" s="631"/>
      <c r="J574" s="631"/>
      <c r="M574" s="540"/>
      <c r="O574" s="540"/>
      <c r="R574" s="490" t="str">
        <f>R576</f>
        <v>DELETE</v>
      </c>
    </row>
    <row r="575" spans="2:18" ht="36" customHeight="1" x14ac:dyDescent="0.5">
      <c r="B575" s="450"/>
      <c r="C575" s="450"/>
      <c r="D575" s="630"/>
      <c r="E575" s="631"/>
      <c r="F575" s="631"/>
      <c r="G575" s="631"/>
      <c r="H575" s="631"/>
      <c r="I575" s="631"/>
      <c r="J575" s="631"/>
      <c r="M575" s="540"/>
      <c r="O575" s="540"/>
      <c r="R575" s="490" t="str">
        <f>R576</f>
        <v>DELETE</v>
      </c>
    </row>
    <row r="576" spans="2:18" ht="36" customHeight="1" x14ac:dyDescent="0.5">
      <c r="B576" s="450"/>
      <c r="C576" s="449"/>
      <c r="D576" s="631" t="str">
        <f>IF(Criteria!F108="No","No provision is being made for deferred taxation as there are no temporary differences"," ")</f>
        <v xml:space="preserve"> </v>
      </c>
      <c r="E576" s="631"/>
      <c r="F576" s="631"/>
      <c r="G576" s="631"/>
      <c r="H576" s="631"/>
      <c r="I576" s="631"/>
      <c r="J576" s="631"/>
      <c r="M576" s="540"/>
      <c r="O576" s="540"/>
      <c r="R576" s="490" t="str">
        <f>IF(D576=" ","DELETE"," ")</f>
        <v>DELETE</v>
      </c>
    </row>
    <row r="577" spans="2:18" ht="36" customHeight="1" x14ac:dyDescent="0.5">
      <c r="B577" s="450"/>
      <c r="C577" s="449"/>
      <c r="D577" s="631" t="str">
        <f>IF(Criteria!F108="No","between the tax bases of assets and liabilities and their carrying values for financial"," ")</f>
        <v xml:space="preserve"> </v>
      </c>
      <c r="E577" s="631"/>
      <c r="F577" s="631"/>
      <c r="G577" s="631"/>
      <c r="H577" s="631"/>
      <c r="I577" s="631"/>
      <c r="J577" s="631"/>
      <c r="M577" s="540"/>
      <c r="O577" s="540"/>
      <c r="R577" s="490" t="str">
        <f>IF(D577=" ","DELETE"," ")</f>
        <v>DELETE</v>
      </c>
    </row>
    <row r="578" spans="2:18" ht="36" customHeight="1" x14ac:dyDescent="0.5">
      <c r="B578" s="450"/>
      <c r="C578" s="449"/>
      <c r="D578" s="631" t="str">
        <f>IF(Criteria!F108="No","reporting purposes."," ")</f>
        <v xml:space="preserve"> </v>
      </c>
      <c r="E578" s="631"/>
      <c r="F578" s="631"/>
      <c r="G578" s="631"/>
      <c r="H578" s="631"/>
      <c r="I578" s="631"/>
      <c r="J578" s="631"/>
      <c r="M578" s="540"/>
      <c r="O578" s="540"/>
      <c r="R578" s="490" t="str">
        <f>IF(D578=" ","DELETE"," ")</f>
        <v>DELETE</v>
      </c>
    </row>
    <row r="579" spans="2:18" ht="36" customHeight="1" x14ac:dyDescent="0.5">
      <c r="B579" s="450"/>
      <c r="C579" s="449"/>
      <c r="D579" s="631"/>
      <c r="E579" s="631"/>
      <c r="F579" s="631"/>
      <c r="G579" s="631"/>
      <c r="H579" s="631"/>
      <c r="I579" s="631"/>
      <c r="J579" s="631"/>
      <c r="M579" s="540"/>
      <c r="O579" s="540"/>
      <c r="R579" s="490" t="str">
        <f t="shared" ref="R579:R582" si="7">R$566</f>
        <v>DELETE</v>
      </c>
    </row>
    <row r="580" spans="2:18" ht="36" customHeight="1" x14ac:dyDescent="0.5">
      <c r="B580" s="450"/>
      <c r="C580" s="449"/>
      <c r="D580" s="631"/>
      <c r="E580" s="631"/>
      <c r="F580" s="631"/>
      <c r="G580" s="631"/>
      <c r="H580" s="631"/>
      <c r="I580" s="631"/>
      <c r="J580" s="631"/>
      <c r="M580" s="540"/>
      <c r="O580" s="540"/>
      <c r="R580" s="490" t="str">
        <f t="shared" si="7"/>
        <v>DELETE</v>
      </c>
    </row>
    <row r="581" spans="2:18" ht="36" customHeight="1" x14ac:dyDescent="0.5">
      <c r="B581" s="450"/>
      <c r="C581" s="449"/>
      <c r="D581" s="631"/>
      <c r="E581" s="631"/>
      <c r="F581" s="631"/>
      <c r="G581" s="631"/>
      <c r="H581" s="631"/>
      <c r="I581" s="631"/>
      <c r="J581" s="631"/>
      <c r="M581" s="540"/>
      <c r="O581" s="540"/>
      <c r="R581" s="490" t="str">
        <f t="shared" si="7"/>
        <v>DELETE</v>
      </c>
    </row>
    <row r="582" spans="2:18" ht="36" customHeight="1" x14ac:dyDescent="0.5">
      <c r="B582" s="450"/>
      <c r="C582" s="449"/>
      <c r="D582" s="631"/>
      <c r="E582" s="631"/>
      <c r="F582" s="631"/>
      <c r="G582" s="631"/>
      <c r="H582" s="631"/>
      <c r="I582" s="631"/>
      <c r="J582" s="631"/>
      <c r="M582" s="540"/>
      <c r="O582" s="540"/>
      <c r="R582" s="490" t="str">
        <f t="shared" si="7"/>
        <v>DELETE</v>
      </c>
    </row>
    <row r="583" spans="2:18" ht="36" customHeight="1" x14ac:dyDescent="0.5">
      <c r="B583" s="450"/>
      <c r="C583" s="449"/>
      <c r="D583" s="631"/>
      <c r="E583" s="631"/>
      <c r="F583" s="631"/>
      <c r="G583" s="631"/>
      <c r="H583" s="631"/>
      <c r="I583" s="631"/>
      <c r="J583" s="631"/>
      <c r="M583" s="540"/>
      <c r="O583" s="454" t="s">
        <v>112</v>
      </c>
      <c r="P583" s="454"/>
      <c r="Q583" s="450">
        <f>MAX($Q$103:Q582)+1</f>
        <v>12</v>
      </c>
      <c r="R583" s="490" t="str">
        <f>IF(R593="DELETE","DELETE"," ")</f>
        <v>DELETE</v>
      </c>
    </row>
    <row r="584" spans="2:18" ht="36" customHeight="1" x14ac:dyDescent="0.5">
      <c r="B584" s="450"/>
      <c r="C584" s="449"/>
      <c r="D584" s="630" t="str">
        <f>Criteria!E9</f>
        <v>ABC COMPANY (PROPRIETARY) LIMITED</v>
      </c>
      <c r="E584" s="631"/>
      <c r="F584" s="631"/>
      <c r="G584" s="631"/>
      <c r="H584" s="631"/>
      <c r="I584" s="631"/>
      <c r="J584" s="631"/>
      <c r="M584" s="540"/>
      <c r="O584" s="451"/>
      <c r="P584" s="451"/>
      <c r="Q584" s="451"/>
      <c r="R584" s="490" t="str">
        <f>R$583</f>
        <v>DELETE</v>
      </c>
    </row>
    <row r="585" spans="2:18" ht="36" customHeight="1" x14ac:dyDescent="0.5">
      <c r="B585" s="450"/>
      <c r="C585" s="449"/>
      <c r="D585" s="630" t="str">
        <f>Criteria!E10</f>
        <v>T/A SEAFRONT HOTEL, ABC RESTAURANT AND RENTAL PROPERTIES</v>
      </c>
      <c r="E585" s="631"/>
      <c r="F585" s="631"/>
      <c r="G585" s="631"/>
      <c r="H585" s="631"/>
      <c r="I585" s="631"/>
      <c r="J585" s="631"/>
      <c r="M585" s="540"/>
      <c r="O585" s="540"/>
      <c r="R585" s="490" t="str">
        <f>IF(R$583="DELETE","DELETE",IF(D585=0,"DELETE"," "))</f>
        <v>DELETE</v>
      </c>
    </row>
    <row r="586" spans="2:18" ht="36" customHeight="1" x14ac:dyDescent="0.5">
      <c r="B586" s="450"/>
      <c r="C586" s="449"/>
      <c r="D586" s="631"/>
      <c r="E586" s="631"/>
      <c r="F586" s="631"/>
      <c r="G586" s="631"/>
      <c r="H586" s="631"/>
      <c r="I586" s="631"/>
      <c r="J586" s="631"/>
      <c r="M586" s="540"/>
      <c r="O586" s="540"/>
      <c r="R586" s="490" t="str">
        <f t="shared" ref="R586:R589" si="8">R$583</f>
        <v>DELETE</v>
      </c>
    </row>
    <row r="587" spans="2:18" ht="36" customHeight="1" x14ac:dyDescent="0.5">
      <c r="B587" s="450"/>
      <c r="C587" s="449"/>
      <c r="D587" s="630" t="str">
        <f>D447</f>
        <v>DIRECTORS' REPORT FOR THE YEAR ENDED</v>
      </c>
      <c r="E587" s="631"/>
      <c r="F587" s="631"/>
      <c r="G587" s="631"/>
      <c r="H587" s="631"/>
      <c r="I587" s="631"/>
      <c r="J587" s="631"/>
      <c r="M587" s="547"/>
      <c r="N587" s="547"/>
      <c r="O587" s="540"/>
      <c r="R587" s="490" t="str">
        <f t="shared" si="8"/>
        <v>DELETE</v>
      </c>
    </row>
    <row r="588" spans="2:18" ht="36" customHeight="1" x14ac:dyDescent="0.5">
      <c r="B588" s="450"/>
      <c r="C588" s="449"/>
      <c r="D588" s="630" t="str">
        <f>Criteria!E20</f>
        <v>28 FEBRUARY 2026</v>
      </c>
      <c r="E588" s="631"/>
      <c r="F588" s="631"/>
      <c r="G588" s="631"/>
      <c r="H588" s="631"/>
      <c r="I588" s="631"/>
      <c r="J588" s="631" t="s">
        <v>282</v>
      </c>
      <c r="M588" s="547"/>
      <c r="N588" s="547"/>
      <c r="O588" s="540"/>
      <c r="R588" s="490" t="str">
        <f t="shared" si="8"/>
        <v>DELETE</v>
      </c>
    </row>
    <row r="589" spans="2:18" ht="36" customHeight="1" x14ac:dyDescent="0.5">
      <c r="B589" s="450"/>
      <c r="C589" s="449"/>
      <c r="D589" s="633"/>
      <c r="E589" s="633"/>
      <c r="F589" s="633"/>
      <c r="G589" s="633"/>
      <c r="H589" s="633"/>
      <c r="I589" s="633"/>
      <c r="J589" s="633"/>
      <c r="K589" s="455"/>
      <c r="L589" s="455"/>
      <c r="M589" s="542"/>
      <c r="N589" s="542"/>
      <c r="O589" s="543"/>
      <c r="P589" s="543"/>
      <c r="Q589" s="455"/>
      <c r="R589" s="490" t="str">
        <f t="shared" si="8"/>
        <v>DELETE</v>
      </c>
    </row>
    <row r="590" spans="2:18" ht="36" customHeight="1" x14ac:dyDescent="0.5">
      <c r="D590" s="631"/>
      <c r="E590" s="631"/>
      <c r="F590" s="631"/>
      <c r="G590" s="631"/>
      <c r="H590" s="631"/>
      <c r="I590" s="631"/>
      <c r="J590" s="631"/>
      <c r="M590" s="540"/>
      <c r="O590" s="540"/>
      <c r="R590" s="490" t="str">
        <f>R591</f>
        <v>DELETE</v>
      </c>
    </row>
    <row r="591" spans="2:18" ht="36" customHeight="1" x14ac:dyDescent="0.5">
      <c r="C591" s="450">
        <f>MAX(C$451:C590)+1</f>
        <v>11</v>
      </c>
      <c r="D591" s="630" t="s">
        <v>1481</v>
      </c>
      <c r="E591" s="631"/>
      <c r="F591" s="631"/>
      <c r="G591" s="631"/>
      <c r="H591" s="631"/>
      <c r="I591" s="631"/>
      <c r="J591" s="631"/>
      <c r="M591" s="540"/>
      <c r="O591" s="540"/>
      <c r="R591" s="490" t="str">
        <f>R593</f>
        <v>DELETE</v>
      </c>
    </row>
    <row r="592" spans="2:18" ht="36" customHeight="1" x14ac:dyDescent="0.5">
      <c r="C592" s="450"/>
      <c r="D592" s="630"/>
      <c r="E592" s="631"/>
      <c r="F592" s="631"/>
      <c r="G592" s="631"/>
      <c r="H592" s="631"/>
      <c r="I592" s="631"/>
      <c r="J592" s="631"/>
      <c r="M592" s="540"/>
      <c r="O592" s="540"/>
      <c r="R592" s="490" t="str">
        <f>R593</f>
        <v>DELETE</v>
      </c>
    </row>
    <row r="593" spans="4:18" ht="36" customHeight="1" x14ac:dyDescent="0.5">
      <c r="D593" s="632" t="str">
        <f>IF(Criteria!F110="No","As the company's cash flow is comprehensively disclosed in the Statement of"," ")</f>
        <v xml:space="preserve"> </v>
      </c>
      <c r="E593" s="648"/>
      <c r="F593" s="631"/>
      <c r="G593" s="631"/>
      <c r="H593" s="631"/>
      <c r="I593" s="631"/>
      <c r="J593" s="631"/>
      <c r="M593" s="540"/>
      <c r="O593" s="540"/>
      <c r="R593" s="490" t="str">
        <f>IF(D593=" ","DELETE"," ")</f>
        <v>DELETE</v>
      </c>
    </row>
    <row r="594" spans="4:18" ht="36" customHeight="1" x14ac:dyDescent="0.5">
      <c r="D594" s="632" t="str">
        <f>IF(Criteria!F110="No","Comprehensive Income, a separate Statement of Cash Flows is considered to be of no"," ")</f>
        <v xml:space="preserve"> </v>
      </c>
      <c r="E594" s="648"/>
      <c r="F594" s="631"/>
      <c r="G594" s="631"/>
      <c r="H594" s="631"/>
      <c r="I594" s="631"/>
      <c r="J594" s="631"/>
      <c r="M594" s="540"/>
      <c r="O594" s="540"/>
      <c r="R594" s="490" t="str">
        <f>IF(D594=" ","DELETE"," ")</f>
        <v>DELETE</v>
      </c>
    </row>
    <row r="595" spans="4:18" ht="36" customHeight="1" x14ac:dyDescent="0.5">
      <c r="D595" s="632" t="str">
        <f>IF(Criteria!F110="No","value and is therefore not presented."," ")</f>
        <v xml:space="preserve"> </v>
      </c>
      <c r="E595" s="648"/>
      <c r="F595" s="631"/>
      <c r="G595" s="631"/>
      <c r="H595" s="631"/>
      <c r="I595" s="631"/>
      <c r="J595" s="631"/>
      <c r="M595" s="540"/>
      <c r="O595" s="540"/>
      <c r="R595" s="490" t="str">
        <f>IF(D595=" ","DELETE"," ")</f>
        <v>DELETE</v>
      </c>
    </row>
    <row r="596" spans="4:18" ht="36" customHeight="1" x14ac:dyDescent="0.5">
      <c r="D596" s="632"/>
      <c r="E596" s="648"/>
      <c r="F596" s="631"/>
      <c r="G596" s="631"/>
      <c r="H596" s="631"/>
      <c r="I596" s="631"/>
      <c r="J596" s="631"/>
      <c r="M596" s="540"/>
      <c r="O596" s="540"/>
      <c r="R596" s="490" t="str">
        <f t="shared" ref="R596:R600" si="9">R$583</f>
        <v>DELETE</v>
      </c>
    </row>
    <row r="597" spans="4:18" ht="36" customHeight="1" x14ac:dyDescent="0.5">
      <c r="D597" s="632"/>
      <c r="E597" s="648"/>
      <c r="F597" s="631"/>
      <c r="G597" s="631"/>
      <c r="H597" s="631"/>
      <c r="I597" s="631"/>
      <c r="J597" s="631"/>
      <c r="M597" s="540"/>
      <c r="O597" s="540"/>
      <c r="R597" s="490" t="str">
        <f t="shared" si="9"/>
        <v>DELETE</v>
      </c>
    </row>
    <row r="598" spans="4:18" ht="36" customHeight="1" x14ac:dyDescent="0.5">
      <c r="D598" s="632"/>
      <c r="E598" s="648"/>
      <c r="F598" s="631"/>
      <c r="G598" s="631"/>
      <c r="H598" s="631"/>
      <c r="I598" s="631"/>
      <c r="J598" s="631"/>
      <c r="M598" s="540"/>
      <c r="O598" s="540"/>
      <c r="R598" s="490" t="str">
        <f t="shared" si="9"/>
        <v>DELETE</v>
      </c>
    </row>
    <row r="599" spans="4:18" ht="36" customHeight="1" x14ac:dyDescent="0.5">
      <c r="D599" s="632"/>
      <c r="E599" s="648"/>
      <c r="F599" s="631"/>
      <c r="G599" s="631"/>
      <c r="H599" s="631"/>
      <c r="I599" s="631"/>
      <c r="J599" s="631"/>
      <c r="M599" s="540"/>
      <c r="O599" s="540"/>
      <c r="R599" s="490" t="str">
        <f t="shared" si="9"/>
        <v>DELETE</v>
      </c>
    </row>
    <row r="600" spans="4:18" ht="36" customHeight="1" x14ac:dyDescent="0.5">
      <c r="D600" s="631"/>
      <c r="E600" s="648"/>
      <c r="F600" s="631"/>
      <c r="G600" s="631"/>
      <c r="H600" s="631"/>
      <c r="I600" s="631"/>
      <c r="J600" s="631"/>
      <c r="M600" s="540"/>
      <c r="O600" s="540"/>
      <c r="R600" s="490" t="str">
        <f t="shared" si="9"/>
        <v>DELETE</v>
      </c>
    </row>
    <row r="601" spans="4:18" ht="36" customHeight="1" x14ac:dyDescent="0.45">
      <c r="M601" s="540"/>
      <c r="O601" s="454" t="s">
        <v>112</v>
      </c>
      <c r="Q601" s="450">
        <f>MAX($Q$103:Q600)+1</f>
        <v>13</v>
      </c>
    </row>
    <row r="602" spans="4:18" ht="36" customHeight="1" x14ac:dyDescent="0.5">
      <c r="D602" s="615" t="str">
        <f>Criteria!E9</f>
        <v>ABC COMPANY (PROPRIETARY) LIMITED</v>
      </c>
      <c r="E602" s="616"/>
      <c r="F602" s="616"/>
      <c r="G602" s="616"/>
      <c r="H602" s="616"/>
      <c r="I602" s="520"/>
      <c r="J602" s="520"/>
      <c r="M602" s="540"/>
      <c r="O602" s="451"/>
      <c r="P602" s="451"/>
      <c r="Q602" s="451"/>
    </row>
    <row r="603" spans="4:18" ht="36" customHeight="1" x14ac:dyDescent="0.5">
      <c r="D603" s="615" t="str">
        <f>Criteria!E10</f>
        <v>T/A SEAFRONT HOTEL, ABC RESTAURANT AND RENTAL PROPERTIES</v>
      </c>
      <c r="E603" s="616"/>
      <c r="F603" s="616"/>
      <c r="G603" s="616"/>
      <c r="H603" s="616"/>
      <c r="I603" s="520"/>
      <c r="J603" s="520"/>
      <c r="M603" s="540"/>
      <c r="O603" s="540"/>
      <c r="R603" s="490" t="str">
        <f>IF(D603=0,"DELETE"," ")</f>
        <v xml:space="preserve"> </v>
      </c>
    </row>
    <row r="604" spans="4:18" ht="36" customHeight="1" x14ac:dyDescent="0.5">
      <c r="D604" s="616"/>
      <c r="E604" s="616"/>
      <c r="F604" s="616"/>
      <c r="G604" s="616"/>
      <c r="H604" s="616"/>
      <c r="I604" s="520"/>
      <c r="J604" s="520"/>
      <c r="M604" s="540"/>
      <c r="O604" s="540"/>
    </row>
    <row r="605" spans="4:18" ht="36" customHeight="1" x14ac:dyDescent="0.5">
      <c r="D605" s="615" t="s">
        <v>737</v>
      </c>
      <c r="E605" s="616"/>
      <c r="F605" s="616"/>
      <c r="G605" s="616"/>
      <c r="H605" s="616"/>
      <c r="I605" s="520"/>
      <c r="J605" s="520"/>
      <c r="M605" s="540"/>
      <c r="O605" s="540"/>
    </row>
    <row r="606" spans="4:18" ht="36" customHeight="1" x14ac:dyDescent="0.5">
      <c r="D606" s="615" t="str">
        <f>Criteria!E20</f>
        <v>28 FEBRUARY 2026</v>
      </c>
      <c r="E606" s="616"/>
      <c r="F606" s="616"/>
      <c r="G606" s="616"/>
      <c r="H606" s="616"/>
      <c r="I606" s="520"/>
      <c r="J606" s="520"/>
      <c r="M606" s="540"/>
      <c r="O606" s="540"/>
    </row>
    <row r="607" spans="4:18" ht="36" customHeight="1" x14ac:dyDescent="0.5">
      <c r="D607" s="616"/>
      <c r="E607" s="616"/>
      <c r="F607" s="616"/>
      <c r="G607" s="616"/>
      <c r="H607" s="616"/>
      <c r="I607" s="520"/>
      <c r="J607" s="520"/>
      <c r="K607" s="455"/>
      <c r="L607" s="455"/>
      <c r="M607" s="543"/>
      <c r="N607" s="543"/>
      <c r="O607" s="543"/>
    </row>
    <row r="608" spans="4:18" ht="36" customHeight="1" x14ac:dyDescent="0.5">
      <c r="D608" s="634"/>
      <c r="E608" s="634"/>
      <c r="F608" s="634"/>
      <c r="G608" s="634"/>
      <c r="H608" s="634"/>
      <c r="I608" s="591"/>
      <c r="J608" s="591"/>
      <c r="K608" s="450"/>
      <c r="L608" s="450"/>
      <c r="M608" s="453"/>
      <c r="N608" s="453"/>
      <c r="O608" s="453"/>
      <c r="P608" s="464"/>
      <c r="Q608" s="457"/>
    </row>
    <row r="609" spans="4:26" ht="36" customHeight="1" x14ac:dyDescent="0.5">
      <c r="D609" s="616"/>
      <c r="E609" s="616"/>
      <c r="F609" s="616"/>
      <c r="G609" s="616"/>
      <c r="H609" s="616"/>
      <c r="I609" s="520"/>
      <c r="J609" s="520"/>
      <c r="K609" s="450" t="s">
        <v>1494</v>
      </c>
      <c r="L609" s="450"/>
      <c r="M609" s="453">
        <f>Criteria!E22</f>
        <v>2026</v>
      </c>
      <c r="N609" s="453"/>
      <c r="O609" s="453">
        <f>Criteria!E27</f>
        <v>2025</v>
      </c>
      <c r="P609" s="453"/>
    </row>
    <row r="610" spans="4:26" ht="36" customHeight="1" x14ac:dyDescent="0.5">
      <c r="D610" s="616"/>
      <c r="E610" s="616"/>
      <c r="F610" s="616"/>
      <c r="G610" s="616"/>
      <c r="H610" s="616"/>
      <c r="I610" s="520"/>
      <c r="J610" s="520"/>
      <c r="K610" s="450"/>
      <c r="L610" s="450"/>
      <c r="M610" s="454"/>
      <c r="N610" s="454"/>
      <c r="O610" s="454"/>
      <c r="P610" s="454"/>
    </row>
    <row r="611" spans="4:26" ht="36" customHeight="1" x14ac:dyDescent="0.5">
      <c r="D611" s="616" t="s">
        <v>1194</v>
      </c>
      <c r="E611" s="616"/>
      <c r="F611" s="616"/>
      <c r="G611" s="616"/>
      <c r="H611" s="616"/>
      <c r="I611" s="520"/>
      <c r="J611" s="520"/>
      <c r="K611" s="450">
        <f>B1177</f>
        <v>3</v>
      </c>
      <c r="L611" s="450"/>
      <c r="M611" s="458">
        <f>-SUM(TrialBalance!L4:L11)-SUM(TrialBalanceA!I4:I11)-SUM(TrialBalanceB!I4:I11)-SUM(TrialBalanceC!I4:I11)</f>
        <v>0</v>
      </c>
      <c r="N611" s="458"/>
      <c r="O611" s="458">
        <f>-SUM(TrialBalance!N4:N11)-SUM(TrialBalanceA!K4:K11)-SUM(TrialBalanceB!K4:K11)-SUM(TrialBalanceC!K4:K11)</f>
        <v>0</v>
      </c>
      <c r="P611" s="454"/>
      <c r="S611" s="495">
        <f>M611</f>
        <v>0</v>
      </c>
      <c r="T611" s="495"/>
      <c r="U611" s="495">
        <f>O611</f>
        <v>0</v>
      </c>
      <c r="V611" s="491" t="b">
        <f>M611=M1188</f>
        <v>1</v>
      </c>
      <c r="X611" s="491" t="b">
        <f>O611=O1188</f>
        <v>1</v>
      </c>
    </row>
    <row r="612" spans="4:26" ht="36" customHeight="1" x14ac:dyDescent="0.5">
      <c r="D612" s="616"/>
      <c r="E612" s="616"/>
      <c r="F612" s="616"/>
      <c r="G612" s="616"/>
      <c r="H612" s="616"/>
      <c r="I612" s="520"/>
      <c r="J612" s="520"/>
      <c r="K612" s="450"/>
      <c r="L612" s="450"/>
      <c r="M612" s="458"/>
      <c r="N612" s="458"/>
      <c r="O612" s="458"/>
      <c r="P612" s="454"/>
    </row>
    <row r="613" spans="4:26" ht="36" customHeight="1" x14ac:dyDescent="0.5">
      <c r="D613" s="616" t="s">
        <v>1490</v>
      </c>
      <c r="E613" s="616"/>
      <c r="F613" s="616"/>
      <c r="G613" s="616"/>
      <c r="H613" s="616"/>
      <c r="I613" s="520"/>
      <c r="J613" s="520"/>
      <c r="K613" s="450"/>
      <c r="L613" s="450"/>
      <c r="M613" s="465">
        <f>-SUM(TrialBalance!L12:L26)-SUM(TrialBalanceA!I12:I26)-SUM(TrialBalanceB!I12:I26)-SUM(TrialBalanceC!I12:I26)</f>
        <v>0</v>
      </c>
      <c r="N613" s="465"/>
      <c r="O613" s="465">
        <f>-SUM(TrialBalance!N12:N26)-SUM(TrialBalanceA!K12:K26)-SUM(TrialBalanceB!K12:K26)-SUM(TrialBalanceC!K12:K26)</f>
        <v>0</v>
      </c>
      <c r="P613" s="454"/>
      <c r="R613" s="490" t="str">
        <f>IF(M613=0,IF(O613=0,"DELETE"," ")," ")</f>
        <v>DELETE</v>
      </c>
      <c r="S613" s="495">
        <f>M613</f>
        <v>0</v>
      </c>
      <c r="T613" s="495"/>
      <c r="U613" s="495">
        <f>O613</f>
        <v>0</v>
      </c>
    </row>
    <row r="614" spans="4:26" ht="9" customHeight="1" x14ac:dyDescent="0.5">
      <c r="D614" s="616"/>
      <c r="E614" s="616"/>
      <c r="F614" s="616"/>
      <c r="G614" s="616"/>
      <c r="H614" s="616"/>
      <c r="I614" s="520"/>
      <c r="J614" s="520"/>
      <c r="K614" s="450"/>
      <c r="L614" s="450"/>
      <c r="M614" s="461"/>
      <c r="N614" s="461"/>
      <c r="O614" s="461"/>
      <c r="P614" s="454"/>
      <c r="R614" s="490" t="str">
        <f>R613</f>
        <v>DELETE</v>
      </c>
    </row>
    <row r="615" spans="4:26" ht="9" customHeight="1" x14ac:dyDescent="0.5">
      <c r="D615" s="616"/>
      <c r="E615" s="616"/>
      <c r="F615" s="616"/>
      <c r="G615" s="616"/>
      <c r="H615" s="616"/>
      <c r="I615" s="520"/>
      <c r="J615" s="520"/>
      <c r="K615" s="450"/>
      <c r="L615" s="450"/>
      <c r="M615" s="458"/>
      <c r="N615" s="458"/>
      <c r="O615" s="458"/>
      <c r="P615" s="454"/>
      <c r="R615" s="490" t="str">
        <f>R614</f>
        <v>DELETE</v>
      </c>
    </row>
    <row r="616" spans="4:26" ht="36" customHeight="1" x14ac:dyDescent="0.5">
      <c r="D616" s="628" t="str">
        <f>IF((Y616+Z616)=3,"Gross profit/(loss)",(IF((Y616+Z616=4),"Gross profit","Gross loss")))</f>
        <v>Gross profit</v>
      </c>
      <c r="E616" s="616"/>
      <c r="F616" s="616"/>
      <c r="G616" s="616"/>
      <c r="H616" s="616"/>
      <c r="I616" s="520"/>
      <c r="J616" s="608"/>
      <c r="K616" s="466"/>
      <c r="L616" s="450"/>
      <c r="M616" s="458">
        <f>SUM(S611:S613)</f>
        <v>0</v>
      </c>
      <c r="N616" s="458"/>
      <c r="O616" s="458">
        <f>SUM(U611:U613)</f>
        <v>0</v>
      </c>
      <c r="P616" s="454"/>
      <c r="R616" s="490" t="str">
        <f>R615</f>
        <v>DELETE</v>
      </c>
      <c r="Y616" s="491">
        <f>IF(M616&lt;0,1,IF(M616=0,IF(O616&lt;0,1,2),2))</f>
        <v>2</v>
      </c>
      <c r="Z616" s="491">
        <f>IF(O616&lt;0,1,IF(O616=0,IF(M616&lt;0,1,2),2))</f>
        <v>2</v>
      </c>
    </row>
    <row r="617" spans="4:26" ht="36" customHeight="1" x14ac:dyDescent="0.5">
      <c r="D617" s="616"/>
      <c r="E617" s="616"/>
      <c r="F617" s="616"/>
      <c r="G617" s="616"/>
      <c r="H617" s="616"/>
      <c r="I617" s="520"/>
      <c r="J617" s="520"/>
      <c r="K617" s="450"/>
      <c r="L617" s="450"/>
      <c r="M617" s="458"/>
      <c r="N617" s="458"/>
      <c r="O617" s="458"/>
      <c r="P617" s="454"/>
      <c r="R617" s="490" t="str">
        <f>R616</f>
        <v>DELETE</v>
      </c>
    </row>
    <row r="618" spans="4:26" ht="36" customHeight="1" x14ac:dyDescent="0.5">
      <c r="D618" s="616" t="s">
        <v>1491</v>
      </c>
      <c r="E618" s="616"/>
      <c r="F618" s="616"/>
      <c r="G618" s="616"/>
      <c r="H618" s="616"/>
      <c r="I618" s="520"/>
      <c r="J618" s="520"/>
      <c r="K618" s="450">
        <f>B1205</f>
        <v>4</v>
      </c>
      <c r="L618" s="450"/>
      <c r="M618" s="458">
        <f>-SUM(TrialBalance!L27:L33)-SUM(TrialBalanceA!I27:I33)-SUM(TrialBalanceB!I27:I33)-SUM(TrialBalanceC!I27:I33)</f>
        <v>0</v>
      </c>
      <c r="N618" s="458"/>
      <c r="O618" s="458">
        <f>-SUM(TrialBalance!N27:N33)-SUM(TrialBalanceA!K27:K33)-SUM(TrialBalanceB!K27:K33)-SUM(TrialBalanceC!K27:K33)</f>
        <v>0</v>
      </c>
      <c r="P618" s="454"/>
      <c r="R618" s="490" t="str">
        <f>IF(M618=0,IF(O618=0,"DELETE"," ")," ")</f>
        <v>DELETE</v>
      </c>
      <c r="S618" s="495">
        <f>M618</f>
        <v>0</v>
      </c>
      <c r="T618" s="495"/>
      <c r="U618" s="495">
        <f>O618</f>
        <v>0</v>
      </c>
      <c r="V618" s="491" t="b">
        <f>M618=M1233</f>
        <v>1</v>
      </c>
      <c r="X618" s="491" t="b">
        <f>O618=O1233</f>
        <v>1</v>
      </c>
    </row>
    <row r="619" spans="4:26" ht="36" customHeight="1" x14ac:dyDescent="0.5">
      <c r="D619" s="616"/>
      <c r="E619" s="616"/>
      <c r="F619" s="616"/>
      <c r="G619" s="616"/>
      <c r="H619" s="616"/>
      <c r="I619" s="520"/>
      <c r="J619" s="520"/>
      <c r="K619" s="450"/>
      <c r="L619" s="450"/>
      <c r="M619" s="458"/>
      <c r="N619" s="458"/>
      <c r="O619" s="458"/>
      <c r="P619" s="454"/>
      <c r="R619" s="490" t="str">
        <f>R618</f>
        <v>DELETE</v>
      </c>
    </row>
    <row r="620" spans="4:26" ht="36" customHeight="1" x14ac:dyDescent="0.5">
      <c r="D620" s="616" t="s">
        <v>47</v>
      </c>
      <c r="E620" s="616"/>
      <c r="F620" s="616"/>
      <c r="G620" s="616"/>
      <c r="H620" s="616"/>
      <c r="I620" s="520"/>
      <c r="J620" s="520"/>
      <c r="K620" s="450"/>
      <c r="L620" s="450"/>
      <c r="M620" s="463">
        <f>-SUM(TrialBalance!L39:L82)-SUM(TrialBalanceA!I39:I82)-SUM(TrialBalanceB!I39:I82)-SUM(TrialBalanceC!I39:I82)</f>
        <v>0</v>
      </c>
      <c r="N620" s="463"/>
      <c r="O620" s="463">
        <f>-SUM(TrialBalance!N39:N82)-SUM(TrialBalanceA!K39:K82)-SUM(TrialBalanceB!K39:K82)-SUM(TrialBalanceC!K39:K82)</f>
        <v>0</v>
      </c>
      <c r="P620" s="454"/>
      <c r="R620" s="490" t="str">
        <f>IF(M620=0,IF(O620=0,"DELETE"," ")," ")</f>
        <v>DELETE</v>
      </c>
      <c r="S620" s="495">
        <f>M620</f>
        <v>0</v>
      </c>
      <c r="T620" s="495"/>
      <c r="U620" s="495">
        <f>O620</f>
        <v>0</v>
      </c>
    </row>
    <row r="621" spans="4:26" ht="36" customHeight="1" x14ac:dyDescent="0.5">
      <c r="D621" s="616"/>
      <c r="E621" s="616"/>
      <c r="F621" s="616"/>
      <c r="G621" s="616"/>
      <c r="H621" s="616"/>
      <c r="I621" s="520"/>
      <c r="J621" s="520"/>
      <c r="K621" s="450"/>
      <c r="L621" s="450"/>
      <c r="M621" s="458"/>
      <c r="N621" s="458"/>
      <c r="O621" s="458"/>
      <c r="P621" s="454"/>
      <c r="R621" s="490" t="str">
        <f>R620</f>
        <v>DELETE</v>
      </c>
    </row>
    <row r="622" spans="4:26" ht="36" customHeight="1" x14ac:dyDescent="0.5">
      <c r="D622" s="616" t="s">
        <v>1492</v>
      </c>
      <c r="E622" s="616"/>
      <c r="F622" s="616"/>
      <c r="G622" s="616"/>
      <c r="H622" s="616"/>
      <c r="I622" s="520"/>
      <c r="J622" s="520"/>
      <c r="K622" s="450"/>
      <c r="L622" s="450"/>
      <c r="M622" s="463">
        <f>-SUM(TrialBalance!L98:L141)-SUM(TrialBalance!L156:L156)-IF(TrialBalance!L94&lt;0,0,TrialBalance!L94)-SUM(TrialBalanceA!I98:I141)-SUM(TrialBalanceA!I156:I156)-IF(TrialBalanceA!I94&lt;0,0,TrialBalanceA!I94)-SUM(TrialBalanceB!I98:I141)-SUM(TrialBalanceB!I156:I156)-IF(TrialBalanceB!I94&lt;0,0,TrialBalanceB!I94)-SUM(TrialBalanceC!I98:I141)-SUM(TrialBalanceC!I156:I156)-IF(TrialBalanceC!I94&lt;0,0,TrialBalanceC!I94)</f>
        <v>0</v>
      </c>
      <c r="N622" s="463"/>
      <c r="O622" s="463">
        <f>-SUM(TrialBalance!N98:N141)-SUM(TrialBalance!N156:N156)-IF(TrialBalance!N94&lt;0,0,TrialBalance!N94)-SUM(TrialBalanceA!K98:K141)-SUM(TrialBalanceA!K156:K156)-IF(TrialBalanceA!K94&lt;0,0,TrialBalanceA!K94)-SUM(TrialBalanceB!K98:K141)-SUM(TrialBalanceB!K156:K156)-IF(TrialBalanceB!K94&lt;0,0,TrialBalanceB!K94)-SUM(TrialBalanceC!K98:K141)-SUM(TrialBalanceC!K156:K156)-IF(TrialBalanceC!K94&lt;0,0,TrialBalanceC!K94)</f>
        <v>0</v>
      </c>
      <c r="P622" s="454"/>
      <c r="R622" s="490" t="str">
        <f>IF(M622=0,IF(O622=0,"DELETE"," ")," ")</f>
        <v>DELETE</v>
      </c>
      <c r="S622" s="495">
        <f>M622</f>
        <v>0</v>
      </c>
      <c r="T622" s="495"/>
      <c r="U622" s="495">
        <f>O622</f>
        <v>0</v>
      </c>
    </row>
    <row r="623" spans="4:26" ht="36" customHeight="1" x14ac:dyDescent="0.5">
      <c r="D623" s="616"/>
      <c r="E623" s="616"/>
      <c r="F623" s="616"/>
      <c r="G623" s="616"/>
      <c r="H623" s="616"/>
      <c r="I623" s="520"/>
      <c r="J623" s="520"/>
      <c r="K623" s="450"/>
      <c r="L623" s="450"/>
      <c r="M623" s="458"/>
      <c r="N623" s="458"/>
      <c r="O623" s="458"/>
      <c r="P623" s="454"/>
      <c r="R623" s="490" t="str">
        <f>R622</f>
        <v>DELETE</v>
      </c>
    </row>
    <row r="624" spans="4:26" ht="9" customHeight="1" x14ac:dyDescent="0.5">
      <c r="D624" s="616"/>
      <c r="E624" s="616"/>
      <c r="F624" s="616"/>
      <c r="G624" s="616"/>
      <c r="H624" s="616"/>
      <c r="I624" s="520"/>
      <c r="J624" s="520"/>
      <c r="K624" s="450"/>
      <c r="L624" s="450"/>
      <c r="M624" s="461"/>
      <c r="N624" s="461"/>
      <c r="O624" s="461"/>
      <c r="P624" s="454"/>
      <c r="R624" s="490" t="str">
        <f>R626</f>
        <v>DELETE</v>
      </c>
    </row>
    <row r="625" spans="4:28" ht="9" customHeight="1" x14ac:dyDescent="0.5">
      <c r="D625" s="616"/>
      <c r="E625" s="616"/>
      <c r="F625" s="616"/>
      <c r="G625" s="616"/>
      <c r="H625" s="616"/>
      <c r="I625" s="520"/>
      <c r="J625" s="520"/>
      <c r="K625" s="450"/>
      <c r="L625" s="450"/>
      <c r="M625" s="458"/>
      <c r="N625" s="458"/>
      <c r="O625" s="458"/>
      <c r="P625" s="454"/>
      <c r="R625" s="490" t="str">
        <f>R626</f>
        <v>DELETE</v>
      </c>
    </row>
    <row r="626" spans="4:28" ht="36" customHeight="1" x14ac:dyDescent="0.5">
      <c r="D626" s="628" t="str">
        <f>IF((Y626+Z626)=3,"Operating profit/(loss)",(IF((Y626+Z626=4),"Operating profit","Operating loss")))</f>
        <v>Operating profit</v>
      </c>
      <c r="E626" s="616"/>
      <c r="F626" s="616"/>
      <c r="G626" s="616"/>
      <c r="H626" s="616"/>
      <c r="I626" s="520"/>
      <c r="J626" s="520"/>
      <c r="K626" s="450">
        <f>B1250</f>
        <v>5</v>
      </c>
      <c r="L626" s="450"/>
      <c r="M626" s="458">
        <f>SUM(S611:S623)</f>
        <v>0</v>
      </c>
      <c r="N626" s="458"/>
      <c r="O626" s="458">
        <f>SUM(U611:U623)</f>
        <v>0</v>
      </c>
      <c r="P626" s="454"/>
      <c r="R626" s="490" t="str">
        <f>IF(M626=0,IF(O626=0,"DELETE"," ")," ")</f>
        <v>DELETE</v>
      </c>
      <c r="Y626" s="491">
        <f>IF(M626&lt;0,1,IF(M626=0,IF(O626&lt;0,1,2),2))</f>
        <v>2</v>
      </c>
      <c r="Z626" s="491">
        <f>IF(O626&lt;0,1,IF(O626=0,IF(M626&lt;0,1,2),2))</f>
        <v>2</v>
      </c>
      <c r="AB626" s="39"/>
    </row>
    <row r="627" spans="4:28" ht="36" customHeight="1" x14ac:dyDescent="0.5">
      <c r="D627" s="616"/>
      <c r="E627" s="616"/>
      <c r="F627" s="616"/>
      <c r="G627" s="616"/>
      <c r="H627" s="616"/>
      <c r="I627" s="520"/>
      <c r="J627" s="520"/>
      <c r="K627" s="450"/>
      <c r="L627" s="450"/>
      <c r="M627" s="458"/>
      <c r="N627" s="458"/>
      <c r="O627" s="458"/>
      <c r="P627" s="454"/>
      <c r="R627" s="490" t="str">
        <f>R626</f>
        <v>DELETE</v>
      </c>
    </row>
    <row r="628" spans="4:28" ht="36" customHeight="1" x14ac:dyDescent="0.5">
      <c r="D628" s="616" t="s">
        <v>225</v>
      </c>
      <c r="E628" s="616"/>
      <c r="F628" s="616"/>
      <c r="G628" s="616"/>
      <c r="H628" s="616"/>
      <c r="I628" s="520"/>
      <c r="J628" s="520"/>
      <c r="K628" s="450">
        <f>B1364</f>
        <v>6</v>
      </c>
      <c r="L628" s="450"/>
      <c r="M628" s="458">
        <f>-SUM(TrialBalance!L83:L93)-SUM(TrialBalance!L95:L96)+IF(TrialBalance!L94&lt;0,-TrialBalance!L94,0)-SUM(TrialBalanceA!I83:I93)-SUM(TrialBalanceA!I95:I96)+IF(TrialBalanceA!I94&lt;0,-TrialBalanceA!I94,0)-SUM(TrialBalanceB!I83:I93)-SUM(TrialBalanceB!I95:I96)+IF(TrialBalanceB!I94&lt;0,-TrialBalanceB!I94,0)-SUM(TrialBalanceC!I83:I93)-SUM(TrialBalanceC!I95:I96)+IF(TrialBalanceC!I94&lt;0,-TrialBalanceC!I94,0)</f>
        <v>0</v>
      </c>
      <c r="N628" s="458"/>
      <c r="O628" s="458">
        <f>-SUM(TrialBalance!N83:N93)-SUM(TrialBalance!N95:N96)+IF(TrialBalance!N94&lt;0,-TrialBalance!N94,0)-SUM(TrialBalanceA!K83:K93)-SUM(TrialBalanceA!K95:K96)+IF(TrialBalanceA!K94&lt;0,-TrialBalanceA!K94,0)-SUM(TrialBalanceB!K83:K93)-SUM(TrialBalanceB!K95:K96)+IF(TrialBalanceB!K94&lt;0,-TrialBalanceB!K94,0)-SUM(TrialBalanceC!K83:K93)-SUM(TrialBalanceC!K95:K96)+IF(TrialBalanceC!K94&lt;0,-TrialBalanceC!K94,0)</f>
        <v>0</v>
      </c>
      <c r="P628" s="454"/>
      <c r="R628" s="490" t="str">
        <f>IF(M628=0,IF(O628=0,"DELETE"," ")," ")</f>
        <v>DELETE</v>
      </c>
      <c r="S628" s="495">
        <f>M628</f>
        <v>0</v>
      </c>
      <c r="T628" s="495"/>
      <c r="U628" s="495">
        <f>O628</f>
        <v>0</v>
      </c>
      <c r="V628" s="491" t="b">
        <f>M628=M1406</f>
        <v>1</v>
      </c>
      <c r="X628" s="491" t="b">
        <f>O628=O1406</f>
        <v>1</v>
      </c>
    </row>
    <row r="629" spans="4:28" ht="36" customHeight="1" x14ac:dyDescent="0.5">
      <c r="D629" s="616"/>
      <c r="E629" s="616"/>
      <c r="F629" s="616"/>
      <c r="G629" s="616"/>
      <c r="H629" s="616"/>
      <c r="I629" s="520"/>
      <c r="J629" s="520"/>
      <c r="K629" s="450"/>
      <c r="L629" s="450"/>
      <c r="M629" s="458"/>
      <c r="N629" s="458"/>
      <c r="O629" s="458"/>
      <c r="P629" s="454"/>
      <c r="R629" s="490" t="str">
        <f>R628</f>
        <v>DELETE</v>
      </c>
    </row>
    <row r="630" spans="4:28" ht="36" customHeight="1" x14ac:dyDescent="0.5">
      <c r="D630" s="616" t="s">
        <v>1493</v>
      </c>
      <c r="E630" s="616"/>
      <c r="F630" s="616"/>
      <c r="G630" s="616"/>
      <c r="H630" s="616"/>
      <c r="I630" s="520"/>
      <c r="J630" s="520"/>
      <c r="K630" s="450">
        <f>B1423</f>
        <v>7</v>
      </c>
      <c r="L630" s="450"/>
      <c r="M630" s="463">
        <f>-SUM(TrialBalance!L142:L154)-SUM(TrialBalanceA!I142:I154)-SUM(TrialBalanceB!I142:I154)-SUM(TrialBalanceC!I142:I154)</f>
        <v>0</v>
      </c>
      <c r="N630" s="463"/>
      <c r="O630" s="463">
        <f>-SUM(TrialBalance!N142:N154)-SUM(TrialBalanceA!K142:K154)-SUM(TrialBalanceB!K142:K154)-SUM(TrialBalanceC!K142:K154)</f>
        <v>0</v>
      </c>
      <c r="P630" s="454"/>
      <c r="R630" s="490" t="str">
        <f>IF(M630=0,IF(O630=0,"DELETE"," ")," ")</f>
        <v>DELETE</v>
      </c>
      <c r="S630" s="495">
        <f>M630</f>
        <v>0</v>
      </c>
      <c r="T630" s="495"/>
      <c r="U630" s="495">
        <f>O630</f>
        <v>0</v>
      </c>
      <c r="V630" s="491" t="b">
        <f>-M630=M1471</f>
        <v>1</v>
      </c>
      <c r="X630" s="491" t="b">
        <f>-O630=O1471</f>
        <v>1</v>
      </c>
    </row>
    <row r="631" spans="4:28" ht="36" customHeight="1" x14ac:dyDescent="0.5">
      <c r="D631" s="616"/>
      <c r="E631" s="616"/>
      <c r="F631" s="616"/>
      <c r="G631" s="616"/>
      <c r="H631" s="616"/>
      <c r="I631" s="520"/>
      <c r="J631" s="520"/>
      <c r="K631" s="450"/>
      <c r="L631" s="450"/>
      <c r="M631" s="458"/>
      <c r="N631" s="458"/>
      <c r="O631" s="458"/>
      <c r="P631" s="454"/>
      <c r="R631" s="490" t="str">
        <f>R630</f>
        <v>DELETE</v>
      </c>
    </row>
    <row r="632" spans="4:28" ht="9" customHeight="1" x14ac:dyDescent="0.5">
      <c r="D632" s="616"/>
      <c r="E632" s="616"/>
      <c r="F632" s="616"/>
      <c r="G632" s="616"/>
      <c r="H632" s="616"/>
      <c r="I632" s="520"/>
      <c r="J632" s="520"/>
      <c r="K632" s="450"/>
      <c r="L632" s="450"/>
      <c r="M632" s="461"/>
      <c r="N632" s="461"/>
      <c r="O632" s="461"/>
      <c r="P632" s="454"/>
    </row>
    <row r="633" spans="4:28" ht="9" customHeight="1" x14ac:dyDescent="0.5">
      <c r="D633" s="616"/>
      <c r="E633" s="616"/>
      <c r="F633" s="616"/>
      <c r="G633" s="616"/>
      <c r="H633" s="616"/>
      <c r="I633" s="520"/>
      <c r="J633" s="520"/>
      <c r="K633" s="450"/>
      <c r="L633" s="450"/>
      <c r="M633" s="458"/>
      <c r="N633" s="458"/>
      <c r="O633" s="458"/>
      <c r="P633" s="454"/>
    </row>
    <row r="634" spans="4:28" ht="36" customHeight="1" x14ac:dyDescent="0.5">
      <c r="D634" s="628" t="str">
        <f>IF((Y634+Z634)=3,"Net profit/(loss) before taxation",(IF((Y634+Z634=4),"Net profit before taxation","Net loss before taxation")))</f>
        <v>Net profit before taxation</v>
      </c>
      <c r="E634" s="616"/>
      <c r="F634" s="616"/>
      <c r="G634" s="616"/>
      <c r="H634" s="616"/>
      <c r="I634" s="520"/>
      <c r="J634" s="520"/>
      <c r="K634" s="450"/>
      <c r="L634" s="450"/>
      <c r="M634" s="458">
        <f>SUM(S611:S632)</f>
        <v>0</v>
      </c>
      <c r="N634" s="458"/>
      <c r="O634" s="458">
        <f>SUM(U611:U632)</f>
        <v>0</v>
      </c>
      <c r="P634" s="454"/>
      <c r="Y634" s="491">
        <f>IF(M634&lt;0,1,IF(M634=0,IF(O634&lt;0,1,2),2))</f>
        <v>2</v>
      </c>
      <c r="Z634" s="491">
        <f>IF(O634&lt;0,1,IF(O634=0,IF(M634&lt;0,1,2),2))</f>
        <v>2</v>
      </c>
    </row>
    <row r="635" spans="4:28" ht="36" customHeight="1" x14ac:dyDescent="0.5">
      <c r="D635" s="616"/>
      <c r="E635" s="616"/>
      <c r="F635" s="616"/>
      <c r="G635" s="616"/>
      <c r="H635" s="616"/>
      <c r="I635" s="520"/>
      <c r="J635" s="520"/>
      <c r="K635" s="450"/>
      <c r="L635" s="450"/>
      <c r="M635" s="458"/>
      <c r="N635" s="458"/>
      <c r="O635" s="458"/>
      <c r="P635" s="454"/>
    </row>
    <row r="636" spans="4:28" ht="36" customHeight="1" x14ac:dyDescent="0.5">
      <c r="D636" s="616" t="s">
        <v>978</v>
      </c>
      <c r="E636" s="616"/>
      <c r="F636" s="616"/>
      <c r="G636" s="616"/>
      <c r="H636" s="616"/>
      <c r="I636" s="520"/>
      <c r="J636" s="520"/>
      <c r="K636" s="450">
        <f>B1508</f>
        <v>9</v>
      </c>
      <c r="L636" s="450"/>
      <c r="M636" s="463">
        <f>-SUM(TrialBalance!L157:L163)</f>
        <v>0</v>
      </c>
      <c r="N636" s="463"/>
      <c r="O636" s="463">
        <f>-SUM(TrialBalance!N157:N163)</f>
        <v>0</v>
      </c>
      <c r="P636" s="454"/>
      <c r="S636" s="495">
        <f>M636</f>
        <v>0</v>
      </c>
      <c r="U636" s="495">
        <f>O636</f>
        <v>0</v>
      </c>
      <c r="V636" s="491" t="b">
        <f>-M636=M1529</f>
        <v>1</v>
      </c>
      <c r="X636" s="491" t="b">
        <f>-O636=O1529</f>
        <v>1</v>
      </c>
    </row>
    <row r="637" spans="4:28" ht="8.25" customHeight="1" x14ac:dyDescent="0.5">
      <c r="D637" s="616"/>
      <c r="E637" s="616"/>
      <c r="F637" s="616"/>
      <c r="G637" s="616"/>
      <c r="H637" s="616"/>
      <c r="I637" s="520"/>
      <c r="J637" s="520"/>
      <c r="K637" s="450"/>
      <c r="L637" s="450"/>
      <c r="M637" s="570"/>
      <c r="N637" s="570"/>
      <c r="O637" s="570"/>
      <c r="P637" s="454"/>
      <c r="R637" s="490" t="str">
        <f t="shared" ref="R637:R639" si="10">R$641</f>
        <v>DELETE</v>
      </c>
    </row>
    <row r="638" spans="4:28" ht="8.25" customHeight="1" x14ac:dyDescent="0.5">
      <c r="D638" s="616"/>
      <c r="E638" s="616"/>
      <c r="F638" s="616"/>
      <c r="G638" s="616"/>
      <c r="H638" s="616"/>
      <c r="I638" s="520"/>
      <c r="J638" s="520"/>
      <c r="K638" s="450"/>
      <c r="L638" s="450"/>
      <c r="M638" s="463"/>
      <c r="N638" s="463"/>
      <c r="O638" s="463"/>
      <c r="P638" s="454"/>
      <c r="R638" s="490" t="str">
        <f t="shared" si="10"/>
        <v>DELETE</v>
      </c>
    </row>
    <row r="639" spans="4:28" ht="36" customHeight="1" x14ac:dyDescent="0.5">
      <c r="D639" s="628" t="str">
        <f>IF((Y639+Z639)=3,"Profit/(Loss) before other comprehensive income",(IF((Y639+Z639=4),"Profit before other comprehensive income","Loss before other comprehensive income")))</f>
        <v>Profit before other comprehensive income</v>
      </c>
      <c r="E639" s="616"/>
      <c r="F639" s="616"/>
      <c r="G639" s="616"/>
      <c r="H639" s="616"/>
      <c r="I639" s="520"/>
      <c r="J639" s="520"/>
      <c r="K639" s="450"/>
      <c r="L639" s="450"/>
      <c r="M639" s="463">
        <f>SUM(S611:S637)</f>
        <v>0</v>
      </c>
      <c r="N639" s="463"/>
      <c r="O639" s="463">
        <f>SUM(U611:U637)</f>
        <v>0</v>
      </c>
      <c r="P639" s="454"/>
      <c r="R639" s="490" t="str">
        <f t="shared" si="10"/>
        <v>DELETE</v>
      </c>
      <c r="Y639" s="491">
        <f>IF(M639&lt;0,1,IF(M639=0,IF(O639&lt;0,1,2),2))</f>
        <v>2</v>
      </c>
      <c r="Z639" s="491">
        <f>IF(O639&lt;0,1,IF(O639=0,IF(M639&lt;0,1,2),2))</f>
        <v>2</v>
      </c>
    </row>
    <row r="640" spans="4:28" ht="36" customHeight="1" x14ac:dyDescent="0.5">
      <c r="D640" s="616"/>
      <c r="E640" s="616"/>
      <c r="F640" s="616"/>
      <c r="G640" s="616"/>
      <c r="H640" s="616"/>
      <c r="I640" s="520"/>
      <c r="J640" s="520"/>
      <c r="K640" s="450"/>
      <c r="L640" s="450"/>
      <c r="M640" s="463"/>
      <c r="N640" s="463"/>
      <c r="O640" s="463"/>
      <c r="P640" s="454"/>
      <c r="R640" s="490" t="str">
        <f>R$641</f>
        <v>DELETE</v>
      </c>
    </row>
    <row r="641" spans="4:26" ht="36" customHeight="1" x14ac:dyDescent="0.5">
      <c r="D641" s="616" t="s">
        <v>1745</v>
      </c>
      <c r="E641" s="616"/>
      <c r="F641" s="616"/>
      <c r="G641" s="616"/>
      <c r="H641" s="616"/>
      <c r="I641" s="520"/>
      <c r="J641" s="520"/>
      <c r="K641" s="450">
        <f>B1487</f>
        <v>8</v>
      </c>
      <c r="L641" s="450"/>
      <c r="M641" s="458">
        <f>-TrialBalance!L97-TrialBalanceA!I97-TrialBalanceB!I97-TrialBalanceC!I97</f>
        <v>0</v>
      </c>
      <c r="N641" s="463"/>
      <c r="O641" s="458">
        <f>-TrialBalance!N97-TrialBalanceA!K97-TrialBalanceB!K97-TrialBalanceC!K97</f>
        <v>0</v>
      </c>
      <c r="P641" s="454"/>
      <c r="R641" s="490" t="str">
        <f>IF(M641=0,IF(O641=0,"DELETE"," ")," ")</f>
        <v>DELETE</v>
      </c>
      <c r="S641" s="495">
        <f>M641</f>
        <v>0</v>
      </c>
      <c r="U641" s="495">
        <f>O641</f>
        <v>0</v>
      </c>
      <c r="V641" s="491" t="b">
        <f>M641=M1492</f>
        <v>1</v>
      </c>
      <c r="X641" s="491" t="b">
        <f>O641=O1492</f>
        <v>1</v>
      </c>
    </row>
    <row r="642" spans="4:26" ht="9" customHeight="1" x14ac:dyDescent="0.5">
      <c r="D642" s="616"/>
      <c r="E642" s="616"/>
      <c r="F642" s="616"/>
      <c r="G642" s="616"/>
      <c r="H642" s="616"/>
      <c r="I642" s="520"/>
      <c r="J642" s="520"/>
      <c r="K642" s="450"/>
      <c r="L642" s="450"/>
      <c r="M642" s="461"/>
      <c r="N642" s="461"/>
      <c r="O642" s="461"/>
      <c r="P642" s="454"/>
      <c r="V642" s="498"/>
      <c r="W642" s="498"/>
      <c r="X642" s="498"/>
    </row>
    <row r="643" spans="4:26" ht="9" customHeight="1" x14ac:dyDescent="0.5">
      <c r="D643" s="616"/>
      <c r="E643" s="616"/>
      <c r="F643" s="616"/>
      <c r="G643" s="616"/>
      <c r="H643" s="616"/>
      <c r="I643" s="520"/>
      <c r="J643" s="520"/>
      <c r="K643" s="450"/>
      <c r="L643" s="450"/>
      <c r="M643" s="458"/>
      <c r="N643" s="458"/>
      <c r="O643" s="458"/>
      <c r="P643" s="454"/>
    </row>
    <row r="644" spans="4:26" ht="36.75" customHeight="1" x14ac:dyDescent="0.5">
      <c r="D644" s="628" t="str">
        <f>IF((Y644+Z644)=3,"Total comprehensive income/(loss) for the year",(IF((Y644+Z644=4),"Total comprehensive income for the year","Total comprehensive loss for the year")))</f>
        <v>Total comprehensive income for the year</v>
      </c>
      <c r="E644" s="616"/>
      <c r="F644" s="616"/>
      <c r="G644" s="616"/>
      <c r="H644" s="616"/>
      <c r="I644" s="520"/>
      <c r="J644" s="520"/>
      <c r="K644" s="450"/>
      <c r="L644" s="450"/>
      <c r="M644" s="458">
        <f>SUM(S611:S642)</f>
        <v>0</v>
      </c>
      <c r="N644" s="458"/>
      <c r="O644" s="458">
        <f>SUM(U611:U642)</f>
        <v>0</v>
      </c>
      <c r="P644" s="454"/>
      <c r="V644" s="491" t="b">
        <f>M644=-SUM(TrialBalance!L5:L33)-SUM(TrialBalance!L39:L163)-SUM(TrialBalanceA!I5:I163)-SUM(TrialBalanceB!I5:I163)-SUM(TrialBalanceC!I5:I163)</f>
        <v>1</v>
      </c>
      <c r="X644" s="491" t="b">
        <f>O644=-SUM(TrialBalance!N5:N33)-SUM(TrialBalance!N39:N163)-SUM(TrialBalanceA!K5:K163)-SUM(TrialBalanceB!K5:K163)-SUM(TrialBalanceC!K5:K163)</f>
        <v>1</v>
      </c>
      <c r="Y644" s="491">
        <f>IF(M644&lt;0,1,IF(M644=0,IF(O644&lt;0,1,2),2))</f>
        <v>2</v>
      </c>
      <c r="Z644" s="491">
        <f>IF(O644&lt;0,1,IF(O644=0,IF(M644&lt;0,1,2),2))</f>
        <v>2</v>
      </c>
    </row>
    <row r="645" spans="4:26" ht="9" customHeight="1" thickBot="1" x14ac:dyDescent="0.55000000000000004">
      <c r="D645" s="616"/>
      <c r="E645" s="616"/>
      <c r="F645" s="616"/>
      <c r="G645" s="616"/>
      <c r="H645" s="616"/>
      <c r="I645" s="520"/>
      <c r="J645" s="520"/>
      <c r="K645" s="450"/>
      <c r="L645" s="450"/>
      <c r="M645" s="462"/>
      <c r="N645" s="462"/>
      <c r="O645" s="462"/>
      <c r="P645" s="454"/>
    </row>
    <row r="646" spans="4:26" ht="9" customHeight="1" thickTop="1" x14ac:dyDescent="0.5">
      <c r="D646" s="616"/>
      <c r="E646" s="616"/>
      <c r="F646" s="616"/>
      <c r="G646" s="616"/>
      <c r="H646" s="616"/>
      <c r="I646" s="520"/>
      <c r="J646" s="520"/>
      <c r="K646" s="450"/>
      <c r="L646" s="450"/>
      <c r="M646" s="458"/>
      <c r="N646" s="458"/>
      <c r="O646" s="458"/>
      <c r="P646" s="454"/>
    </row>
    <row r="647" spans="4:26" ht="36" customHeight="1" x14ac:dyDescent="0.5">
      <c r="D647" s="616"/>
      <c r="E647" s="616"/>
      <c r="F647" s="616"/>
      <c r="G647" s="616"/>
      <c r="H647" s="616"/>
      <c r="I647" s="520"/>
      <c r="J647" s="520"/>
      <c r="K647" s="450"/>
      <c r="L647" s="450"/>
      <c r="M647" s="454"/>
      <c r="N647" s="454"/>
      <c r="O647" s="454"/>
      <c r="P647" s="454"/>
      <c r="V647" s="491" t="b">
        <f>M644=M2966</f>
        <v>1</v>
      </c>
      <c r="X647" s="491" t="b">
        <f>O644=O2966</f>
        <v>1</v>
      </c>
    </row>
    <row r="648" spans="4:26" ht="36" customHeight="1" x14ac:dyDescent="0.5">
      <c r="D648" s="616"/>
      <c r="E648" s="616"/>
      <c r="F648" s="616"/>
      <c r="G648" s="616"/>
      <c r="H648" s="616"/>
      <c r="I648" s="520"/>
      <c r="J648" s="520"/>
      <c r="K648" s="450"/>
      <c r="L648" s="450"/>
      <c r="M648" s="454"/>
      <c r="N648" s="454"/>
      <c r="O648" s="454"/>
      <c r="P648" s="454"/>
    </row>
    <row r="649" spans="4:26" ht="36" customHeight="1" x14ac:dyDescent="0.5">
      <c r="D649" s="616"/>
      <c r="E649" s="616"/>
      <c r="F649" s="616"/>
      <c r="G649" s="616"/>
      <c r="H649" s="616"/>
      <c r="I649" s="520"/>
      <c r="J649" s="520"/>
      <c r="K649" s="450"/>
      <c r="L649" s="450"/>
      <c r="M649" s="454"/>
      <c r="N649" s="454"/>
      <c r="O649" s="454"/>
      <c r="P649" s="454"/>
    </row>
    <row r="650" spans="4:26" ht="36" customHeight="1" x14ac:dyDescent="0.5">
      <c r="D650" s="616"/>
      <c r="E650" s="616"/>
      <c r="F650" s="616"/>
      <c r="G650" s="616"/>
      <c r="H650" s="616"/>
      <c r="I650" s="520"/>
      <c r="J650" s="520"/>
      <c r="K650" s="450"/>
      <c r="L650" s="450"/>
      <c r="M650" s="454"/>
      <c r="N650" s="454"/>
      <c r="O650" s="454"/>
      <c r="P650" s="454"/>
    </row>
    <row r="651" spans="4:26" ht="36" customHeight="1" x14ac:dyDescent="0.5">
      <c r="D651" s="616"/>
      <c r="E651" s="616"/>
      <c r="F651" s="616"/>
      <c r="G651" s="616"/>
      <c r="H651" s="616"/>
      <c r="I651" s="520"/>
      <c r="J651" s="520"/>
      <c r="K651" s="450"/>
      <c r="L651" s="450"/>
      <c r="M651" s="454"/>
      <c r="N651" s="454"/>
      <c r="O651" s="454"/>
      <c r="P651" s="454"/>
    </row>
    <row r="652" spans="4:26" ht="36" customHeight="1" x14ac:dyDescent="0.5">
      <c r="D652" s="616"/>
      <c r="E652" s="616"/>
      <c r="F652" s="616"/>
      <c r="G652" s="616"/>
      <c r="H652" s="616"/>
      <c r="I652" s="520"/>
      <c r="J652" s="520"/>
      <c r="K652" s="450"/>
      <c r="L652" s="450"/>
      <c r="M652" s="454"/>
      <c r="N652" s="454"/>
      <c r="O652" s="454"/>
      <c r="P652" s="454"/>
    </row>
    <row r="653" spans="4:26" ht="36" customHeight="1" x14ac:dyDescent="0.5">
      <c r="D653" s="616"/>
      <c r="E653" s="616"/>
      <c r="F653" s="616"/>
      <c r="G653" s="616"/>
      <c r="H653" s="616"/>
      <c r="I653" s="520"/>
      <c r="J653" s="520"/>
      <c r="K653" s="450"/>
      <c r="L653" s="450"/>
      <c r="M653" s="454"/>
      <c r="N653" s="454"/>
      <c r="O653" s="454"/>
      <c r="P653" s="454"/>
    </row>
    <row r="654" spans="4:26" ht="36" customHeight="1" x14ac:dyDescent="0.5">
      <c r="D654" s="616"/>
      <c r="E654" s="616"/>
      <c r="F654" s="616"/>
      <c r="G654" s="616"/>
      <c r="H654" s="616"/>
      <c r="I654" s="520"/>
      <c r="J654" s="520"/>
      <c r="K654" s="450"/>
      <c r="L654" s="450"/>
      <c r="M654" s="454"/>
      <c r="N654" s="454"/>
      <c r="O654" s="454"/>
      <c r="P654" s="454"/>
    </row>
    <row r="655" spans="4:26" ht="36" customHeight="1" x14ac:dyDescent="0.5">
      <c r="D655" s="616"/>
      <c r="E655" s="616"/>
      <c r="F655" s="616"/>
      <c r="G655" s="616"/>
      <c r="H655" s="616"/>
      <c r="I655" s="520"/>
      <c r="J655" s="520"/>
      <c r="K655" s="450"/>
      <c r="L655" s="450"/>
      <c r="M655" s="454"/>
      <c r="N655" s="454"/>
      <c r="O655" s="454"/>
      <c r="P655" s="454"/>
    </row>
    <row r="656" spans="4:26" ht="36" customHeight="1" x14ac:dyDescent="0.5">
      <c r="D656" s="616"/>
      <c r="E656" s="616"/>
      <c r="F656" s="616"/>
      <c r="G656" s="616"/>
      <c r="H656" s="616"/>
      <c r="I656" s="520"/>
      <c r="J656" s="520"/>
      <c r="K656" s="450"/>
      <c r="L656" s="450"/>
      <c r="M656" s="521"/>
      <c r="N656" s="521"/>
      <c r="O656" s="521"/>
      <c r="P656" s="521"/>
    </row>
    <row r="657" spans="3:27" ht="36" customHeight="1" x14ac:dyDescent="0.5">
      <c r="D657" s="616"/>
      <c r="E657" s="616"/>
      <c r="F657" s="616"/>
      <c r="G657" s="616"/>
      <c r="H657" s="616"/>
      <c r="I657" s="520"/>
      <c r="J657" s="520"/>
      <c r="M657" s="540"/>
      <c r="O657" s="540"/>
    </row>
    <row r="658" spans="3:27" ht="36" customHeight="1" x14ac:dyDescent="0.5">
      <c r="D658" s="520"/>
      <c r="E658" s="520"/>
      <c r="F658" s="520"/>
      <c r="G658" s="520"/>
      <c r="H658" s="520"/>
      <c r="I658" s="520"/>
      <c r="J658" s="520"/>
      <c r="M658" s="540"/>
      <c r="O658" s="454" t="s">
        <v>112</v>
      </c>
      <c r="Q658" s="450">
        <f>MAX($Q$103:Q657)+1</f>
        <v>14</v>
      </c>
    </row>
    <row r="659" spans="3:27" ht="36" customHeight="1" x14ac:dyDescent="0.5">
      <c r="C659" s="520"/>
      <c r="D659" s="615" t="str">
        <f>Criteria!E9</f>
        <v>ABC COMPANY (PROPRIETARY) LIMITED</v>
      </c>
      <c r="E659" s="616"/>
      <c r="F659" s="616"/>
      <c r="G659" s="616"/>
      <c r="H659" s="616"/>
      <c r="I659" s="520"/>
      <c r="J659" s="520"/>
      <c r="M659" s="540"/>
      <c r="O659" s="451"/>
      <c r="P659" s="451"/>
      <c r="Q659" s="451"/>
      <c r="S659" s="494"/>
      <c r="T659" s="494"/>
      <c r="U659" s="494"/>
      <c r="V659" s="494"/>
      <c r="W659" s="494"/>
      <c r="X659" s="494"/>
    </row>
    <row r="660" spans="3:27" ht="36" customHeight="1" x14ac:dyDescent="0.5">
      <c r="C660" s="520"/>
      <c r="D660" s="615" t="str">
        <f>Criteria!E10</f>
        <v>T/A SEAFRONT HOTEL, ABC RESTAURANT AND RENTAL PROPERTIES</v>
      </c>
      <c r="E660" s="616"/>
      <c r="F660" s="616"/>
      <c r="G660" s="616"/>
      <c r="H660" s="616"/>
      <c r="I660" s="520"/>
      <c r="J660" s="520"/>
      <c r="M660" s="540"/>
      <c r="O660" s="540"/>
      <c r="R660" s="490" t="str">
        <f>IF(D660=0,"DELETE"," ")</f>
        <v xml:space="preserve"> </v>
      </c>
      <c r="S660" s="494"/>
      <c r="T660" s="494"/>
      <c r="U660" s="494"/>
      <c r="V660" s="494"/>
      <c r="W660" s="494"/>
      <c r="X660" s="494"/>
    </row>
    <row r="661" spans="3:27" ht="36" customHeight="1" x14ac:dyDescent="0.5">
      <c r="C661" s="520"/>
      <c r="D661" s="616"/>
      <c r="E661" s="616"/>
      <c r="F661" s="616"/>
      <c r="G661" s="616"/>
      <c r="H661" s="616"/>
      <c r="I661" s="520"/>
      <c r="J661" s="520"/>
      <c r="M661" s="540"/>
      <c r="O661" s="540"/>
      <c r="S661" s="494"/>
      <c r="T661" s="494"/>
      <c r="U661" s="494"/>
      <c r="V661" s="494"/>
      <c r="W661" s="494"/>
      <c r="X661" s="494"/>
    </row>
    <row r="662" spans="3:27" ht="36" customHeight="1" x14ac:dyDescent="0.5">
      <c r="C662" s="520"/>
      <c r="D662" s="615" t="str">
        <f>CONCATENATE("STATEMENT OF FINANCIAL POSITION AS AT ",Criteria!E20)</f>
        <v>STATEMENT OF FINANCIAL POSITION AS AT 28 FEBRUARY 2026</v>
      </c>
      <c r="E662" s="616"/>
      <c r="F662" s="616"/>
      <c r="G662" s="616"/>
      <c r="H662" s="615"/>
      <c r="I662" s="520"/>
      <c r="J662" s="520"/>
      <c r="M662" s="540"/>
      <c r="O662" s="540"/>
    </row>
    <row r="663" spans="3:27" ht="36" customHeight="1" x14ac:dyDescent="0.5">
      <c r="C663" s="520"/>
      <c r="D663" s="616"/>
      <c r="E663" s="616"/>
      <c r="F663" s="616"/>
      <c r="G663" s="616"/>
      <c r="H663" s="616"/>
      <c r="I663" s="520"/>
      <c r="J663" s="520"/>
      <c r="M663" s="540"/>
      <c r="O663" s="540"/>
    </row>
    <row r="664" spans="3:27" ht="36" customHeight="1" x14ac:dyDescent="0.5">
      <c r="C664" s="520"/>
      <c r="D664" s="634"/>
      <c r="E664" s="634"/>
      <c r="F664" s="634"/>
      <c r="G664" s="634"/>
      <c r="H664" s="634"/>
      <c r="I664" s="591"/>
      <c r="J664" s="591"/>
      <c r="K664" s="457"/>
      <c r="L664" s="457"/>
      <c r="M664" s="551"/>
      <c r="N664" s="551"/>
      <c r="O664" s="551"/>
      <c r="P664" s="551"/>
      <c r="Q664" s="457"/>
    </row>
    <row r="665" spans="3:27" ht="36" customHeight="1" x14ac:dyDescent="0.5">
      <c r="C665" s="520"/>
      <c r="D665" s="616"/>
      <c r="E665" s="616"/>
      <c r="F665" s="616"/>
      <c r="G665" s="616"/>
      <c r="H665" s="616"/>
      <c r="I665" s="520"/>
      <c r="J665" s="520"/>
      <c r="K665" s="450" t="s">
        <v>1494</v>
      </c>
      <c r="L665" s="450"/>
      <c r="M665" s="453">
        <f>Criteria!E22</f>
        <v>2026</v>
      </c>
      <c r="N665" s="453"/>
      <c r="O665" s="453">
        <f>Criteria!E27</f>
        <v>2025</v>
      </c>
      <c r="P665" s="453"/>
    </row>
    <row r="666" spans="3:27" ht="36" customHeight="1" x14ac:dyDescent="0.5">
      <c r="C666" s="451"/>
      <c r="D666" s="615" t="s">
        <v>121</v>
      </c>
      <c r="E666" s="616"/>
      <c r="F666" s="616"/>
      <c r="G666" s="616"/>
      <c r="H666" s="616"/>
      <c r="I666" s="520"/>
      <c r="J666" s="520"/>
      <c r="K666" s="450"/>
      <c r="L666" s="450"/>
      <c r="M666" s="454"/>
      <c r="N666" s="454"/>
      <c r="O666" s="454"/>
      <c r="P666" s="454"/>
    </row>
    <row r="667" spans="3:27" ht="36" customHeight="1" x14ac:dyDescent="0.5">
      <c r="C667" s="520"/>
      <c r="D667" s="615" t="s">
        <v>1495</v>
      </c>
      <c r="E667" s="616"/>
      <c r="F667" s="616"/>
      <c r="G667" s="616"/>
      <c r="H667" s="616"/>
      <c r="I667" s="520"/>
      <c r="J667" s="520"/>
      <c r="K667" s="450"/>
      <c r="L667" s="450"/>
      <c r="M667" s="458">
        <f>SUM(M669:M679)</f>
        <v>0</v>
      </c>
      <c r="N667" s="458"/>
      <c r="O667" s="458">
        <f>SUM(O669:P679)</f>
        <v>0</v>
      </c>
      <c r="P667" s="454"/>
      <c r="R667" s="490" t="str">
        <f>IF(M667=0,IF(O667=0,"DELETE"," ")," ")</f>
        <v>DELETE</v>
      </c>
      <c r="S667" s="495">
        <f>M667</f>
        <v>0</v>
      </c>
      <c r="T667" s="495"/>
      <c r="U667" s="495">
        <f>O667</f>
        <v>0</v>
      </c>
      <c r="V667" s="495"/>
      <c r="W667" s="495"/>
      <c r="X667" s="495"/>
    </row>
    <row r="668" spans="3:27" ht="9" customHeight="1" x14ac:dyDescent="0.5">
      <c r="C668" s="520"/>
      <c r="D668" s="615"/>
      <c r="E668" s="616"/>
      <c r="F668" s="616"/>
      <c r="G668" s="616"/>
      <c r="H668" s="616"/>
      <c r="I668" s="520"/>
      <c r="J668" s="520"/>
      <c r="K668" s="450"/>
      <c r="L668" s="450"/>
      <c r="M668" s="458"/>
      <c r="N668" s="458"/>
      <c r="O668" s="458"/>
      <c r="P668" s="454"/>
      <c r="R668" s="490" t="str">
        <f>R667</f>
        <v>DELETE</v>
      </c>
    </row>
    <row r="669" spans="3:27" ht="9" customHeight="1" x14ac:dyDescent="0.5">
      <c r="C669" s="520"/>
      <c r="D669" s="615"/>
      <c r="E669" s="616"/>
      <c r="F669" s="616"/>
      <c r="G669" s="616"/>
      <c r="H669" s="616"/>
      <c r="I669" s="520"/>
      <c r="J669" s="520"/>
      <c r="K669" s="450"/>
      <c r="L669" s="450"/>
      <c r="M669" s="578"/>
      <c r="N669" s="459"/>
      <c r="O669" s="579"/>
      <c r="P669" s="454"/>
      <c r="R669" s="490" t="str">
        <f>R667</f>
        <v>DELETE</v>
      </c>
    </row>
    <row r="670" spans="3:27" ht="36" customHeight="1" x14ac:dyDescent="0.5">
      <c r="C670" s="520"/>
      <c r="D670" s="616" t="s">
        <v>1224</v>
      </c>
      <c r="E670" s="616"/>
      <c r="F670" s="616"/>
      <c r="G670" s="616"/>
      <c r="H670" s="616"/>
      <c r="I670" s="520"/>
      <c r="J670" s="520"/>
      <c r="K670" s="450">
        <f>B1609</f>
        <v>10</v>
      </c>
      <c r="L670" s="450"/>
      <c r="M670" s="580">
        <f>SUM(TrialBalance!L229:L239)</f>
        <v>0</v>
      </c>
      <c r="N670" s="458"/>
      <c r="O670" s="581">
        <f>SUM(TrialBalance!N229:N239)</f>
        <v>0</v>
      </c>
      <c r="P670" s="454"/>
      <c r="R670" s="490" t="str">
        <f t="shared" ref="R670:R677" si="11">IF(M670=0,IF(O670=0,"DELETE"," ")," ")</f>
        <v>DELETE</v>
      </c>
      <c r="V670" s="491" t="b">
        <f>M670=M1640</f>
        <v>1</v>
      </c>
      <c r="X670" s="491" t="b">
        <f>O670=O1640</f>
        <v>1</v>
      </c>
    </row>
    <row r="671" spans="3:27" ht="36" customHeight="1" x14ac:dyDescent="0.5">
      <c r="C671" s="520"/>
      <c r="D671" s="616" t="s">
        <v>877</v>
      </c>
      <c r="E671" s="616"/>
      <c r="F671" s="616"/>
      <c r="G671" s="616"/>
      <c r="H671" s="616"/>
      <c r="I671" s="520"/>
      <c r="J671" s="520"/>
      <c r="K671" s="450">
        <f>B1720</f>
        <v>11</v>
      </c>
      <c r="L671" s="450"/>
      <c r="M671" s="580">
        <f>SUM(TrialBalance!L251:L282)</f>
        <v>0</v>
      </c>
      <c r="N671" s="458"/>
      <c r="O671" s="581">
        <f>SUM(TrialBalance!N251:N282)</f>
        <v>0</v>
      </c>
      <c r="P671" s="454"/>
      <c r="R671" s="490" t="str">
        <f t="shared" si="11"/>
        <v>DELETE</v>
      </c>
      <c r="V671" s="496" t="b">
        <f>M671=O1768</f>
        <v>1</v>
      </c>
      <c r="W671" s="496"/>
      <c r="X671" s="496" t="b">
        <f>O671=O1746</f>
        <v>1</v>
      </c>
      <c r="AA671" s="496"/>
    </row>
    <row r="672" spans="3:27" ht="36" customHeight="1" x14ac:dyDescent="0.5">
      <c r="C672" s="520"/>
      <c r="D672" s="616" t="s">
        <v>1313</v>
      </c>
      <c r="E672" s="616"/>
      <c r="F672" s="616"/>
      <c r="G672" s="616"/>
      <c r="H672" s="616"/>
      <c r="I672" s="520"/>
      <c r="J672" s="520"/>
      <c r="K672" s="450">
        <f>B1819</f>
        <v>12</v>
      </c>
      <c r="L672" s="450"/>
      <c r="M672" s="580">
        <f>SUM(TrialBalance!L240:L250)</f>
        <v>0</v>
      </c>
      <c r="N672" s="458"/>
      <c r="O672" s="581">
        <f>SUM(TrialBalance!N240:N250)</f>
        <v>0</v>
      </c>
      <c r="P672" s="454"/>
      <c r="R672" s="490" t="str">
        <f t="shared" si="11"/>
        <v>DELETE</v>
      </c>
      <c r="V672" s="496" t="b">
        <f>M672=M1850</f>
        <v>1</v>
      </c>
      <c r="W672" s="496"/>
      <c r="X672" s="496" t="b">
        <f>O672=O1850</f>
        <v>1</v>
      </c>
      <c r="AA672" s="496"/>
    </row>
    <row r="673" spans="3:27" ht="36" customHeight="1" x14ac:dyDescent="0.5">
      <c r="C673" s="520"/>
      <c r="D673" s="616" t="s">
        <v>1296</v>
      </c>
      <c r="E673" s="616"/>
      <c r="F673" s="616"/>
      <c r="G673" s="616"/>
      <c r="H673" s="616"/>
      <c r="I673" s="520"/>
      <c r="J673" s="520"/>
      <c r="K673" s="450">
        <f>B1932</f>
        <v>13</v>
      </c>
      <c r="L673" s="450"/>
      <c r="M673" s="580">
        <f>SUM(TrialBalance!L285:L301)</f>
        <v>0</v>
      </c>
      <c r="N673" s="458"/>
      <c r="O673" s="581">
        <f>SUM(TrialBalance!N285:N301)</f>
        <v>0</v>
      </c>
      <c r="P673" s="454"/>
      <c r="R673" s="490" t="str">
        <f t="shared" si="11"/>
        <v>DELETE</v>
      </c>
      <c r="V673" s="496" t="b">
        <f>M673=M2000</f>
        <v>1</v>
      </c>
      <c r="W673" s="496"/>
      <c r="X673" s="496" t="b">
        <f>O673=O2000</f>
        <v>1</v>
      </c>
      <c r="AA673" s="496"/>
    </row>
    <row r="674" spans="3:27" ht="36" customHeight="1" x14ac:dyDescent="0.5">
      <c r="C674" s="520"/>
      <c r="D674" s="616" t="str">
        <f>IF(COUNTIF(TrialBalance!L304:L306,"&gt;0")&gt;1,"Investments in associates",IF(COUNTIF(TrialBalance!N304:N306,"&gt;0")&gt;1,"Investments in associates","Investment in associate"))</f>
        <v>Investment in associate</v>
      </c>
      <c r="E674" s="616"/>
      <c r="F674" s="616"/>
      <c r="G674" s="616"/>
      <c r="H674" s="616"/>
      <c r="I674" s="520"/>
      <c r="J674" s="520"/>
      <c r="K674" s="450">
        <f>B2017</f>
        <v>14</v>
      </c>
      <c r="L674" s="450"/>
      <c r="M674" s="580">
        <f>SUM(TrialBalance!L304:L306)</f>
        <v>0</v>
      </c>
      <c r="N674" s="475"/>
      <c r="O674" s="581">
        <f>SUM(TrialBalance!N304:N306)</f>
        <v>0</v>
      </c>
      <c r="P674" s="454"/>
      <c r="R674" s="490" t="str">
        <f t="shared" si="11"/>
        <v>DELETE</v>
      </c>
      <c r="V674" s="496" t="b">
        <f>M674=M2024</f>
        <v>1</v>
      </c>
      <c r="W674" s="496"/>
      <c r="X674" s="496" t="b">
        <f>O674=O2024</f>
        <v>1</v>
      </c>
      <c r="AA674" s="496"/>
    </row>
    <row r="675" spans="3:27" ht="36" customHeight="1" x14ac:dyDescent="0.5">
      <c r="C675" s="520"/>
      <c r="D675" s="616" t="str">
        <f>IF(COUNTIF(TrialBalance!L308:L312,"&gt;0")&gt;1,"Listed investments",IF(COUNTIF(TrialBalance!N308:N312,"&gt;0")&gt;1,"Listed investments","Listed investment"))</f>
        <v>Listed investment</v>
      </c>
      <c r="E675" s="616"/>
      <c r="F675" s="616"/>
      <c r="G675" s="616"/>
      <c r="H675" s="616"/>
      <c r="I675" s="520"/>
      <c r="J675" s="520"/>
      <c r="K675" s="450">
        <f>B2042</f>
        <v>15</v>
      </c>
      <c r="L675" s="450"/>
      <c r="M675" s="580">
        <f>SUM(TrialBalance!L308:L312)</f>
        <v>0</v>
      </c>
      <c r="N675" s="458"/>
      <c r="O675" s="581">
        <f>SUM(TrialBalance!N308:N312)</f>
        <v>0</v>
      </c>
      <c r="P675" s="454"/>
      <c r="R675" s="490" t="str">
        <f t="shared" si="11"/>
        <v>DELETE</v>
      </c>
      <c r="V675" s="496" t="b">
        <f>M675=M2051</f>
        <v>1</v>
      </c>
      <c r="W675" s="496"/>
      <c r="X675" s="496" t="b">
        <f>O675=O2051</f>
        <v>1</v>
      </c>
      <c r="AA675" s="496"/>
    </row>
    <row r="676" spans="3:27" ht="36" customHeight="1" x14ac:dyDescent="0.5">
      <c r="C676" s="520"/>
      <c r="D676" s="616" t="str">
        <f>IF(COUNTIF(TrialBalance!L314:L318,"&gt;0")&gt;1,"Other investments",IF(COUNTIF(TrialBalance!N314:N318,"&gt;0")&gt;1,"Other investments","Other investment"))</f>
        <v>Other investment</v>
      </c>
      <c r="E676" s="616"/>
      <c r="F676" s="616"/>
      <c r="G676" s="616"/>
      <c r="H676" s="616"/>
      <c r="I676" s="520"/>
      <c r="J676" s="520"/>
      <c r="K676" s="450">
        <f>B2074</f>
        <v>16</v>
      </c>
      <c r="L676" s="450"/>
      <c r="M676" s="580">
        <f>SUM(TrialBalance!L314:L318)</f>
        <v>0</v>
      </c>
      <c r="N676" s="458"/>
      <c r="O676" s="581">
        <f>SUM(TrialBalance!N314:N318)</f>
        <v>0</v>
      </c>
      <c r="P676" s="454"/>
      <c r="R676" s="490" t="str">
        <f t="shared" si="11"/>
        <v>DELETE</v>
      </c>
      <c r="V676" s="496" t="b">
        <f>M676=M2083</f>
        <v>1</v>
      </c>
      <c r="W676" s="496"/>
      <c r="X676" s="496" t="b">
        <f>O676=O2083</f>
        <v>1</v>
      </c>
      <c r="AA676" s="496"/>
    </row>
    <row r="677" spans="3:27" ht="36" customHeight="1" x14ac:dyDescent="0.5">
      <c r="C677" s="520"/>
      <c r="D677" s="616" t="str">
        <f>IF(COUNTIF(TrialBalance!L319:L353,"&gt;0")&gt;1,"Non - current receivables",IF(COUNTIF(TrialBalance!N319:N353,"&gt;0")&gt;1,"Non - current receivables","Non - current receivable"))</f>
        <v>Non - current receivable</v>
      </c>
      <c r="E677" s="616"/>
      <c r="F677" s="616"/>
      <c r="G677" s="616"/>
      <c r="H677" s="616"/>
      <c r="I677" s="520"/>
      <c r="J677" s="520"/>
      <c r="K677" s="450">
        <f>B2106</f>
        <v>17</v>
      </c>
      <c r="L677" s="450"/>
      <c r="M677" s="580">
        <f>SUM(TrialBalance!L319:L353)</f>
        <v>0</v>
      </c>
      <c r="N677" s="458"/>
      <c r="O677" s="581">
        <f>SUM(TrialBalance!N319:N353)</f>
        <v>0</v>
      </c>
      <c r="P677" s="454"/>
      <c r="R677" s="490" t="str">
        <f t="shared" si="11"/>
        <v>DELETE</v>
      </c>
      <c r="V677" s="496" t="b">
        <f>M677=M2148</f>
        <v>1</v>
      </c>
      <c r="W677" s="496"/>
      <c r="X677" s="496" t="b">
        <f>O677=O2148</f>
        <v>1</v>
      </c>
    </row>
    <row r="678" spans="3:27" ht="36" customHeight="1" x14ac:dyDescent="0.5">
      <c r="C678" s="520"/>
      <c r="D678" s="616" t="s">
        <v>592</v>
      </c>
      <c r="E678" s="616"/>
      <c r="F678" s="616"/>
      <c r="G678" s="616"/>
      <c r="H678" s="616"/>
      <c r="I678" s="520"/>
      <c r="J678" s="520"/>
      <c r="K678" s="450">
        <f>B2442</f>
        <v>26</v>
      </c>
      <c r="L678" s="450"/>
      <c r="M678" s="580">
        <f>IF(SUM(TrialBalance!L221:L228)&gt;0,SUM(TrialBalance!L221:L228),0)</f>
        <v>0</v>
      </c>
      <c r="N678" s="458"/>
      <c r="O678" s="581">
        <f>IF(SUM(TrialBalance!N221:N228)&gt;0,SUM(TrialBalance!N221:N228),0)</f>
        <v>0</v>
      </c>
      <c r="P678" s="454"/>
      <c r="R678" s="490" t="str">
        <f>IF(M678=0,IF(O678=0,"DELETE"," ")," ")</f>
        <v>DELETE</v>
      </c>
      <c r="V678" s="496" t="str">
        <f>IF(M678=0,"TRUE",M678=-M2511)</f>
        <v>TRUE</v>
      </c>
      <c r="W678" s="496"/>
      <c r="X678" s="496" t="str">
        <f>IF(O678=0,"TRUE",O678=-O2511)</f>
        <v>TRUE</v>
      </c>
    </row>
    <row r="679" spans="3:27" ht="9" customHeight="1" x14ac:dyDescent="0.5">
      <c r="C679" s="520"/>
      <c r="D679" s="616"/>
      <c r="E679" s="616"/>
      <c r="F679" s="616"/>
      <c r="G679" s="616"/>
      <c r="H679" s="616"/>
      <c r="I679" s="520"/>
      <c r="J679" s="520"/>
      <c r="K679" s="450"/>
      <c r="L679" s="450"/>
      <c r="M679" s="460"/>
      <c r="N679" s="461"/>
      <c r="O679" s="582"/>
      <c r="P679" s="454"/>
      <c r="R679" s="490" t="str">
        <f>R667</f>
        <v>DELETE</v>
      </c>
    </row>
    <row r="680" spans="3:27" ht="9" customHeight="1" x14ac:dyDescent="0.5">
      <c r="C680" s="520"/>
      <c r="D680" s="616"/>
      <c r="E680" s="616"/>
      <c r="F680" s="616"/>
      <c r="G680" s="616"/>
      <c r="H680" s="616"/>
      <c r="I680" s="520"/>
      <c r="J680" s="520"/>
      <c r="K680" s="450"/>
      <c r="L680" s="450"/>
      <c r="M680" s="458"/>
      <c r="N680" s="458"/>
      <c r="O680" s="458"/>
      <c r="P680" s="454"/>
      <c r="R680" s="490" t="str">
        <f>R667</f>
        <v>DELETE</v>
      </c>
    </row>
    <row r="681" spans="3:27" ht="36" customHeight="1" x14ac:dyDescent="0.5">
      <c r="C681" s="520"/>
      <c r="D681" s="615" t="s">
        <v>1496</v>
      </c>
      <c r="E681" s="616"/>
      <c r="F681" s="616"/>
      <c r="G681" s="616"/>
      <c r="H681" s="616"/>
      <c r="I681" s="520"/>
      <c r="J681" s="520"/>
      <c r="K681" s="450"/>
      <c r="L681" s="450"/>
      <c r="M681" s="458">
        <f>SUM(M684:M688)</f>
        <v>0</v>
      </c>
      <c r="N681" s="458"/>
      <c r="O681" s="458">
        <f>SUM(O684:O688)</f>
        <v>0</v>
      </c>
      <c r="P681" s="454"/>
      <c r="R681" s="490" t="str">
        <f>IF(M681=0,IF(O681=0,"DELETE"," ")," ")</f>
        <v>DELETE</v>
      </c>
      <c r="S681" s="495">
        <f>M681</f>
        <v>0</v>
      </c>
      <c r="T681" s="495"/>
      <c r="U681" s="495">
        <f>O681</f>
        <v>0</v>
      </c>
      <c r="V681" s="495"/>
      <c r="W681" s="495"/>
      <c r="X681" s="495"/>
    </row>
    <row r="682" spans="3:27" ht="9" customHeight="1" x14ac:dyDescent="0.5">
      <c r="C682" s="520"/>
      <c r="D682" s="616"/>
      <c r="E682" s="616"/>
      <c r="F682" s="616"/>
      <c r="G682" s="616"/>
      <c r="H682" s="616"/>
      <c r="I682" s="520"/>
      <c r="J682" s="520"/>
      <c r="K682" s="450"/>
      <c r="L682" s="450"/>
      <c r="M682" s="458"/>
      <c r="N682" s="458"/>
      <c r="O682" s="458"/>
      <c r="P682" s="454"/>
      <c r="R682" s="490" t="str">
        <f>R681</f>
        <v>DELETE</v>
      </c>
    </row>
    <row r="683" spans="3:27" ht="9" customHeight="1" x14ac:dyDescent="0.5">
      <c r="C683" s="520"/>
      <c r="D683" s="616"/>
      <c r="E683" s="616"/>
      <c r="F683" s="616"/>
      <c r="G683" s="616"/>
      <c r="H683" s="616"/>
      <c r="I683" s="520"/>
      <c r="J683" s="520"/>
      <c r="K683" s="450"/>
      <c r="L683" s="450"/>
      <c r="M683" s="578"/>
      <c r="N683" s="459"/>
      <c r="O683" s="579"/>
      <c r="P683" s="454"/>
      <c r="R683" s="490" t="str">
        <f>R681</f>
        <v>DELETE</v>
      </c>
    </row>
    <row r="684" spans="3:27" ht="36" customHeight="1" x14ac:dyDescent="0.5">
      <c r="C684" s="520"/>
      <c r="D684" s="616" t="s">
        <v>1202</v>
      </c>
      <c r="E684" s="616"/>
      <c r="F684" s="616"/>
      <c r="G684" s="616"/>
      <c r="H684" s="616"/>
      <c r="I684" s="520"/>
      <c r="J684" s="520"/>
      <c r="K684" s="450">
        <f>B2165</f>
        <v>18</v>
      </c>
      <c r="L684" s="450"/>
      <c r="M684" s="580">
        <f>SUM(TrialBalance!L355:L358)</f>
        <v>0</v>
      </c>
      <c r="N684" s="458"/>
      <c r="O684" s="581">
        <f>SUM(TrialBalance!N355:N358)</f>
        <v>0</v>
      </c>
      <c r="P684" s="454"/>
      <c r="R684" s="490" t="str">
        <f>IF(M684=0,IF(O684=0,"DELETE"," ")," ")</f>
        <v>DELETE</v>
      </c>
      <c r="V684" s="496" t="b">
        <f>M684=M2174</f>
        <v>1</v>
      </c>
      <c r="W684" s="496"/>
      <c r="X684" s="496" t="b">
        <f>O684=O2174</f>
        <v>1</v>
      </c>
      <c r="AA684" s="496"/>
    </row>
    <row r="685" spans="3:27" ht="36" customHeight="1" x14ac:dyDescent="0.5">
      <c r="C685" s="520"/>
      <c r="D685" s="616" t="s">
        <v>869</v>
      </c>
      <c r="E685" s="616"/>
      <c r="F685" s="616"/>
      <c r="G685" s="616"/>
      <c r="H685" s="616"/>
      <c r="I685" s="520"/>
      <c r="J685" s="520"/>
      <c r="K685" s="450">
        <f>B2191</f>
        <v>19</v>
      </c>
      <c r="L685" s="450"/>
      <c r="M685" s="580">
        <f>SUM(TrialBalance!L360:L365)+IF(TrialBalance!L399&gt;0,TrialBalance!L399,0)</f>
        <v>0</v>
      </c>
      <c r="N685" s="458"/>
      <c r="O685" s="581">
        <f>SUM(TrialBalance!N360:N365)+IF(TrialBalance!N399&gt;0,TrialBalance!N399,0)</f>
        <v>0</v>
      </c>
      <c r="P685" s="454"/>
      <c r="R685" s="490" t="str">
        <f>IF(M685=0,IF(O685=0,"DELETE"," ")," ")</f>
        <v>DELETE</v>
      </c>
      <c r="V685" s="496" t="b">
        <f>M685=M2205</f>
        <v>1</v>
      </c>
      <c r="W685" s="496"/>
      <c r="X685" s="496" t="b">
        <f>O685=O2205</f>
        <v>1</v>
      </c>
    </row>
    <row r="686" spans="3:27" ht="36" customHeight="1" x14ac:dyDescent="0.5">
      <c r="C686" s="520"/>
      <c r="D686" s="616" t="s">
        <v>750</v>
      </c>
      <c r="E686" s="616"/>
      <c r="F686" s="616"/>
      <c r="G686" s="616"/>
      <c r="H686" s="616"/>
      <c r="I686" s="520"/>
      <c r="J686" s="520"/>
      <c r="K686" s="450">
        <f>B2223</f>
        <v>20</v>
      </c>
      <c r="L686" s="450"/>
      <c r="M686" s="580">
        <f>TrialBalance!L373+IF(TrialBalance!L367&gt;0,TrialBalance!L367,0)+IF(TrialBalance!L368&gt;0,TrialBalance!L368,0)+IF(TrialBalance!L369&gt;0,TrialBalance!L369,0)+IF(TrialBalance!L370&gt;0,TrialBalance!L370,0)+IF(TrialBalance!L371&gt;0,TrialBalance!L371,0)+IF(TrialBalance!L372&gt;0,TrialBalance!L372,0)</f>
        <v>0</v>
      </c>
      <c r="N686" s="458"/>
      <c r="O686" s="581">
        <f>TrialBalance!N373+IF(TrialBalance!N367&gt;0,TrialBalance!N367,0)+IF(TrialBalance!N368&gt;0,TrialBalance!N368,0)+IF(TrialBalance!N369&gt;0,TrialBalance!N369,0)+IF(TrialBalance!N370&gt;0,TrialBalance!N370,0)+IF(TrialBalance!N371&gt;0,TrialBalance!N371,0)+IF(TrialBalance!N372&gt;0,TrialBalance!N372,0)</f>
        <v>0</v>
      </c>
      <c r="P686" s="454"/>
      <c r="R686" s="490" t="str">
        <f>IF(M686=0,IF(O686=0,"DELETE"," ")," ")</f>
        <v>DELETE</v>
      </c>
      <c r="V686" s="496" t="b">
        <f>M686=M2234</f>
        <v>1</v>
      </c>
      <c r="W686" s="496"/>
      <c r="X686" s="496" t="b">
        <f>O686=O2234</f>
        <v>1</v>
      </c>
    </row>
    <row r="687" spans="3:27" ht="36" customHeight="1" x14ac:dyDescent="0.5">
      <c r="C687" s="520"/>
      <c r="D687" s="616" t="s">
        <v>711</v>
      </c>
      <c r="E687" s="616"/>
      <c r="F687" s="616"/>
      <c r="G687" s="616"/>
      <c r="H687" s="616"/>
      <c r="I687" s="520"/>
      <c r="J687" s="520"/>
      <c r="K687" s="450">
        <f>B2637</f>
        <v>31</v>
      </c>
      <c r="L687" s="450"/>
      <c r="M687" s="580">
        <f>IF(SUM(TrialBalance!L386:L392)&gt;0,SUM(TrialBalance!L386:L392),0)</f>
        <v>0</v>
      </c>
      <c r="N687" s="458"/>
      <c r="O687" s="581">
        <f>IF(SUM(TrialBalance!N386:N392)&gt;0,SUM(TrialBalance!N386:N392),0)</f>
        <v>0</v>
      </c>
      <c r="P687" s="454"/>
      <c r="R687" s="490" t="str">
        <f>IF(M687=0,IF(O687=0,"DELETE"," ")," ")</f>
        <v>DELETE</v>
      </c>
      <c r="V687" s="496" t="str">
        <f>IF(M687=0,"TRUE",M687=-M2648)</f>
        <v>TRUE</v>
      </c>
      <c r="W687" s="496"/>
      <c r="X687" s="496" t="str">
        <f>IF(O687=0,"TRUE",O687=-O2648)</f>
        <v>TRUE</v>
      </c>
    </row>
    <row r="688" spans="3:27" ht="9" customHeight="1" x14ac:dyDescent="0.5">
      <c r="C688" s="520"/>
      <c r="D688" s="616"/>
      <c r="E688" s="616"/>
      <c r="F688" s="616"/>
      <c r="G688" s="616"/>
      <c r="H688" s="616"/>
      <c r="I688" s="520"/>
      <c r="J688" s="520"/>
      <c r="K688" s="450"/>
      <c r="L688" s="450"/>
      <c r="M688" s="460"/>
      <c r="N688" s="461"/>
      <c r="O688" s="582"/>
      <c r="P688" s="454"/>
      <c r="R688" s="490" t="str">
        <f>R681</f>
        <v>DELETE</v>
      </c>
    </row>
    <row r="689" spans="3:26" ht="9" customHeight="1" x14ac:dyDescent="0.5">
      <c r="C689" s="520"/>
      <c r="D689" s="616"/>
      <c r="E689" s="616"/>
      <c r="F689" s="616"/>
      <c r="G689" s="616"/>
      <c r="H689" s="616"/>
      <c r="I689" s="520"/>
      <c r="J689" s="520"/>
      <c r="K689" s="450"/>
      <c r="L689" s="450"/>
      <c r="M689" s="458"/>
      <c r="N689" s="458"/>
      <c r="O689" s="458"/>
      <c r="P689" s="454"/>
      <c r="R689" s="490" t="str">
        <f>R681</f>
        <v>DELETE</v>
      </c>
    </row>
    <row r="690" spans="3:26" ht="9" customHeight="1" x14ac:dyDescent="0.5">
      <c r="C690" s="520"/>
      <c r="D690" s="616"/>
      <c r="E690" s="616"/>
      <c r="F690" s="616"/>
      <c r="G690" s="616"/>
      <c r="H690" s="616"/>
      <c r="I690" s="520"/>
      <c r="J690" s="520"/>
      <c r="K690" s="450"/>
      <c r="L690" s="450"/>
      <c r="M690" s="461"/>
      <c r="N690" s="461"/>
      <c r="O690" s="461"/>
      <c r="P690" s="454"/>
    </row>
    <row r="691" spans="3:26" ht="9" customHeight="1" x14ac:dyDescent="0.5">
      <c r="C691" s="520"/>
      <c r="D691" s="616"/>
      <c r="E691" s="616"/>
      <c r="F691" s="616"/>
      <c r="G691" s="616"/>
      <c r="H691" s="616"/>
      <c r="I691" s="520"/>
      <c r="J691" s="520"/>
      <c r="K691" s="450"/>
      <c r="L691" s="450"/>
      <c r="M691" s="458"/>
      <c r="N691" s="458"/>
      <c r="O691" s="458"/>
      <c r="P691" s="454"/>
    </row>
    <row r="692" spans="3:26" ht="36.75" customHeight="1" x14ac:dyDescent="0.5">
      <c r="C692" s="520"/>
      <c r="D692" s="615" t="s">
        <v>862</v>
      </c>
      <c r="E692" s="616"/>
      <c r="F692" s="616"/>
      <c r="G692" s="616"/>
      <c r="H692" s="616"/>
      <c r="I692" s="520"/>
      <c r="J692" s="520"/>
      <c r="K692" s="450"/>
      <c r="L692" s="450"/>
      <c r="M692" s="458">
        <f>SUM(S667:S690)</f>
        <v>0</v>
      </c>
      <c r="N692" s="458"/>
      <c r="O692" s="458">
        <f>SUM(U667:U690)</f>
        <v>0</v>
      </c>
      <c r="P692" s="454"/>
      <c r="V692" s="497" t="b">
        <f>M692=M727</f>
        <v>1</v>
      </c>
      <c r="W692" s="497"/>
      <c r="X692" s="497" t="b">
        <f>O692=O727</f>
        <v>1</v>
      </c>
    </row>
    <row r="693" spans="3:26" ht="9" customHeight="1" thickBot="1" x14ac:dyDescent="0.55000000000000004">
      <c r="C693" s="520"/>
      <c r="D693" s="616"/>
      <c r="E693" s="616"/>
      <c r="F693" s="616"/>
      <c r="G693" s="616"/>
      <c r="H693" s="616"/>
      <c r="I693" s="520"/>
      <c r="J693" s="520"/>
      <c r="K693" s="450"/>
      <c r="L693" s="450"/>
      <c r="M693" s="462"/>
      <c r="N693" s="462"/>
      <c r="O693" s="462"/>
      <c r="P693" s="454"/>
    </row>
    <row r="694" spans="3:26" ht="9" customHeight="1" thickTop="1" x14ac:dyDescent="0.5">
      <c r="C694" s="520"/>
      <c r="D694" s="616"/>
      <c r="E694" s="616"/>
      <c r="F694" s="616"/>
      <c r="G694" s="616"/>
      <c r="H694" s="616"/>
      <c r="I694" s="520"/>
      <c r="J694" s="520"/>
      <c r="K694" s="450"/>
      <c r="L694" s="450"/>
      <c r="M694" s="458"/>
      <c r="N694" s="458"/>
      <c r="O694" s="458"/>
      <c r="P694" s="454"/>
    </row>
    <row r="695" spans="3:26" ht="36" customHeight="1" x14ac:dyDescent="0.5">
      <c r="C695" s="520"/>
      <c r="D695" s="616"/>
      <c r="E695" s="616"/>
      <c r="F695" s="616"/>
      <c r="G695" s="616"/>
      <c r="H695" s="616"/>
      <c r="I695" s="520"/>
      <c r="J695" s="520"/>
      <c r="K695" s="450"/>
      <c r="L695" s="450"/>
      <c r="M695" s="458"/>
      <c r="N695" s="458"/>
      <c r="O695" s="458"/>
      <c r="P695" s="454"/>
    </row>
    <row r="696" spans="3:26" ht="36" customHeight="1" x14ac:dyDescent="0.5">
      <c r="C696" s="451"/>
      <c r="D696" s="615" t="s">
        <v>122</v>
      </c>
      <c r="E696" s="616"/>
      <c r="F696" s="616"/>
      <c r="G696" s="616"/>
      <c r="H696" s="616"/>
      <c r="I696" s="520"/>
      <c r="J696" s="520"/>
      <c r="K696" s="450"/>
      <c r="L696" s="450"/>
      <c r="M696" s="458"/>
      <c r="N696" s="458"/>
      <c r="O696" s="458"/>
      <c r="P696" s="454"/>
    </row>
    <row r="697" spans="3:26" ht="36" customHeight="1" x14ac:dyDescent="0.5">
      <c r="C697" s="520"/>
      <c r="D697" s="615" t="s">
        <v>1497</v>
      </c>
      <c r="E697" s="616"/>
      <c r="F697" s="616"/>
      <c r="G697" s="616"/>
      <c r="H697" s="616"/>
      <c r="I697" s="520"/>
      <c r="J697" s="520"/>
      <c r="K697" s="450"/>
      <c r="L697" s="450"/>
      <c r="M697" s="458">
        <f>SUM(M700:M703)</f>
        <v>0</v>
      </c>
      <c r="N697" s="458"/>
      <c r="O697" s="458">
        <f>SUM(O700:O703)</f>
        <v>0</v>
      </c>
      <c r="P697" s="454"/>
      <c r="S697" s="495">
        <f>M697</f>
        <v>0</v>
      </c>
      <c r="T697" s="495"/>
      <c r="U697" s="495">
        <f>O697</f>
        <v>0</v>
      </c>
      <c r="V697" s="495"/>
      <c r="W697" s="495"/>
      <c r="X697" s="495"/>
    </row>
    <row r="698" spans="3:26" ht="9" customHeight="1" x14ac:dyDescent="0.5">
      <c r="C698" s="520"/>
      <c r="D698" s="616"/>
      <c r="E698" s="616"/>
      <c r="F698" s="616"/>
      <c r="G698" s="616"/>
      <c r="H698" s="616"/>
      <c r="I698" s="520"/>
      <c r="J698" s="520"/>
      <c r="K698" s="450"/>
      <c r="L698" s="450"/>
      <c r="M698" s="458"/>
      <c r="N698" s="458"/>
      <c r="O698" s="458"/>
      <c r="P698" s="454"/>
    </row>
    <row r="699" spans="3:26" ht="9" customHeight="1" x14ac:dyDescent="0.5">
      <c r="C699" s="520"/>
      <c r="D699" s="616"/>
      <c r="E699" s="616"/>
      <c r="F699" s="616"/>
      <c r="G699" s="616"/>
      <c r="H699" s="616"/>
      <c r="I699" s="520"/>
      <c r="J699" s="520"/>
      <c r="K699" s="450"/>
      <c r="L699" s="450"/>
      <c r="M699" s="578"/>
      <c r="N699" s="459"/>
      <c r="O699" s="579"/>
      <c r="P699" s="454"/>
    </row>
    <row r="700" spans="3:26" ht="36" customHeight="1" x14ac:dyDescent="0.5">
      <c r="C700" s="520"/>
      <c r="D700" s="616" t="s">
        <v>593</v>
      </c>
      <c r="E700" s="616"/>
      <c r="F700" s="616"/>
      <c r="G700" s="616"/>
      <c r="H700" s="616"/>
      <c r="I700" s="520"/>
      <c r="J700" s="520"/>
      <c r="K700" s="450">
        <f>B2280</f>
        <v>21</v>
      </c>
      <c r="L700" s="450"/>
      <c r="M700" s="580">
        <f>-SUM(TrialBalance!L170:L171)</f>
        <v>0</v>
      </c>
      <c r="N700" s="458"/>
      <c r="O700" s="581">
        <f>-SUM(TrialBalance!N170:N171)</f>
        <v>0</v>
      </c>
      <c r="P700" s="454"/>
      <c r="V700" s="496" t="b">
        <f>M2287=M700</f>
        <v>1</v>
      </c>
      <c r="W700" s="496"/>
      <c r="X700" s="496" t="b">
        <f>O2287=O700</f>
        <v>1</v>
      </c>
    </row>
    <row r="701" spans="3:26" ht="36" customHeight="1" x14ac:dyDescent="0.5">
      <c r="C701" s="520"/>
      <c r="D701" s="616" t="s">
        <v>594</v>
      </c>
      <c r="E701" s="616"/>
      <c r="F701" s="616"/>
      <c r="G701" s="616"/>
      <c r="H701" s="616"/>
      <c r="I701" s="520"/>
      <c r="J701" s="520"/>
      <c r="K701" s="450">
        <f>B2303</f>
        <v>22</v>
      </c>
      <c r="L701" s="450"/>
      <c r="M701" s="580">
        <f>-SUM(TrialBalance!L173:L175)</f>
        <v>0</v>
      </c>
      <c r="N701" s="458"/>
      <c r="O701" s="581">
        <f>-SUM(TrialBalance!N173:N175)</f>
        <v>0</v>
      </c>
      <c r="P701" s="454"/>
      <c r="R701" s="490" t="str">
        <f>IF(M701=0,IF(O701=0,"DELETE"," ")," ")</f>
        <v>DELETE</v>
      </c>
      <c r="V701" s="496" t="b">
        <f>M701=M2310</f>
        <v>1</v>
      </c>
      <c r="W701" s="496"/>
      <c r="X701" s="496" t="b">
        <f>O701=O2310</f>
        <v>1</v>
      </c>
    </row>
    <row r="702" spans="3:26" ht="36" customHeight="1" x14ac:dyDescent="0.5">
      <c r="C702" s="520"/>
      <c r="D702" s="616" t="s">
        <v>13</v>
      </c>
      <c r="E702" s="616"/>
      <c r="F702" s="616"/>
      <c r="G702" s="616"/>
      <c r="H702" s="616"/>
      <c r="I702" s="520"/>
      <c r="J702" s="520"/>
      <c r="K702" s="450">
        <f>B2327</f>
        <v>23</v>
      </c>
      <c r="L702" s="450"/>
      <c r="M702" s="580">
        <f>-SUM(TrialBalance!L177:L179)-SUM(TrialBalance!L181:L183)</f>
        <v>0</v>
      </c>
      <c r="N702" s="458"/>
      <c r="O702" s="581">
        <f>-SUM(TrialBalance!N177:N179)-SUM(TrialBalance!N181:N183)</f>
        <v>0</v>
      </c>
      <c r="P702" s="454"/>
      <c r="R702" s="490" t="str">
        <f>IF(M702=0,IF(O702=0,"DELETE"," ")," ")</f>
        <v>DELETE</v>
      </c>
      <c r="V702" s="496" t="b">
        <f>M702=M2346</f>
        <v>1</v>
      </c>
      <c r="W702" s="496"/>
      <c r="X702" s="496" t="b">
        <f>O702=O2346</f>
        <v>1</v>
      </c>
    </row>
    <row r="703" spans="3:26" ht="36" customHeight="1" x14ac:dyDescent="0.5">
      <c r="C703" s="520"/>
      <c r="D703" s="628" t="str">
        <f>IF((Y703+Z703)=3,"Retained income/(Accumulated loss)",(IF((Y703+Z703=4),"Retained income","Accumulated loss")))</f>
        <v>Retained income</v>
      </c>
      <c r="E703" s="616"/>
      <c r="F703" s="616"/>
      <c r="G703" s="616"/>
      <c r="H703" s="616"/>
      <c r="I703" s="520"/>
      <c r="J703" s="520"/>
      <c r="K703" s="450"/>
      <c r="L703" s="450"/>
      <c r="M703" s="583">
        <f>-TrialBalance!L184-SUM(TrialBalance!L5:L166)</f>
        <v>0</v>
      </c>
      <c r="N703" s="463"/>
      <c r="O703" s="584">
        <f>-TrialBalance!N184-SUM(TrialBalance!N5:N166)</f>
        <v>0</v>
      </c>
      <c r="P703" s="454"/>
      <c r="V703" s="496" t="b">
        <f>M703=M781</f>
        <v>1</v>
      </c>
      <c r="W703" s="496"/>
      <c r="X703" s="496" t="b">
        <f>O703=O781</f>
        <v>1</v>
      </c>
      <c r="Y703" s="491">
        <f>IF(M703&lt;0,1,IF(M703=0,IF(O703&lt;0,1,2),2))</f>
        <v>2</v>
      </c>
      <c r="Z703" s="491">
        <f>IF(O703&lt;0,1,IF(O703=0,IF(M703&lt;0,1,2),2))</f>
        <v>2</v>
      </c>
    </row>
    <row r="704" spans="3:26" ht="9" customHeight="1" x14ac:dyDescent="0.5">
      <c r="C704" s="520"/>
      <c r="D704" s="616"/>
      <c r="E704" s="616"/>
      <c r="F704" s="616"/>
      <c r="G704" s="616"/>
      <c r="H704" s="616"/>
      <c r="I704" s="520"/>
      <c r="J704" s="520"/>
      <c r="K704" s="450"/>
      <c r="L704" s="450"/>
      <c r="M704" s="460"/>
      <c r="N704" s="461"/>
      <c r="O704" s="582"/>
      <c r="P704" s="454"/>
      <c r="X704" s="496"/>
    </row>
    <row r="705" spans="3:24" ht="9" customHeight="1" x14ac:dyDescent="0.5">
      <c r="C705" s="520"/>
      <c r="D705" s="616"/>
      <c r="E705" s="616"/>
      <c r="F705" s="616"/>
      <c r="G705" s="616"/>
      <c r="H705" s="616"/>
      <c r="I705" s="520"/>
      <c r="J705" s="520"/>
      <c r="K705" s="450"/>
      <c r="L705" s="450"/>
      <c r="M705" s="458"/>
      <c r="N705" s="458"/>
      <c r="O705" s="458"/>
      <c r="P705" s="454"/>
    </row>
    <row r="706" spans="3:24" ht="36" customHeight="1" x14ac:dyDescent="0.5">
      <c r="C706" s="520"/>
      <c r="D706" s="615" t="s">
        <v>1498</v>
      </c>
      <c r="E706" s="616"/>
      <c r="F706" s="616"/>
      <c r="G706" s="616"/>
      <c r="H706" s="616"/>
      <c r="I706" s="520"/>
      <c r="J706" s="520"/>
      <c r="K706" s="450"/>
      <c r="L706" s="450"/>
      <c r="M706" s="458">
        <f>SUM(M709:M712)</f>
        <v>0</v>
      </c>
      <c r="N706" s="458"/>
      <c r="O706" s="458">
        <f>SUM(O709:O712)</f>
        <v>0</v>
      </c>
      <c r="P706" s="454"/>
      <c r="R706" s="490" t="str">
        <f>IF(M706=0,IF(O706=0,"DELETE"," ")," ")</f>
        <v>DELETE</v>
      </c>
      <c r="S706" s="495">
        <f>M706</f>
        <v>0</v>
      </c>
      <c r="T706" s="495"/>
      <c r="U706" s="495">
        <f>O706</f>
        <v>0</v>
      </c>
      <c r="V706" s="495"/>
      <c r="W706" s="495"/>
      <c r="X706" s="495"/>
    </row>
    <row r="707" spans="3:24" ht="9" customHeight="1" x14ac:dyDescent="0.5">
      <c r="C707" s="520"/>
      <c r="D707" s="616"/>
      <c r="E707" s="616"/>
      <c r="F707" s="616"/>
      <c r="G707" s="616"/>
      <c r="H707" s="616"/>
      <c r="I707" s="520"/>
      <c r="J707" s="520"/>
      <c r="K707" s="450"/>
      <c r="L707" s="450"/>
      <c r="M707" s="458"/>
      <c r="N707" s="458"/>
      <c r="O707" s="458"/>
      <c r="P707" s="454"/>
      <c r="R707" s="490" t="str">
        <f>R706</f>
        <v>DELETE</v>
      </c>
    </row>
    <row r="708" spans="3:24" ht="9" customHeight="1" x14ac:dyDescent="0.5">
      <c r="C708" s="520"/>
      <c r="D708" s="616"/>
      <c r="E708" s="616"/>
      <c r="F708" s="616"/>
      <c r="G708" s="616"/>
      <c r="H708" s="616"/>
      <c r="I708" s="520"/>
      <c r="J708" s="520"/>
      <c r="K708" s="450"/>
      <c r="L708" s="450"/>
      <c r="M708" s="578"/>
      <c r="N708" s="459"/>
      <c r="O708" s="579"/>
      <c r="P708" s="454"/>
      <c r="R708" s="490" t="str">
        <f>R706</f>
        <v>DELETE</v>
      </c>
    </row>
    <row r="709" spans="3:24" ht="36" customHeight="1" x14ac:dyDescent="0.5">
      <c r="C709" s="520"/>
      <c r="D709" s="616" t="str">
        <f>IF(COUNTIF(TrialBalance!L186:L200,"&lt;0")&gt;1,"Interest bearing borrowings",IF(COUNTIF(TrialBalance!N186:N200,"&lt;0")&gt;1,"Interest bearing borrowings","Interest bearing borrowing"))</f>
        <v>Interest bearing borrowing</v>
      </c>
      <c r="E709" s="616"/>
      <c r="F709" s="616"/>
      <c r="G709" s="616"/>
      <c r="H709" s="616"/>
      <c r="I709" s="520"/>
      <c r="J709" s="520"/>
      <c r="K709" s="450">
        <f>B2363</f>
        <v>24</v>
      </c>
      <c r="L709" s="450"/>
      <c r="M709" s="580">
        <f>-SUM(TrialBalance!L186:L201)</f>
        <v>0</v>
      </c>
      <c r="N709" s="458"/>
      <c r="O709" s="581">
        <f>-SUM(TrialBalance!N186:N201)</f>
        <v>0</v>
      </c>
      <c r="P709" s="454"/>
      <c r="R709" s="490" t="str">
        <f>IF(M709=0,IF(O709=0,"DELETE"," ")," ")</f>
        <v>DELETE</v>
      </c>
      <c r="V709" s="491" t="b">
        <f>M709=M2386</f>
        <v>1</v>
      </c>
      <c r="X709" s="491" t="b">
        <f>O709=O2386</f>
        <v>1</v>
      </c>
    </row>
    <row r="710" spans="3:24" ht="36" customHeight="1" x14ac:dyDescent="0.5">
      <c r="C710" s="520"/>
      <c r="D710" s="616" t="str">
        <f>IF(COUNTIF(TrialBalance!L203:L219,"&lt;0")&gt;1,"Interest free borrowings",IF(COUNTIF(TrialBalance!N203:N219,"&lt;0")&gt;1,"Interest free borrowings","Interest free borrowing"))</f>
        <v>Interest free borrowing</v>
      </c>
      <c r="E710" s="616"/>
      <c r="F710" s="616"/>
      <c r="G710" s="616"/>
      <c r="H710" s="616"/>
      <c r="I710" s="520"/>
      <c r="J710" s="520"/>
      <c r="K710" s="450">
        <f>B2403</f>
        <v>25</v>
      </c>
      <c r="L710" s="450"/>
      <c r="M710" s="580">
        <f>-SUM(TrialBalance!L203:L219)</f>
        <v>0</v>
      </c>
      <c r="N710" s="458"/>
      <c r="O710" s="581">
        <f>-SUM(TrialBalance!N203:N219)</f>
        <v>0</v>
      </c>
      <c r="P710" s="454"/>
      <c r="R710" s="490" t="str">
        <f>IF(M710=0,IF(O710=0,"DELETE"," ")," ")</f>
        <v>DELETE</v>
      </c>
      <c r="V710" s="491" t="b">
        <f>M710=M2424</f>
        <v>1</v>
      </c>
      <c r="X710" s="491" t="b">
        <f>O710=O2424</f>
        <v>1</v>
      </c>
    </row>
    <row r="711" spans="3:24" ht="36" customHeight="1" x14ac:dyDescent="0.5">
      <c r="C711" s="520"/>
      <c r="D711" s="616" t="s">
        <v>595</v>
      </c>
      <c r="E711" s="616"/>
      <c r="F711" s="616"/>
      <c r="G711" s="616"/>
      <c r="H711" s="616"/>
      <c r="I711" s="520"/>
      <c r="J711" s="520"/>
      <c r="K711" s="450">
        <f>B2442</f>
        <v>26</v>
      </c>
      <c r="L711" s="450"/>
      <c r="M711" s="580">
        <f>IF(SUM(TrialBalance!L221:L228)&gt;0,0,-SUM(TrialBalance!L221:L228))</f>
        <v>0</v>
      </c>
      <c r="N711" s="458"/>
      <c r="O711" s="581">
        <f>IF(SUM(TrialBalance!N221:N228)&gt;0,0,-SUM(TrialBalance!N221:N228))</f>
        <v>0</v>
      </c>
      <c r="P711" s="454"/>
      <c r="R711" s="490" t="str">
        <f>IF(M711=0,IF(O711=0,"DELETE"," ")," ")</f>
        <v>DELETE</v>
      </c>
      <c r="V711" s="496" t="str">
        <f>IF(M711=0,"TRUE",M711=M2511)</f>
        <v>TRUE</v>
      </c>
      <c r="W711" s="496"/>
      <c r="X711" s="496" t="str">
        <f>IF(O711=0,"TRUE",O711=O2511)</f>
        <v>TRUE</v>
      </c>
    </row>
    <row r="712" spans="3:24" ht="9" customHeight="1" x14ac:dyDescent="0.5">
      <c r="C712" s="520"/>
      <c r="D712" s="616"/>
      <c r="E712" s="616"/>
      <c r="F712" s="616"/>
      <c r="G712" s="616"/>
      <c r="H712" s="616"/>
      <c r="I712" s="520"/>
      <c r="J712" s="520"/>
      <c r="K712" s="450"/>
      <c r="L712" s="450"/>
      <c r="M712" s="460"/>
      <c r="N712" s="461"/>
      <c r="O712" s="582"/>
      <c r="P712" s="454"/>
      <c r="R712" s="490" t="str">
        <f>R706</f>
        <v>DELETE</v>
      </c>
    </row>
    <row r="713" spans="3:24" ht="9" customHeight="1" x14ac:dyDescent="0.5">
      <c r="C713" s="520"/>
      <c r="D713" s="616"/>
      <c r="E713" s="616"/>
      <c r="F713" s="616"/>
      <c r="G713" s="616"/>
      <c r="H713" s="616"/>
      <c r="I713" s="520"/>
      <c r="J713" s="520"/>
      <c r="K713" s="450"/>
      <c r="L713" s="450"/>
      <c r="M713" s="458"/>
      <c r="N713" s="458"/>
      <c r="O713" s="458"/>
      <c r="P713" s="454"/>
      <c r="R713" s="490" t="str">
        <f>R706</f>
        <v>DELETE</v>
      </c>
    </row>
    <row r="714" spans="3:24" ht="36" customHeight="1" x14ac:dyDescent="0.5">
      <c r="C714" s="520"/>
      <c r="D714" s="615" t="s">
        <v>1499</v>
      </c>
      <c r="E714" s="616"/>
      <c r="F714" s="616"/>
      <c r="G714" s="616"/>
      <c r="H714" s="616"/>
      <c r="I714" s="520"/>
      <c r="J714" s="520"/>
      <c r="K714" s="450"/>
      <c r="L714" s="450"/>
      <c r="M714" s="458">
        <f>SUM(M717:M722)</f>
        <v>0</v>
      </c>
      <c r="N714" s="458"/>
      <c r="O714" s="458">
        <f>SUM(O717:O722)</f>
        <v>0</v>
      </c>
      <c r="P714" s="454"/>
      <c r="R714" s="490" t="str">
        <f>IF(M714=0,IF(O714=0,"DELETE"," ")," ")</f>
        <v>DELETE</v>
      </c>
      <c r="S714" s="495">
        <f>M714</f>
        <v>0</v>
      </c>
      <c r="T714" s="495"/>
      <c r="U714" s="495">
        <f>O714</f>
        <v>0</v>
      </c>
      <c r="V714" s="495"/>
      <c r="W714" s="495"/>
      <c r="X714" s="495"/>
    </row>
    <row r="715" spans="3:24" ht="9" customHeight="1" x14ac:dyDescent="0.5">
      <c r="C715" s="520"/>
      <c r="D715" s="616"/>
      <c r="E715" s="616"/>
      <c r="F715" s="616"/>
      <c r="G715" s="616"/>
      <c r="H715" s="616"/>
      <c r="I715" s="520"/>
      <c r="J715" s="520"/>
      <c r="K715" s="450"/>
      <c r="L715" s="450"/>
      <c r="M715" s="458"/>
      <c r="N715" s="458"/>
      <c r="O715" s="458"/>
      <c r="P715" s="454"/>
      <c r="R715" s="490" t="str">
        <f>R714</f>
        <v>DELETE</v>
      </c>
    </row>
    <row r="716" spans="3:24" ht="9" customHeight="1" x14ac:dyDescent="0.5">
      <c r="C716" s="520"/>
      <c r="D716" s="616"/>
      <c r="E716" s="616"/>
      <c r="F716" s="616"/>
      <c r="G716" s="616"/>
      <c r="H716" s="616"/>
      <c r="I716" s="520"/>
      <c r="J716" s="520"/>
      <c r="K716" s="450"/>
      <c r="L716" s="450"/>
      <c r="M716" s="578"/>
      <c r="N716" s="459"/>
      <c r="O716" s="579"/>
      <c r="P716" s="454"/>
      <c r="R716" s="490" t="str">
        <f>R714</f>
        <v>DELETE</v>
      </c>
    </row>
    <row r="717" spans="3:24" ht="36" customHeight="1" x14ac:dyDescent="0.5">
      <c r="C717" s="520"/>
      <c r="D717" s="616" t="s">
        <v>878</v>
      </c>
      <c r="E717" s="616"/>
      <c r="F717" s="616"/>
      <c r="G717" s="616"/>
      <c r="H717" s="616"/>
      <c r="I717" s="520"/>
      <c r="J717" s="520"/>
      <c r="K717" s="450">
        <f>B2533</f>
        <v>27</v>
      </c>
      <c r="L717" s="450"/>
      <c r="M717" s="580">
        <f>-SUM(TrialBalance!L379:L384)-IF(TrialBalance!L399&lt;0,TrialBalance!L399,0)</f>
        <v>0</v>
      </c>
      <c r="N717" s="458"/>
      <c r="O717" s="581">
        <f>-SUM(TrialBalance!N379:N384)-IF(TrialBalance!N399&lt;0,TrialBalance!N399,0)</f>
        <v>0</v>
      </c>
      <c r="P717" s="454"/>
      <c r="R717" s="490" t="str">
        <f t="shared" ref="R717:R722" si="12">IF(M717=0,IF(O717=0,"DELETE"," ")," ")</f>
        <v>DELETE</v>
      </c>
      <c r="V717" s="491" t="b">
        <f>M717=M2543</f>
        <v>1</v>
      </c>
      <c r="X717" s="491" t="b">
        <f>O717=O2543</f>
        <v>1</v>
      </c>
    </row>
    <row r="718" spans="3:24" ht="36" customHeight="1" x14ac:dyDescent="0.5">
      <c r="C718" s="520"/>
      <c r="D718" s="616" t="str">
        <f>IF(COUNTIF(TrialBalance!L367:L372,"&lt;0")&gt;1,"Bank overdrafts",IF(COUNTIF(TrialBalance!N367:N372,"&lt;0")&gt;1,"Bank overdrafts","Bank overdraft"))</f>
        <v>Bank overdraft</v>
      </c>
      <c r="E718" s="616"/>
      <c r="F718" s="616"/>
      <c r="G718" s="616"/>
      <c r="H718" s="616"/>
      <c r="I718" s="520"/>
      <c r="J718" s="520"/>
      <c r="K718" s="450">
        <f>B2560</f>
        <v>28</v>
      </c>
      <c r="L718" s="450"/>
      <c r="M718" s="580">
        <f>IF(TrialBalance!L367&lt;0,-TrialBalance!L367,0)+IF(TrialBalance!L368&lt;0,-TrialBalance!L368,0)+IF(TrialBalance!L369&lt;0,-TrialBalance!L369,0)+IF(TrialBalance!L370&lt;0,-TrialBalance!L370,0)+IF(TrialBalance!L371&lt;0,-TrialBalance!L371,0)+IF(TrialBalance!L372&lt;0,-TrialBalance!L372,0)</f>
        <v>0</v>
      </c>
      <c r="N718" s="458"/>
      <c r="O718" s="581">
        <f>IF(TrialBalance!N367&lt;0,-TrialBalance!N367,0)+IF(TrialBalance!N368&lt;0,-TrialBalance!N368,0)+IF(TrialBalance!N369&lt;0,-TrialBalance!N369,0)+IF(TrialBalance!N370&lt;0,-TrialBalance!N370,0)+IF(TrialBalance!N371&lt;0,-TrialBalance!N371,0)+IF(TrialBalance!N372&lt;0,-TrialBalance!N372,0)</f>
        <v>0</v>
      </c>
      <c r="P718" s="454"/>
      <c r="R718" s="490" t="str">
        <f t="shared" si="12"/>
        <v>DELETE</v>
      </c>
      <c r="V718" s="491" t="b">
        <f>M718=M2570</f>
        <v>1</v>
      </c>
      <c r="X718" s="491" t="b">
        <f>O718=O2570</f>
        <v>1</v>
      </c>
    </row>
    <row r="719" spans="3:24" ht="36" customHeight="1" x14ac:dyDescent="0.5">
      <c r="C719" s="520"/>
      <c r="D719" s="616" t="str">
        <f>IF(COUNTIF(TrialBalance!L375:L377,"&lt;0")&gt;1,"Short term loans",IF(COUNTIF(TrialBalance!N375:N377,"&lt;0")&gt;1,"Short term loans","Short term loan"))</f>
        <v>Short term loan</v>
      </c>
      <c r="E719" s="616"/>
      <c r="F719" s="616"/>
      <c r="G719" s="616"/>
      <c r="H719" s="616"/>
      <c r="I719" s="520"/>
      <c r="J719" s="520"/>
      <c r="K719" s="450">
        <f>B2587</f>
        <v>29</v>
      </c>
      <c r="L719" s="450"/>
      <c r="M719" s="580">
        <f>-SUM(TrialBalance!L375:L377)</f>
        <v>0</v>
      </c>
      <c r="N719" s="458"/>
      <c r="O719" s="581">
        <f>-SUM(TrialBalance!N375:N377)</f>
        <v>0</v>
      </c>
      <c r="P719" s="454"/>
      <c r="R719" s="490" t="str">
        <f t="shared" si="12"/>
        <v>DELETE</v>
      </c>
      <c r="V719" s="491" t="b">
        <f>M719=M2594</f>
        <v>1</v>
      </c>
      <c r="X719" s="491" t="b">
        <f>O719=O2594</f>
        <v>1</v>
      </c>
    </row>
    <row r="720" spans="3:24" ht="36" customHeight="1" x14ac:dyDescent="0.5">
      <c r="C720" s="520"/>
      <c r="D720" s="616" t="str">
        <f>IF(COUNTIF(TrialBalance!L186:L200,"&lt;0")&gt;1,"Current portion of interest bearing loans",IF(COUNTIF(TrialBalance!N186:N200,"&lt;0")&gt;1,"Current portion of interest bearing loans","Current portion of interest bearing loan"))</f>
        <v>Current portion of interest bearing loan</v>
      </c>
      <c r="E720" s="616"/>
      <c r="F720" s="616"/>
      <c r="G720" s="616"/>
      <c r="H720" s="616"/>
      <c r="I720" s="520"/>
      <c r="J720" s="520"/>
      <c r="K720" s="450">
        <f>B2363</f>
        <v>24</v>
      </c>
      <c r="L720" s="450"/>
      <c r="M720" s="580">
        <f>-TrialBalance!L378</f>
        <v>0</v>
      </c>
      <c r="N720" s="458"/>
      <c r="O720" s="581">
        <f>-TrialBalance!N378</f>
        <v>0</v>
      </c>
      <c r="P720" s="454"/>
      <c r="R720" s="490" t="str">
        <f t="shared" si="12"/>
        <v>DELETE</v>
      </c>
      <c r="V720" s="491" t="b">
        <f>M720=M2383</f>
        <v>1</v>
      </c>
      <c r="X720" s="491" t="b">
        <f>O720=O2383</f>
        <v>1</v>
      </c>
    </row>
    <row r="721" spans="3:24" ht="36" customHeight="1" x14ac:dyDescent="0.5">
      <c r="C721" s="520"/>
      <c r="D721" s="616" t="str">
        <f>IF(COUNTIF(TrialBalance!L393:L397,"&lt;0")&gt;1,"Provisions",IF(COUNTIF(TrialBalance!N393:N397,"&lt;0")&gt;1,"Provisions","Provision"))</f>
        <v>Provision</v>
      </c>
      <c r="E721" s="616"/>
      <c r="F721" s="616"/>
      <c r="G721" s="616"/>
      <c r="H721" s="616"/>
      <c r="I721" s="520"/>
      <c r="J721" s="520"/>
      <c r="K721" s="450">
        <f>B2611</f>
        <v>30</v>
      </c>
      <c r="L721" s="450"/>
      <c r="M721" s="580">
        <f>-SUM(TrialBalance!L393:L397)</f>
        <v>0</v>
      </c>
      <c r="N721" s="458"/>
      <c r="O721" s="581">
        <f>-SUM(TrialBalance!N393:N397)</f>
        <v>0</v>
      </c>
      <c r="P721" s="454"/>
      <c r="R721" s="490" t="str">
        <f t="shared" si="12"/>
        <v>DELETE</v>
      </c>
      <c r="V721" s="491" t="b">
        <f>M721=M2620</f>
        <v>1</v>
      </c>
      <c r="X721" s="491" t="b">
        <f>O721=O2620</f>
        <v>1</v>
      </c>
    </row>
    <row r="722" spans="3:24" ht="36" customHeight="1" x14ac:dyDescent="0.5">
      <c r="C722" s="520"/>
      <c r="D722" s="616" t="s">
        <v>596</v>
      </c>
      <c r="E722" s="616"/>
      <c r="F722" s="616"/>
      <c r="G722" s="616"/>
      <c r="H722" s="616"/>
      <c r="I722" s="520"/>
      <c r="J722" s="520"/>
      <c r="K722" s="450">
        <f>B2637</f>
        <v>31</v>
      </c>
      <c r="L722" s="450"/>
      <c r="M722" s="580">
        <f>IF(-SUM(TrialBalance!L386:L392)&gt;0,-SUM(TrialBalance!L386:L392),0)</f>
        <v>0</v>
      </c>
      <c r="N722" s="458"/>
      <c r="O722" s="581">
        <f>IF(-SUM(TrialBalance!N386:N392)&gt;0,-SUM(TrialBalance!N386:N392),0)</f>
        <v>0</v>
      </c>
      <c r="P722" s="454"/>
      <c r="R722" s="490" t="str">
        <f t="shared" si="12"/>
        <v>DELETE</v>
      </c>
      <c r="V722" s="496" t="str">
        <f>IF(M722=0,"TRUE",M722=M2648)</f>
        <v>TRUE</v>
      </c>
      <c r="X722" s="496" t="str">
        <f>IF(O722=0,"TRUE",O722=O2648)</f>
        <v>TRUE</v>
      </c>
    </row>
    <row r="723" spans="3:24" ht="9" customHeight="1" x14ac:dyDescent="0.5">
      <c r="C723" s="520"/>
      <c r="D723" s="616"/>
      <c r="E723" s="616"/>
      <c r="F723" s="616"/>
      <c r="G723" s="616"/>
      <c r="H723" s="616"/>
      <c r="I723" s="520"/>
      <c r="J723" s="520"/>
      <c r="K723" s="450"/>
      <c r="L723" s="450"/>
      <c r="M723" s="460"/>
      <c r="N723" s="461"/>
      <c r="O723" s="582"/>
      <c r="P723" s="454"/>
      <c r="R723" s="490" t="str">
        <f>R714</f>
        <v>DELETE</v>
      </c>
    </row>
    <row r="724" spans="3:24" ht="9" customHeight="1" x14ac:dyDescent="0.5">
      <c r="C724" s="520"/>
      <c r="D724" s="616"/>
      <c r="E724" s="616"/>
      <c r="F724" s="616"/>
      <c r="G724" s="616"/>
      <c r="H724" s="616"/>
      <c r="I724" s="520"/>
      <c r="J724" s="520"/>
      <c r="K724" s="450"/>
      <c r="L724" s="450"/>
      <c r="M724" s="458"/>
      <c r="N724" s="458"/>
      <c r="O724" s="458"/>
      <c r="P724" s="454"/>
      <c r="R724" s="490" t="str">
        <f>R714</f>
        <v>DELETE</v>
      </c>
    </row>
    <row r="725" spans="3:24" ht="9" customHeight="1" x14ac:dyDescent="0.5">
      <c r="C725" s="520"/>
      <c r="D725" s="616"/>
      <c r="E725" s="616"/>
      <c r="F725" s="616"/>
      <c r="G725" s="616"/>
      <c r="H725" s="616"/>
      <c r="I725" s="520"/>
      <c r="J725" s="520"/>
      <c r="K725" s="450"/>
      <c r="L725" s="450"/>
      <c r="M725" s="461"/>
      <c r="N725" s="461"/>
      <c r="O725" s="461"/>
      <c r="P725" s="454"/>
    </row>
    <row r="726" spans="3:24" ht="9" customHeight="1" x14ac:dyDescent="0.5">
      <c r="C726" s="520"/>
      <c r="D726" s="616"/>
      <c r="E726" s="616"/>
      <c r="F726" s="616"/>
      <c r="G726" s="616"/>
      <c r="H726" s="616"/>
      <c r="I726" s="520"/>
      <c r="J726" s="520"/>
      <c r="K726" s="450"/>
      <c r="L726" s="450"/>
      <c r="M726" s="458"/>
      <c r="N726" s="458"/>
      <c r="O726" s="458"/>
      <c r="P726" s="454"/>
    </row>
    <row r="727" spans="3:24" ht="36.75" customHeight="1" x14ac:dyDescent="0.5">
      <c r="C727" s="520"/>
      <c r="D727" s="615" t="s">
        <v>1500</v>
      </c>
      <c r="E727" s="616"/>
      <c r="F727" s="616"/>
      <c r="G727" s="616"/>
      <c r="H727" s="616"/>
      <c r="I727" s="520"/>
      <c r="J727" s="609"/>
      <c r="K727" s="450"/>
      <c r="L727" s="450"/>
      <c r="M727" s="458">
        <f>SUM(S697:S724)</f>
        <v>0</v>
      </c>
      <c r="N727" s="458"/>
      <c r="O727" s="458">
        <f>SUM(U697:U724)</f>
        <v>0</v>
      </c>
      <c r="P727" s="454"/>
      <c r="R727" s="635"/>
    </row>
    <row r="728" spans="3:24" ht="9" customHeight="1" thickBot="1" x14ac:dyDescent="0.55000000000000004">
      <c r="C728" s="520"/>
      <c r="D728" s="616"/>
      <c r="E728" s="616"/>
      <c r="F728" s="616"/>
      <c r="G728" s="616"/>
      <c r="H728" s="616"/>
      <c r="I728" s="520"/>
      <c r="J728" s="609"/>
      <c r="K728" s="450"/>
      <c r="L728" s="450"/>
      <c r="M728" s="462"/>
      <c r="N728" s="462"/>
      <c r="O728" s="462"/>
      <c r="P728" s="454"/>
    </row>
    <row r="729" spans="3:24" ht="9" customHeight="1" thickTop="1" x14ac:dyDescent="0.5">
      <c r="C729" s="520"/>
      <c r="D729" s="616"/>
      <c r="E729" s="616"/>
      <c r="F729" s="616"/>
      <c r="G729" s="616"/>
      <c r="H729" s="616"/>
      <c r="I729" s="520"/>
      <c r="J729" s="609"/>
      <c r="K729" s="450"/>
      <c r="L729" s="450"/>
      <c r="M729" s="458"/>
      <c r="N729" s="458"/>
      <c r="O729" s="458"/>
      <c r="P729" s="454"/>
    </row>
    <row r="730" spans="3:24" ht="36" customHeight="1" x14ac:dyDescent="0.5">
      <c r="C730" s="520"/>
      <c r="D730" s="616"/>
      <c r="E730" s="616"/>
      <c r="F730" s="616"/>
      <c r="G730" s="616"/>
      <c r="H730" s="616"/>
      <c r="I730" s="520"/>
      <c r="J730" s="609"/>
      <c r="K730" s="450"/>
      <c r="L730" s="450"/>
      <c r="M730" s="458"/>
      <c r="N730" s="458"/>
      <c r="O730" s="458"/>
      <c r="P730" s="454"/>
    </row>
    <row r="731" spans="3:24" ht="36" customHeight="1" x14ac:dyDescent="0.5">
      <c r="C731" s="520"/>
      <c r="D731" s="616"/>
      <c r="E731" s="616"/>
      <c r="F731" s="616"/>
      <c r="G731" s="616"/>
      <c r="H731" s="616"/>
      <c r="I731" s="520"/>
      <c r="J731" s="520"/>
      <c r="M731" s="545"/>
      <c r="N731" s="545"/>
      <c r="O731" s="545"/>
      <c r="P731" s="545"/>
    </row>
    <row r="732" spans="3:24" ht="36" customHeight="1" x14ac:dyDescent="0.5">
      <c r="C732" s="520"/>
      <c r="D732" s="520"/>
      <c r="E732" s="520"/>
      <c r="F732" s="520"/>
      <c r="G732" s="520"/>
      <c r="H732" s="520"/>
      <c r="I732" s="520"/>
      <c r="J732" s="520"/>
      <c r="M732" s="540"/>
      <c r="O732" s="454" t="s">
        <v>112</v>
      </c>
      <c r="Q732" s="450">
        <f>MAX($Q$103:Q731)+1</f>
        <v>15</v>
      </c>
    </row>
    <row r="733" spans="3:24" ht="36" customHeight="1" x14ac:dyDescent="0.5">
      <c r="C733" s="631"/>
      <c r="D733" s="630" t="str">
        <f>Criteria!E9</f>
        <v>ABC COMPANY (PROPRIETARY) LIMITED</v>
      </c>
      <c r="E733" s="631"/>
      <c r="F733" s="631"/>
      <c r="G733" s="631"/>
      <c r="H733" s="631"/>
      <c r="I733" s="520"/>
      <c r="J733" s="520"/>
      <c r="M733" s="540"/>
      <c r="O733" s="451"/>
      <c r="P733" s="451"/>
      <c r="Q733" s="451"/>
    </row>
    <row r="734" spans="3:24" ht="36" customHeight="1" x14ac:dyDescent="0.5">
      <c r="C734" s="631"/>
      <c r="D734" s="630" t="str">
        <f>Criteria!E10</f>
        <v>T/A SEAFRONT HOTEL, ABC RESTAURANT AND RENTAL PROPERTIES</v>
      </c>
      <c r="E734" s="631"/>
      <c r="F734" s="631"/>
      <c r="G734" s="631"/>
      <c r="H734" s="631"/>
      <c r="I734" s="520"/>
      <c r="J734" s="520"/>
      <c r="M734" s="540"/>
      <c r="O734" s="540"/>
      <c r="R734" s="490" t="str">
        <f>IF(D734=0,"DELETE"," ")</f>
        <v xml:space="preserve"> </v>
      </c>
    </row>
    <row r="735" spans="3:24" ht="36" customHeight="1" x14ac:dyDescent="0.5">
      <c r="C735" s="631"/>
      <c r="D735" s="631"/>
      <c r="E735" s="631"/>
      <c r="F735" s="631"/>
      <c r="G735" s="631"/>
      <c r="H735" s="631"/>
      <c r="I735" s="520"/>
      <c r="J735" s="520"/>
      <c r="M735" s="540"/>
      <c r="O735" s="540"/>
    </row>
    <row r="736" spans="3:24" ht="36" customHeight="1" x14ac:dyDescent="0.5">
      <c r="C736" s="631"/>
      <c r="D736" s="630" t="s">
        <v>530</v>
      </c>
      <c r="E736" s="631"/>
      <c r="F736" s="631"/>
      <c r="G736" s="631"/>
      <c r="H736" s="631"/>
      <c r="I736" s="520"/>
      <c r="J736" s="520"/>
      <c r="M736" s="540"/>
      <c r="O736" s="540"/>
    </row>
    <row r="737" spans="2:24" ht="36" customHeight="1" x14ac:dyDescent="0.5">
      <c r="C737" s="631"/>
      <c r="D737" s="630" t="str">
        <f>Criteria!E20</f>
        <v>28 FEBRUARY 2026</v>
      </c>
      <c r="E737" s="631"/>
      <c r="F737" s="631"/>
      <c r="G737" s="631"/>
      <c r="H737" s="631"/>
      <c r="I737" s="520"/>
      <c r="J737" s="520"/>
      <c r="M737" s="540"/>
      <c r="O737" s="540"/>
    </row>
    <row r="738" spans="2:24" ht="36" customHeight="1" x14ac:dyDescent="0.5">
      <c r="C738" s="631"/>
      <c r="D738" s="631"/>
      <c r="E738" s="631"/>
      <c r="F738" s="631"/>
      <c r="G738" s="631"/>
      <c r="H738" s="631"/>
      <c r="I738" s="520"/>
      <c r="J738" s="520"/>
      <c r="K738" s="455"/>
      <c r="L738" s="455"/>
      <c r="M738" s="543"/>
      <c r="N738" s="543"/>
      <c r="O738" s="543"/>
    </row>
    <row r="739" spans="2:24" ht="36" customHeight="1" x14ac:dyDescent="0.5">
      <c r="B739" s="457"/>
      <c r="C739" s="649"/>
      <c r="D739" s="649"/>
      <c r="E739" s="649"/>
      <c r="F739" s="649"/>
      <c r="G739" s="649"/>
      <c r="H739" s="649"/>
      <c r="I739" s="591"/>
      <c r="J739" s="591"/>
      <c r="K739" s="450"/>
      <c r="L739" s="450"/>
      <c r="M739" s="453"/>
      <c r="N739" s="453"/>
      <c r="O739" s="453"/>
      <c r="P739" s="464"/>
      <c r="Q739" s="457"/>
    </row>
    <row r="740" spans="2:24" ht="36" customHeight="1" x14ac:dyDescent="0.5">
      <c r="C740" s="631"/>
      <c r="D740" s="631"/>
      <c r="E740" s="631"/>
      <c r="F740" s="631"/>
      <c r="G740" s="631"/>
      <c r="H740" s="631"/>
      <c r="I740" s="520"/>
      <c r="J740" s="520"/>
      <c r="K740" s="450"/>
      <c r="L740" s="450"/>
      <c r="M740" s="453">
        <f>Criteria!E22</f>
        <v>2026</v>
      </c>
      <c r="N740" s="453"/>
      <c r="O740" s="453">
        <f>Criteria!E27</f>
        <v>2025</v>
      </c>
      <c r="P740" s="453"/>
    </row>
    <row r="741" spans="2:24" ht="36" customHeight="1" x14ac:dyDescent="0.5">
      <c r="C741" s="631"/>
      <c r="D741" s="631"/>
      <c r="E741" s="631"/>
      <c r="F741" s="631"/>
      <c r="G741" s="631"/>
      <c r="H741" s="631"/>
      <c r="I741" s="520"/>
      <c r="J741" s="520"/>
      <c r="K741" s="450"/>
      <c r="L741" s="450"/>
      <c r="M741" s="454"/>
      <c r="N741" s="454"/>
      <c r="O741" s="454"/>
      <c r="P741" s="454"/>
    </row>
    <row r="742" spans="2:24" ht="36" customHeight="1" x14ac:dyDescent="0.5">
      <c r="B742" s="450">
        <v>1</v>
      </c>
      <c r="C742" s="630" t="s">
        <v>593</v>
      </c>
      <c r="D742" s="631"/>
      <c r="E742" s="631"/>
      <c r="F742" s="631"/>
      <c r="G742" s="631"/>
      <c r="H742" s="631"/>
      <c r="I742" s="520"/>
      <c r="J742" s="520"/>
      <c r="M742" s="470"/>
      <c r="N742" s="470"/>
      <c r="O742" s="458"/>
      <c r="P742" s="454"/>
    </row>
    <row r="743" spans="2:24" ht="36" customHeight="1" x14ac:dyDescent="0.5">
      <c r="B743" s="450"/>
      <c r="C743" s="631"/>
      <c r="D743" s="631"/>
      <c r="E743" s="631"/>
      <c r="F743" s="631"/>
      <c r="G743" s="631"/>
      <c r="H743" s="631"/>
      <c r="I743" s="520"/>
      <c r="J743" s="520"/>
      <c r="M743" s="470"/>
      <c r="N743" s="470"/>
      <c r="O743" s="458"/>
      <c r="P743" s="454"/>
    </row>
    <row r="744" spans="2:24" ht="36" customHeight="1" x14ac:dyDescent="0.5">
      <c r="B744" s="450"/>
      <c r="C744" s="631" t="s">
        <v>531</v>
      </c>
      <c r="D744" s="648"/>
      <c r="E744" s="631"/>
      <c r="F744" s="631"/>
      <c r="G744" s="631"/>
      <c r="H744" s="631"/>
      <c r="I744" s="520"/>
      <c r="J744" s="520"/>
      <c r="M744" s="471">
        <f>O748</f>
        <v>0</v>
      </c>
      <c r="N744" s="471"/>
      <c r="O744" s="458">
        <f>-TrialBalance!N170</f>
        <v>0</v>
      </c>
      <c r="P744" s="454"/>
    </row>
    <row r="745" spans="2:24" ht="36" customHeight="1" x14ac:dyDescent="0.5">
      <c r="B745" s="450"/>
      <c r="C745" s="631" t="s">
        <v>532</v>
      </c>
      <c r="D745" s="648"/>
      <c r="E745" s="631"/>
      <c r="F745" s="631"/>
      <c r="G745" s="631"/>
      <c r="H745" s="631"/>
      <c r="I745" s="520"/>
      <c r="J745" s="520"/>
      <c r="M745" s="471">
        <f>-TrialBalance!L171</f>
        <v>0</v>
      </c>
      <c r="N745" s="471"/>
      <c r="O745" s="458">
        <f>-TrialBalance!N171</f>
        <v>0</v>
      </c>
      <c r="P745" s="454"/>
    </row>
    <row r="746" spans="2:24" ht="9" customHeight="1" x14ac:dyDescent="0.5">
      <c r="B746" s="450"/>
      <c r="C746" s="631"/>
      <c r="D746" s="648"/>
      <c r="E746" s="631"/>
      <c r="F746" s="631"/>
      <c r="G746" s="631"/>
      <c r="H746" s="631"/>
      <c r="I746" s="520"/>
      <c r="J746" s="520"/>
      <c r="M746" s="472"/>
      <c r="N746" s="472"/>
      <c r="O746" s="585"/>
      <c r="P746" s="454"/>
    </row>
    <row r="747" spans="2:24" ht="9" customHeight="1" x14ac:dyDescent="0.5">
      <c r="B747" s="450"/>
      <c r="C747" s="631"/>
      <c r="D747" s="648"/>
      <c r="E747" s="631"/>
      <c r="F747" s="631"/>
      <c r="G747" s="631"/>
      <c r="H747" s="631"/>
      <c r="I747" s="520"/>
      <c r="J747" s="520"/>
      <c r="M747" s="471"/>
      <c r="N747" s="471"/>
      <c r="O747" s="458"/>
      <c r="P747" s="454"/>
    </row>
    <row r="748" spans="2:24" ht="36.75" customHeight="1" x14ac:dyDescent="0.5">
      <c r="B748" s="450"/>
      <c r="C748" s="631" t="s">
        <v>533</v>
      </c>
      <c r="D748" s="648"/>
      <c r="E748" s="631"/>
      <c r="F748" s="631"/>
      <c r="G748" s="631"/>
      <c r="H748" s="631"/>
      <c r="I748" s="520"/>
      <c r="J748" s="520"/>
      <c r="M748" s="458">
        <f>SUM(M744:M747)</f>
        <v>0</v>
      </c>
      <c r="N748" s="471"/>
      <c r="O748" s="458">
        <f>SUM(O744:O747)</f>
        <v>0</v>
      </c>
      <c r="P748" s="454"/>
      <c r="V748" s="491" t="b">
        <f>M748=M2287</f>
        <v>1</v>
      </c>
      <c r="X748" s="491" t="b">
        <f>O748=O2287</f>
        <v>1</v>
      </c>
    </row>
    <row r="749" spans="2:24" ht="9" customHeight="1" thickBot="1" x14ac:dyDescent="0.55000000000000004">
      <c r="B749" s="450"/>
      <c r="C749" s="631"/>
      <c r="D749" s="631"/>
      <c r="E749" s="631"/>
      <c r="F749" s="631"/>
      <c r="G749" s="631"/>
      <c r="H749" s="631"/>
      <c r="I749" s="520"/>
      <c r="J749" s="520"/>
      <c r="M749" s="473"/>
      <c r="N749" s="473"/>
      <c r="O749" s="462"/>
      <c r="P749" s="454"/>
    </row>
    <row r="750" spans="2:24" ht="9" customHeight="1" thickTop="1" x14ac:dyDescent="0.5">
      <c r="B750" s="450"/>
      <c r="C750" s="631"/>
      <c r="D750" s="631"/>
      <c r="E750" s="631"/>
      <c r="F750" s="631"/>
      <c r="G750" s="631"/>
      <c r="H750" s="631"/>
      <c r="I750" s="520"/>
      <c r="J750" s="520"/>
      <c r="M750" s="474"/>
      <c r="N750" s="474"/>
      <c r="O750" s="475"/>
      <c r="P750" s="454"/>
    </row>
    <row r="751" spans="2:24" ht="36" customHeight="1" x14ac:dyDescent="0.5">
      <c r="B751" s="450"/>
      <c r="C751" s="631"/>
      <c r="D751" s="631"/>
      <c r="E751" s="631"/>
      <c r="F751" s="631"/>
      <c r="G751" s="631"/>
      <c r="H751" s="631"/>
      <c r="I751" s="520"/>
      <c r="J751" s="520"/>
      <c r="M751" s="471"/>
      <c r="N751" s="471"/>
      <c r="O751" s="458"/>
      <c r="P751" s="454"/>
      <c r="R751" s="490" t="str">
        <f>R752</f>
        <v>DELETE</v>
      </c>
    </row>
    <row r="752" spans="2:24" ht="36" customHeight="1" x14ac:dyDescent="0.5">
      <c r="B752" s="450">
        <f>MAX(B$742:B751)+1</f>
        <v>2</v>
      </c>
      <c r="C752" s="630" t="s">
        <v>594</v>
      </c>
      <c r="D752" s="631"/>
      <c r="E752" s="631"/>
      <c r="F752" s="631"/>
      <c r="G752" s="631"/>
      <c r="H752" s="631"/>
      <c r="I752" s="520"/>
      <c r="J752" s="520"/>
      <c r="M752" s="471"/>
      <c r="N752" s="471"/>
      <c r="O752" s="458"/>
      <c r="P752" s="454"/>
      <c r="R752" s="490" t="str">
        <f>R759</f>
        <v>DELETE</v>
      </c>
    </row>
    <row r="753" spans="2:24" ht="36" customHeight="1" x14ac:dyDescent="0.5">
      <c r="B753" s="450"/>
      <c r="C753" s="631"/>
      <c r="D753" s="631"/>
      <c r="E753" s="631"/>
      <c r="F753" s="631"/>
      <c r="G753" s="631"/>
      <c r="H753" s="631"/>
      <c r="I753" s="520"/>
      <c r="J753" s="520"/>
      <c r="M753" s="471"/>
      <c r="N753" s="471"/>
      <c r="O753" s="458"/>
      <c r="P753" s="454"/>
      <c r="R753" s="490" t="str">
        <f>R759</f>
        <v>DELETE</v>
      </c>
    </row>
    <row r="754" spans="2:24" ht="36" customHeight="1" x14ac:dyDescent="0.5">
      <c r="B754" s="450"/>
      <c r="C754" s="631" t="s">
        <v>1471</v>
      </c>
      <c r="D754" s="648"/>
      <c r="E754" s="631"/>
      <c r="F754" s="631"/>
      <c r="G754" s="631"/>
      <c r="H754" s="631"/>
      <c r="I754" s="520"/>
      <c r="J754" s="520"/>
      <c r="M754" s="471">
        <f>O759</f>
        <v>0</v>
      </c>
      <c r="N754" s="471"/>
      <c r="O754" s="463">
        <f>-TrialBalance!N173</f>
        <v>0</v>
      </c>
      <c r="P754" s="454"/>
      <c r="R754" s="490" t="str">
        <f>R759</f>
        <v>DELETE</v>
      </c>
    </row>
    <row r="755" spans="2:24" ht="36" customHeight="1" x14ac:dyDescent="0.5">
      <c r="B755" s="450"/>
      <c r="C755" s="631" t="s">
        <v>535</v>
      </c>
      <c r="D755" s="648"/>
      <c r="E755" s="631"/>
      <c r="F755" s="631"/>
      <c r="G755" s="631"/>
      <c r="H755" s="631"/>
      <c r="I755" s="520"/>
      <c r="J755" s="520"/>
      <c r="M755" s="471">
        <f>-TrialBalance!L174</f>
        <v>0</v>
      </c>
      <c r="N755" s="471"/>
      <c r="O755" s="463">
        <f>-TrialBalance!N174</f>
        <v>0</v>
      </c>
      <c r="P755" s="454"/>
      <c r="R755" s="490" t="str">
        <f>IF(M755=0,IF(O755=0,"DELETE"," ")," ")</f>
        <v>DELETE</v>
      </c>
    </row>
    <row r="756" spans="2:24" ht="36" customHeight="1" x14ac:dyDescent="0.5">
      <c r="B756" s="450"/>
      <c r="C756" s="631" t="s">
        <v>536</v>
      </c>
      <c r="D756" s="648"/>
      <c r="E756" s="631"/>
      <c r="F756" s="631"/>
      <c r="G756" s="631"/>
      <c r="H756" s="631"/>
      <c r="I756" s="520"/>
      <c r="J756" s="520"/>
      <c r="M756" s="471">
        <f>-TrialBalance!L175</f>
        <v>0</v>
      </c>
      <c r="N756" s="471"/>
      <c r="O756" s="463">
        <f>-TrialBalance!N175</f>
        <v>0</v>
      </c>
      <c r="P756" s="454"/>
      <c r="R756" s="490" t="str">
        <f>IF(M756=0,IF(O756=0,"DELETE"," ")," ")</f>
        <v>DELETE</v>
      </c>
    </row>
    <row r="757" spans="2:24" ht="9" customHeight="1" x14ac:dyDescent="0.5">
      <c r="B757" s="450"/>
      <c r="C757" s="631"/>
      <c r="D757" s="648"/>
      <c r="E757" s="631"/>
      <c r="F757" s="631"/>
      <c r="G757" s="631"/>
      <c r="H757" s="631"/>
      <c r="I757" s="520"/>
      <c r="J757" s="520"/>
      <c r="M757" s="472"/>
      <c r="N757" s="472"/>
      <c r="O757" s="585"/>
      <c r="P757" s="454"/>
      <c r="R757" s="490" t="str">
        <f>R759</f>
        <v>DELETE</v>
      </c>
    </row>
    <row r="758" spans="2:24" ht="9" customHeight="1" x14ac:dyDescent="0.5">
      <c r="B758" s="450"/>
      <c r="C758" s="631"/>
      <c r="D758" s="648"/>
      <c r="E758" s="631"/>
      <c r="F758" s="631"/>
      <c r="G758" s="631"/>
      <c r="H758" s="631"/>
      <c r="I758" s="520"/>
      <c r="J758" s="520"/>
      <c r="M758" s="471"/>
      <c r="N758" s="471"/>
      <c r="O758" s="458"/>
      <c r="P758" s="454"/>
      <c r="R758" s="490" t="str">
        <f>R759</f>
        <v>DELETE</v>
      </c>
    </row>
    <row r="759" spans="2:24" ht="36.75" customHeight="1" x14ac:dyDescent="0.5">
      <c r="B759" s="450"/>
      <c r="C759" s="631" t="s">
        <v>537</v>
      </c>
      <c r="D759" s="648"/>
      <c r="E759" s="631"/>
      <c r="F759" s="631"/>
      <c r="G759" s="631"/>
      <c r="H759" s="631"/>
      <c r="I759" s="520"/>
      <c r="J759" s="520"/>
      <c r="M759" s="458">
        <f>SUM(M754:M757)</f>
        <v>0</v>
      </c>
      <c r="N759" s="471"/>
      <c r="O759" s="458">
        <f>SUM(O754:O757)</f>
        <v>0</v>
      </c>
      <c r="P759" s="454"/>
      <c r="R759" s="490" t="str">
        <f>IF(COUNTIF(O754:O756,"&gt;0")&gt;0," ",IF(COUNTIF(M754:M756,"&gt;0")&gt;0," ","DELETE"))</f>
        <v>DELETE</v>
      </c>
      <c r="V759" s="491" t="b">
        <f>M759=M2310</f>
        <v>1</v>
      </c>
      <c r="X759" s="491" t="b">
        <f>O759=O2310</f>
        <v>1</v>
      </c>
    </row>
    <row r="760" spans="2:24" ht="9" customHeight="1" thickBot="1" x14ac:dyDescent="0.55000000000000004">
      <c r="B760" s="450"/>
      <c r="C760" s="631"/>
      <c r="D760" s="631"/>
      <c r="E760" s="631"/>
      <c r="F760" s="631"/>
      <c r="G760" s="631"/>
      <c r="H760" s="631"/>
      <c r="I760" s="520"/>
      <c r="J760" s="520"/>
      <c r="M760" s="473"/>
      <c r="N760" s="473"/>
      <c r="O760" s="462"/>
      <c r="P760" s="454"/>
      <c r="R760" s="490" t="str">
        <f>R759</f>
        <v>DELETE</v>
      </c>
    </row>
    <row r="761" spans="2:24" ht="9" customHeight="1" thickTop="1" x14ac:dyDescent="0.5">
      <c r="B761" s="450"/>
      <c r="C761" s="631"/>
      <c r="D761" s="631"/>
      <c r="E761" s="631"/>
      <c r="F761" s="631"/>
      <c r="G761" s="631"/>
      <c r="H761" s="631"/>
      <c r="I761" s="520"/>
      <c r="J761" s="520"/>
      <c r="M761" s="474"/>
      <c r="N761" s="474"/>
      <c r="O761" s="475"/>
      <c r="P761" s="454"/>
      <c r="R761" s="490" t="str">
        <f>R760</f>
        <v>DELETE</v>
      </c>
    </row>
    <row r="762" spans="2:24" ht="36" customHeight="1" x14ac:dyDescent="0.5">
      <c r="B762" s="450"/>
      <c r="C762" s="631"/>
      <c r="D762" s="631"/>
      <c r="E762" s="631"/>
      <c r="F762" s="631"/>
      <c r="G762" s="631"/>
      <c r="H762" s="631"/>
      <c r="I762" s="520"/>
      <c r="J762" s="520"/>
      <c r="M762" s="471"/>
      <c r="N762" s="471"/>
      <c r="O762" s="458"/>
      <c r="P762" s="454"/>
      <c r="R762" s="490" t="str">
        <f>R760</f>
        <v>DELETE</v>
      </c>
    </row>
    <row r="763" spans="2:24" ht="36" customHeight="1" x14ac:dyDescent="0.5">
      <c r="B763" s="450">
        <f>MAX(B$742:B762)+1</f>
        <v>3</v>
      </c>
      <c r="C763" s="630" t="s">
        <v>13</v>
      </c>
      <c r="D763" s="631"/>
      <c r="E763" s="631"/>
      <c r="F763" s="631"/>
      <c r="G763" s="631"/>
      <c r="H763" s="631"/>
      <c r="I763" s="520"/>
      <c r="J763" s="520"/>
      <c r="M763" s="471"/>
      <c r="N763" s="471"/>
      <c r="O763" s="458"/>
      <c r="P763" s="454"/>
      <c r="R763" s="490" t="str">
        <f>R$770</f>
        <v>DELETE</v>
      </c>
    </row>
    <row r="764" spans="2:24" ht="36" customHeight="1" x14ac:dyDescent="0.5">
      <c r="B764" s="450"/>
      <c r="C764" s="631"/>
      <c r="D764" s="631"/>
      <c r="E764" s="631"/>
      <c r="F764" s="631"/>
      <c r="G764" s="631"/>
      <c r="H764" s="631"/>
      <c r="I764" s="520"/>
      <c r="J764" s="520"/>
      <c r="M764" s="471"/>
      <c r="N764" s="471"/>
      <c r="O764" s="458"/>
      <c r="P764" s="454"/>
      <c r="R764" s="490" t="str">
        <f>R$770</f>
        <v>DELETE</v>
      </c>
    </row>
    <row r="765" spans="2:24" ht="36" customHeight="1" x14ac:dyDescent="0.5">
      <c r="B765" s="450"/>
      <c r="C765" s="631" t="s">
        <v>128</v>
      </c>
      <c r="D765" s="648"/>
      <c r="E765" s="631"/>
      <c r="F765" s="631"/>
      <c r="G765" s="631"/>
      <c r="H765" s="631"/>
      <c r="I765" s="520"/>
      <c r="J765" s="520"/>
      <c r="M765" s="471">
        <f>O770</f>
        <v>0</v>
      </c>
      <c r="N765" s="471"/>
      <c r="O765" s="463">
        <f>-TrialBalance!N177-TrialBalance!N181</f>
        <v>0</v>
      </c>
      <c r="P765" s="454"/>
      <c r="R765" s="490" t="str">
        <f>R$770</f>
        <v>DELETE</v>
      </c>
    </row>
    <row r="766" spans="2:24" ht="36" customHeight="1" x14ac:dyDescent="0.5">
      <c r="B766" s="450"/>
      <c r="C766" s="631" t="s">
        <v>866</v>
      </c>
      <c r="D766" s="648"/>
      <c r="E766" s="631"/>
      <c r="F766" s="631"/>
      <c r="G766" s="631"/>
      <c r="H766" s="631"/>
      <c r="I766" s="520"/>
      <c r="J766" s="520"/>
      <c r="M766" s="463">
        <f>-TrialBalance!L178-TrialBalance!L182</f>
        <v>0</v>
      </c>
      <c r="N766" s="471"/>
      <c r="O766" s="463">
        <f>-TrialBalance!N178-TrialBalance!N182</f>
        <v>0</v>
      </c>
      <c r="P766" s="454"/>
      <c r="R766" s="490" t="str">
        <f>IF(M766+O766=0,"DELETE"," ")</f>
        <v>DELETE</v>
      </c>
    </row>
    <row r="767" spans="2:24" ht="36" customHeight="1" x14ac:dyDescent="0.5">
      <c r="B767" s="450"/>
      <c r="C767" s="631" t="s">
        <v>867</v>
      </c>
      <c r="D767" s="648"/>
      <c r="E767" s="631"/>
      <c r="F767" s="631"/>
      <c r="G767" s="631"/>
      <c r="H767" s="631"/>
      <c r="I767" s="520"/>
      <c r="J767" s="520"/>
      <c r="M767" s="458">
        <f>-TrialBalance!L179-TrialBalance!L183</f>
        <v>0</v>
      </c>
      <c r="N767" s="463"/>
      <c r="O767" s="458">
        <f>-TrialBalance!N179-TrialBalance!N183</f>
        <v>0</v>
      </c>
      <c r="P767" s="454"/>
      <c r="R767" s="490" t="str">
        <f>IF(M767+O767=0,"DELETE"," ")</f>
        <v>DELETE</v>
      </c>
    </row>
    <row r="768" spans="2:24" ht="9" customHeight="1" x14ac:dyDescent="0.5">
      <c r="B768" s="450"/>
      <c r="C768" s="631"/>
      <c r="D768" s="648"/>
      <c r="E768" s="631"/>
      <c r="F768" s="631"/>
      <c r="G768" s="631"/>
      <c r="H768" s="631"/>
      <c r="I768" s="520"/>
      <c r="J768" s="520"/>
      <c r="M768" s="472"/>
      <c r="N768" s="472"/>
      <c r="O768" s="585"/>
      <c r="P768" s="454"/>
      <c r="R768" s="490" t="str">
        <f>R$770</f>
        <v>DELETE</v>
      </c>
    </row>
    <row r="769" spans="2:26" ht="9" customHeight="1" x14ac:dyDescent="0.5">
      <c r="B769" s="450"/>
      <c r="C769" s="631"/>
      <c r="D769" s="648"/>
      <c r="E769" s="631"/>
      <c r="F769" s="631"/>
      <c r="G769" s="631"/>
      <c r="H769" s="631"/>
      <c r="I769" s="520"/>
      <c r="J769" s="520"/>
      <c r="M769" s="471"/>
      <c r="N769" s="471"/>
      <c r="O769" s="458"/>
      <c r="P769" s="454"/>
      <c r="R769" s="490" t="str">
        <f>R$770</f>
        <v>DELETE</v>
      </c>
    </row>
    <row r="770" spans="2:26" ht="36.75" customHeight="1" x14ac:dyDescent="0.5">
      <c r="B770" s="450"/>
      <c r="C770" s="631" t="s">
        <v>538</v>
      </c>
      <c r="D770" s="648"/>
      <c r="E770" s="631"/>
      <c r="F770" s="631"/>
      <c r="G770" s="631"/>
      <c r="H770" s="631"/>
      <c r="I770" s="520"/>
      <c r="J770" s="520"/>
      <c r="M770" s="458">
        <f>SUM(M765:M768)</f>
        <v>0</v>
      </c>
      <c r="N770" s="471"/>
      <c r="O770" s="458">
        <f>SUM(O765:O768)</f>
        <v>0</v>
      </c>
      <c r="P770" s="454"/>
      <c r="R770" s="490" t="str">
        <f>IF(COUNTIF(O765:O767,"&gt;0")&gt;0," ",IF(COUNTIF(M765:M767,"&gt;0")&gt;0," ","DELETE"))</f>
        <v>DELETE</v>
      </c>
      <c r="V770" s="491" t="b">
        <f>M770=M2346</f>
        <v>1</v>
      </c>
      <c r="X770" s="491" t="b">
        <f>O770=O2346</f>
        <v>1</v>
      </c>
    </row>
    <row r="771" spans="2:26" ht="9" customHeight="1" thickBot="1" x14ac:dyDescent="0.55000000000000004">
      <c r="B771" s="450"/>
      <c r="C771" s="631"/>
      <c r="D771" s="631"/>
      <c r="E771" s="631"/>
      <c r="F771" s="631"/>
      <c r="G771" s="631"/>
      <c r="H771" s="631"/>
      <c r="I771" s="520"/>
      <c r="J771" s="520"/>
      <c r="M771" s="473"/>
      <c r="N771" s="473"/>
      <c r="O771" s="462"/>
      <c r="P771" s="454"/>
      <c r="R771" s="490" t="str">
        <f>R$770</f>
        <v>DELETE</v>
      </c>
    </row>
    <row r="772" spans="2:26" ht="9" customHeight="1" thickTop="1" x14ac:dyDescent="0.5">
      <c r="B772" s="450"/>
      <c r="C772" s="631"/>
      <c r="D772" s="631"/>
      <c r="E772" s="631"/>
      <c r="F772" s="631"/>
      <c r="G772" s="631"/>
      <c r="H772" s="631"/>
      <c r="I772" s="520"/>
      <c r="J772" s="520"/>
      <c r="M772" s="471"/>
      <c r="N772" s="471"/>
      <c r="O772" s="463"/>
      <c r="P772" s="454"/>
      <c r="R772" s="490" t="str">
        <f>R$770</f>
        <v>DELETE</v>
      </c>
    </row>
    <row r="773" spans="2:26" ht="36" customHeight="1" x14ac:dyDescent="0.5">
      <c r="B773" s="450"/>
      <c r="C773" s="631"/>
      <c r="D773" s="631"/>
      <c r="E773" s="631"/>
      <c r="F773" s="631"/>
      <c r="G773" s="631"/>
      <c r="H773" s="631"/>
      <c r="I773" s="520"/>
      <c r="J773" s="520"/>
      <c r="M773" s="471"/>
      <c r="N773" s="471"/>
      <c r="O773" s="458"/>
      <c r="P773" s="454"/>
    </row>
    <row r="774" spans="2:26" ht="36" customHeight="1" x14ac:dyDescent="0.5">
      <c r="B774" s="450">
        <f>MAX(B$742:B773)+1</f>
        <v>4</v>
      </c>
      <c r="C774" s="636" t="str">
        <f>IF((Y774+Z774)=3,"Retained income/(Accumulated loss)",(IF((Y774+Z774=4),"Retained income","Accumulated loss")))</f>
        <v>Retained income</v>
      </c>
      <c r="D774" s="631"/>
      <c r="E774" s="631"/>
      <c r="F774" s="631"/>
      <c r="G774" s="631"/>
      <c r="H774" s="631"/>
      <c r="I774" s="520"/>
      <c r="J774" s="520"/>
      <c r="M774" s="471"/>
      <c r="N774" s="471"/>
      <c r="O774" s="458"/>
      <c r="P774" s="454"/>
      <c r="Y774" s="491">
        <f>IF(M781&lt;0,1,IF(M781=0,IF(O781&lt;0,1,2),2))</f>
        <v>2</v>
      </c>
      <c r="Z774" s="491">
        <f>IF(O781&lt;0,1,IF(O781=0,IF(M781&lt;0,1,2),2))</f>
        <v>2</v>
      </c>
    </row>
    <row r="775" spans="2:26" ht="36" customHeight="1" x14ac:dyDescent="0.5">
      <c r="B775" s="450"/>
      <c r="C775" s="631"/>
      <c r="D775" s="631"/>
      <c r="E775" s="631"/>
      <c r="F775" s="631"/>
      <c r="G775" s="631"/>
      <c r="H775" s="631"/>
      <c r="I775" s="520"/>
      <c r="J775" s="520"/>
      <c r="M775" s="471"/>
      <c r="N775" s="471"/>
      <c r="O775" s="458"/>
      <c r="P775" s="454"/>
    </row>
    <row r="776" spans="2:26" ht="36" customHeight="1" x14ac:dyDescent="0.5">
      <c r="B776" s="450"/>
      <c r="C776" s="631" t="s">
        <v>128</v>
      </c>
      <c r="D776" s="648"/>
      <c r="E776" s="631"/>
      <c r="F776" s="631"/>
      <c r="G776" s="631"/>
      <c r="H776" s="631"/>
      <c r="I776" s="520"/>
      <c r="J776" s="520"/>
      <c r="M776" s="471">
        <f>O781</f>
        <v>0</v>
      </c>
      <c r="N776" s="451"/>
      <c r="O776" s="471">
        <f>-TrialBalance!N184</f>
        <v>0</v>
      </c>
      <c r="P776" s="454"/>
      <c r="S776" s="495"/>
      <c r="T776" s="495"/>
      <c r="U776" s="495"/>
    </row>
    <row r="777" spans="2:26" ht="36" customHeight="1" x14ac:dyDescent="0.5">
      <c r="B777" s="450"/>
      <c r="C777" s="632" t="str">
        <f>IF((Y777+Z777)=3,"Net profit/(loss) for the year after taxation",(IF((Y777+Z777=4),"Net profit for the year after taxation","Net loss for the year after taxation")))</f>
        <v>Net profit for the year after taxation</v>
      </c>
      <c r="D777" s="648"/>
      <c r="E777" s="631"/>
      <c r="F777" s="631"/>
      <c r="G777" s="631"/>
      <c r="H777" s="631"/>
      <c r="I777" s="520"/>
      <c r="J777" s="520"/>
      <c r="M777" s="458">
        <f>M644</f>
        <v>0</v>
      </c>
      <c r="N777" s="471"/>
      <c r="O777" s="458">
        <f>O644</f>
        <v>0</v>
      </c>
      <c r="P777" s="454"/>
      <c r="S777" s="495"/>
      <c r="T777" s="495"/>
      <c r="U777" s="495"/>
      <c r="Y777" s="491">
        <f>IF(M777&lt;0,1,IF(M777=0,IF(O777&lt;0,1,2),2))</f>
        <v>2</v>
      </c>
      <c r="Z777" s="491">
        <f>IF(O777&lt;0,1,IF(O777=0,IF(M777&lt;0,1,2),2))</f>
        <v>2</v>
      </c>
    </row>
    <row r="778" spans="2:26" ht="36" customHeight="1" x14ac:dyDescent="0.5">
      <c r="B778" s="450"/>
      <c r="C778" s="631" t="s">
        <v>781</v>
      </c>
      <c r="D778" s="648"/>
      <c r="E778" s="631"/>
      <c r="F778" s="631"/>
      <c r="G778" s="631"/>
      <c r="H778" s="631"/>
      <c r="I778" s="520"/>
      <c r="J778" s="520"/>
      <c r="M778" s="458">
        <f>-SUM(TrialBalance!L164:L165)</f>
        <v>0</v>
      </c>
      <c r="N778" s="471"/>
      <c r="O778" s="458">
        <f>-SUM(TrialBalance!N164:N165)</f>
        <v>0</v>
      </c>
      <c r="P778" s="454"/>
      <c r="R778" s="490" t="str">
        <f>IF(M778=0,IF(O778=0,"DELETE"," ")," ")</f>
        <v>DELETE</v>
      </c>
      <c r="S778" s="495"/>
      <c r="T778" s="495"/>
      <c r="U778" s="495"/>
    </row>
    <row r="779" spans="2:26" ht="9" customHeight="1" x14ac:dyDescent="0.5">
      <c r="B779" s="450"/>
      <c r="C779" s="631"/>
      <c r="D779" s="648"/>
      <c r="E779" s="631"/>
      <c r="F779" s="631"/>
      <c r="G779" s="631"/>
      <c r="H779" s="631"/>
      <c r="I779" s="520"/>
      <c r="J779" s="520"/>
      <c r="M779" s="472"/>
      <c r="N779" s="472"/>
      <c r="O779" s="585"/>
      <c r="P779" s="454"/>
    </row>
    <row r="780" spans="2:26" ht="9" customHeight="1" x14ac:dyDescent="0.5">
      <c r="B780" s="450"/>
      <c r="C780" s="631"/>
      <c r="D780" s="648"/>
      <c r="E780" s="631"/>
      <c r="F780" s="631"/>
      <c r="G780" s="631"/>
      <c r="H780" s="631"/>
      <c r="I780" s="520"/>
      <c r="J780" s="520"/>
      <c r="M780" s="471"/>
      <c r="N780" s="471"/>
      <c r="O780" s="458"/>
      <c r="P780" s="454"/>
    </row>
    <row r="781" spans="2:26" ht="36.75" customHeight="1" x14ac:dyDescent="0.5">
      <c r="B781" s="450"/>
      <c r="C781" s="631" t="s">
        <v>538</v>
      </c>
      <c r="D781" s="648"/>
      <c r="E781" s="631"/>
      <c r="F781" s="631"/>
      <c r="G781" s="631"/>
      <c r="H781" s="631"/>
      <c r="I781" s="520"/>
      <c r="J781" s="520"/>
      <c r="M781" s="458">
        <f>SUM(M776:M779)</f>
        <v>0</v>
      </c>
      <c r="N781" s="471"/>
      <c r="O781" s="458">
        <f>SUM(O776:O779)</f>
        <v>0</v>
      </c>
      <c r="P781" s="454"/>
    </row>
    <row r="782" spans="2:26" ht="9" customHeight="1" thickBot="1" x14ac:dyDescent="0.55000000000000004">
      <c r="B782" s="450"/>
      <c r="C782" s="631"/>
      <c r="D782" s="631"/>
      <c r="E782" s="631"/>
      <c r="F782" s="631"/>
      <c r="G782" s="631"/>
      <c r="H782" s="631"/>
      <c r="I782" s="520"/>
      <c r="J782" s="520"/>
      <c r="M782" s="473"/>
      <c r="N782" s="473"/>
      <c r="O782" s="462"/>
      <c r="P782" s="454"/>
    </row>
    <row r="783" spans="2:26" ht="9" customHeight="1" thickTop="1" x14ac:dyDescent="0.5">
      <c r="B783" s="450"/>
      <c r="C783" s="631"/>
      <c r="D783" s="631"/>
      <c r="E783" s="631"/>
      <c r="F783" s="631"/>
      <c r="G783" s="631"/>
      <c r="H783" s="631"/>
      <c r="I783" s="520"/>
      <c r="J783" s="520"/>
      <c r="M783" s="471"/>
      <c r="N783" s="471"/>
      <c r="O783" s="458"/>
      <c r="P783" s="454"/>
    </row>
    <row r="784" spans="2:26" ht="36" customHeight="1" x14ac:dyDescent="0.5">
      <c r="B784" s="450"/>
      <c r="C784" s="631"/>
      <c r="D784" s="631"/>
      <c r="E784" s="631"/>
      <c r="F784" s="631"/>
      <c r="G784" s="631"/>
      <c r="H784" s="631"/>
      <c r="I784" s="520"/>
      <c r="J784" s="520"/>
      <c r="M784" s="471"/>
      <c r="N784" s="471"/>
      <c r="O784" s="458"/>
      <c r="P784" s="454"/>
    </row>
    <row r="785" spans="2:18" ht="36" customHeight="1" x14ac:dyDescent="0.5">
      <c r="B785" s="450"/>
      <c r="C785" s="631"/>
      <c r="D785" s="631"/>
      <c r="E785" s="631"/>
      <c r="F785" s="631"/>
      <c r="G785" s="631"/>
      <c r="H785" s="631"/>
      <c r="I785" s="520"/>
      <c r="J785" s="520"/>
      <c r="M785" s="471"/>
      <c r="N785" s="471"/>
      <c r="O785" s="458"/>
      <c r="P785" s="454"/>
    </row>
    <row r="786" spans="2:18" ht="36" customHeight="1" x14ac:dyDescent="0.5">
      <c r="C786" s="631"/>
      <c r="D786" s="631"/>
      <c r="E786" s="631"/>
      <c r="F786" s="631"/>
      <c r="G786" s="631"/>
      <c r="H786" s="631"/>
      <c r="I786" s="520"/>
      <c r="J786" s="520"/>
      <c r="K786" s="450"/>
      <c r="L786" s="450"/>
      <c r="M786" s="521"/>
      <c r="N786" s="521"/>
      <c r="O786" s="521"/>
      <c r="P786" s="521"/>
    </row>
    <row r="787" spans="2:18" ht="36" customHeight="1" x14ac:dyDescent="0.5">
      <c r="C787" s="631"/>
      <c r="D787" s="631"/>
      <c r="E787" s="631"/>
      <c r="F787" s="631"/>
      <c r="G787" s="631"/>
      <c r="H787" s="631"/>
      <c r="I787" s="520"/>
      <c r="J787" s="520"/>
      <c r="M787" s="540"/>
      <c r="O787" s="540"/>
    </row>
    <row r="788" spans="2:18" ht="36" customHeight="1" x14ac:dyDescent="0.5">
      <c r="C788" s="520"/>
      <c r="D788" s="520"/>
      <c r="E788" s="520"/>
      <c r="F788" s="520"/>
      <c r="G788" s="520"/>
      <c r="H788" s="520"/>
      <c r="I788" s="520"/>
      <c r="J788" s="520"/>
      <c r="M788" s="540"/>
      <c r="O788" s="454" t="s">
        <v>112</v>
      </c>
      <c r="Q788" s="450">
        <f>MAX($Q$103:Q787)+1</f>
        <v>16</v>
      </c>
    </row>
    <row r="789" spans="2:18" ht="36" customHeight="1" x14ac:dyDescent="0.5">
      <c r="C789" s="520"/>
      <c r="D789" s="630" t="str">
        <f>Criteria!E9</f>
        <v>ABC COMPANY (PROPRIETARY) LIMITED</v>
      </c>
      <c r="E789" s="631"/>
      <c r="F789" s="631"/>
      <c r="G789" s="631"/>
      <c r="H789" s="631"/>
      <c r="I789" s="520"/>
      <c r="J789" s="520"/>
      <c r="M789" s="540"/>
      <c r="O789" s="451"/>
      <c r="P789" s="451"/>
      <c r="Q789" s="451"/>
    </row>
    <row r="790" spans="2:18" ht="36" customHeight="1" x14ac:dyDescent="0.5">
      <c r="C790" s="520"/>
      <c r="D790" s="630" t="str">
        <f>Criteria!E10</f>
        <v>T/A SEAFRONT HOTEL, ABC RESTAURANT AND RENTAL PROPERTIES</v>
      </c>
      <c r="E790" s="631"/>
      <c r="F790" s="631"/>
      <c r="G790" s="631"/>
      <c r="H790" s="631"/>
      <c r="I790" s="520"/>
      <c r="J790" s="520"/>
      <c r="M790" s="540"/>
      <c r="O790" s="540"/>
      <c r="R790" s="490" t="str">
        <f>IF(D790=0,"DELETE"," ")</f>
        <v xml:space="preserve"> </v>
      </c>
    </row>
    <row r="791" spans="2:18" ht="36" customHeight="1" x14ac:dyDescent="0.5">
      <c r="C791" s="520"/>
      <c r="D791" s="631"/>
      <c r="E791" s="631"/>
      <c r="F791" s="631"/>
      <c r="G791" s="631"/>
      <c r="H791" s="631"/>
      <c r="I791" s="520"/>
      <c r="J791" s="520"/>
      <c r="M791" s="540"/>
      <c r="O791" s="540"/>
    </row>
    <row r="792" spans="2:18" ht="36" customHeight="1" x14ac:dyDescent="0.5">
      <c r="C792" s="520"/>
      <c r="D792" s="630" t="s">
        <v>1482</v>
      </c>
      <c r="E792" s="631"/>
      <c r="F792" s="631"/>
      <c r="G792" s="631"/>
      <c r="H792" s="631"/>
      <c r="I792" s="520"/>
      <c r="J792" s="520"/>
      <c r="M792" s="540"/>
      <c r="O792" s="540"/>
    </row>
    <row r="793" spans="2:18" ht="36" customHeight="1" x14ac:dyDescent="0.5">
      <c r="C793" s="520"/>
      <c r="D793" s="630" t="str">
        <f>Criteria!E20</f>
        <v>28 FEBRUARY 2026</v>
      </c>
      <c r="E793" s="631"/>
      <c r="F793" s="631"/>
      <c r="G793" s="631"/>
      <c r="H793" s="631"/>
      <c r="I793" s="520"/>
      <c r="J793" s="520"/>
      <c r="M793" s="540"/>
      <c r="O793" s="540"/>
    </row>
    <row r="794" spans="2:18" ht="36" customHeight="1" x14ac:dyDescent="0.5">
      <c r="C794" s="520"/>
      <c r="D794" s="633"/>
      <c r="E794" s="633"/>
      <c r="F794" s="633"/>
      <c r="G794" s="633"/>
      <c r="H794" s="633"/>
      <c r="I794" s="577"/>
      <c r="J794" s="577"/>
      <c r="K794" s="455"/>
      <c r="L794" s="455"/>
      <c r="M794" s="543"/>
      <c r="N794" s="543"/>
      <c r="O794" s="543"/>
      <c r="P794" s="543"/>
      <c r="Q794" s="455"/>
    </row>
    <row r="795" spans="2:18" ht="36" customHeight="1" x14ac:dyDescent="0.5">
      <c r="C795" s="520"/>
      <c r="D795" s="631"/>
      <c r="E795" s="631"/>
      <c r="F795" s="631"/>
      <c r="G795" s="631"/>
      <c r="H795" s="631"/>
      <c r="I795" s="520"/>
      <c r="J795" s="520"/>
      <c r="M795" s="540"/>
      <c r="O795" s="540"/>
      <c r="Q795" s="457"/>
    </row>
    <row r="796" spans="2:18" ht="36" customHeight="1" x14ac:dyDescent="0.5">
      <c r="C796" s="520"/>
      <c r="D796" s="631"/>
      <c r="E796" s="631"/>
      <c r="F796" s="631"/>
      <c r="G796" s="631"/>
      <c r="H796" s="631"/>
      <c r="I796" s="520"/>
      <c r="J796" s="520"/>
      <c r="K796" s="450" t="s">
        <v>1494</v>
      </c>
      <c r="L796" s="450"/>
      <c r="M796" s="453">
        <f>Criteria!E22</f>
        <v>2026</v>
      </c>
      <c r="N796" s="453"/>
      <c r="O796" s="453">
        <f>Criteria!E27</f>
        <v>2025</v>
      </c>
      <c r="P796" s="453"/>
    </row>
    <row r="797" spans="2:18" ht="36" customHeight="1" x14ac:dyDescent="0.5">
      <c r="C797" s="520"/>
      <c r="D797" s="631"/>
      <c r="E797" s="631"/>
      <c r="F797" s="631"/>
      <c r="G797" s="631"/>
      <c r="H797" s="631"/>
      <c r="I797" s="520"/>
      <c r="J797" s="520"/>
      <c r="K797" s="450"/>
      <c r="L797" s="450"/>
      <c r="M797" s="454"/>
      <c r="N797" s="454"/>
      <c r="O797" s="454"/>
      <c r="P797" s="454"/>
    </row>
    <row r="798" spans="2:18" ht="36" customHeight="1" x14ac:dyDescent="0.5">
      <c r="C798" s="451"/>
      <c r="D798" s="630" t="s">
        <v>1507</v>
      </c>
      <c r="E798" s="631"/>
      <c r="F798" s="631"/>
      <c r="G798" s="631"/>
      <c r="H798" s="631"/>
      <c r="I798" s="520"/>
      <c r="J798" s="520"/>
      <c r="K798" s="450"/>
      <c r="L798" s="450"/>
      <c r="M798" s="458">
        <f>SUM(S801:S823)</f>
        <v>0</v>
      </c>
      <c r="N798" s="458"/>
      <c r="O798" s="458">
        <f>SUM(U801:U823)</f>
        <v>0</v>
      </c>
      <c r="P798" s="454"/>
    </row>
    <row r="799" spans="2:18" ht="9" customHeight="1" x14ac:dyDescent="0.5">
      <c r="C799" s="575"/>
      <c r="D799" s="631"/>
      <c r="E799" s="631"/>
      <c r="F799" s="631"/>
      <c r="G799" s="631"/>
      <c r="H799" s="631"/>
      <c r="I799" s="520"/>
      <c r="J799" s="520"/>
      <c r="K799" s="450"/>
      <c r="L799" s="450"/>
      <c r="M799" s="458"/>
      <c r="N799" s="458"/>
      <c r="O799" s="458"/>
      <c r="P799" s="454"/>
    </row>
    <row r="800" spans="2:18" ht="9" customHeight="1" x14ac:dyDescent="0.5">
      <c r="C800" s="575"/>
      <c r="D800" s="631"/>
      <c r="E800" s="631"/>
      <c r="F800" s="631"/>
      <c r="G800" s="631"/>
      <c r="H800" s="631"/>
      <c r="I800" s="520"/>
      <c r="J800" s="520"/>
      <c r="K800" s="450"/>
      <c r="L800" s="476"/>
      <c r="M800" s="459"/>
      <c r="N800" s="459"/>
      <c r="O800" s="459"/>
      <c r="P800" s="477"/>
    </row>
    <row r="801" spans="3:25" ht="36" customHeight="1" x14ac:dyDescent="0.5">
      <c r="C801" s="575"/>
      <c r="D801" s="631" t="s">
        <v>850</v>
      </c>
      <c r="E801" s="631"/>
      <c r="F801" s="631"/>
      <c r="G801" s="631"/>
      <c r="H801" s="631"/>
      <c r="I801" s="520"/>
      <c r="J801" s="520"/>
      <c r="K801" s="450"/>
      <c r="L801" s="469"/>
      <c r="M801" s="458">
        <f>SUM(TrialBalance!N359:N365)-SUM(TrialBalance!L4:L11)-SUM(TrialBalance!L27:L32)-SUM(TrialBalance!L359:L365)-SUM(TrialBalanceA!I4:I11)-SUM(TrialBalanceA!I27:I32)-SUM(TrialBalanceB!I4:I11)-SUM(TrialBalanceB!I27:I32)-SUM(TrialBalanceC!I4:I11)-SUM(TrialBalanceC!I27:I32)</f>
        <v>0</v>
      </c>
      <c r="N801" s="458"/>
      <c r="O801" s="458">
        <f>Criteria!F416</f>
        <v>0</v>
      </c>
      <c r="P801" s="478"/>
      <c r="R801" s="635"/>
      <c r="S801" s="496">
        <f>M801</f>
        <v>0</v>
      </c>
      <c r="T801" s="496"/>
      <c r="U801" s="496">
        <f>O801</f>
        <v>0</v>
      </c>
      <c r="V801" s="496"/>
      <c r="W801" s="496"/>
      <c r="X801" s="496"/>
    </row>
    <row r="802" spans="3:25" ht="36" customHeight="1" x14ac:dyDescent="0.5">
      <c r="C802" s="575"/>
      <c r="D802" s="631" t="s">
        <v>246</v>
      </c>
      <c r="E802" s="631"/>
      <c r="F802" s="631"/>
      <c r="G802" s="631"/>
      <c r="H802" s="631"/>
      <c r="I802" s="520"/>
      <c r="J802" s="520"/>
      <c r="K802" s="450"/>
      <c r="L802" s="469"/>
      <c r="M802" s="463">
        <f>-SUM(TrialBalance!N379:N384)-SUM(TrialBalance!N395:N399)+SUM(TrialBalance!L17:L22)+SUM(TrialBalance!L39:L42)+SUM(TrialBalance!L47:L82)+SUM(TrialBalance!L98:L108)+SUM(TrialBalance!L112:L139)+SUM(TrialBalance!L379:L384)+SUM(TrialBalance!L395:L399)+SUM(TrialBalanceA!I17:I22)+SUM(TrialBalanceA!I39:I42)+SUM(TrialBalanceA!I47:I82)+SUM(TrialBalanceA!I98:I108)+SUM(TrialBalanceA!I112:I139)+SUM(TrialBalanceB!I17:I22)+SUM(TrialBalanceB!I39:I42)+SUM(TrialBalanceB!I47:I82)+SUM(TrialBalanceB!I98:I108)+SUM(TrialBalanceB!I112:I139)+SUM(TrialBalanceC!I17:I22)+SUM(TrialBalanceC!I39:I42)+SUM(TrialBalanceC!I47:I82)+SUM(TrialBalanceC!I98:I108)+SUM(TrialBalanceC!I112:I139)</f>
        <v>0</v>
      </c>
      <c r="N802" s="463"/>
      <c r="O802" s="458">
        <f>Criteria!F417</f>
        <v>0</v>
      </c>
      <c r="P802" s="478"/>
      <c r="R802" s="635"/>
      <c r="S802" s="496">
        <f>-M802</f>
        <v>0</v>
      </c>
      <c r="T802" s="496"/>
      <c r="U802" s="496">
        <f>-O802</f>
        <v>0</v>
      </c>
      <c r="V802" s="496"/>
      <c r="W802" s="496"/>
      <c r="X802" s="496"/>
    </row>
    <row r="803" spans="3:25" ht="9" customHeight="1" x14ac:dyDescent="0.5">
      <c r="C803" s="575"/>
      <c r="D803" s="631"/>
      <c r="E803" s="631"/>
      <c r="F803" s="631"/>
      <c r="G803" s="631"/>
      <c r="H803" s="631"/>
      <c r="I803" s="520"/>
      <c r="J803" s="520"/>
      <c r="K803" s="450"/>
      <c r="L803" s="469"/>
      <c r="M803" s="461"/>
      <c r="N803" s="461"/>
      <c r="O803" s="461"/>
      <c r="P803" s="478"/>
    </row>
    <row r="804" spans="3:25" ht="9" customHeight="1" x14ac:dyDescent="0.5">
      <c r="C804" s="575"/>
      <c r="D804" s="631"/>
      <c r="E804" s="631"/>
      <c r="F804" s="631"/>
      <c r="G804" s="631"/>
      <c r="H804" s="631"/>
      <c r="I804" s="520"/>
      <c r="J804" s="520"/>
      <c r="K804" s="450"/>
      <c r="L804" s="469"/>
      <c r="M804" s="458"/>
      <c r="N804" s="458"/>
      <c r="O804" s="458"/>
      <c r="P804" s="478"/>
    </row>
    <row r="805" spans="3:25" ht="36" customHeight="1" x14ac:dyDescent="0.5">
      <c r="C805" s="575"/>
      <c r="D805" s="631" t="s">
        <v>247</v>
      </c>
      <c r="E805" s="631"/>
      <c r="F805" s="631"/>
      <c r="G805" s="631"/>
      <c r="H805" s="631"/>
      <c r="I805" s="520"/>
      <c r="J805" s="520"/>
      <c r="K805" s="450">
        <f>B2728</f>
        <v>34</v>
      </c>
      <c r="L805" s="469"/>
      <c r="M805" s="458">
        <f>M801-M802</f>
        <v>0</v>
      </c>
      <c r="N805" s="458"/>
      <c r="O805" s="458">
        <f>O801-O802</f>
        <v>0</v>
      </c>
      <c r="P805" s="478"/>
      <c r="V805" s="496" t="b">
        <f>M805=M2755</f>
        <v>1</v>
      </c>
      <c r="W805" s="496"/>
      <c r="X805" s="496" t="b">
        <f>O805=O2755</f>
        <v>1</v>
      </c>
      <c r="Y805" s="496"/>
    </row>
    <row r="806" spans="3:25" ht="36" customHeight="1" x14ac:dyDescent="0.5">
      <c r="C806" s="575"/>
      <c r="D806" s="631" t="s">
        <v>248</v>
      </c>
      <c r="E806" s="631"/>
      <c r="F806" s="631"/>
      <c r="G806" s="631"/>
      <c r="H806" s="631"/>
      <c r="I806" s="520"/>
      <c r="J806" s="520"/>
      <c r="K806" s="450"/>
      <c r="L806" s="469"/>
      <c r="M806" s="458">
        <f>SUM(M809:M814)</f>
        <v>0</v>
      </c>
      <c r="N806" s="458"/>
      <c r="O806" s="458">
        <f>SUM(O809:O814)</f>
        <v>0</v>
      </c>
      <c r="P806" s="478"/>
      <c r="R806" s="490" t="str">
        <f>IF(M806=0,IF(O806=0,"DELETE"," ")," ")</f>
        <v>DELETE</v>
      </c>
      <c r="V806" s="496">
        <f>M805-M2755</f>
        <v>0</v>
      </c>
      <c r="W806" s="496"/>
      <c r="X806" s="495">
        <f>O805-O2755</f>
        <v>0</v>
      </c>
    </row>
    <row r="807" spans="3:25" ht="9" customHeight="1" x14ac:dyDescent="0.5">
      <c r="C807" s="575"/>
      <c r="D807" s="631"/>
      <c r="E807" s="631"/>
      <c r="F807" s="631"/>
      <c r="G807" s="631"/>
      <c r="H807" s="631"/>
      <c r="I807" s="520"/>
      <c r="J807" s="520"/>
      <c r="K807" s="450"/>
      <c r="L807" s="469"/>
      <c r="M807" s="458"/>
      <c r="N807" s="458"/>
      <c r="O807" s="458"/>
      <c r="P807" s="478"/>
      <c r="R807" s="490" t="str">
        <f>R806</f>
        <v>DELETE</v>
      </c>
    </row>
    <row r="808" spans="3:25" ht="9" customHeight="1" x14ac:dyDescent="0.5">
      <c r="C808" s="575"/>
      <c r="D808" s="631"/>
      <c r="E808" s="631"/>
      <c r="F808" s="631"/>
      <c r="G808" s="631"/>
      <c r="H808" s="631"/>
      <c r="I808" s="520"/>
      <c r="J808" s="520"/>
      <c r="K808" s="450"/>
      <c r="L808" s="469"/>
      <c r="M808" s="578"/>
      <c r="N808" s="459"/>
      <c r="O808" s="579"/>
      <c r="P808" s="478"/>
      <c r="R808" s="490" t="str">
        <f>R807</f>
        <v>DELETE</v>
      </c>
    </row>
    <row r="809" spans="3:25" ht="36" customHeight="1" x14ac:dyDescent="0.5">
      <c r="C809" s="575"/>
      <c r="D809" s="631" t="s">
        <v>567</v>
      </c>
      <c r="E809" s="631"/>
      <c r="F809" s="631"/>
      <c r="G809" s="631"/>
      <c r="H809" s="631"/>
      <c r="I809" s="520"/>
      <c r="J809" s="520"/>
      <c r="K809" s="450">
        <f>C1367</f>
        <v>6.1</v>
      </c>
      <c r="L809" s="469"/>
      <c r="M809" s="580">
        <f>-SUM(TrialBalance!L90:L93)-SUM(TrialBalanceA!I90:I93)-SUM(TrialBalanceB!I90:I93)-SUM(TrialBalanceC!I90:I93)</f>
        <v>0</v>
      </c>
      <c r="N809" s="458"/>
      <c r="O809" s="581">
        <f>Criteria!F424</f>
        <v>0</v>
      </c>
      <c r="P809" s="478"/>
      <c r="R809" s="490" t="str">
        <f>IF(M809=0,IF(O809=0,"DELETE"," ")," ")</f>
        <v>DELETE</v>
      </c>
      <c r="S809" s="496">
        <f>M809</f>
        <v>0</v>
      </c>
      <c r="T809" s="496"/>
      <c r="U809" s="496">
        <f>O809</f>
        <v>0</v>
      </c>
      <c r="V809" s="496" t="b">
        <f>M809=M1367</f>
        <v>1</v>
      </c>
      <c r="W809" s="496"/>
      <c r="X809" s="496" t="b">
        <f>O809=O1367</f>
        <v>1</v>
      </c>
    </row>
    <row r="810" spans="3:25" ht="36" customHeight="1" x14ac:dyDescent="0.5">
      <c r="C810" s="575"/>
      <c r="D810" s="631" t="s">
        <v>767</v>
      </c>
      <c r="E810" s="631"/>
      <c r="F810" s="631"/>
      <c r="G810" s="631"/>
      <c r="H810" s="631"/>
      <c r="I810" s="520"/>
      <c r="J810" s="520"/>
      <c r="K810" s="450">
        <f>C1375</f>
        <v>6.1999999999999993</v>
      </c>
      <c r="L810" s="469"/>
      <c r="M810" s="580">
        <f>-SUM(TrialBalance!L85:L89)-SUM(TrialBalanceA!I85:I89)-SUM(TrialBalanceB!I85:I89)-SUM(TrialBalanceC!I85:I89)</f>
        <v>0</v>
      </c>
      <c r="N810" s="458"/>
      <c r="O810" s="581">
        <f>Criteria!F425</f>
        <v>0</v>
      </c>
      <c r="P810" s="478"/>
      <c r="R810" s="490" t="str">
        <f>IF(M810=0,IF(O810=0,"DELETE"," ")," ")</f>
        <v>DELETE</v>
      </c>
      <c r="S810" s="496">
        <f>M810</f>
        <v>0</v>
      </c>
      <c r="T810" s="496"/>
      <c r="U810" s="496">
        <f>O810</f>
        <v>0</v>
      </c>
      <c r="V810" s="496" t="b">
        <f>M810=M1375</f>
        <v>1</v>
      </c>
      <c r="W810" s="496"/>
      <c r="X810" s="496" t="b">
        <f>O810=O1375</f>
        <v>1</v>
      </c>
    </row>
    <row r="811" spans="3:25" ht="36" customHeight="1" x14ac:dyDescent="0.5">
      <c r="C811" s="575"/>
      <c r="D811" s="631" t="s">
        <v>223</v>
      </c>
      <c r="E811" s="631"/>
      <c r="F811" s="631"/>
      <c r="G811" s="631"/>
      <c r="H811" s="631"/>
      <c r="I811" s="520"/>
      <c r="J811" s="520"/>
      <c r="K811" s="450"/>
      <c r="L811" s="469"/>
      <c r="M811" s="580">
        <f>-TrialBalance!L95-TrialBalanceA!I95-TrialBalanceB!I95-TrialBalanceC!I95</f>
        <v>0</v>
      </c>
      <c r="N811" s="458"/>
      <c r="O811" s="581">
        <f>Criteria!F426</f>
        <v>0</v>
      </c>
      <c r="P811" s="478"/>
      <c r="R811" s="490" t="str">
        <f>IF(M811=0,IF(O811=0,"DELETE"," ")," ")</f>
        <v>DELETE</v>
      </c>
      <c r="S811" s="496">
        <f>M811</f>
        <v>0</v>
      </c>
      <c r="T811" s="496"/>
      <c r="U811" s="496">
        <f>O811</f>
        <v>0</v>
      </c>
      <c r="V811" s="496"/>
      <c r="W811" s="496"/>
      <c r="X811" s="496"/>
    </row>
    <row r="812" spans="3:25" ht="36" customHeight="1" x14ac:dyDescent="0.5">
      <c r="C812" s="575"/>
      <c r="D812" s="631" t="s">
        <v>225</v>
      </c>
      <c r="E812" s="631"/>
      <c r="F812" s="631"/>
      <c r="G812" s="631"/>
      <c r="H812" s="631"/>
      <c r="I812" s="520"/>
      <c r="J812" s="520"/>
      <c r="K812" s="450"/>
      <c r="L812" s="469"/>
      <c r="M812" s="580">
        <f>-TrialBalance!L96-TrialBalanceA!I96-TrialBalanceB!I96-TrialBalanceC!I96</f>
        <v>0</v>
      </c>
      <c r="N812" s="458"/>
      <c r="O812" s="581">
        <f>Criteria!F427</f>
        <v>0</v>
      </c>
      <c r="P812" s="478"/>
      <c r="R812" s="490" t="str">
        <f>IF(M812=0,IF(O812=0,"DELETE"," ")," ")</f>
        <v>DELETE</v>
      </c>
      <c r="S812" s="496">
        <f>M812</f>
        <v>0</v>
      </c>
      <c r="T812" s="496"/>
      <c r="U812" s="496">
        <f>O812</f>
        <v>0</v>
      </c>
      <c r="V812" s="496"/>
      <c r="W812" s="496"/>
      <c r="X812" s="496"/>
    </row>
    <row r="813" spans="3:25" ht="36" customHeight="1" x14ac:dyDescent="0.5">
      <c r="C813" s="575"/>
      <c r="D813" s="631" t="s">
        <v>398</v>
      </c>
      <c r="E813" s="631"/>
      <c r="F813" s="631"/>
      <c r="G813" s="631"/>
      <c r="H813" s="631"/>
      <c r="I813" s="520"/>
      <c r="J813" s="520"/>
      <c r="K813" s="450"/>
      <c r="L813" s="469"/>
      <c r="M813" s="580">
        <f>-TrialBalance!L84-TrialBalanceA!I84-TrialBalanceB!I84-TrialBalanceC!I84</f>
        <v>0</v>
      </c>
      <c r="N813" s="458"/>
      <c r="O813" s="581">
        <f>Criteria!F428</f>
        <v>0</v>
      </c>
      <c r="P813" s="478"/>
      <c r="R813" s="490" t="str">
        <f>IF(M813=0,IF(O813=0,"DELETE"," ")," ")</f>
        <v>DELETE</v>
      </c>
      <c r="S813" s="496">
        <f>M813</f>
        <v>0</v>
      </c>
      <c r="T813" s="496"/>
      <c r="U813" s="496">
        <f>O813</f>
        <v>0</v>
      </c>
      <c r="V813" s="496"/>
      <c r="W813" s="496"/>
      <c r="X813" s="496"/>
    </row>
    <row r="814" spans="3:25" ht="9" customHeight="1" x14ac:dyDescent="0.5">
      <c r="C814" s="575"/>
      <c r="D814" s="631"/>
      <c r="E814" s="631"/>
      <c r="F814" s="631"/>
      <c r="G814" s="631"/>
      <c r="H814" s="631"/>
      <c r="I814" s="520"/>
      <c r="J814" s="520"/>
      <c r="K814" s="450"/>
      <c r="L814" s="469"/>
      <c r="M814" s="460"/>
      <c r="N814" s="461"/>
      <c r="O814" s="582"/>
      <c r="P814" s="478"/>
      <c r="R814" s="490" t="str">
        <f>R806</f>
        <v>DELETE</v>
      </c>
    </row>
    <row r="815" spans="3:25" ht="9" customHeight="1" x14ac:dyDescent="0.5">
      <c r="C815" s="575"/>
      <c r="D815" s="631"/>
      <c r="E815" s="631"/>
      <c r="F815" s="631"/>
      <c r="G815" s="631"/>
      <c r="H815" s="631"/>
      <c r="I815" s="520"/>
      <c r="J815" s="520"/>
      <c r="K815" s="450"/>
      <c r="L815" s="469"/>
      <c r="M815" s="479"/>
      <c r="N815" s="479"/>
      <c r="O815" s="479"/>
      <c r="P815" s="478"/>
      <c r="R815" s="490" t="str">
        <f>R806</f>
        <v>DELETE</v>
      </c>
    </row>
    <row r="816" spans="3:25" ht="9" customHeight="1" x14ac:dyDescent="0.5">
      <c r="C816" s="575"/>
      <c r="D816" s="631"/>
      <c r="E816" s="631"/>
      <c r="F816" s="631"/>
      <c r="G816" s="631"/>
      <c r="H816" s="631"/>
      <c r="I816" s="520"/>
      <c r="J816" s="520"/>
      <c r="K816" s="450"/>
      <c r="L816" s="469"/>
      <c r="M816" s="458"/>
      <c r="N816" s="458"/>
      <c r="O816" s="458"/>
      <c r="P816" s="478"/>
      <c r="R816" s="490" t="str">
        <f>R815</f>
        <v>DELETE</v>
      </c>
    </row>
    <row r="817" spans="3:26" ht="36" customHeight="1" x14ac:dyDescent="0.5">
      <c r="C817" s="575"/>
      <c r="D817" s="631"/>
      <c r="E817" s="631"/>
      <c r="F817" s="631"/>
      <c r="G817" s="631"/>
      <c r="H817" s="631"/>
      <c r="I817" s="520"/>
      <c r="J817" s="520"/>
      <c r="K817" s="450"/>
      <c r="L817" s="469"/>
      <c r="M817" s="458">
        <f>SUM(S801:S813)</f>
        <v>0</v>
      </c>
      <c r="N817" s="458"/>
      <c r="O817" s="458">
        <f>SUM(U801:U813)</f>
        <v>0</v>
      </c>
      <c r="P817" s="478"/>
      <c r="R817" s="490" t="str">
        <f>R816</f>
        <v>DELETE</v>
      </c>
    </row>
    <row r="818" spans="3:26" ht="36" customHeight="1" x14ac:dyDescent="0.5">
      <c r="C818" s="575"/>
      <c r="D818" s="631" t="s">
        <v>251</v>
      </c>
      <c r="E818" s="631"/>
      <c r="F818" s="631"/>
      <c r="G818" s="631"/>
      <c r="H818" s="631"/>
      <c r="I818" s="520"/>
      <c r="J818" s="520"/>
      <c r="K818" s="450"/>
      <c r="L818" s="469"/>
      <c r="M818" s="458">
        <f>SUM(M821:M823)</f>
        <v>0</v>
      </c>
      <c r="N818" s="458"/>
      <c r="O818" s="458">
        <f>SUM(O821:O823)</f>
        <v>0</v>
      </c>
      <c r="P818" s="478"/>
    </row>
    <row r="819" spans="3:26" ht="9" customHeight="1" x14ac:dyDescent="0.5">
      <c r="C819" s="575"/>
      <c r="D819" s="631"/>
      <c r="E819" s="631"/>
      <c r="F819" s="631"/>
      <c r="G819" s="631"/>
      <c r="H819" s="631"/>
      <c r="I819" s="520"/>
      <c r="J819" s="520"/>
      <c r="K819" s="450"/>
      <c r="L819" s="469"/>
      <c r="M819" s="458"/>
      <c r="N819" s="458"/>
      <c r="O819" s="458"/>
      <c r="P819" s="478"/>
    </row>
    <row r="820" spans="3:26" ht="9" customHeight="1" x14ac:dyDescent="0.5">
      <c r="C820" s="575"/>
      <c r="D820" s="631"/>
      <c r="E820" s="631"/>
      <c r="F820" s="631"/>
      <c r="G820" s="631"/>
      <c r="H820" s="631"/>
      <c r="I820" s="520"/>
      <c r="J820" s="520"/>
      <c r="K820" s="450"/>
      <c r="L820" s="469"/>
      <c r="M820" s="578"/>
      <c r="N820" s="459"/>
      <c r="O820" s="579"/>
      <c r="P820" s="478"/>
    </row>
    <row r="821" spans="3:26" ht="36" customHeight="1" x14ac:dyDescent="0.5">
      <c r="C821" s="575"/>
      <c r="D821" s="631" t="s">
        <v>1588</v>
      </c>
      <c r="E821" s="631"/>
      <c r="F821" s="631"/>
      <c r="G821" s="631"/>
      <c r="H821" s="631"/>
      <c r="I821" s="520"/>
      <c r="J821" s="520"/>
      <c r="K821" s="450"/>
      <c r="L821" s="469"/>
      <c r="M821" s="580">
        <f>-TrialBalance!N394+SUM(TrialBalance!L164:L165)+TrialBalance!L394+SUM(TrialBalanceA!I164:I165)+SUM(TrialBalanceB!I164:I165)+SUM(TrialBalanceC!I164:I165)-TrialBalance!N393+TrialBalance!L393</f>
        <v>0</v>
      </c>
      <c r="N821" s="458"/>
      <c r="O821" s="581">
        <f>Criteria!F436</f>
        <v>0</v>
      </c>
      <c r="P821" s="478"/>
      <c r="R821" s="490" t="str">
        <f>IF(M821=0,IF(O821=0,"DELETE"," ")," ")</f>
        <v>DELETE</v>
      </c>
      <c r="S821" s="496">
        <f>-M821</f>
        <v>0</v>
      </c>
      <c r="T821" s="496"/>
      <c r="U821" s="496">
        <f>-O821</f>
        <v>0</v>
      </c>
      <c r="V821" s="496"/>
      <c r="W821" s="496"/>
      <c r="X821" s="496"/>
    </row>
    <row r="822" spans="3:26" ht="36" customHeight="1" x14ac:dyDescent="0.5">
      <c r="C822" s="575"/>
      <c r="D822" s="631" t="s">
        <v>1493</v>
      </c>
      <c r="E822" s="631"/>
      <c r="F822" s="631"/>
      <c r="G822" s="631"/>
      <c r="H822" s="631"/>
      <c r="I822" s="520"/>
      <c r="J822" s="520"/>
      <c r="K822" s="450">
        <f>B1423</f>
        <v>7</v>
      </c>
      <c r="L822" s="469"/>
      <c r="M822" s="580">
        <f>SUM(TrialBalance!L143:L154)+SUM(TrialBalanceA!I143:I154)+SUM(TrialBalanceB!I143:I154)+SUM(TrialBalanceC!I143:I154)</f>
        <v>0</v>
      </c>
      <c r="N822" s="458"/>
      <c r="O822" s="581">
        <f>Criteria!F437</f>
        <v>0</v>
      </c>
      <c r="P822" s="478"/>
      <c r="R822" s="490" t="str">
        <f>IF(M822=0,IF(O822=0,"DELETE"," ")," ")</f>
        <v>DELETE</v>
      </c>
      <c r="S822" s="496">
        <f>-M822</f>
        <v>0</v>
      </c>
      <c r="T822" s="496"/>
      <c r="U822" s="496">
        <f>-O822</f>
        <v>0</v>
      </c>
      <c r="V822" s="496" t="b">
        <f>M822=M1471</f>
        <v>1</v>
      </c>
      <c r="W822" s="496"/>
      <c r="X822" s="496" t="b">
        <f>O822=O1471</f>
        <v>1</v>
      </c>
    </row>
    <row r="823" spans="3:26" ht="36" customHeight="1" x14ac:dyDescent="0.5">
      <c r="C823" s="575"/>
      <c r="D823" s="632" t="str">
        <f>IF((Y823+Z823)=3,"Taxation paid/(refund)",(IF((Y823+Z823=4),"Taxation paid","Taxation refund")))</f>
        <v>Taxation paid</v>
      </c>
      <c r="E823" s="631"/>
      <c r="F823" s="631"/>
      <c r="G823" s="631"/>
      <c r="H823" s="631"/>
      <c r="I823" s="520"/>
      <c r="J823" s="520"/>
      <c r="K823" s="450">
        <f>C1549</f>
        <v>9.1999999999999993</v>
      </c>
      <c r="L823" s="469"/>
      <c r="M823" s="583">
        <f>SUM(TrialBalance!L389:L392)</f>
        <v>0</v>
      </c>
      <c r="N823" s="463"/>
      <c r="O823" s="581">
        <f>Criteria!F438</f>
        <v>0</v>
      </c>
      <c r="P823" s="478"/>
      <c r="S823" s="496">
        <f>-M823</f>
        <v>0</v>
      </c>
      <c r="T823" s="496"/>
      <c r="U823" s="496">
        <f>-O823</f>
        <v>0</v>
      </c>
      <c r="V823" s="496" t="b">
        <f>M823=M1555</f>
        <v>1</v>
      </c>
      <c r="W823" s="496"/>
      <c r="X823" s="496" t="b">
        <f>O823=O1555</f>
        <v>1</v>
      </c>
      <c r="Y823" s="491">
        <f>IF(M823&lt;0,1,IF(M823=0,IF(O823&lt;0,1,2),2))</f>
        <v>2</v>
      </c>
      <c r="Z823" s="491">
        <f>IF(O823&lt;0,1,IF(O823=0,IF(M823&lt;0,1,2),2))</f>
        <v>2</v>
      </c>
    </row>
    <row r="824" spans="3:26" ht="9" customHeight="1" x14ac:dyDescent="0.5">
      <c r="C824" s="575"/>
      <c r="D824" s="631"/>
      <c r="E824" s="631"/>
      <c r="F824" s="631"/>
      <c r="G824" s="631"/>
      <c r="H824" s="631"/>
      <c r="I824" s="520"/>
      <c r="J824" s="520"/>
      <c r="K824" s="450"/>
      <c r="L824" s="469"/>
      <c r="M824" s="460"/>
      <c r="N824" s="461"/>
      <c r="O824" s="582"/>
      <c r="P824" s="478"/>
    </row>
    <row r="825" spans="3:26" ht="9" customHeight="1" x14ac:dyDescent="0.5">
      <c r="C825" s="575"/>
      <c r="D825" s="631"/>
      <c r="E825" s="631"/>
      <c r="F825" s="631"/>
      <c r="G825" s="631"/>
      <c r="H825" s="631"/>
      <c r="I825" s="520"/>
      <c r="J825" s="520"/>
      <c r="K825" s="450"/>
      <c r="L825" s="480"/>
      <c r="M825" s="461"/>
      <c r="N825" s="461"/>
      <c r="O825" s="461"/>
      <c r="P825" s="481"/>
    </row>
    <row r="826" spans="3:26" ht="9" customHeight="1" x14ac:dyDescent="0.5">
      <c r="C826" s="575"/>
      <c r="D826" s="631"/>
      <c r="E826" s="631"/>
      <c r="F826" s="631"/>
      <c r="G826" s="631"/>
      <c r="H826" s="631"/>
      <c r="I826" s="520"/>
      <c r="J826" s="520"/>
      <c r="K826" s="450"/>
      <c r="L826" s="450"/>
      <c r="M826" s="458"/>
      <c r="N826" s="458"/>
      <c r="O826" s="458"/>
      <c r="P826" s="454"/>
    </row>
    <row r="827" spans="3:26" ht="36" customHeight="1" x14ac:dyDescent="0.5">
      <c r="C827" s="575"/>
      <c r="D827" s="631"/>
      <c r="E827" s="631"/>
      <c r="F827" s="631"/>
      <c r="G827" s="631"/>
      <c r="H827" s="631"/>
      <c r="I827" s="520"/>
      <c r="J827" s="520"/>
      <c r="K827" s="450"/>
      <c r="L827" s="450"/>
      <c r="M827" s="458"/>
      <c r="N827" s="458"/>
      <c r="O827" s="458"/>
      <c r="P827" s="454"/>
      <c r="R827" s="490" t="str">
        <f>R828</f>
        <v>DELETE</v>
      </c>
    </row>
    <row r="828" spans="3:26" ht="36" customHeight="1" x14ac:dyDescent="0.5">
      <c r="C828" s="451"/>
      <c r="D828" s="630" t="s">
        <v>1508</v>
      </c>
      <c r="E828" s="631"/>
      <c r="F828" s="631"/>
      <c r="G828" s="631"/>
      <c r="H828" s="631"/>
      <c r="I828" s="520"/>
      <c r="J828" s="520"/>
      <c r="K828" s="450"/>
      <c r="L828" s="450"/>
      <c r="M828" s="458">
        <f>SUM(S831:S835)</f>
        <v>0</v>
      </c>
      <c r="N828" s="458"/>
      <c r="O828" s="458">
        <f>SUM(U831:U835)</f>
        <v>0</v>
      </c>
      <c r="P828" s="454"/>
      <c r="R828" s="490" t="str">
        <f>IF(M828=0,IF(O828=0,"DELETE"," ")," ")</f>
        <v>DELETE</v>
      </c>
    </row>
    <row r="829" spans="3:26" ht="9" customHeight="1" x14ac:dyDescent="0.5">
      <c r="C829" s="575"/>
      <c r="D829" s="631"/>
      <c r="E829" s="631"/>
      <c r="F829" s="631"/>
      <c r="G829" s="631"/>
      <c r="H829" s="631"/>
      <c r="I829" s="520"/>
      <c r="J829" s="520"/>
      <c r="K829" s="450"/>
      <c r="L829" s="450"/>
      <c r="M829" s="458"/>
      <c r="N829" s="458"/>
      <c r="O829" s="458"/>
      <c r="P829" s="454"/>
      <c r="R829" s="490" t="str">
        <f>R828</f>
        <v>DELETE</v>
      </c>
    </row>
    <row r="830" spans="3:26" ht="9" customHeight="1" x14ac:dyDescent="0.5">
      <c r="C830" s="575"/>
      <c r="D830" s="631"/>
      <c r="E830" s="631"/>
      <c r="F830" s="631"/>
      <c r="G830" s="631"/>
      <c r="H830" s="631"/>
      <c r="I830" s="520"/>
      <c r="J830" s="520"/>
      <c r="K830" s="450"/>
      <c r="L830" s="476"/>
      <c r="M830" s="459"/>
      <c r="N830" s="459"/>
      <c r="O830" s="459"/>
      <c r="P830" s="477"/>
      <c r="R830" s="490" t="str">
        <f>R829</f>
        <v>DELETE</v>
      </c>
    </row>
    <row r="831" spans="3:26" ht="36" customHeight="1" x14ac:dyDescent="0.5">
      <c r="C831" s="575"/>
      <c r="D831" s="631" t="str">
        <f>IF(TrialBalance!L231+TrialBalance!N231+TrialBalance!L242+TrialBalance!N242=0,"Purchases of plant and equipment",IF(SUM(TrialBalance!L251:L282)+SUM(TrialBalance!N252:N282)=0,"Purchases of property","Purchases of property, plant and equipment"))</f>
        <v>Purchases of plant and equipment</v>
      </c>
      <c r="E831" s="631"/>
      <c r="F831" s="631"/>
      <c r="G831" s="631"/>
      <c r="H831" s="631"/>
      <c r="I831" s="520"/>
      <c r="J831" s="520"/>
      <c r="K831" s="450"/>
      <c r="L831" s="469"/>
      <c r="M831" s="475">
        <f>-(+TrialBalance!L231+TrialBalance!L242+TrialBalance!L253+TrialBalance!L261+TrialBalance!L269+TrialBalance!L277)</f>
        <v>0</v>
      </c>
      <c r="N831" s="475"/>
      <c r="O831" s="475">
        <f>Criteria!F446</f>
        <v>0</v>
      </c>
      <c r="P831" s="478"/>
      <c r="R831" s="490" t="str">
        <f>IF(M831=0,IF(O831=0,"DELETE"," ")," ")</f>
        <v>DELETE</v>
      </c>
      <c r="S831" s="496">
        <f>M831</f>
        <v>0</v>
      </c>
      <c r="T831" s="496"/>
      <c r="U831" s="496">
        <f>O831</f>
        <v>0</v>
      </c>
      <c r="V831" s="496"/>
      <c r="W831" s="496"/>
      <c r="X831" s="496"/>
    </row>
    <row r="832" spans="3:26" ht="36" customHeight="1" x14ac:dyDescent="0.5">
      <c r="C832" s="575"/>
      <c r="D832" s="632" t="str">
        <f>IF((Y832+Z832)=3,"(Increase) / Decrease in intangibles",(IF((Y832+Z832=4),"Decrease in intangibles","Increase in intangibles")))</f>
        <v>Decrease in intangibles</v>
      </c>
      <c r="E832" s="631"/>
      <c r="F832" s="631"/>
      <c r="G832" s="631"/>
      <c r="H832" s="631"/>
      <c r="I832" s="520"/>
      <c r="J832" s="520"/>
      <c r="K832" s="450"/>
      <c r="L832" s="469"/>
      <c r="M832" s="475">
        <f>-TrialBalance!L286-TrialBalance!L295</f>
        <v>0</v>
      </c>
      <c r="N832" s="475"/>
      <c r="O832" s="475">
        <f>Criteria!F447</f>
        <v>0</v>
      </c>
      <c r="P832" s="478"/>
      <c r="R832" s="490" t="str">
        <f>IF(M832=0,IF(O832=0,"DELETE"," ")," ")</f>
        <v>DELETE</v>
      </c>
      <c r="S832" s="496">
        <f>M832</f>
        <v>0</v>
      </c>
      <c r="T832" s="496"/>
      <c r="U832" s="496">
        <f>O832</f>
        <v>0</v>
      </c>
      <c r="V832" s="496"/>
      <c r="W832" s="496"/>
      <c r="X832" s="496"/>
      <c r="Y832" s="491">
        <f>IF(M832&lt;0,1,IF(M832=0,IF(O832&lt;0,1,2),2))</f>
        <v>2</v>
      </c>
      <c r="Z832" s="491">
        <f>IF(O832&lt;0,1,IF(O832=0,IF(M832&lt;0,1,2),2))</f>
        <v>2</v>
      </c>
    </row>
    <row r="833" spans="3:29" ht="36" customHeight="1" x14ac:dyDescent="0.5">
      <c r="C833" s="575"/>
      <c r="D833" s="632" t="str">
        <f>IF((Y833+Z833)=3,CONCATENATE("(Increase) / Decrease in ",AC833),(IF((Y833+Z833=4),CONCATENATE("Decrease in ",AC833),CONCATENATE("Increase in ",AC833))))</f>
        <v>Decrease in investment</v>
      </c>
      <c r="E833" s="631"/>
      <c r="F833" s="631"/>
      <c r="G833" s="631"/>
      <c r="H833" s="631"/>
      <c r="I833" s="520"/>
      <c r="J833" s="520"/>
      <c r="K833" s="450"/>
      <c r="L833" s="469"/>
      <c r="M833" s="475">
        <f>SUM(TrialBalance!N302:N318)-SUM(TrialBalance!L302:L318)</f>
        <v>0</v>
      </c>
      <c r="N833" s="475"/>
      <c r="O833" s="475">
        <f>Criteria!F448</f>
        <v>0</v>
      </c>
      <c r="P833" s="478"/>
      <c r="R833" s="490" t="str">
        <f>IF(M833=0,IF(O833=0,"DELETE"," ")," ")</f>
        <v>DELETE</v>
      </c>
      <c r="S833" s="496">
        <f>M833</f>
        <v>0</v>
      </c>
      <c r="T833" s="496"/>
      <c r="U833" s="496">
        <f>O833</f>
        <v>0</v>
      </c>
      <c r="V833" s="496"/>
      <c r="W833" s="496"/>
      <c r="X833" s="496"/>
      <c r="Y833" s="491">
        <f>IF(M833&lt;0,1,IF(M833=0,IF(O833&lt;0,1,2),2))</f>
        <v>2</v>
      </c>
      <c r="Z833" s="491">
        <f>IF(O833&lt;0,1,IF(O833=0,IF(M833&lt;0,1,2),2))</f>
        <v>2</v>
      </c>
      <c r="AA833" s="491">
        <f>IF(COUNTIF(TrialBalance!L302:L318,"&gt;0")&gt;1,2,1)</f>
        <v>1</v>
      </c>
      <c r="AB833" s="39">
        <f>IF(COUNTIF(TrialBalance!N302:N318,"&gt;0")&gt;1,2,1)</f>
        <v>1</v>
      </c>
      <c r="AC833" s="492" t="str">
        <f>IF(AA833=1,IF(AB833=1,"investment","investments"),"investments")</f>
        <v>investment</v>
      </c>
    </row>
    <row r="834" spans="3:29" ht="36" customHeight="1" x14ac:dyDescent="0.5">
      <c r="C834" s="575"/>
      <c r="D834" s="632" t="str">
        <f>IF((Y834+Z834)=3,CONCATENATE("(Increase) / Decrease in non - current ",AC834),(IF((Y834+Z834=4),CONCATENATE("Decrease in non - current ",AC834),CONCATENATE("Increase in non - current ",AC834))))</f>
        <v>Decrease in non - current receivable</v>
      </c>
      <c r="E834" s="631"/>
      <c r="F834" s="631"/>
      <c r="G834" s="631"/>
      <c r="H834" s="631"/>
      <c r="I834" s="520"/>
      <c r="J834" s="520"/>
      <c r="K834" s="450"/>
      <c r="L834" s="469"/>
      <c r="M834" s="475">
        <f>SUM(TrialBalance!N319:N353)-SUM(TrialBalance!L319:L353)</f>
        <v>0</v>
      </c>
      <c r="N834" s="475"/>
      <c r="O834" s="475">
        <f>Criteria!F449</f>
        <v>0</v>
      </c>
      <c r="P834" s="478"/>
      <c r="R834" s="490" t="str">
        <f>IF(M834=0,IF(O834=0,"DELETE"," ")," ")</f>
        <v>DELETE</v>
      </c>
      <c r="S834" s="496">
        <f>M834</f>
        <v>0</v>
      </c>
      <c r="T834" s="496"/>
      <c r="U834" s="496">
        <f>O834</f>
        <v>0</v>
      </c>
      <c r="V834" s="496"/>
      <c r="W834" s="496"/>
      <c r="X834" s="496"/>
      <c r="Y834" s="491">
        <f>IF(M834&lt;0,1,IF(M834=0,IF(O834&lt;0,1,2),2))</f>
        <v>2</v>
      </c>
      <c r="Z834" s="491">
        <f>IF(O834&lt;0,1,IF(O834=0,IF(M834&lt;0,1,2),2))</f>
        <v>2</v>
      </c>
      <c r="AA834" s="491">
        <f>IF(COUNTIF(TrialBalance!L319:L353,"&gt;0")&gt;1,2,1)</f>
        <v>1</v>
      </c>
      <c r="AB834" s="39">
        <f>IF(COUNTIF(TrialBalance!N319:N353,"&gt;0")&gt;1,2,1)</f>
        <v>1</v>
      </c>
      <c r="AC834" s="492" t="str">
        <f>IF(AA834=1,IF(AB834=1,"receivable","receivables"),"receivables")</f>
        <v>receivable</v>
      </c>
    </row>
    <row r="835" spans="3:29" ht="36" customHeight="1" x14ac:dyDescent="0.5">
      <c r="C835" s="575"/>
      <c r="D835" s="639" t="str">
        <f>IF(TrialBalance!N232+TrialBalance!L232+TrialBalance!N243+TrialBalance!L243=0,"Proceeds on disposal of plant and equipment","Proceeds on disposal of property, plant and equipment")</f>
        <v>Proceeds on disposal of plant and equipment</v>
      </c>
      <c r="E835" s="631"/>
      <c r="F835" s="631"/>
      <c r="G835" s="631"/>
      <c r="H835" s="631"/>
      <c r="I835" s="520"/>
      <c r="J835" s="520"/>
      <c r="K835" s="450"/>
      <c r="L835" s="469"/>
      <c r="M835" s="475">
        <f>-(+TrialBalance!L232+TrialBalance!L238+TrialBalance!L243+TrialBalance!L249+TrialBalance!L254+TrialBalance!L258+TrialBalance!L262+TrialBalance!L266+TrialBalance!L270+TrialBalance!L274+TrialBalance!L278+TrialBalance!L282)-TrialBalance!L94-TrialBalanceA!I94-TrialBalanceB!I94-TrialBalanceC!I94</f>
        <v>0</v>
      </c>
      <c r="N835" s="475"/>
      <c r="O835" s="475">
        <f>Criteria!F450</f>
        <v>0</v>
      </c>
      <c r="P835" s="478"/>
      <c r="R835" s="490" t="str">
        <f>IF(M835=0,IF(O835=0,"DELETE"," ")," ")</f>
        <v>DELETE</v>
      </c>
      <c r="S835" s="496">
        <f>M835</f>
        <v>0</v>
      </c>
      <c r="T835" s="496"/>
      <c r="U835" s="496">
        <f>O835</f>
        <v>0</v>
      </c>
      <c r="V835" s="496"/>
      <c r="W835" s="496"/>
      <c r="X835" s="496"/>
    </row>
    <row r="836" spans="3:29" ht="9" customHeight="1" x14ac:dyDescent="0.5">
      <c r="C836" s="575"/>
      <c r="D836" s="631"/>
      <c r="E836" s="631"/>
      <c r="F836" s="631"/>
      <c r="G836" s="631"/>
      <c r="H836" s="631"/>
      <c r="I836" s="520"/>
      <c r="J836" s="520"/>
      <c r="K836" s="450"/>
      <c r="L836" s="480"/>
      <c r="M836" s="461"/>
      <c r="N836" s="461"/>
      <c r="O836" s="461"/>
      <c r="P836" s="481"/>
      <c r="R836" s="490" t="str">
        <f>R828</f>
        <v>DELETE</v>
      </c>
    </row>
    <row r="837" spans="3:29" ht="9" customHeight="1" x14ac:dyDescent="0.5">
      <c r="C837" s="575"/>
      <c r="D837" s="631"/>
      <c r="E837" s="631"/>
      <c r="F837" s="631"/>
      <c r="G837" s="631"/>
      <c r="H837" s="631"/>
      <c r="I837" s="520"/>
      <c r="J837" s="520"/>
      <c r="K837" s="450"/>
      <c r="L837" s="450"/>
      <c r="M837" s="458"/>
      <c r="N837" s="458"/>
      <c r="O837" s="458"/>
      <c r="P837" s="454"/>
      <c r="R837" s="490" t="str">
        <f>R836</f>
        <v>DELETE</v>
      </c>
    </row>
    <row r="838" spans="3:29" ht="36" customHeight="1" x14ac:dyDescent="0.5">
      <c r="C838" s="575"/>
      <c r="D838" s="631"/>
      <c r="E838" s="631"/>
      <c r="F838" s="631"/>
      <c r="G838" s="631"/>
      <c r="H838" s="631"/>
      <c r="I838" s="520"/>
      <c r="J838" s="520"/>
      <c r="K838" s="450"/>
      <c r="L838" s="450"/>
      <c r="M838" s="458"/>
      <c r="N838" s="458"/>
      <c r="O838" s="458"/>
      <c r="P838" s="454"/>
      <c r="R838" s="490" t="str">
        <f>R839</f>
        <v>DELETE</v>
      </c>
    </row>
    <row r="839" spans="3:29" ht="36" customHeight="1" x14ac:dyDescent="0.5">
      <c r="C839" s="451"/>
      <c r="D839" s="630" t="s">
        <v>1509</v>
      </c>
      <c r="E839" s="631"/>
      <c r="F839" s="631"/>
      <c r="G839" s="631"/>
      <c r="H839" s="631"/>
      <c r="I839" s="520"/>
      <c r="J839" s="520"/>
      <c r="K839" s="450"/>
      <c r="L839" s="450"/>
      <c r="M839" s="458">
        <f>SUM(M842:M846)</f>
        <v>0</v>
      </c>
      <c r="N839" s="458"/>
      <c r="O839" s="458">
        <f>SUM(O842:O846)</f>
        <v>0</v>
      </c>
      <c r="P839" s="454"/>
      <c r="R839" s="490" t="str">
        <f>IF(M839=0,IF(O839=0,"DELETE"," ")," ")</f>
        <v>DELETE</v>
      </c>
    </row>
    <row r="840" spans="3:29" ht="9" customHeight="1" x14ac:dyDescent="0.5">
      <c r="C840" s="575"/>
      <c r="D840" s="631"/>
      <c r="E840" s="631"/>
      <c r="F840" s="631"/>
      <c r="G840" s="631"/>
      <c r="H840" s="631"/>
      <c r="I840" s="520"/>
      <c r="J840" s="520"/>
      <c r="K840" s="450"/>
      <c r="L840" s="450"/>
      <c r="M840" s="458"/>
      <c r="N840" s="458"/>
      <c r="O840" s="458"/>
      <c r="P840" s="454"/>
      <c r="R840" s="490" t="str">
        <f>R839</f>
        <v>DELETE</v>
      </c>
    </row>
    <row r="841" spans="3:29" ht="9" customHeight="1" x14ac:dyDescent="0.5">
      <c r="C841" s="575"/>
      <c r="D841" s="631"/>
      <c r="E841" s="631"/>
      <c r="F841" s="631"/>
      <c r="G841" s="631"/>
      <c r="H841" s="631"/>
      <c r="I841" s="520"/>
      <c r="J841" s="520"/>
      <c r="K841" s="450"/>
      <c r="L841" s="476"/>
      <c r="M841" s="459"/>
      <c r="N841" s="459"/>
      <c r="O841" s="459"/>
      <c r="P841" s="477"/>
      <c r="R841" s="490" t="str">
        <f>R840</f>
        <v>DELETE</v>
      </c>
    </row>
    <row r="842" spans="3:29" ht="36" customHeight="1" x14ac:dyDescent="0.5">
      <c r="C842" s="575"/>
      <c r="D842" s="631" t="s">
        <v>601</v>
      </c>
      <c r="E842" s="631"/>
      <c r="F842" s="631"/>
      <c r="G842" s="631"/>
      <c r="H842" s="631"/>
      <c r="I842" s="520"/>
      <c r="J842" s="520"/>
      <c r="K842" s="450"/>
      <c r="L842" s="469"/>
      <c r="M842" s="475">
        <f>-TrialBalance!L171</f>
        <v>0</v>
      </c>
      <c r="N842" s="475"/>
      <c r="O842" s="475">
        <f>Criteria!F457</f>
        <v>0</v>
      </c>
      <c r="P842" s="478"/>
      <c r="R842" s="490" t="str">
        <f>IF(M842=0,IF(O842=0,"DELETE"," ")," ")</f>
        <v>DELETE</v>
      </c>
      <c r="S842" s="496">
        <f>M842</f>
        <v>0</v>
      </c>
      <c r="T842" s="496"/>
      <c r="U842" s="496">
        <f>O842</f>
        <v>0</v>
      </c>
      <c r="V842" s="496"/>
      <c r="W842" s="496"/>
      <c r="X842" s="496"/>
    </row>
    <row r="843" spans="3:29" ht="36" customHeight="1" x14ac:dyDescent="0.5">
      <c r="C843" s="575"/>
      <c r="D843" s="632" t="str">
        <f>IF((Y843+Z843)=3,CONCATENATE("Increase / (Decrease) in share premium",AC843),IF((Y843+Z843=4),CONCATENATE("Increase in share premium",AC843),CONCATENATE("Decrease in share premium",AC843)))</f>
        <v>Increase in share premium</v>
      </c>
      <c r="E843" s="631"/>
      <c r="F843" s="631"/>
      <c r="G843" s="631"/>
      <c r="H843" s="631"/>
      <c r="I843" s="520"/>
      <c r="J843" s="520"/>
      <c r="K843" s="450"/>
      <c r="L843" s="469"/>
      <c r="M843" s="475">
        <f>-TrialBalance!L174-TrialBalance!L175</f>
        <v>0</v>
      </c>
      <c r="N843" s="475"/>
      <c r="O843" s="475">
        <f>Criteria!F458</f>
        <v>0</v>
      </c>
      <c r="P843" s="478"/>
      <c r="R843" s="490" t="str">
        <f t="shared" ref="R843" si="13">IF(M843=0,IF(O843=0,"DELETE"," ")," ")</f>
        <v>DELETE</v>
      </c>
      <c r="S843" s="496">
        <f t="shared" ref="S843" si="14">M843</f>
        <v>0</v>
      </c>
      <c r="T843" s="496"/>
      <c r="U843" s="496">
        <f t="shared" ref="U843" si="15">O843</f>
        <v>0</v>
      </c>
      <c r="V843" s="496"/>
      <c r="W843" s="496"/>
      <c r="X843" s="496"/>
      <c r="Y843" s="491">
        <f>IF(M843&lt;0,1,IF(M843=0,IF(O843&lt;0,1,2),2))</f>
        <v>2</v>
      </c>
      <c r="Z843" s="491">
        <f>IF(O843&lt;0,1,IF(O843=0,IF(M843&lt;0,1,2),2))</f>
        <v>2</v>
      </c>
    </row>
    <row r="844" spans="3:29" ht="36" customHeight="1" x14ac:dyDescent="0.5">
      <c r="C844" s="575"/>
      <c r="D844" s="632" t="str">
        <f>IF((Y844+Z844)=3,CONCATENATE("Increase / (Decrease) in interest bearing ",AC844),IF((Y844+Z844=4),CONCATENATE("Increase in interest bearing ",AC844),CONCATENATE("Decrease in interest bearing ",AC844)))</f>
        <v>Increase in interest bearing borrowing</v>
      </c>
      <c r="E844" s="631"/>
      <c r="F844" s="631"/>
      <c r="G844" s="631"/>
      <c r="H844" s="631"/>
      <c r="I844" s="520"/>
      <c r="J844" s="520"/>
      <c r="K844" s="450"/>
      <c r="L844" s="469"/>
      <c r="M844" s="475">
        <f>SUM(TrialBalance!N185:N201)-SUM(TrialBalance!L185:L201)</f>
        <v>0</v>
      </c>
      <c r="N844" s="475"/>
      <c r="O844" s="475">
        <f>Criteria!F459</f>
        <v>0</v>
      </c>
      <c r="P844" s="478"/>
      <c r="R844" s="490" t="str">
        <f>IF(M844=0,IF(O844=0,"DELETE"," ")," ")</f>
        <v>DELETE</v>
      </c>
      <c r="S844" s="496">
        <f>M844</f>
        <v>0</v>
      </c>
      <c r="T844" s="496"/>
      <c r="U844" s="496">
        <f>O844</f>
        <v>0</v>
      </c>
      <c r="V844" s="496"/>
      <c r="W844" s="496"/>
      <c r="X844" s="496"/>
      <c r="Y844" s="491">
        <f>IF(M844&lt;0,1,IF(M844=0,IF(O844&lt;0,1,2),2))</f>
        <v>2</v>
      </c>
      <c r="Z844" s="491">
        <f>IF(O844&lt;0,1,IF(O844=0,IF(M844&lt;0,1,2),2))</f>
        <v>2</v>
      </c>
      <c r="AA844" s="491">
        <f>IF(COUNTIF(TrialBalance!L186:L200,"&lt;0")&gt;1,2,1)</f>
        <v>1</v>
      </c>
      <c r="AB844" s="39">
        <f>IF(COUNTIF(TrialBalance!N186:N200,"&lt;0")&gt;1,2,1)</f>
        <v>1</v>
      </c>
      <c r="AC844" s="492" t="str">
        <f>IF(AA844=1,IF(AB844=1,"borrowing","borrowings"),"borrowings")</f>
        <v>borrowing</v>
      </c>
    </row>
    <row r="845" spans="3:29" ht="36" customHeight="1" x14ac:dyDescent="0.5">
      <c r="C845" s="575"/>
      <c r="D845" s="632" t="str">
        <f>IF((Y845+Z845)=3,CONCATENATE("Increase / (Decrease) in interest free ",AC845),IF((Y845+Z845=4),CONCATENATE("Increase in interest free ",AC845),CONCATENATE("Decrease in interest free ",AC845)))</f>
        <v>Increase in interest free borrowing</v>
      </c>
      <c r="E845" s="631"/>
      <c r="F845" s="631"/>
      <c r="G845" s="631"/>
      <c r="H845" s="631"/>
      <c r="I845" s="520"/>
      <c r="J845" s="520"/>
      <c r="K845" s="450"/>
      <c r="L845" s="469"/>
      <c r="M845" s="475">
        <f>+SUM(TrialBalance!N202:N219)-SUM(TrialBalance!L202:L219)</f>
        <v>0</v>
      </c>
      <c r="N845" s="475"/>
      <c r="O845" s="475">
        <f>Criteria!F460</f>
        <v>0</v>
      </c>
      <c r="P845" s="478"/>
      <c r="R845" s="490" t="str">
        <f>IF(M845=0,IF(O845=0,"DELETE"," ")," ")</f>
        <v>DELETE</v>
      </c>
      <c r="S845" s="496">
        <f>M845</f>
        <v>0</v>
      </c>
      <c r="T845" s="496"/>
      <c r="U845" s="496">
        <f>O845</f>
        <v>0</v>
      </c>
      <c r="V845" s="496"/>
      <c r="W845" s="496"/>
      <c r="X845" s="496"/>
      <c r="Y845" s="491">
        <f>IF(M845&lt;0,1,IF(M845=0,IF(O845&lt;0,1,2),2))</f>
        <v>2</v>
      </c>
      <c r="Z845" s="491">
        <f>IF(O845&lt;0,1,IF(O845=0,IF(M845&lt;0,1,2),2))</f>
        <v>2</v>
      </c>
      <c r="AA845" s="491">
        <f>IF(COUNTIF(TrialBalance!L203:L219,"&lt;0")&gt;1,2,1)</f>
        <v>1</v>
      </c>
      <c r="AB845" s="39">
        <f>IF(COUNTIF(TrialBalance!N203:N219,"&lt;0")&gt;1,2,1)</f>
        <v>1</v>
      </c>
      <c r="AC845" s="492" t="str">
        <f>IF(AA845=1,IF(AB845=1,"borrowing","borrowings"),"borrowings")</f>
        <v>borrowing</v>
      </c>
    </row>
    <row r="846" spans="3:29" ht="36" customHeight="1" x14ac:dyDescent="0.5">
      <c r="C846" s="575"/>
      <c r="D846" s="632" t="str">
        <f>IF((Y846+Z846)=3,CONCATENATE("Increase / (Decrease) in short term ",AC846),IF((Y846+Z846=4),CONCATENATE("Increase in short term ",AC846),CONCATENATE("Decrease in short term ",AC846)))</f>
        <v>Increase in short term loan</v>
      </c>
      <c r="E846" s="631"/>
      <c r="F846" s="631"/>
      <c r="G846" s="631"/>
      <c r="H846" s="631"/>
      <c r="I846" s="520"/>
      <c r="J846" s="520"/>
      <c r="K846" s="450"/>
      <c r="L846" s="469"/>
      <c r="M846" s="475">
        <f>SUM(TrialBalance!N374:N378)-SUM(TrialBalance!L374:L378)</f>
        <v>0</v>
      </c>
      <c r="N846" s="475"/>
      <c r="O846" s="475">
        <f>Criteria!F461</f>
        <v>0</v>
      </c>
      <c r="P846" s="478"/>
      <c r="R846" s="490" t="str">
        <f>IF(M846=0,IF(O846=0,"DELETE"," ")," ")</f>
        <v>DELETE</v>
      </c>
      <c r="S846" s="496">
        <f>M846</f>
        <v>0</v>
      </c>
      <c r="T846" s="496"/>
      <c r="U846" s="496">
        <f>O846</f>
        <v>0</v>
      </c>
      <c r="V846" s="496"/>
      <c r="W846" s="496"/>
      <c r="X846" s="496"/>
      <c r="Y846" s="491">
        <f>IF(M846&lt;0,1,IF(M846=0,IF(O846&lt;0,1,2),2))</f>
        <v>2</v>
      </c>
      <c r="Z846" s="491">
        <f>IF(O846&lt;0,1,IF(O846=0,IF(M846&lt;0,1,2),2))</f>
        <v>2</v>
      </c>
      <c r="AA846" s="491">
        <f>IF(COUNTIF(TrialBalance!L375:L378,"&lt;0")&gt;1,2,1)</f>
        <v>1</v>
      </c>
      <c r="AB846" s="39">
        <f>IF(COUNTIF(TrialBalance!N375:N378,"&lt;0")&gt;1,2,1)</f>
        <v>1</v>
      </c>
      <c r="AC846" s="492" t="str">
        <f>IF(AA846=1,IF(AB846=1,"loan","loans"),"loans")</f>
        <v>loan</v>
      </c>
    </row>
    <row r="847" spans="3:29" ht="9" customHeight="1" x14ac:dyDescent="0.5">
      <c r="C847" s="575"/>
      <c r="D847" s="631"/>
      <c r="E847" s="631"/>
      <c r="F847" s="631"/>
      <c r="G847" s="631"/>
      <c r="H847" s="631"/>
      <c r="I847" s="520"/>
      <c r="J847" s="520"/>
      <c r="K847" s="450"/>
      <c r="L847" s="480"/>
      <c r="M847" s="461"/>
      <c r="N847" s="461"/>
      <c r="O847" s="461"/>
      <c r="P847" s="481"/>
      <c r="R847" s="490" t="str">
        <f>R839</f>
        <v>DELETE</v>
      </c>
    </row>
    <row r="848" spans="3:29" ht="9" customHeight="1" x14ac:dyDescent="0.5">
      <c r="C848" s="575"/>
      <c r="D848" s="631"/>
      <c r="E848" s="631"/>
      <c r="F848" s="631"/>
      <c r="G848" s="631"/>
      <c r="H848" s="631"/>
      <c r="I848" s="520"/>
      <c r="J848" s="520"/>
      <c r="K848" s="450"/>
      <c r="L848" s="467"/>
      <c r="M848" s="461"/>
      <c r="N848" s="461"/>
      <c r="O848" s="461"/>
      <c r="P848" s="468"/>
    </row>
    <row r="849" spans="3:26" ht="9" customHeight="1" x14ac:dyDescent="0.5">
      <c r="C849" s="575"/>
      <c r="D849" s="631"/>
      <c r="E849" s="631"/>
      <c r="F849" s="631"/>
      <c r="G849" s="631"/>
      <c r="H849" s="631"/>
      <c r="I849" s="520"/>
      <c r="J849" s="520"/>
      <c r="K849" s="450"/>
      <c r="L849" s="450"/>
      <c r="M849" s="458"/>
      <c r="N849" s="458"/>
      <c r="O849" s="458"/>
      <c r="P849" s="454"/>
    </row>
    <row r="850" spans="3:26" ht="36" customHeight="1" x14ac:dyDescent="0.5">
      <c r="C850" s="451"/>
      <c r="D850" s="636" t="str">
        <f>IF((Y850+Z850)=3,"Net increase/(decrease) in cash and",(IF((Y850+Z850=4),"Net increase in cash and","Net decrease in cash and")))</f>
        <v>Net increase in cash and</v>
      </c>
      <c r="E850" s="631"/>
      <c r="F850" s="631"/>
      <c r="G850" s="631"/>
      <c r="H850" s="631"/>
      <c r="I850" s="520"/>
      <c r="J850" s="520"/>
      <c r="K850" s="450"/>
      <c r="L850" s="450"/>
      <c r="M850" s="458"/>
      <c r="N850" s="458"/>
      <c r="O850" s="458"/>
      <c r="P850" s="454"/>
      <c r="Y850" s="491">
        <f>IF(M851&lt;0,1,IF(M851=0,IF(O851&lt;0,1,2),2))</f>
        <v>2</v>
      </c>
      <c r="Z850" s="491">
        <f>IF(O851&lt;0,1,IF(O851=0,IF(M851&lt;0,1,2),2))</f>
        <v>2</v>
      </c>
    </row>
    <row r="851" spans="3:26" ht="36" customHeight="1" x14ac:dyDescent="0.5">
      <c r="C851" s="451"/>
      <c r="D851" s="630" t="s">
        <v>1510</v>
      </c>
      <c r="E851" s="631"/>
      <c r="F851" s="631"/>
      <c r="G851" s="631"/>
      <c r="H851" s="631"/>
      <c r="I851" s="520"/>
      <c r="J851" s="520"/>
      <c r="K851" s="450"/>
      <c r="L851" s="450"/>
      <c r="M851" s="458">
        <f>SUM(S801:S847)</f>
        <v>0</v>
      </c>
      <c r="N851" s="458"/>
      <c r="O851" s="458">
        <f>SUM(U801:U847)</f>
        <v>0</v>
      </c>
      <c r="P851" s="454"/>
    </row>
    <row r="852" spans="3:26" ht="36" customHeight="1" x14ac:dyDescent="0.5">
      <c r="C852" s="575"/>
      <c r="D852" s="631"/>
      <c r="E852" s="631"/>
      <c r="F852" s="631"/>
      <c r="G852" s="631"/>
      <c r="H852" s="631"/>
      <c r="I852" s="520"/>
      <c r="J852" s="520"/>
      <c r="K852" s="450"/>
      <c r="L852" s="450"/>
      <c r="M852" s="458"/>
      <c r="N852" s="458"/>
      <c r="O852" s="458"/>
      <c r="P852" s="454"/>
    </row>
    <row r="853" spans="3:26" ht="36" customHeight="1" x14ac:dyDescent="0.5">
      <c r="C853" s="451"/>
      <c r="D853" s="630" t="s">
        <v>750</v>
      </c>
      <c r="E853" s="631"/>
      <c r="F853" s="631"/>
      <c r="G853" s="631"/>
      <c r="H853" s="631"/>
      <c r="I853" s="520"/>
      <c r="J853" s="520"/>
      <c r="K853" s="450"/>
      <c r="L853" s="450"/>
      <c r="M853" s="451"/>
      <c r="N853" s="451"/>
      <c r="O853" s="451"/>
      <c r="P853" s="454"/>
      <c r="V853" s="491" t="b">
        <f>M854=O858</f>
        <v>1</v>
      </c>
    </row>
    <row r="854" spans="3:26" ht="36" customHeight="1" x14ac:dyDescent="0.5">
      <c r="C854" s="575"/>
      <c r="D854" s="631" t="s">
        <v>186</v>
      </c>
      <c r="E854" s="631"/>
      <c r="F854" s="631"/>
      <c r="G854" s="631"/>
      <c r="H854" s="631"/>
      <c r="I854" s="520"/>
      <c r="J854" s="520"/>
      <c r="K854" s="450"/>
      <c r="L854" s="450"/>
      <c r="M854" s="458">
        <f>SUM(TrialBalance!N367:N373)</f>
        <v>0</v>
      </c>
      <c r="N854" s="458"/>
      <c r="O854" s="458">
        <f>Criteria!F469</f>
        <v>0</v>
      </c>
      <c r="P854" s="454"/>
    </row>
    <row r="855" spans="3:26" ht="9" customHeight="1" x14ac:dyDescent="0.5">
      <c r="C855" s="575"/>
      <c r="D855" s="631"/>
      <c r="E855" s="631"/>
      <c r="F855" s="631"/>
      <c r="G855" s="631"/>
      <c r="H855" s="631"/>
      <c r="I855" s="520"/>
      <c r="J855" s="520"/>
      <c r="K855" s="450"/>
      <c r="L855" s="467"/>
      <c r="M855" s="461"/>
      <c r="N855" s="461"/>
      <c r="O855" s="461"/>
      <c r="P855" s="468"/>
    </row>
    <row r="856" spans="3:26" ht="9" customHeight="1" x14ac:dyDescent="0.5">
      <c r="C856" s="575"/>
      <c r="D856" s="631"/>
      <c r="E856" s="631"/>
      <c r="F856" s="631"/>
      <c r="G856" s="631"/>
      <c r="H856" s="631"/>
      <c r="I856" s="520"/>
      <c r="J856" s="520"/>
      <c r="K856" s="450"/>
      <c r="L856" s="450"/>
      <c r="M856" s="458"/>
      <c r="N856" s="458"/>
      <c r="O856" s="458"/>
      <c r="P856" s="454"/>
    </row>
    <row r="857" spans="3:26" ht="36" customHeight="1" x14ac:dyDescent="0.5">
      <c r="C857" s="451"/>
      <c r="D857" s="630" t="s">
        <v>750</v>
      </c>
      <c r="E857" s="631"/>
      <c r="F857" s="631"/>
      <c r="G857" s="631"/>
      <c r="H857" s="631"/>
      <c r="I857" s="520"/>
      <c r="J857" s="520"/>
      <c r="K857" s="450"/>
      <c r="L857" s="450"/>
      <c r="M857" s="458"/>
      <c r="N857" s="458"/>
      <c r="O857" s="458"/>
      <c r="P857" s="454"/>
    </row>
    <row r="858" spans="3:26" ht="36" customHeight="1" x14ac:dyDescent="0.5">
      <c r="C858" s="575"/>
      <c r="D858" s="631" t="s">
        <v>187</v>
      </c>
      <c r="E858" s="631"/>
      <c r="F858" s="631"/>
      <c r="G858" s="631"/>
      <c r="H858" s="631"/>
      <c r="I858" s="520"/>
      <c r="J858" s="520"/>
      <c r="K858" s="450">
        <f>B2223</f>
        <v>20</v>
      </c>
      <c r="L858" s="450"/>
      <c r="M858" s="458">
        <f>SUM(M851:M856)</f>
        <v>0</v>
      </c>
      <c r="N858" s="458"/>
      <c r="O858" s="458">
        <f>SUM(O851:O856)</f>
        <v>0</v>
      </c>
      <c r="P858" s="454"/>
      <c r="V858" s="39" t="b">
        <f>M858=SUM(TrialBalance!L367:L373)</f>
        <v>1</v>
      </c>
      <c r="W858" s="492"/>
      <c r="X858" s="39" t="b">
        <f>O858=SUM(TrialBalance!N367:N373)</f>
        <v>1</v>
      </c>
    </row>
    <row r="859" spans="3:26" ht="9" customHeight="1" thickBot="1" x14ac:dyDescent="0.55000000000000004">
      <c r="C859" s="520"/>
      <c r="D859" s="631"/>
      <c r="E859" s="631"/>
      <c r="F859" s="631"/>
      <c r="G859" s="631"/>
      <c r="H859" s="631"/>
      <c r="I859" s="520"/>
      <c r="J859" s="520"/>
      <c r="L859" s="482"/>
      <c r="M859" s="552"/>
      <c r="N859" s="552"/>
      <c r="O859" s="552"/>
      <c r="P859" s="553"/>
      <c r="V859" s="496"/>
      <c r="W859" s="496"/>
    </row>
    <row r="860" spans="3:26" ht="9" customHeight="1" thickTop="1" x14ac:dyDescent="0.5">
      <c r="C860" s="520"/>
      <c r="D860" s="631"/>
      <c r="E860" s="631"/>
      <c r="F860" s="631"/>
      <c r="G860" s="631"/>
      <c r="H860" s="631"/>
      <c r="I860" s="520"/>
      <c r="J860" s="520"/>
      <c r="M860" s="541"/>
      <c r="N860" s="541"/>
      <c r="O860" s="541"/>
    </row>
    <row r="861" spans="3:26" ht="36" customHeight="1" x14ac:dyDescent="0.5">
      <c r="C861" s="520"/>
      <c r="D861" s="631"/>
      <c r="E861" s="631"/>
      <c r="F861" s="631"/>
      <c r="G861" s="631"/>
      <c r="H861" s="631"/>
      <c r="I861" s="520"/>
      <c r="J861" s="520"/>
      <c r="M861" s="541"/>
      <c r="N861" s="541"/>
      <c r="O861" s="541"/>
      <c r="R861" s="635"/>
      <c r="V861" s="496"/>
      <c r="W861" s="496"/>
    </row>
    <row r="862" spans="3:26" ht="36" customHeight="1" x14ac:dyDescent="0.5">
      <c r="C862" s="520"/>
      <c r="D862" s="631"/>
      <c r="E862" s="631"/>
      <c r="F862" s="631"/>
      <c r="G862" s="631"/>
      <c r="H862" s="631"/>
      <c r="I862" s="520"/>
      <c r="J862" s="520"/>
      <c r="M862" s="540"/>
      <c r="O862" s="540"/>
    </row>
    <row r="863" spans="3:26" ht="36" customHeight="1" x14ac:dyDescent="0.5">
      <c r="C863" s="631"/>
      <c r="D863" s="631"/>
      <c r="E863" s="631"/>
      <c r="F863" s="631"/>
      <c r="G863" s="631"/>
      <c r="H863" s="631"/>
      <c r="M863" s="540"/>
      <c r="O863" s="454" t="s">
        <v>112</v>
      </c>
      <c r="Q863" s="450">
        <f>MAX($Q$103:Q862)+1</f>
        <v>17</v>
      </c>
    </row>
    <row r="864" spans="3:26" ht="36" customHeight="1" x14ac:dyDescent="0.5">
      <c r="C864" s="631"/>
      <c r="D864" s="630" t="str">
        <f>Criteria!E9</f>
        <v>ABC COMPANY (PROPRIETARY) LIMITED</v>
      </c>
      <c r="E864" s="631"/>
      <c r="F864" s="631"/>
      <c r="G864" s="631"/>
      <c r="H864" s="631"/>
      <c r="I864" s="520"/>
      <c r="J864" s="520"/>
      <c r="M864" s="540"/>
      <c r="O864" s="451"/>
      <c r="P864" s="451"/>
      <c r="Q864" s="451"/>
    </row>
    <row r="865" spans="2:18" ht="36" customHeight="1" x14ac:dyDescent="0.5">
      <c r="C865" s="631"/>
      <c r="D865" s="630" t="str">
        <f>Criteria!E10</f>
        <v>T/A SEAFRONT HOTEL, ABC RESTAURANT AND RENTAL PROPERTIES</v>
      </c>
      <c r="E865" s="631"/>
      <c r="F865" s="631"/>
      <c r="G865" s="631"/>
      <c r="H865" s="631"/>
      <c r="I865" s="520"/>
      <c r="J865" s="520"/>
      <c r="M865" s="540"/>
      <c r="O865" s="540"/>
      <c r="R865" s="490" t="str">
        <f>IF(D865=0,"DELETE"," ")</f>
        <v xml:space="preserve"> </v>
      </c>
    </row>
    <row r="866" spans="2:18" ht="36" customHeight="1" x14ac:dyDescent="0.5">
      <c r="C866" s="631"/>
      <c r="D866" s="631"/>
      <c r="E866" s="631"/>
      <c r="F866" s="631"/>
      <c r="G866" s="631"/>
      <c r="H866" s="631"/>
      <c r="I866" s="520"/>
      <c r="J866" s="520"/>
      <c r="M866" s="540"/>
      <c r="O866" s="540"/>
    </row>
    <row r="867" spans="2:18" ht="36" customHeight="1" x14ac:dyDescent="0.5">
      <c r="C867" s="631"/>
      <c r="D867" s="630" t="s">
        <v>415</v>
      </c>
      <c r="E867" s="631"/>
      <c r="F867" s="631"/>
      <c r="G867" s="631"/>
      <c r="H867" s="631"/>
      <c r="I867" s="520"/>
      <c r="J867" s="520"/>
      <c r="M867" s="540"/>
      <c r="O867" s="540"/>
    </row>
    <row r="868" spans="2:18" ht="36" customHeight="1" x14ac:dyDescent="0.5">
      <c r="C868" s="631"/>
      <c r="D868" s="630" t="str">
        <f>Criteria!E20</f>
        <v>28 FEBRUARY 2026</v>
      </c>
      <c r="E868" s="631"/>
      <c r="F868" s="631"/>
      <c r="G868" s="631"/>
      <c r="H868" s="631"/>
      <c r="I868" s="520"/>
      <c r="J868" s="520"/>
      <c r="M868" s="540"/>
      <c r="O868" s="540"/>
    </row>
    <row r="869" spans="2:18" ht="36" customHeight="1" x14ac:dyDescent="0.5">
      <c r="C869" s="631"/>
      <c r="D869" s="631"/>
      <c r="E869" s="631"/>
      <c r="F869" s="631"/>
      <c r="G869" s="631"/>
      <c r="H869" s="631"/>
      <c r="I869" s="520"/>
      <c r="J869" s="520"/>
      <c r="M869" s="540"/>
      <c r="O869" s="540"/>
    </row>
    <row r="870" spans="2:18" ht="36" customHeight="1" x14ac:dyDescent="0.5">
      <c r="B870" s="457"/>
      <c r="C870" s="649"/>
      <c r="D870" s="649"/>
      <c r="E870" s="649"/>
      <c r="F870" s="649"/>
      <c r="G870" s="649"/>
      <c r="H870" s="649"/>
      <c r="I870" s="591"/>
      <c r="J870" s="591"/>
      <c r="K870" s="457"/>
      <c r="L870" s="457"/>
      <c r="M870" s="551"/>
      <c r="N870" s="551"/>
      <c r="O870" s="551"/>
      <c r="P870" s="551"/>
      <c r="Q870" s="457"/>
    </row>
    <row r="871" spans="2:18" ht="36" customHeight="1" x14ac:dyDescent="0.5">
      <c r="B871" s="501">
        <v>1</v>
      </c>
      <c r="C871" s="630" t="s">
        <v>1512</v>
      </c>
      <c r="D871" s="631"/>
      <c r="E871" s="631"/>
      <c r="F871" s="631"/>
      <c r="G871" s="631"/>
      <c r="H871" s="631"/>
      <c r="I871" s="520"/>
      <c r="J871" s="520"/>
      <c r="M871" s="545"/>
      <c r="N871" s="545"/>
      <c r="O871" s="545"/>
      <c r="P871" s="545"/>
    </row>
    <row r="872" spans="2:18" ht="36" customHeight="1" x14ac:dyDescent="0.5">
      <c r="B872" s="501"/>
      <c r="C872" s="630"/>
      <c r="D872" s="631"/>
      <c r="E872" s="631"/>
      <c r="F872" s="631"/>
      <c r="G872" s="631"/>
      <c r="H872" s="631"/>
      <c r="I872" s="520"/>
      <c r="J872" s="520"/>
      <c r="M872" s="545"/>
      <c r="N872" s="545"/>
      <c r="O872" s="545"/>
      <c r="P872" s="545"/>
    </row>
    <row r="873" spans="2:18" ht="36" customHeight="1" x14ac:dyDescent="0.5">
      <c r="B873" s="501"/>
      <c r="C873" s="630"/>
      <c r="D873" s="631" t="s">
        <v>1548</v>
      </c>
      <c r="E873" s="631"/>
      <c r="F873" s="631"/>
      <c r="G873" s="631"/>
      <c r="H873" s="631"/>
      <c r="I873" s="520"/>
      <c r="J873" s="520"/>
      <c r="K873" s="520"/>
      <c r="M873" s="545"/>
      <c r="N873" s="545"/>
      <c r="O873" s="545"/>
      <c r="P873" s="545"/>
    </row>
    <row r="874" spans="2:18" ht="36" customHeight="1" x14ac:dyDescent="0.5">
      <c r="B874" s="501"/>
      <c r="C874" s="630"/>
      <c r="D874" s="631" t="s">
        <v>1550</v>
      </c>
      <c r="E874" s="631"/>
      <c r="F874" s="631"/>
      <c r="G874" s="631"/>
      <c r="H874" s="631"/>
      <c r="I874" s="520"/>
      <c r="J874" s="520"/>
      <c r="K874" s="520"/>
      <c r="M874" s="545"/>
      <c r="N874" s="545"/>
      <c r="O874" s="545"/>
      <c r="P874" s="545"/>
    </row>
    <row r="875" spans="2:18" ht="36" customHeight="1" x14ac:dyDescent="0.5">
      <c r="B875" s="501"/>
      <c r="C875" s="630"/>
      <c r="D875" s="631" t="s">
        <v>1549</v>
      </c>
      <c r="E875" s="631"/>
      <c r="F875" s="631"/>
      <c r="G875" s="631"/>
      <c r="H875" s="631"/>
      <c r="I875" s="520"/>
      <c r="J875" s="520"/>
      <c r="K875" s="520"/>
      <c r="M875" s="545"/>
      <c r="N875" s="545"/>
      <c r="O875" s="545"/>
      <c r="P875" s="545"/>
    </row>
    <row r="876" spans="2:18" ht="36" customHeight="1" x14ac:dyDescent="0.5">
      <c r="B876" s="501"/>
      <c r="C876" s="630"/>
      <c r="D876" s="631" t="s">
        <v>1552</v>
      </c>
      <c r="E876" s="631"/>
      <c r="F876" s="631"/>
      <c r="G876" s="631"/>
      <c r="H876" s="631"/>
      <c r="I876" s="520"/>
      <c r="J876" s="520"/>
      <c r="K876" s="520"/>
      <c r="M876" s="545"/>
      <c r="N876" s="545"/>
      <c r="O876" s="545"/>
      <c r="P876" s="545"/>
    </row>
    <row r="877" spans="2:18" ht="36" customHeight="1" x14ac:dyDescent="0.5">
      <c r="B877" s="501"/>
      <c r="C877" s="630"/>
      <c r="D877" s="631" t="s">
        <v>1551</v>
      </c>
      <c r="E877" s="631"/>
      <c r="F877" s="631"/>
      <c r="G877" s="631"/>
      <c r="H877" s="631"/>
      <c r="I877" s="520"/>
      <c r="J877" s="520"/>
      <c r="K877" s="520"/>
      <c r="M877" s="545"/>
      <c r="N877" s="545"/>
      <c r="O877" s="545"/>
      <c r="P877" s="545"/>
    </row>
    <row r="878" spans="2:18" ht="36" customHeight="1" x14ac:dyDescent="0.5">
      <c r="B878" s="501"/>
      <c r="C878" s="630"/>
      <c r="D878" s="631"/>
      <c r="E878" s="631"/>
      <c r="F878" s="631"/>
      <c r="G878" s="631"/>
      <c r="H878" s="631"/>
      <c r="I878" s="520"/>
      <c r="J878" s="520"/>
      <c r="K878" s="520"/>
      <c r="M878" s="545"/>
      <c r="N878" s="545"/>
      <c r="O878" s="545"/>
      <c r="P878" s="545"/>
    </row>
    <row r="879" spans="2:18" ht="36" customHeight="1" x14ac:dyDescent="0.5">
      <c r="B879" s="501"/>
      <c r="C879" s="630"/>
      <c r="D879" s="631" t="str">
        <f>IF(Criteria!E122="No","Except where stated otherwise, these accounting policies are consistent with the prior"," ")</f>
        <v>Except where stated otherwise, these accounting policies are consistent with the prior</v>
      </c>
      <c r="E879" s="631"/>
      <c r="F879" s="631"/>
      <c r="G879" s="631"/>
      <c r="H879" s="631"/>
      <c r="I879" s="520"/>
      <c r="J879" s="520"/>
      <c r="K879" s="520"/>
      <c r="M879" s="545"/>
      <c r="N879" s="545"/>
      <c r="O879" s="545"/>
      <c r="P879" s="545"/>
      <c r="R879" s="490" t="str">
        <f>IF(D879=" ","DELETE"," ")</f>
        <v xml:space="preserve"> </v>
      </c>
    </row>
    <row r="880" spans="2:18" ht="36" customHeight="1" x14ac:dyDescent="0.5">
      <c r="B880" s="501"/>
      <c r="C880" s="630"/>
      <c r="D880" s="631" t="str">
        <f>IF(Criteria!E122="No","year."," ")</f>
        <v>year.</v>
      </c>
      <c r="E880" s="631"/>
      <c r="F880" s="631"/>
      <c r="G880" s="631"/>
      <c r="H880" s="631"/>
      <c r="I880" s="520"/>
      <c r="J880" s="520"/>
      <c r="K880" s="520"/>
      <c r="M880" s="545"/>
      <c r="N880" s="545"/>
      <c r="O880" s="545"/>
      <c r="P880" s="545"/>
      <c r="R880" s="490" t="str">
        <f>IF(D880=" ","DELETE"," ")</f>
        <v xml:space="preserve"> </v>
      </c>
    </row>
    <row r="881" spans="2:18" ht="36" customHeight="1" x14ac:dyDescent="0.5">
      <c r="B881" s="501"/>
      <c r="C881" s="630"/>
      <c r="D881" s="631" t="s">
        <v>1219</v>
      </c>
      <c r="E881" s="631"/>
      <c r="F881" s="631"/>
      <c r="G881" s="631"/>
      <c r="H881" s="631"/>
      <c r="I881" s="520"/>
      <c r="J881" s="520"/>
      <c r="K881" s="520"/>
      <c r="M881" s="545"/>
      <c r="N881" s="545"/>
      <c r="O881" s="545"/>
      <c r="P881" s="545"/>
      <c r="R881" s="490" t="str">
        <f>IF(Criteria!E$122="NO","DELETE"," ")</f>
        <v>DELETE</v>
      </c>
    </row>
    <row r="882" spans="2:18" ht="36" customHeight="1" x14ac:dyDescent="0.5">
      <c r="B882" s="501"/>
      <c r="C882" s="630"/>
      <c r="D882" s="631" t="s">
        <v>1662</v>
      </c>
      <c r="E882" s="631"/>
      <c r="F882" s="631"/>
      <c r="G882" s="631"/>
      <c r="H882" s="631"/>
      <c r="I882" s="520"/>
      <c r="J882" s="520"/>
      <c r="K882" s="520"/>
      <c r="M882" s="545"/>
      <c r="N882" s="545"/>
      <c r="O882" s="545"/>
      <c r="P882" s="545"/>
      <c r="R882" s="490" t="str">
        <f>IF(Criteria!E$122="NO","DELETE"," ")</f>
        <v>DELETE</v>
      </c>
    </row>
    <row r="883" spans="2:18" ht="36" customHeight="1" x14ac:dyDescent="0.5">
      <c r="B883" s="501"/>
      <c r="C883" s="630"/>
      <c r="D883" s="631" t="s">
        <v>1664</v>
      </c>
      <c r="E883" s="631"/>
      <c r="F883" s="631"/>
      <c r="G883" s="631"/>
      <c r="H883" s="631"/>
      <c r="I883" s="520"/>
      <c r="J883" s="520"/>
      <c r="K883" s="520"/>
      <c r="M883" s="545"/>
      <c r="N883" s="545"/>
      <c r="O883" s="545"/>
      <c r="P883" s="545"/>
      <c r="R883" s="490" t="str">
        <f>IF(Criteria!E$122="NO","DELETE"," ")</f>
        <v>DELETE</v>
      </c>
    </row>
    <row r="884" spans="2:18" ht="36" customHeight="1" x14ac:dyDescent="0.5">
      <c r="B884" s="501"/>
      <c r="C884" s="630"/>
      <c r="D884" s="631" t="s">
        <v>1663</v>
      </c>
      <c r="E884" s="631"/>
      <c r="F884" s="631"/>
      <c r="G884" s="631"/>
      <c r="H884" s="631"/>
      <c r="I884" s="520"/>
      <c r="J884" s="520"/>
      <c r="K884" s="520"/>
      <c r="M884" s="545"/>
      <c r="N884" s="545"/>
      <c r="O884" s="545"/>
      <c r="P884" s="545"/>
      <c r="R884" s="490" t="str">
        <f>IF(Criteria!E$122="NO","DELETE"," ")</f>
        <v>DELETE</v>
      </c>
    </row>
    <row r="885" spans="2:18" ht="36" customHeight="1" x14ac:dyDescent="0.5">
      <c r="B885" s="501"/>
      <c r="C885" s="630"/>
      <c r="D885" s="631"/>
      <c r="E885" s="631"/>
      <c r="F885" s="631"/>
      <c r="G885" s="631"/>
      <c r="H885" s="631"/>
      <c r="I885" s="520"/>
      <c r="J885" s="520"/>
      <c r="K885" s="520"/>
      <c r="M885" s="545"/>
      <c r="N885" s="545"/>
      <c r="O885" s="545"/>
      <c r="P885" s="545"/>
    </row>
    <row r="886" spans="2:18" ht="36" customHeight="1" x14ac:dyDescent="0.5">
      <c r="B886" s="501"/>
      <c r="C886" s="448">
        <f>B871+0.1</f>
        <v>1.1000000000000001</v>
      </c>
      <c r="D886" s="630" t="s">
        <v>1513</v>
      </c>
      <c r="E886" s="631"/>
      <c r="F886" s="631"/>
      <c r="G886" s="631"/>
      <c r="H886" s="631"/>
      <c r="I886" s="631"/>
      <c r="J886" s="631"/>
      <c r="K886" s="616"/>
      <c r="M886" s="545"/>
      <c r="N886" s="545"/>
      <c r="O886" s="545"/>
      <c r="P886" s="545"/>
    </row>
    <row r="887" spans="2:18" ht="36" customHeight="1" x14ac:dyDescent="0.5">
      <c r="B887" s="501"/>
      <c r="D887" s="630"/>
      <c r="E887" s="631"/>
      <c r="F887" s="631"/>
      <c r="G887" s="631"/>
      <c r="H887" s="631"/>
      <c r="I887" s="631"/>
      <c r="J887" s="631"/>
      <c r="K887" s="616"/>
      <c r="M887" s="545"/>
      <c r="N887" s="545"/>
      <c r="O887" s="545"/>
      <c r="P887" s="545"/>
    </row>
    <row r="888" spans="2:18" ht="36" customHeight="1" x14ac:dyDescent="0.5">
      <c r="B888" s="501"/>
      <c r="C888" s="449"/>
      <c r="D888" s="631" t="s">
        <v>1553</v>
      </c>
      <c r="E888" s="631"/>
      <c r="F888" s="631"/>
      <c r="G888" s="631"/>
      <c r="H888" s="631"/>
      <c r="I888" s="631"/>
      <c r="J888" s="631"/>
      <c r="K888" s="616"/>
      <c r="M888" s="545"/>
      <c r="N888" s="545"/>
      <c r="O888" s="545"/>
      <c r="P888" s="545"/>
    </row>
    <row r="889" spans="2:18" ht="36" customHeight="1" x14ac:dyDescent="0.5">
      <c r="B889" s="501"/>
      <c r="C889" s="449"/>
      <c r="D889" s="631" t="s">
        <v>1665</v>
      </c>
      <c r="E889" s="631"/>
      <c r="F889" s="631"/>
      <c r="G889" s="631"/>
      <c r="H889" s="631"/>
      <c r="I889" s="631"/>
      <c r="J889" s="631"/>
      <c r="K889" s="616"/>
      <c r="M889" s="545"/>
      <c r="N889" s="545"/>
      <c r="O889" s="545"/>
      <c r="P889" s="545"/>
    </row>
    <row r="890" spans="2:18" ht="36" customHeight="1" x14ac:dyDescent="0.5">
      <c r="B890" s="501"/>
      <c r="C890" s="449"/>
      <c r="D890" s="631" t="s">
        <v>1667</v>
      </c>
      <c r="E890" s="631"/>
      <c r="F890" s="631"/>
      <c r="G890" s="631"/>
      <c r="H890" s="631"/>
      <c r="I890" s="631"/>
      <c r="J890" s="631"/>
      <c r="K890" s="616"/>
      <c r="M890" s="545"/>
      <c r="N890" s="545"/>
      <c r="O890" s="545"/>
      <c r="P890" s="545"/>
    </row>
    <row r="891" spans="2:18" ht="36" customHeight="1" x14ac:dyDescent="0.5">
      <c r="B891" s="501"/>
      <c r="C891" s="449"/>
      <c r="D891" s="631" t="s">
        <v>1666</v>
      </c>
      <c r="E891" s="631"/>
      <c r="F891" s="631"/>
      <c r="G891" s="631"/>
      <c r="H891" s="631"/>
      <c r="I891" s="631"/>
      <c r="J891" s="631"/>
      <c r="K891" s="616"/>
      <c r="M891" s="545"/>
      <c r="N891" s="545"/>
      <c r="O891" s="545"/>
      <c r="P891" s="545"/>
    </row>
    <row r="892" spans="2:18" ht="36" customHeight="1" x14ac:dyDescent="0.5">
      <c r="B892" s="501"/>
      <c r="C892" s="449"/>
      <c r="D892" s="650" t="s">
        <v>1195</v>
      </c>
      <c r="E892" s="631"/>
      <c r="F892" s="631"/>
      <c r="G892" s="631"/>
      <c r="H892" s="631"/>
      <c r="I892" s="631"/>
      <c r="J892" s="631"/>
      <c r="K892" s="616"/>
      <c r="M892" s="545"/>
      <c r="N892" s="545"/>
      <c r="O892" s="545"/>
      <c r="P892" s="545"/>
    </row>
    <row r="893" spans="2:18" ht="36" customHeight="1" x14ac:dyDescent="0.5">
      <c r="B893" s="501"/>
      <c r="C893" s="449"/>
      <c r="D893" s="631" t="s">
        <v>1670</v>
      </c>
      <c r="E893" s="631"/>
      <c r="F893" s="631"/>
      <c r="G893" s="631"/>
      <c r="H893" s="631"/>
      <c r="I893" s="631"/>
      <c r="J893" s="631"/>
      <c r="K893" s="616"/>
      <c r="M893" s="545"/>
      <c r="N893" s="545"/>
      <c r="O893" s="545"/>
      <c r="P893" s="545"/>
    </row>
    <row r="894" spans="2:18" ht="36" customHeight="1" x14ac:dyDescent="0.5">
      <c r="B894" s="501"/>
      <c r="C894" s="449"/>
      <c r="D894" s="631" t="s">
        <v>1669</v>
      </c>
      <c r="E894" s="631"/>
      <c r="F894" s="631"/>
      <c r="G894" s="631"/>
      <c r="H894" s="631"/>
      <c r="I894" s="631"/>
      <c r="J894" s="631"/>
      <c r="K894" s="616"/>
      <c r="M894" s="545"/>
      <c r="N894" s="545"/>
      <c r="O894" s="545"/>
      <c r="P894" s="545"/>
    </row>
    <row r="895" spans="2:18" ht="36" customHeight="1" x14ac:dyDescent="0.5">
      <c r="B895" s="501"/>
      <c r="C895" s="449"/>
      <c r="D895" s="650" t="s">
        <v>1196</v>
      </c>
      <c r="E895" s="631"/>
      <c r="F895" s="631"/>
      <c r="G895" s="631"/>
      <c r="H895" s="631"/>
      <c r="I895" s="631"/>
      <c r="J895" s="631"/>
      <c r="K895" s="616"/>
      <c r="M895" s="545"/>
      <c r="N895" s="545"/>
      <c r="O895" s="545"/>
      <c r="P895" s="545"/>
    </row>
    <row r="896" spans="2:18" ht="36" customHeight="1" x14ac:dyDescent="0.5">
      <c r="B896" s="501"/>
      <c r="C896" s="449"/>
      <c r="D896" s="631" t="s">
        <v>1671</v>
      </c>
      <c r="E896" s="631"/>
      <c r="F896" s="631"/>
      <c r="G896" s="631"/>
      <c r="H896" s="631"/>
      <c r="I896" s="631"/>
      <c r="J896" s="631"/>
      <c r="K896" s="616"/>
      <c r="M896" s="545"/>
      <c r="N896" s="545"/>
      <c r="O896" s="545"/>
      <c r="P896" s="545"/>
    </row>
    <row r="897" spans="2:17" ht="36" customHeight="1" x14ac:dyDescent="0.5">
      <c r="B897" s="501"/>
      <c r="C897" s="449"/>
      <c r="D897" s="631" t="s">
        <v>1673</v>
      </c>
      <c r="E897" s="631"/>
      <c r="F897" s="631"/>
      <c r="G897" s="631"/>
      <c r="H897" s="631"/>
      <c r="I897" s="631"/>
      <c r="J897" s="631"/>
      <c r="K897" s="616"/>
      <c r="M897" s="545"/>
      <c r="N897" s="545"/>
      <c r="O897" s="545"/>
      <c r="P897" s="545"/>
    </row>
    <row r="898" spans="2:17" ht="36" customHeight="1" x14ac:dyDescent="0.5">
      <c r="B898" s="501"/>
      <c r="C898" s="449"/>
      <c r="D898" s="631" t="s">
        <v>1672</v>
      </c>
      <c r="E898" s="631"/>
      <c r="F898" s="631"/>
      <c r="G898" s="631"/>
      <c r="H898" s="631"/>
      <c r="I898" s="631"/>
      <c r="J898" s="631"/>
      <c r="K898" s="616"/>
      <c r="M898" s="545"/>
      <c r="N898" s="545"/>
      <c r="O898" s="545"/>
      <c r="P898" s="545"/>
    </row>
    <row r="899" spans="2:17" ht="36" customHeight="1" x14ac:dyDescent="0.5">
      <c r="B899" s="501"/>
      <c r="C899" s="449"/>
      <c r="D899" s="631"/>
      <c r="E899" s="631"/>
      <c r="F899" s="631"/>
      <c r="G899" s="631"/>
      <c r="H899" s="631"/>
      <c r="I899" s="631"/>
      <c r="J899" s="631"/>
      <c r="K899" s="616"/>
      <c r="M899" s="545"/>
      <c r="N899" s="545"/>
      <c r="O899" s="545"/>
      <c r="P899" s="545"/>
    </row>
    <row r="900" spans="2:17" ht="36" customHeight="1" x14ac:dyDescent="0.5">
      <c r="B900" s="501"/>
      <c r="C900" s="448">
        <f>MAX(C$871:C899)+0.1</f>
        <v>1.2000000000000002</v>
      </c>
      <c r="D900" s="630" t="s">
        <v>978</v>
      </c>
      <c r="E900" s="631"/>
      <c r="F900" s="631"/>
      <c r="G900" s="631"/>
      <c r="H900" s="631"/>
      <c r="I900" s="631"/>
      <c r="J900" s="631"/>
      <c r="K900" s="616"/>
      <c r="M900" s="545"/>
      <c r="N900" s="545"/>
      <c r="O900" s="545"/>
      <c r="P900" s="545"/>
    </row>
    <row r="901" spans="2:17" ht="36" customHeight="1" x14ac:dyDescent="0.5">
      <c r="B901" s="501"/>
      <c r="D901" s="630"/>
      <c r="E901" s="631"/>
      <c r="F901" s="631"/>
      <c r="G901" s="631"/>
      <c r="H901" s="631"/>
      <c r="I901" s="631"/>
      <c r="J901" s="631"/>
      <c r="K901" s="616"/>
      <c r="M901" s="545"/>
      <c r="N901" s="545"/>
      <c r="O901" s="545"/>
      <c r="P901" s="545"/>
    </row>
    <row r="902" spans="2:17" ht="36" customHeight="1" x14ac:dyDescent="0.5">
      <c r="B902" s="501"/>
      <c r="C902" s="449"/>
      <c r="D902" s="650" t="s">
        <v>1221</v>
      </c>
      <c r="E902" s="631"/>
      <c r="F902" s="631"/>
      <c r="G902" s="631"/>
      <c r="H902" s="631"/>
      <c r="I902" s="631"/>
      <c r="J902" s="631"/>
      <c r="K902" s="616"/>
      <c r="M902" s="545"/>
      <c r="N902" s="545"/>
      <c r="O902" s="545"/>
      <c r="P902" s="545"/>
    </row>
    <row r="903" spans="2:17" ht="36" customHeight="1" x14ac:dyDescent="0.5">
      <c r="B903" s="501"/>
      <c r="C903" s="449"/>
      <c r="D903" s="631" t="s">
        <v>1674</v>
      </c>
      <c r="E903" s="631"/>
      <c r="F903" s="631"/>
      <c r="G903" s="631"/>
      <c r="H903" s="631"/>
      <c r="I903" s="631"/>
      <c r="J903" s="631"/>
      <c r="K903" s="616"/>
      <c r="M903" s="545"/>
      <c r="N903" s="545"/>
      <c r="O903" s="545"/>
      <c r="P903" s="545"/>
    </row>
    <row r="904" spans="2:17" ht="36" customHeight="1" x14ac:dyDescent="0.5">
      <c r="B904" s="501"/>
      <c r="C904" s="449"/>
      <c r="D904" s="631" t="s">
        <v>1675</v>
      </c>
      <c r="E904" s="631"/>
      <c r="F904" s="631"/>
      <c r="G904" s="631"/>
      <c r="H904" s="631"/>
      <c r="I904" s="631"/>
      <c r="J904" s="631"/>
      <c r="K904" s="616"/>
      <c r="M904" s="545"/>
      <c r="N904" s="545"/>
      <c r="O904" s="545"/>
      <c r="P904" s="545"/>
    </row>
    <row r="905" spans="2:17" ht="36" customHeight="1" x14ac:dyDescent="0.5">
      <c r="B905" s="501"/>
      <c r="C905" s="449"/>
      <c r="D905" s="631" t="s">
        <v>1676</v>
      </c>
      <c r="E905" s="631"/>
      <c r="F905" s="631"/>
      <c r="G905" s="631"/>
      <c r="H905" s="631"/>
      <c r="I905" s="631"/>
      <c r="J905" s="631"/>
      <c r="K905" s="616"/>
      <c r="M905" s="545"/>
      <c r="N905" s="545"/>
      <c r="O905" s="545"/>
      <c r="P905" s="545"/>
    </row>
    <row r="906" spans="2:17" ht="36" customHeight="1" x14ac:dyDescent="0.5">
      <c r="B906" s="501"/>
      <c r="C906" s="449"/>
      <c r="D906" s="631" t="s">
        <v>1678</v>
      </c>
      <c r="E906" s="631"/>
      <c r="F906" s="631"/>
      <c r="G906" s="631"/>
      <c r="H906" s="631"/>
      <c r="I906" s="631"/>
      <c r="J906" s="631"/>
      <c r="K906" s="616"/>
      <c r="M906" s="545"/>
      <c r="N906" s="545"/>
      <c r="O906" s="545"/>
      <c r="P906" s="545"/>
    </row>
    <row r="907" spans="2:17" ht="36" customHeight="1" x14ac:dyDescent="0.5">
      <c r="B907" s="501"/>
      <c r="C907" s="449"/>
      <c r="D907" s="631" t="s">
        <v>1677</v>
      </c>
      <c r="E907" s="631"/>
      <c r="F907" s="631"/>
      <c r="G907" s="631"/>
      <c r="H907" s="631"/>
      <c r="I907" s="631"/>
      <c r="J907" s="631"/>
      <c r="K907" s="616"/>
      <c r="M907" s="545"/>
      <c r="N907" s="545"/>
      <c r="O907" s="545"/>
      <c r="P907" s="545"/>
    </row>
    <row r="908" spans="2:17" ht="36" customHeight="1" x14ac:dyDescent="0.5">
      <c r="B908" s="501"/>
      <c r="C908" s="449"/>
      <c r="D908" s="631"/>
      <c r="E908" s="631"/>
      <c r="F908" s="631"/>
      <c r="G908" s="631"/>
      <c r="H908" s="631"/>
      <c r="I908" s="631"/>
      <c r="J908" s="631"/>
      <c r="K908" s="616"/>
      <c r="M908" s="545"/>
      <c r="N908" s="545"/>
      <c r="O908" s="545"/>
      <c r="P908" s="545"/>
    </row>
    <row r="909" spans="2:17" ht="36" customHeight="1" x14ac:dyDescent="0.5">
      <c r="B909" s="501"/>
      <c r="C909" s="449"/>
      <c r="D909" s="631"/>
      <c r="E909" s="631"/>
      <c r="F909" s="631"/>
      <c r="G909" s="631"/>
      <c r="H909" s="631"/>
      <c r="I909" s="631"/>
      <c r="J909" s="631"/>
      <c r="K909" s="616"/>
      <c r="M909" s="545"/>
      <c r="N909" s="545"/>
      <c r="O909" s="545"/>
      <c r="P909" s="545"/>
    </row>
    <row r="910" spans="2:17" ht="36" customHeight="1" x14ac:dyDescent="0.5">
      <c r="B910" s="501"/>
      <c r="C910" s="449"/>
      <c r="D910" s="631"/>
      <c r="E910" s="631"/>
      <c r="F910" s="631"/>
      <c r="G910" s="631"/>
      <c r="H910" s="631"/>
      <c r="I910" s="631"/>
      <c r="J910" s="631"/>
      <c r="K910" s="616"/>
      <c r="M910" s="545"/>
      <c r="N910" s="545"/>
      <c r="O910" s="545"/>
      <c r="P910" s="545"/>
    </row>
    <row r="911" spans="2:17" ht="36" customHeight="1" x14ac:dyDescent="0.5">
      <c r="C911" s="616"/>
      <c r="D911" s="631"/>
      <c r="E911" s="631"/>
      <c r="F911" s="631"/>
      <c r="G911" s="631"/>
      <c r="H911" s="631"/>
      <c r="M911" s="540"/>
      <c r="O911" s="454" t="s">
        <v>112</v>
      </c>
      <c r="Q911" s="450">
        <f>MAX($Q$103:Q910)+1</f>
        <v>18</v>
      </c>
    </row>
    <row r="912" spans="2:17" ht="36" customHeight="1" x14ac:dyDescent="0.5">
      <c r="C912" s="616"/>
      <c r="D912" s="630" t="str">
        <f>Criteria!E9</f>
        <v>ABC COMPANY (PROPRIETARY) LIMITED</v>
      </c>
      <c r="E912" s="631"/>
      <c r="F912" s="631"/>
      <c r="G912" s="631"/>
      <c r="H912" s="631"/>
      <c r="I912" s="520"/>
      <c r="J912" s="520"/>
      <c r="M912" s="540"/>
      <c r="O912" s="451"/>
      <c r="P912" s="451"/>
      <c r="Q912" s="451"/>
    </row>
    <row r="913" spans="2:18" ht="36" customHeight="1" x14ac:dyDescent="0.5">
      <c r="C913" s="616"/>
      <c r="D913" s="630" t="str">
        <f>Criteria!E10</f>
        <v>T/A SEAFRONT HOTEL, ABC RESTAURANT AND RENTAL PROPERTIES</v>
      </c>
      <c r="E913" s="631"/>
      <c r="F913" s="631"/>
      <c r="G913" s="631"/>
      <c r="H913" s="631"/>
      <c r="I913" s="520"/>
      <c r="J913" s="520"/>
      <c r="M913" s="540"/>
      <c r="O913" s="540"/>
      <c r="R913" s="490" t="str">
        <f>IF(D913=0,"DELETE"," ")</f>
        <v xml:space="preserve"> </v>
      </c>
    </row>
    <row r="914" spans="2:18" ht="36" customHeight="1" x14ac:dyDescent="0.5">
      <c r="C914" s="616"/>
      <c r="D914" s="631"/>
      <c r="E914" s="631"/>
      <c r="F914" s="631"/>
      <c r="G914" s="631"/>
      <c r="H914" s="631"/>
      <c r="I914" s="520"/>
      <c r="J914" s="520"/>
      <c r="M914" s="540"/>
      <c r="O914" s="540"/>
    </row>
    <row r="915" spans="2:18" ht="36" customHeight="1" x14ac:dyDescent="0.5">
      <c r="C915" s="616"/>
      <c r="D915" s="630" t="s">
        <v>415</v>
      </c>
      <c r="E915" s="631"/>
      <c r="F915" s="631"/>
      <c r="G915" s="631"/>
      <c r="H915" s="631"/>
      <c r="I915" s="520"/>
      <c r="J915" s="520"/>
      <c r="M915" s="540"/>
      <c r="O915" s="540"/>
    </row>
    <row r="916" spans="2:18" ht="36" customHeight="1" x14ac:dyDescent="0.5">
      <c r="C916" s="616"/>
      <c r="D916" s="630" t="str">
        <f>Criteria!E20</f>
        <v>28 FEBRUARY 2026</v>
      </c>
      <c r="E916" s="631"/>
      <c r="F916" s="631"/>
      <c r="G916" s="631"/>
      <c r="H916" s="631"/>
      <c r="I916" s="520"/>
      <c r="J916" s="631" t="s">
        <v>282</v>
      </c>
      <c r="M916" s="540"/>
      <c r="O916" s="540"/>
    </row>
    <row r="917" spans="2:18" ht="36" customHeight="1" x14ac:dyDescent="0.5">
      <c r="C917" s="616"/>
      <c r="D917" s="631"/>
      <c r="E917" s="631"/>
      <c r="F917" s="631"/>
      <c r="G917" s="631"/>
      <c r="H917" s="631"/>
      <c r="I917" s="520"/>
      <c r="J917" s="520"/>
      <c r="M917" s="540"/>
      <c r="O917" s="540"/>
    </row>
    <row r="918" spans="2:18" ht="36" customHeight="1" x14ac:dyDescent="0.5">
      <c r="B918" s="457"/>
      <c r="C918" s="634"/>
      <c r="D918" s="649"/>
      <c r="E918" s="649"/>
      <c r="F918" s="649"/>
      <c r="G918" s="649"/>
      <c r="H918" s="649"/>
      <c r="I918" s="591"/>
      <c r="J918" s="591"/>
      <c r="K918" s="457"/>
      <c r="L918" s="457"/>
      <c r="M918" s="551"/>
      <c r="N918" s="551"/>
      <c r="O918" s="551"/>
      <c r="P918" s="551"/>
      <c r="Q918" s="457"/>
    </row>
    <row r="919" spans="2:18" ht="36" customHeight="1" x14ac:dyDescent="0.5">
      <c r="B919" s="501"/>
      <c r="C919" s="449"/>
      <c r="D919" s="650" t="s">
        <v>1222</v>
      </c>
      <c r="E919" s="631"/>
      <c r="F919" s="631"/>
      <c r="G919" s="631"/>
      <c r="H919" s="631"/>
      <c r="I919" s="631"/>
      <c r="J919" s="631"/>
      <c r="K919" s="616"/>
      <c r="M919" s="545"/>
      <c r="N919" s="545"/>
      <c r="O919" s="545"/>
      <c r="P919" s="545"/>
    </row>
    <row r="920" spans="2:18" ht="36" customHeight="1" x14ac:dyDescent="0.5">
      <c r="B920" s="501"/>
      <c r="C920" s="449"/>
      <c r="D920" s="631" t="s">
        <v>1554</v>
      </c>
      <c r="E920" s="631"/>
      <c r="F920" s="631"/>
      <c r="G920" s="631"/>
      <c r="H920" s="631"/>
      <c r="I920" s="631"/>
      <c r="J920" s="631"/>
      <c r="K920" s="616"/>
      <c r="M920" s="545"/>
      <c r="N920" s="545"/>
      <c r="O920" s="545"/>
      <c r="P920" s="545"/>
    </row>
    <row r="921" spans="2:18" ht="36" customHeight="1" x14ac:dyDescent="0.5">
      <c r="B921" s="501"/>
      <c r="C921" s="449"/>
      <c r="D921" s="631" t="s">
        <v>1555</v>
      </c>
      <c r="E921" s="631"/>
      <c r="F921" s="631"/>
      <c r="G921" s="631"/>
      <c r="H921" s="631"/>
      <c r="I921" s="631"/>
      <c r="J921" s="631"/>
      <c r="K921" s="616"/>
      <c r="M921" s="545"/>
      <c r="N921" s="545"/>
      <c r="O921" s="545"/>
      <c r="P921" s="545"/>
    </row>
    <row r="922" spans="2:18" ht="36" customHeight="1" x14ac:dyDescent="0.5">
      <c r="B922" s="501"/>
      <c r="C922" s="449"/>
      <c r="D922" s="631" t="s">
        <v>1679</v>
      </c>
      <c r="E922" s="631"/>
      <c r="F922" s="631"/>
      <c r="G922" s="631"/>
      <c r="H922" s="631"/>
      <c r="I922" s="631"/>
      <c r="J922" s="631"/>
      <c r="K922" s="616"/>
      <c r="M922" s="545"/>
      <c r="N922" s="545"/>
      <c r="O922" s="545"/>
      <c r="P922" s="545"/>
    </row>
    <row r="923" spans="2:18" ht="36" customHeight="1" x14ac:dyDescent="0.5">
      <c r="B923" s="501"/>
      <c r="C923" s="449"/>
      <c r="D923" s="631" t="s">
        <v>1680</v>
      </c>
      <c r="E923" s="631"/>
      <c r="F923" s="631"/>
      <c r="G923" s="631"/>
      <c r="H923" s="631"/>
      <c r="I923" s="631"/>
      <c r="J923" s="631"/>
      <c r="K923" s="616"/>
      <c r="M923" s="545"/>
      <c r="N923" s="545"/>
      <c r="O923" s="545"/>
      <c r="P923" s="545"/>
    </row>
    <row r="924" spans="2:18" ht="36" customHeight="1" x14ac:dyDescent="0.5">
      <c r="B924" s="501"/>
      <c r="C924" s="449"/>
      <c r="D924" s="631" t="s">
        <v>1681</v>
      </c>
      <c r="E924" s="631"/>
      <c r="F924" s="631"/>
      <c r="G924" s="631"/>
      <c r="H924" s="631"/>
      <c r="I924" s="631"/>
      <c r="J924" s="631"/>
      <c r="K924" s="616"/>
      <c r="M924" s="545"/>
      <c r="N924" s="545"/>
      <c r="O924" s="545"/>
      <c r="P924" s="545"/>
    </row>
    <row r="925" spans="2:18" ht="36" customHeight="1" x14ac:dyDescent="0.5">
      <c r="B925" s="501"/>
      <c r="C925" s="449"/>
      <c r="D925" s="631" t="s">
        <v>1683</v>
      </c>
      <c r="E925" s="631"/>
      <c r="F925" s="631"/>
      <c r="G925" s="631"/>
      <c r="H925" s="631"/>
      <c r="I925" s="631"/>
      <c r="J925" s="631"/>
      <c r="K925" s="616"/>
      <c r="M925" s="545"/>
      <c r="N925" s="545"/>
      <c r="O925" s="545"/>
      <c r="P925" s="545"/>
    </row>
    <row r="926" spans="2:18" ht="36" customHeight="1" x14ac:dyDescent="0.5">
      <c r="B926" s="501"/>
      <c r="C926" s="449"/>
      <c r="D926" s="631" t="s">
        <v>1682</v>
      </c>
      <c r="E926" s="631"/>
      <c r="F926" s="631"/>
      <c r="G926" s="631"/>
      <c r="H926" s="631"/>
      <c r="I926" s="631"/>
      <c r="J926" s="631"/>
      <c r="K926" s="616"/>
      <c r="M926" s="545"/>
      <c r="N926" s="545"/>
      <c r="O926" s="545"/>
      <c r="P926" s="545"/>
    </row>
    <row r="927" spans="2:18" ht="36" customHeight="1" x14ac:dyDescent="0.5">
      <c r="B927" s="501"/>
      <c r="C927" s="449"/>
      <c r="D927" s="631"/>
      <c r="E927" s="631"/>
      <c r="F927" s="631"/>
      <c r="G927" s="631"/>
      <c r="H927" s="631"/>
      <c r="I927" s="631"/>
      <c r="J927" s="631"/>
      <c r="K927" s="616"/>
      <c r="M927" s="545"/>
      <c r="N927" s="545"/>
      <c r="O927" s="545"/>
      <c r="P927" s="545"/>
    </row>
    <row r="928" spans="2:18" ht="36" customHeight="1" x14ac:dyDescent="0.5">
      <c r="B928" s="501"/>
      <c r="C928" s="449"/>
      <c r="D928" s="631"/>
      <c r="E928" s="631"/>
      <c r="F928" s="631"/>
      <c r="G928" s="631"/>
      <c r="H928" s="631"/>
      <c r="I928" s="631"/>
      <c r="J928" s="631"/>
      <c r="K928" s="616"/>
      <c r="M928" s="545"/>
      <c r="N928" s="545"/>
      <c r="O928" s="545"/>
      <c r="P928" s="545"/>
    </row>
    <row r="929" spans="2:18" ht="36" customHeight="1" x14ac:dyDescent="0.5">
      <c r="D929" s="631"/>
      <c r="E929" s="631"/>
      <c r="F929" s="631"/>
      <c r="G929" s="631"/>
      <c r="H929" s="631"/>
      <c r="I929" s="631"/>
      <c r="J929" s="631"/>
      <c r="K929" s="616"/>
      <c r="M929" s="555"/>
      <c r="N929" s="555"/>
      <c r="O929" s="555"/>
      <c r="P929" s="545"/>
    </row>
    <row r="930" spans="2:18" ht="36" customHeight="1" x14ac:dyDescent="0.5">
      <c r="D930" s="631"/>
      <c r="E930" s="631"/>
      <c r="F930" s="631"/>
      <c r="G930" s="631"/>
      <c r="H930" s="631"/>
      <c r="I930" s="631"/>
      <c r="J930" s="631"/>
      <c r="K930" s="616"/>
      <c r="M930" s="555"/>
      <c r="N930" s="555"/>
      <c r="O930" s="555"/>
      <c r="P930" s="545"/>
    </row>
    <row r="931" spans="2:18" ht="36" customHeight="1" x14ac:dyDescent="0.5">
      <c r="D931" s="631"/>
      <c r="E931" s="631"/>
      <c r="F931" s="631"/>
      <c r="G931" s="631"/>
      <c r="H931" s="631"/>
      <c r="I931" s="631"/>
      <c r="J931" s="631"/>
      <c r="K931" s="616"/>
      <c r="M931" s="540"/>
      <c r="O931" s="454" t="s">
        <v>112</v>
      </c>
      <c r="Q931" s="450">
        <f>MAX($Q$103:Q930)+1</f>
        <v>19</v>
      </c>
    </row>
    <row r="932" spans="2:18" ht="36" customHeight="1" x14ac:dyDescent="0.5">
      <c r="D932" s="630" t="str">
        <f>Criteria!E9</f>
        <v>ABC COMPANY (PROPRIETARY) LIMITED</v>
      </c>
      <c r="E932" s="631"/>
      <c r="F932" s="631"/>
      <c r="G932" s="631"/>
      <c r="H932" s="631"/>
      <c r="I932" s="631"/>
      <c r="J932" s="631"/>
      <c r="K932" s="616"/>
      <c r="M932" s="540"/>
      <c r="O932" s="451"/>
      <c r="P932" s="451"/>
      <c r="Q932" s="451"/>
    </row>
    <row r="933" spans="2:18" ht="36" customHeight="1" x14ac:dyDescent="0.5">
      <c r="D933" s="630" t="str">
        <f>Criteria!E10</f>
        <v>T/A SEAFRONT HOTEL, ABC RESTAURANT AND RENTAL PROPERTIES</v>
      </c>
      <c r="E933" s="631"/>
      <c r="F933" s="631"/>
      <c r="G933" s="631"/>
      <c r="H933" s="631"/>
      <c r="I933" s="631"/>
      <c r="J933" s="631"/>
      <c r="K933" s="616"/>
      <c r="M933" s="540"/>
      <c r="O933" s="540"/>
      <c r="R933" s="490" t="str">
        <f>IF(D933=0,"DELETE"," ")</f>
        <v xml:space="preserve"> </v>
      </c>
    </row>
    <row r="934" spans="2:18" ht="36" customHeight="1" x14ac:dyDescent="0.5">
      <c r="D934" s="631"/>
      <c r="E934" s="631"/>
      <c r="F934" s="631"/>
      <c r="G934" s="631"/>
      <c r="H934" s="631"/>
      <c r="I934" s="631"/>
      <c r="J934" s="631"/>
      <c r="K934" s="616"/>
      <c r="M934" s="540"/>
      <c r="O934" s="540"/>
    </row>
    <row r="935" spans="2:18" ht="36" customHeight="1" x14ac:dyDescent="0.5">
      <c r="D935" s="630" t="s">
        <v>415</v>
      </c>
      <c r="E935" s="631"/>
      <c r="F935" s="631"/>
      <c r="G935" s="631"/>
      <c r="H935" s="631"/>
      <c r="I935" s="631"/>
      <c r="J935" s="631"/>
      <c r="K935" s="616"/>
      <c r="M935" s="540"/>
      <c r="O935" s="540"/>
    </row>
    <row r="936" spans="2:18" ht="36" customHeight="1" x14ac:dyDescent="0.5">
      <c r="D936" s="630" t="str">
        <f>Criteria!E20</f>
        <v>28 FEBRUARY 2026</v>
      </c>
      <c r="E936" s="631"/>
      <c r="F936" s="631"/>
      <c r="G936" s="631"/>
      <c r="H936" s="631"/>
      <c r="I936" s="631"/>
      <c r="J936" s="631" t="s">
        <v>282</v>
      </c>
      <c r="K936" s="616"/>
      <c r="M936" s="540"/>
      <c r="O936" s="540"/>
    </row>
    <row r="937" spans="2:18" ht="36" customHeight="1" x14ac:dyDescent="0.5">
      <c r="D937" s="631"/>
      <c r="E937" s="631"/>
      <c r="F937" s="631"/>
      <c r="G937" s="631"/>
      <c r="H937" s="631"/>
      <c r="I937" s="631"/>
      <c r="J937" s="631"/>
      <c r="K937" s="616"/>
      <c r="M937" s="555"/>
      <c r="N937" s="555"/>
      <c r="O937" s="555"/>
      <c r="P937" s="545"/>
    </row>
    <row r="938" spans="2:18" ht="36" customHeight="1" x14ac:dyDescent="0.5">
      <c r="B938" s="457"/>
      <c r="C938" s="457"/>
      <c r="D938" s="649"/>
      <c r="E938" s="649"/>
      <c r="F938" s="649"/>
      <c r="G938" s="649"/>
      <c r="H938" s="649"/>
      <c r="I938" s="649"/>
      <c r="J938" s="649"/>
      <c r="K938" s="634"/>
      <c r="L938" s="457"/>
      <c r="M938" s="557"/>
      <c r="N938" s="557"/>
      <c r="O938" s="557"/>
      <c r="P938" s="551"/>
      <c r="Q938" s="457"/>
    </row>
    <row r="939" spans="2:18" ht="36" customHeight="1" x14ac:dyDescent="0.5">
      <c r="D939" s="650" t="s">
        <v>1223</v>
      </c>
      <c r="E939" s="631"/>
      <c r="F939" s="631"/>
      <c r="G939" s="631"/>
      <c r="H939" s="631"/>
      <c r="I939" s="631"/>
      <c r="J939" s="631"/>
      <c r="K939" s="616"/>
      <c r="M939" s="555"/>
      <c r="N939" s="555"/>
      <c r="O939" s="555"/>
      <c r="P939" s="545"/>
    </row>
    <row r="940" spans="2:18" ht="36" customHeight="1" x14ac:dyDescent="0.5">
      <c r="D940" s="631" t="s">
        <v>1557</v>
      </c>
      <c r="E940" s="631"/>
      <c r="F940" s="631"/>
      <c r="G940" s="631"/>
      <c r="H940" s="631"/>
      <c r="I940" s="631"/>
      <c r="J940" s="631"/>
      <c r="K940" s="616"/>
      <c r="M940" s="555"/>
      <c r="N940" s="555"/>
      <c r="O940" s="555"/>
      <c r="P940" s="545"/>
    </row>
    <row r="941" spans="2:18" ht="36" customHeight="1" x14ac:dyDescent="0.5">
      <c r="D941" s="631" t="s">
        <v>1685</v>
      </c>
      <c r="E941" s="631"/>
      <c r="F941" s="631"/>
      <c r="G941" s="631"/>
      <c r="H941" s="631"/>
      <c r="I941" s="631"/>
      <c r="J941" s="631"/>
      <c r="K941" s="616"/>
      <c r="M941" s="555"/>
      <c r="N941" s="555"/>
      <c r="O941" s="555"/>
      <c r="P941" s="545"/>
    </row>
    <row r="942" spans="2:18" ht="36" customHeight="1" x14ac:dyDescent="0.5">
      <c r="D942" s="631" t="s">
        <v>1684</v>
      </c>
      <c r="E942" s="631"/>
      <c r="F942" s="631"/>
      <c r="G942" s="631"/>
      <c r="H942" s="631"/>
      <c r="I942" s="631"/>
      <c r="J942" s="631"/>
      <c r="K942" s="616"/>
      <c r="M942" s="555"/>
      <c r="N942" s="555"/>
      <c r="O942" s="555"/>
      <c r="P942" s="545"/>
    </row>
    <row r="943" spans="2:18" ht="36" customHeight="1" x14ac:dyDescent="0.5">
      <c r="D943" s="631"/>
      <c r="E943" s="631"/>
      <c r="F943" s="631"/>
      <c r="G943" s="631"/>
      <c r="H943" s="631"/>
      <c r="I943" s="631"/>
      <c r="J943" s="631"/>
      <c r="K943" s="616"/>
      <c r="M943" s="555"/>
      <c r="N943" s="555"/>
      <c r="O943" s="555"/>
      <c r="P943" s="545"/>
    </row>
    <row r="944" spans="2:18" ht="36" customHeight="1" x14ac:dyDescent="0.5">
      <c r="D944" s="631"/>
      <c r="E944" s="631"/>
      <c r="F944" s="631"/>
      <c r="G944" s="631"/>
      <c r="H944" s="631"/>
      <c r="I944" s="631"/>
      <c r="J944" s="631"/>
      <c r="K944" s="616"/>
      <c r="M944" s="555"/>
      <c r="N944" s="555"/>
      <c r="O944" s="555"/>
      <c r="P944" s="545"/>
    </row>
    <row r="945" spans="2:18" ht="36" customHeight="1" x14ac:dyDescent="0.5">
      <c r="D945" s="631"/>
      <c r="E945" s="631"/>
      <c r="F945" s="631"/>
      <c r="G945" s="631"/>
      <c r="H945" s="631"/>
      <c r="I945" s="631"/>
      <c r="J945" s="631"/>
      <c r="K945" s="616"/>
      <c r="M945" s="555"/>
      <c r="N945" s="555"/>
      <c r="O945" s="555"/>
      <c r="P945" s="545"/>
    </row>
    <row r="946" spans="2:18" ht="36" customHeight="1" x14ac:dyDescent="0.5">
      <c r="D946" s="631"/>
      <c r="E946" s="631"/>
      <c r="F946" s="631"/>
      <c r="G946" s="631"/>
      <c r="H946" s="631"/>
      <c r="I946" s="631"/>
      <c r="J946" s="631"/>
      <c r="K946" s="616"/>
      <c r="M946" s="540"/>
      <c r="O946" s="540"/>
    </row>
    <row r="947" spans="2:18" ht="36" customHeight="1" x14ac:dyDescent="0.5">
      <c r="D947" s="631"/>
      <c r="E947" s="631"/>
      <c r="F947" s="631"/>
      <c r="G947" s="631"/>
      <c r="H947" s="631"/>
      <c r="I947" s="631"/>
      <c r="J947" s="631"/>
      <c r="K947" s="616"/>
      <c r="M947" s="540"/>
      <c r="O947" s="454" t="s">
        <v>112</v>
      </c>
      <c r="Q947" s="450">
        <f>MAX($Q$103:Q946)+1</f>
        <v>20</v>
      </c>
    </row>
    <row r="948" spans="2:18" ht="36" customHeight="1" x14ac:dyDescent="0.5">
      <c r="D948" s="630" t="str">
        <f>Criteria!E9</f>
        <v>ABC COMPANY (PROPRIETARY) LIMITED</v>
      </c>
      <c r="E948" s="631"/>
      <c r="F948" s="631"/>
      <c r="G948" s="631"/>
      <c r="H948" s="631"/>
      <c r="I948" s="631"/>
      <c r="J948" s="631"/>
      <c r="K948" s="616"/>
      <c r="M948" s="540"/>
      <c r="O948" s="451"/>
      <c r="P948" s="451"/>
      <c r="Q948" s="451"/>
    </row>
    <row r="949" spans="2:18" ht="36" customHeight="1" x14ac:dyDescent="0.5">
      <c r="D949" s="630" t="str">
        <f>Criteria!E10</f>
        <v>T/A SEAFRONT HOTEL, ABC RESTAURANT AND RENTAL PROPERTIES</v>
      </c>
      <c r="E949" s="631"/>
      <c r="F949" s="631"/>
      <c r="G949" s="631"/>
      <c r="H949" s="631"/>
      <c r="I949" s="631"/>
      <c r="J949" s="631"/>
      <c r="K949" s="616"/>
      <c r="M949" s="540"/>
      <c r="O949" s="540"/>
      <c r="R949" s="490" t="str">
        <f>IF(D949=0,"DELETE"," ")</f>
        <v xml:space="preserve"> </v>
      </c>
    </row>
    <row r="950" spans="2:18" ht="36" customHeight="1" x14ac:dyDescent="0.5">
      <c r="D950" s="631"/>
      <c r="E950" s="631"/>
      <c r="F950" s="631"/>
      <c r="G950" s="631"/>
      <c r="H950" s="631"/>
      <c r="I950" s="631"/>
      <c r="J950" s="631"/>
      <c r="K950" s="616"/>
      <c r="M950" s="540"/>
      <c r="O950" s="540"/>
    </row>
    <row r="951" spans="2:18" ht="36" customHeight="1" x14ac:dyDescent="0.5">
      <c r="D951" s="630" t="s">
        <v>415</v>
      </c>
      <c r="E951" s="631"/>
      <c r="F951" s="631"/>
      <c r="G951" s="631"/>
      <c r="H951" s="631"/>
      <c r="I951" s="631"/>
      <c r="J951" s="631"/>
      <c r="K951" s="616"/>
      <c r="M951" s="540"/>
      <c r="O951" s="540"/>
    </row>
    <row r="952" spans="2:18" ht="36" customHeight="1" x14ac:dyDescent="0.5">
      <c r="D952" s="630" t="str">
        <f>Criteria!E20</f>
        <v>28 FEBRUARY 2026</v>
      </c>
      <c r="E952" s="631"/>
      <c r="F952" s="631"/>
      <c r="G952" s="631"/>
      <c r="H952" s="631"/>
      <c r="I952" s="631"/>
      <c r="J952" s="631" t="s">
        <v>282</v>
      </c>
      <c r="K952" s="616"/>
      <c r="M952" s="540"/>
      <c r="O952" s="540"/>
    </row>
    <row r="953" spans="2:18" ht="36" customHeight="1" x14ac:dyDescent="0.5">
      <c r="D953" s="631"/>
      <c r="E953" s="631"/>
      <c r="F953" s="631"/>
      <c r="G953" s="631"/>
      <c r="H953" s="631"/>
      <c r="I953" s="631"/>
      <c r="J953" s="631"/>
      <c r="K953" s="616"/>
      <c r="M953" s="540"/>
      <c r="O953" s="540"/>
    </row>
    <row r="954" spans="2:18" ht="36" customHeight="1" x14ac:dyDescent="0.5">
      <c r="B954" s="457"/>
      <c r="C954" s="457"/>
      <c r="D954" s="649"/>
      <c r="E954" s="649"/>
      <c r="F954" s="649"/>
      <c r="G954" s="649"/>
      <c r="H954" s="649"/>
      <c r="I954" s="649"/>
      <c r="J954" s="649"/>
      <c r="K954" s="634"/>
      <c r="L954" s="457"/>
      <c r="M954" s="551"/>
      <c r="N954" s="551"/>
      <c r="O954" s="551"/>
      <c r="P954" s="551"/>
      <c r="Q954" s="457"/>
    </row>
    <row r="955" spans="2:18" ht="36" customHeight="1" x14ac:dyDescent="0.5">
      <c r="C955" s="448">
        <f>MAX(C$871:C954)+0.1</f>
        <v>1.3000000000000003</v>
      </c>
      <c r="D955" s="630" t="s">
        <v>1514</v>
      </c>
      <c r="E955" s="631"/>
      <c r="F955" s="631"/>
      <c r="G955" s="631"/>
      <c r="H955" s="631"/>
      <c r="I955" s="631"/>
      <c r="J955" s="631"/>
      <c r="K955" s="616"/>
      <c r="M955" s="540"/>
      <c r="O955" s="540"/>
    </row>
    <row r="956" spans="2:18" ht="36" customHeight="1" x14ac:dyDescent="0.5">
      <c r="D956" s="630"/>
      <c r="E956" s="631"/>
      <c r="F956" s="631"/>
      <c r="G956" s="631"/>
      <c r="H956" s="631"/>
      <c r="I956" s="631"/>
      <c r="J956" s="631"/>
      <c r="K956" s="616"/>
      <c r="M956" s="540"/>
      <c r="O956" s="540"/>
    </row>
    <row r="957" spans="2:18" ht="36" customHeight="1" x14ac:dyDescent="0.5">
      <c r="C957" s="449"/>
      <c r="D957" s="631" t="s">
        <v>1686</v>
      </c>
      <c r="E957" s="631"/>
      <c r="F957" s="631"/>
      <c r="G957" s="631"/>
      <c r="H957" s="631"/>
      <c r="I957" s="631"/>
      <c r="J957" s="631"/>
      <c r="K957" s="616"/>
      <c r="M957" s="540"/>
      <c r="O957" s="540"/>
    </row>
    <row r="958" spans="2:18" ht="36" customHeight="1" x14ac:dyDescent="0.5">
      <c r="C958" s="449"/>
      <c r="D958" s="631" t="s">
        <v>1687</v>
      </c>
      <c r="E958" s="631"/>
      <c r="F958" s="631"/>
      <c r="G958" s="631"/>
      <c r="H958" s="631"/>
      <c r="I958" s="631"/>
      <c r="J958" s="631"/>
      <c r="K958" s="616"/>
      <c r="M958" s="540"/>
      <c r="O958" s="540"/>
    </row>
    <row r="959" spans="2:18" ht="36" customHeight="1" x14ac:dyDescent="0.5">
      <c r="C959" s="451"/>
      <c r="D959" s="631" t="s">
        <v>1688</v>
      </c>
      <c r="E959" s="631"/>
      <c r="F959" s="631"/>
      <c r="G959" s="631"/>
      <c r="H959" s="631"/>
      <c r="I959" s="631"/>
      <c r="J959" s="631"/>
      <c r="K959" s="616"/>
      <c r="M959" s="540"/>
      <c r="O959" s="540"/>
    </row>
    <row r="960" spans="2:18" ht="36" customHeight="1" x14ac:dyDescent="0.5">
      <c r="C960" s="449"/>
      <c r="D960" s="631" t="s">
        <v>1689</v>
      </c>
      <c r="E960" s="631"/>
      <c r="F960" s="631"/>
      <c r="G960" s="631"/>
      <c r="H960" s="631"/>
      <c r="I960" s="631"/>
      <c r="J960" s="631"/>
      <c r="K960" s="616"/>
      <c r="M960" s="540"/>
      <c r="O960" s="540"/>
    </row>
    <row r="961" spans="2:18" ht="36" customHeight="1" x14ac:dyDescent="0.5">
      <c r="C961" s="449"/>
      <c r="D961" s="631" t="s">
        <v>1690</v>
      </c>
      <c r="E961" s="631"/>
      <c r="F961" s="631"/>
      <c r="G961" s="631"/>
      <c r="H961" s="631"/>
      <c r="I961" s="631"/>
      <c r="J961" s="631"/>
      <c r="K961" s="616"/>
      <c r="M961" s="540"/>
      <c r="O961" s="540"/>
    </row>
    <row r="962" spans="2:18" ht="36" customHeight="1" x14ac:dyDescent="0.5">
      <c r="C962" s="449"/>
      <c r="D962" s="631" t="s">
        <v>1691</v>
      </c>
      <c r="E962" s="631"/>
      <c r="F962" s="631"/>
      <c r="G962" s="631"/>
      <c r="H962" s="631"/>
      <c r="I962" s="631"/>
      <c r="J962" s="631"/>
      <c r="K962" s="616"/>
      <c r="M962" s="540"/>
      <c r="O962" s="540"/>
    </row>
    <row r="963" spans="2:18" ht="36" customHeight="1" x14ac:dyDescent="0.5">
      <c r="C963" s="449"/>
      <c r="D963" s="631" t="s">
        <v>1693</v>
      </c>
      <c r="E963" s="631"/>
      <c r="F963" s="631"/>
      <c r="G963" s="631"/>
      <c r="H963" s="631"/>
      <c r="I963" s="631"/>
      <c r="J963" s="631"/>
      <c r="K963" s="616"/>
      <c r="M963" s="540"/>
      <c r="O963" s="540"/>
    </row>
    <row r="964" spans="2:18" ht="36" customHeight="1" x14ac:dyDescent="0.5">
      <c r="D964" s="631" t="s">
        <v>1692</v>
      </c>
      <c r="E964" s="631"/>
      <c r="F964" s="631"/>
      <c r="G964" s="631"/>
      <c r="H964" s="631"/>
      <c r="I964" s="631"/>
      <c r="J964" s="631"/>
      <c r="K964" s="616"/>
      <c r="M964" s="545"/>
      <c r="N964" s="545"/>
      <c r="O964" s="545"/>
      <c r="P964" s="545"/>
    </row>
    <row r="965" spans="2:18" ht="36" customHeight="1" x14ac:dyDescent="0.5">
      <c r="D965" s="631"/>
      <c r="E965" s="631"/>
      <c r="F965" s="631"/>
      <c r="G965" s="631"/>
      <c r="H965" s="631"/>
      <c r="I965" s="631"/>
      <c r="J965" s="631"/>
      <c r="K965" s="616"/>
      <c r="M965" s="545"/>
      <c r="N965" s="545"/>
      <c r="O965" s="545"/>
      <c r="P965" s="545"/>
    </row>
    <row r="966" spans="2:18" ht="36" customHeight="1" x14ac:dyDescent="0.5">
      <c r="D966" s="631"/>
      <c r="E966" s="631"/>
      <c r="F966" s="631"/>
      <c r="G966" s="631"/>
      <c r="H966" s="631"/>
      <c r="I966" s="631"/>
      <c r="J966" s="631"/>
      <c r="K966" s="616"/>
      <c r="M966" s="545"/>
      <c r="N966" s="545"/>
      <c r="O966" s="545"/>
      <c r="P966" s="545"/>
    </row>
    <row r="967" spans="2:18" ht="36" customHeight="1" x14ac:dyDescent="0.5">
      <c r="D967" s="631"/>
      <c r="E967" s="631"/>
      <c r="F967" s="631"/>
      <c r="G967" s="631"/>
      <c r="H967" s="631"/>
      <c r="I967" s="631"/>
      <c r="J967" s="631"/>
      <c r="K967" s="616"/>
      <c r="M967" s="540"/>
      <c r="O967" s="540"/>
    </row>
    <row r="968" spans="2:18" ht="36" customHeight="1" x14ac:dyDescent="0.5">
      <c r="D968" s="631"/>
      <c r="E968" s="631"/>
      <c r="F968" s="631"/>
      <c r="G968" s="631"/>
      <c r="H968" s="631"/>
      <c r="I968" s="631"/>
      <c r="J968" s="631"/>
      <c r="K968" s="616"/>
      <c r="M968" s="540"/>
      <c r="O968" s="454" t="s">
        <v>112</v>
      </c>
      <c r="Q968" s="450">
        <f>MAX($Q$103:Q967)+1</f>
        <v>21</v>
      </c>
    </row>
    <row r="969" spans="2:18" ht="36" customHeight="1" x14ac:dyDescent="0.5">
      <c r="D969" s="630" t="str">
        <f>Criteria!E9</f>
        <v>ABC COMPANY (PROPRIETARY) LIMITED</v>
      </c>
      <c r="E969" s="631"/>
      <c r="F969" s="631"/>
      <c r="G969" s="631"/>
      <c r="H969" s="631"/>
      <c r="I969" s="631"/>
      <c r="J969" s="631"/>
      <c r="K969" s="616"/>
      <c r="M969" s="540"/>
      <c r="O969" s="451"/>
      <c r="P969" s="451"/>
      <c r="Q969" s="451"/>
    </row>
    <row r="970" spans="2:18" ht="36" customHeight="1" x14ac:dyDescent="0.5">
      <c r="D970" s="630" t="str">
        <f>Criteria!E10</f>
        <v>T/A SEAFRONT HOTEL, ABC RESTAURANT AND RENTAL PROPERTIES</v>
      </c>
      <c r="E970" s="631"/>
      <c r="F970" s="631"/>
      <c r="G970" s="631"/>
      <c r="H970" s="631"/>
      <c r="I970" s="631"/>
      <c r="J970" s="631"/>
      <c r="K970" s="616"/>
      <c r="M970" s="540"/>
      <c r="O970" s="540"/>
      <c r="R970" s="490" t="str">
        <f>IF(D970=0,"DELETE"," ")</f>
        <v xml:space="preserve"> </v>
      </c>
    </row>
    <row r="971" spans="2:18" ht="36" customHeight="1" x14ac:dyDescent="0.5">
      <c r="D971" s="631"/>
      <c r="E971" s="631"/>
      <c r="F971" s="631"/>
      <c r="G971" s="631"/>
      <c r="H971" s="631"/>
      <c r="I971" s="631"/>
      <c r="J971" s="631"/>
      <c r="K971" s="616"/>
      <c r="M971" s="540"/>
      <c r="O971" s="540"/>
    </row>
    <row r="972" spans="2:18" ht="36" customHeight="1" x14ac:dyDescent="0.5">
      <c r="D972" s="630" t="s">
        <v>415</v>
      </c>
      <c r="E972" s="631"/>
      <c r="F972" s="631"/>
      <c r="G972" s="631"/>
      <c r="H972" s="631"/>
      <c r="I972" s="631"/>
      <c r="J972" s="631"/>
      <c r="K972" s="616"/>
      <c r="M972" s="540"/>
      <c r="O972" s="540"/>
    </row>
    <row r="973" spans="2:18" ht="36" customHeight="1" x14ac:dyDescent="0.5">
      <c r="D973" s="630" t="str">
        <f>Criteria!E20</f>
        <v>28 FEBRUARY 2026</v>
      </c>
      <c r="E973" s="631"/>
      <c r="F973" s="631"/>
      <c r="G973" s="631"/>
      <c r="H973" s="631"/>
      <c r="I973" s="631"/>
      <c r="J973" s="631" t="s">
        <v>282</v>
      </c>
      <c r="K973" s="616"/>
      <c r="M973" s="540"/>
      <c r="O973" s="540"/>
    </row>
    <row r="974" spans="2:18" ht="36" customHeight="1" x14ac:dyDescent="0.5">
      <c r="D974" s="631"/>
      <c r="E974" s="631"/>
      <c r="F974" s="631"/>
      <c r="G974" s="631"/>
      <c r="H974" s="631"/>
      <c r="I974" s="631"/>
      <c r="J974" s="631"/>
      <c r="K974" s="616"/>
      <c r="M974" s="540"/>
      <c r="O974" s="540"/>
    </row>
    <row r="975" spans="2:18" ht="36" customHeight="1" x14ac:dyDescent="0.5">
      <c r="B975" s="457"/>
      <c r="C975" s="457"/>
      <c r="D975" s="649"/>
      <c r="E975" s="649"/>
      <c r="F975" s="649"/>
      <c r="G975" s="649"/>
      <c r="H975" s="649"/>
      <c r="I975" s="649"/>
      <c r="J975" s="649"/>
      <c r="K975" s="634"/>
      <c r="L975" s="457"/>
      <c r="M975" s="551"/>
      <c r="N975" s="551"/>
      <c r="O975" s="551"/>
      <c r="P975" s="551"/>
      <c r="Q975" s="457"/>
    </row>
    <row r="976" spans="2:18" ht="36" customHeight="1" x14ac:dyDescent="0.5">
      <c r="B976" s="501"/>
      <c r="C976" s="449"/>
      <c r="D976" s="631" t="s">
        <v>1694</v>
      </c>
      <c r="E976" s="631"/>
      <c r="F976" s="631"/>
      <c r="G976" s="631"/>
      <c r="H976" s="631"/>
      <c r="I976" s="631"/>
      <c r="J976" s="631"/>
      <c r="K976" s="616"/>
      <c r="M976" s="540"/>
      <c r="O976" s="540"/>
    </row>
    <row r="977" spans="2:16" ht="36" customHeight="1" x14ac:dyDescent="0.5">
      <c r="B977" s="501"/>
      <c r="C977" s="449"/>
      <c r="D977" s="631" t="s">
        <v>1696</v>
      </c>
      <c r="E977" s="631"/>
      <c r="F977" s="631"/>
      <c r="G977" s="631"/>
      <c r="H977" s="631"/>
      <c r="I977" s="631"/>
      <c r="J977" s="631"/>
      <c r="K977" s="616"/>
      <c r="M977" s="540"/>
      <c r="O977" s="540"/>
    </row>
    <row r="978" spans="2:16" ht="36" customHeight="1" x14ac:dyDescent="0.5">
      <c r="B978" s="501"/>
      <c r="C978" s="449"/>
      <c r="D978" s="631" t="s">
        <v>1695</v>
      </c>
      <c r="E978" s="631"/>
      <c r="F978" s="631"/>
      <c r="G978" s="631"/>
      <c r="H978" s="631"/>
      <c r="I978" s="631"/>
      <c r="J978" s="631"/>
      <c r="K978" s="616"/>
      <c r="M978" s="540"/>
      <c r="O978" s="540"/>
    </row>
    <row r="979" spans="2:16" ht="36" customHeight="1" x14ac:dyDescent="0.5">
      <c r="B979" s="501"/>
      <c r="C979" s="449"/>
      <c r="D979" s="631" t="str">
        <f>CONCATENATE("- ",Criteria!F223)</f>
        <v>- Property</v>
      </c>
      <c r="E979" s="631"/>
      <c r="F979" s="631"/>
      <c r="G979" s="631"/>
      <c r="H979" s="631"/>
      <c r="I979" s="631"/>
      <c r="J979" s="651">
        <f>Criteria!F224</f>
        <v>0.02</v>
      </c>
      <c r="K979" s="616" t="str">
        <f>Criteria!F225</f>
        <v>Straight line</v>
      </c>
      <c r="M979" s="540"/>
      <c r="O979" s="540"/>
    </row>
    <row r="980" spans="2:16" ht="36" customHeight="1" x14ac:dyDescent="0.5">
      <c r="B980" s="501"/>
      <c r="C980" s="449"/>
      <c r="D980" s="631" t="str">
        <f>CONCATENATE("- ",Criteria!G222," ",Criteria!G223)</f>
        <v>- Plant and equipment</v>
      </c>
      <c r="E980" s="631"/>
      <c r="F980" s="631"/>
      <c r="G980" s="631"/>
      <c r="H980" s="631"/>
      <c r="I980" s="631"/>
      <c r="J980" s="651">
        <f>Criteria!G224</f>
        <v>0.2</v>
      </c>
      <c r="K980" s="638" t="str">
        <f>Criteria!G225</f>
        <v>Straight line</v>
      </c>
      <c r="M980" s="540"/>
      <c r="O980" s="540"/>
    </row>
    <row r="981" spans="2:16" ht="36" customHeight="1" x14ac:dyDescent="0.5">
      <c r="B981" s="501"/>
      <c r="C981" s="449"/>
      <c r="D981" s="631" t="str">
        <f>CONCATENATE("- ",Criteria!H222," ",Criteria!H223)</f>
        <v>- Motor vehicles</v>
      </c>
      <c r="E981" s="631"/>
      <c r="F981" s="631"/>
      <c r="G981" s="631"/>
      <c r="H981" s="631"/>
      <c r="I981" s="631"/>
      <c r="J981" s="651">
        <f>Criteria!H224</f>
        <v>0.2</v>
      </c>
      <c r="K981" s="638" t="str">
        <f>Criteria!H225</f>
        <v>Straight line</v>
      </c>
      <c r="M981" s="540"/>
      <c r="O981" s="540"/>
    </row>
    <row r="982" spans="2:16" ht="36" customHeight="1" x14ac:dyDescent="0.5">
      <c r="B982" s="501"/>
      <c r="C982" s="449"/>
      <c r="D982" s="631" t="str">
        <f>CONCATENATE("- ",Criteria!I222," ",Criteria!I223)</f>
        <v>- Electronic equipment</v>
      </c>
      <c r="E982" s="631"/>
      <c r="F982" s="631"/>
      <c r="G982" s="631"/>
      <c r="H982" s="631"/>
      <c r="I982" s="631"/>
      <c r="J982" s="651">
        <f>Criteria!I224</f>
        <v>0.33339999999999997</v>
      </c>
      <c r="K982" s="638" t="str">
        <f>Criteria!I225</f>
        <v>Straight line</v>
      </c>
      <c r="M982" s="540"/>
      <c r="O982" s="540"/>
    </row>
    <row r="983" spans="2:16" ht="36" customHeight="1" x14ac:dyDescent="0.5">
      <c r="B983" s="501"/>
      <c r="C983" s="449"/>
      <c r="D983" s="631" t="str">
        <f>CONCATENATE("- ",Criteria!J222," ",Criteria!J223)</f>
        <v>- Furniture and fittings</v>
      </c>
      <c r="E983" s="631"/>
      <c r="F983" s="631"/>
      <c r="G983" s="631"/>
      <c r="H983" s="631"/>
      <c r="I983" s="631"/>
      <c r="J983" s="651">
        <f>Criteria!J224</f>
        <v>0.2</v>
      </c>
      <c r="K983" s="638" t="str">
        <f>Criteria!J225</f>
        <v>Straight line</v>
      </c>
      <c r="M983" s="540"/>
      <c r="O983" s="540"/>
    </row>
    <row r="984" spans="2:16" ht="36" customHeight="1" x14ac:dyDescent="0.5">
      <c r="B984" s="501"/>
      <c r="C984" s="449"/>
      <c r="D984" s="631"/>
      <c r="E984" s="631"/>
      <c r="F984" s="631"/>
      <c r="G984" s="631"/>
      <c r="H984" s="631"/>
      <c r="I984" s="631"/>
      <c r="J984" s="631"/>
      <c r="K984" s="616"/>
      <c r="M984" s="540"/>
      <c r="O984" s="540"/>
    </row>
    <row r="985" spans="2:16" ht="36" customHeight="1" x14ac:dyDescent="0.5">
      <c r="B985" s="501"/>
      <c r="C985" s="449"/>
      <c r="D985" s="631" t="s">
        <v>1697</v>
      </c>
      <c r="E985" s="631"/>
      <c r="F985" s="631"/>
      <c r="G985" s="631"/>
      <c r="H985" s="631"/>
      <c r="I985" s="631"/>
      <c r="J985" s="631"/>
      <c r="K985" s="616"/>
      <c r="M985" s="540"/>
      <c r="O985" s="540"/>
    </row>
    <row r="986" spans="2:16" ht="36" customHeight="1" x14ac:dyDescent="0.5">
      <c r="B986" s="501"/>
      <c r="C986" s="449"/>
      <c r="D986" s="631" t="s">
        <v>1699</v>
      </c>
      <c r="E986" s="631"/>
      <c r="F986" s="631"/>
      <c r="G986" s="631"/>
      <c r="H986" s="631"/>
      <c r="I986" s="631"/>
      <c r="J986" s="631"/>
      <c r="K986" s="616"/>
      <c r="M986" s="540"/>
      <c r="O986" s="540"/>
    </row>
    <row r="987" spans="2:16" ht="36" customHeight="1" x14ac:dyDescent="0.5">
      <c r="B987" s="501"/>
      <c r="C987" s="449"/>
      <c r="D987" s="631" t="s">
        <v>1698</v>
      </c>
      <c r="E987" s="631"/>
      <c r="F987" s="631"/>
      <c r="G987" s="631"/>
      <c r="H987" s="631"/>
      <c r="I987" s="631"/>
      <c r="J987" s="631"/>
      <c r="K987" s="616"/>
      <c r="M987" s="540"/>
      <c r="O987" s="540"/>
    </row>
    <row r="988" spans="2:16" ht="36" customHeight="1" x14ac:dyDescent="0.5">
      <c r="B988" s="501"/>
      <c r="C988" s="449"/>
      <c r="D988" s="631"/>
      <c r="E988" s="631"/>
      <c r="F988" s="631"/>
      <c r="G988" s="631"/>
      <c r="H988" s="631"/>
      <c r="I988" s="631"/>
      <c r="J988" s="631"/>
      <c r="K988" s="616"/>
      <c r="M988" s="540"/>
      <c r="O988" s="540"/>
    </row>
    <row r="989" spans="2:16" ht="36" customHeight="1" x14ac:dyDescent="0.5">
      <c r="B989" s="501"/>
      <c r="C989" s="449"/>
      <c r="D989" s="631" t="s">
        <v>1575</v>
      </c>
      <c r="E989" s="631"/>
      <c r="F989" s="631"/>
      <c r="G989" s="631"/>
      <c r="H989" s="631"/>
      <c r="I989" s="631"/>
      <c r="J989" s="631"/>
      <c r="K989" s="616"/>
      <c r="M989" s="540"/>
      <c r="O989" s="540"/>
    </row>
    <row r="990" spans="2:16" ht="36" customHeight="1" x14ac:dyDescent="0.5">
      <c r="B990" s="501"/>
      <c r="C990" s="449"/>
      <c r="D990" s="631" t="s">
        <v>1558</v>
      </c>
      <c r="E990" s="631"/>
      <c r="F990" s="631"/>
      <c r="G990" s="631"/>
      <c r="H990" s="631"/>
      <c r="I990" s="631"/>
      <c r="J990" s="631"/>
      <c r="K990" s="616"/>
      <c r="M990" s="540"/>
      <c r="O990" s="540"/>
    </row>
    <row r="991" spans="2:16" ht="36" customHeight="1" x14ac:dyDescent="0.5">
      <c r="B991" s="501"/>
      <c r="C991" s="449"/>
      <c r="D991" s="631"/>
      <c r="E991" s="631"/>
      <c r="F991" s="631"/>
      <c r="G991" s="631"/>
      <c r="H991" s="631"/>
      <c r="I991" s="631"/>
      <c r="J991" s="631"/>
      <c r="K991" s="616"/>
      <c r="M991" s="540"/>
      <c r="O991" s="540"/>
    </row>
    <row r="992" spans="2:16" ht="36" customHeight="1" x14ac:dyDescent="0.5">
      <c r="D992" s="631"/>
      <c r="E992" s="631"/>
      <c r="F992" s="631"/>
      <c r="G992" s="631"/>
      <c r="H992" s="631"/>
      <c r="I992" s="631"/>
      <c r="J992" s="631"/>
      <c r="K992" s="616"/>
      <c r="M992" s="555"/>
      <c r="N992" s="555"/>
      <c r="O992" s="555"/>
      <c r="P992" s="545"/>
    </row>
    <row r="993" spans="2:18" ht="36" customHeight="1" x14ac:dyDescent="0.5">
      <c r="D993" s="631"/>
      <c r="E993" s="631"/>
      <c r="F993" s="631"/>
      <c r="G993" s="631"/>
      <c r="H993" s="631"/>
      <c r="I993" s="631"/>
      <c r="J993" s="631"/>
      <c r="K993" s="616"/>
      <c r="M993" s="540"/>
      <c r="O993" s="540"/>
    </row>
    <row r="994" spans="2:18" ht="36" customHeight="1" x14ac:dyDescent="0.5">
      <c r="D994" s="631"/>
      <c r="E994" s="631"/>
      <c r="F994" s="631"/>
      <c r="G994" s="631"/>
      <c r="H994" s="631"/>
      <c r="I994" s="631"/>
      <c r="J994" s="631"/>
      <c r="K994" s="616"/>
      <c r="M994" s="540"/>
      <c r="O994" s="454" t="s">
        <v>112</v>
      </c>
      <c r="Q994" s="450">
        <f>MAX($Q$103:Q993)+1</f>
        <v>22</v>
      </c>
    </row>
    <row r="995" spans="2:18" ht="36" customHeight="1" x14ac:dyDescent="0.5">
      <c r="D995" s="630" t="str">
        <f>Criteria!E9</f>
        <v>ABC COMPANY (PROPRIETARY) LIMITED</v>
      </c>
      <c r="E995" s="631"/>
      <c r="F995" s="631"/>
      <c r="G995" s="631"/>
      <c r="H995" s="631"/>
      <c r="I995" s="631"/>
      <c r="J995" s="631"/>
      <c r="K995" s="616"/>
      <c r="M995" s="540"/>
      <c r="O995" s="451"/>
      <c r="P995" s="451"/>
      <c r="Q995" s="451"/>
    </row>
    <row r="996" spans="2:18" ht="36" customHeight="1" x14ac:dyDescent="0.5">
      <c r="D996" s="630" t="str">
        <f>Criteria!E10</f>
        <v>T/A SEAFRONT HOTEL, ABC RESTAURANT AND RENTAL PROPERTIES</v>
      </c>
      <c r="E996" s="631"/>
      <c r="F996" s="631"/>
      <c r="G996" s="631"/>
      <c r="H996" s="631"/>
      <c r="I996" s="631"/>
      <c r="J996" s="631"/>
      <c r="K996" s="616"/>
      <c r="M996" s="540"/>
      <c r="O996" s="540"/>
      <c r="R996" s="490" t="str">
        <f>IF(D996=0,"DELETE"," ")</f>
        <v xml:space="preserve"> </v>
      </c>
    </row>
    <row r="997" spans="2:18" ht="36" customHeight="1" x14ac:dyDescent="0.5">
      <c r="D997" s="631"/>
      <c r="E997" s="631"/>
      <c r="F997" s="631"/>
      <c r="G997" s="631"/>
      <c r="H997" s="631"/>
      <c r="I997" s="631"/>
      <c r="J997" s="631"/>
      <c r="K997" s="616"/>
      <c r="M997" s="540"/>
      <c r="O997" s="540"/>
    </row>
    <row r="998" spans="2:18" ht="36" customHeight="1" x14ac:dyDescent="0.5">
      <c r="D998" s="630" t="s">
        <v>415</v>
      </c>
      <c r="E998" s="631"/>
      <c r="F998" s="631"/>
      <c r="G998" s="631"/>
      <c r="H998" s="631"/>
      <c r="I998" s="631"/>
      <c r="J998" s="631"/>
      <c r="K998" s="616"/>
      <c r="M998" s="540"/>
      <c r="O998" s="540"/>
    </row>
    <row r="999" spans="2:18" ht="36" customHeight="1" x14ac:dyDescent="0.5">
      <c r="D999" s="630" t="str">
        <f>Criteria!E20</f>
        <v>28 FEBRUARY 2026</v>
      </c>
      <c r="E999" s="631"/>
      <c r="F999" s="631"/>
      <c r="G999" s="631"/>
      <c r="H999" s="631"/>
      <c r="I999" s="631"/>
      <c r="J999" s="631" t="s">
        <v>282</v>
      </c>
      <c r="K999" s="616"/>
      <c r="M999" s="540"/>
      <c r="O999" s="540"/>
    </row>
    <row r="1000" spans="2:18" ht="36" customHeight="1" x14ac:dyDescent="0.5">
      <c r="D1000" s="631"/>
      <c r="E1000" s="631"/>
      <c r="F1000" s="631"/>
      <c r="G1000" s="631"/>
      <c r="H1000" s="631"/>
      <c r="I1000" s="631"/>
      <c r="J1000" s="631"/>
      <c r="K1000" s="616"/>
      <c r="M1000" s="540"/>
      <c r="O1000" s="540"/>
    </row>
    <row r="1001" spans="2:18" ht="36" customHeight="1" x14ac:dyDescent="0.5">
      <c r="B1001" s="457"/>
      <c r="C1001" s="457"/>
      <c r="D1001" s="649"/>
      <c r="E1001" s="649"/>
      <c r="F1001" s="649"/>
      <c r="G1001" s="649"/>
      <c r="H1001" s="649"/>
      <c r="I1001" s="649"/>
      <c r="J1001" s="649"/>
      <c r="K1001" s="634"/>
      <c r="L1001" s="457"/>
      <c r="M1001" s="551"/>
      <c r="N1001" s="551"/>
      <c r="O1001" s="551"/>
      <c r="P1001" s="551"/>
      <c r="Q1001" s="457"/>
    </row>
    <row r="1002" spans="2:18" ht="36" customHeight="1" x14ac:dyDescent="0.5">
      <c r="B1002" s="501"/>
      <c r="C1002" s="448">
        <f>MAX(C$871:C1001)+0.1</f>
        <v>1.4000000000000004</v>
      </c>
      <c r="D1002" s="630" t="s">
        <v>1515</v>
      </c>
      <c r="E1002" s="631"/>
      <c r="F1002" s="631"/>
      <c r="G1002" s="631"/>
      <c r="H1002" s="631"/>
      <c r="I1002" s="631"/>
      <c r="J1002" s="631"/>
      <c r="K1002" s="616"/>
      <c r="M1002" s="540"/>
      <c r="O1002" s="540"/>
    </row>
    <row r="1003" spans="2:18" ht="36" customHeight="1" x14ac:dyDescent="0.5">
      <c r="B1003" s="501"/>
      <c r="D1003" s="630"/>
      <c r="E1003" s="631"/>
      <c r="F1003" s="631"/>
      <c r="G1003" s="631"/>
      <c r="H1003" s="631"/>
      <c r="I1003" s="631"/>
      <c r="J1003" s="631"/>
      <c r="K1003" s="616"/>
      <c r="M1003" s="540"/>
      <c r="O1003" s="540"/>
    </row>
    <row r="1004" spans="2:18" ht="36" customHeight="1" x14ac:dyDescent="0.5">
      <c r="B1004" s="501"/>
      <c r="C1004" s="449"/>
      <c r="D1004" s="631" t="s">
        <v>1700</v>
      </c>
      <c r="E1004" s="631"/>
      <c r="F1004" s="631"/>
      <c r="G1004" s="631"/>
      <c r="H1004" s="631"/>
      <c r="I1004" s="631"/>
      <c r="J1004" s="631"/>
      <c r="K1004" s="616"/>
      <c r="M1004" s="540"/>
      <c r="O1004" s="540"/>
    </row>
    <row r="1005" spans="2:18" ht="36" customHeight="1" x14ac:dyDescent="0.5">
      <c r="B1005" s="501"/>
      <c r="C1005" s="449"/>
      <c r="D1005" s="631" t="s">
        <v>1701</v>
      </c>
      <c r="E1005" s="631"/>
      <c r="F1005" s="631"/>
      <c r="G1005" s="631"/>
      <c r="H1005" s="631"/>
      <c r="I1005" s="631"/>
      <c r="J1005" s="631"/>
      <c r="K1005" s="616"/>
      <c r="M1005" s="540"/>
      <c r="O1005" s="540"/>
    </row>
    <row r="1006" spans="2:18" ht="36" customHeight="1" x14ac:dyDescent="0.5">
      <c r="B1006" s="501"/>
      <c r="C1006" s="449"/>
      <c r="D1006" s="631" t="s">
        <v>1703</v>
      </c>
      <c r="E1006" s="631"/>
      <c r="F1006" s="631"/>
      <c r="G1006" s="631"/>
      <c r="H1006" s="631"/>
      <c r="I1006" s="631"/>
      <c r="J1006" s="631"/>
      <c r="K1006" s="616"/>
      <c r="M1006" s="540"/>
      <c r="O1006" s="540"/>
    </row>
    <row r="1007" spans="2:18" ht="36" customHeight="1" x14ac:dyDescent="0.5">
      <c r="B1007" s="501"/>
      <c r="C1007" s="449"/>
      <c r="D1007" s="631" t="s">
        <v>1702</v>
      </c>
      <c r="E1007" s="631"/>
      <c r="F1007" s="631"/>
      <c r="G1007" s="631"/>
      <c r="H1007" s="631"/>
      <c r="I1007" s="631"/>
      <c r="J1007" s="631"/>
      <c r="K1007" s="616"/>
      <c r="M1007" s="540"/>
      <c r="O1007" s="540"/>
    </row>
    <row r="1008" spans="2:18" ht="36" customHeight="1" x14ac:dyDescent="0.5">
      <c r="B1008" s="501"/>
      <c r="C1008" s="449"/>
      <c r="D1008" s="631"/>
      <c r="E1008" s="631"/>
      <c r="F1008" s="631"/>
      <c r="G1008" s="631"/>
      <c r="H1008" s="631"/>
      <c r="I1008" s="631"/>
      <c r="J1008" s="631"/>
      <c r="K1008" s="616"/>
      <c r="M1008" s="540"/>
      <c r="O1008" s="540"/>
    </row>
    <row r="1009" spans="2:18" ht="36" customHeight="1" x14ac:dyDescent="0.5">
      <c r="B1009" s="501"/>
      <c r="C1009" s="449"/>
      <c r="D1009" s="631"/>
      <c r="E1009" s="631"/>
      <c r="F1009" s="631"/>
      <c r="G1009" s="631"/>
      <c r="H1009" s="631"/>
      <c r="I1009" s="631"/>
      <c r="J1009" s="631"/>
      <c r="K1009" s="616"/>
      <c r="M1009" s="540"/>
      <c r="O1009" s="540"/>
    </row>
    <row r="1010" spans="2:18" ht="36" customHeight="1" x14ac:dyDescent="0.5">
      <c r="D1010" s="631"/>
      <c r="E1010" s="631"/>
      <c r="F1010" s="631"/>
      <c r="G1010" s="631"/>
      <c r="H1010" s="631"/>
      <c r="I1010" s="631"/>
      <c r="J1010" s="631"/>
      <c r="K1010" s="616"/>
      <c r="M1010" s="555"/>
      <c r="N1010" s="555"/>
      <c r="O1010" s="555"/>
      <c r="P1010" s="545"/>
    </row>
    <row r="1011" spans="2:18" ht="36" customHeight="1" x14ac:dyDescent="0.5">
      <c r="D1011" s="631"/>
      <c r="E1011" s="631"/>
      <c r="F1011" s="631"/>
      <c r="G1011" s="631"/>
      <c r="H1011" s="631"/>
      <c r="I1011" s="631"/>
      <c r="J1011" s="631"/>
      <c r="K1011" s="616"/>
      <c r="M1011" s="540"/>
      <c r="O1011" s="540"/>
    </row>
    <row r="1012" spans="2:18" ht="36" customHeight="1" x14ac:dyDescent="0.5">
      <c r="D1012" s="631"/>
      <c r="E1012" s="631"/>
      <c r="F1012" s="631"/>
      <c r="G1012" s="631"/>
      <c r="H1012" s="631"/>
      <c r="I1012" s="631"/>
      <c r="J1012" s="631"/>
      <c r="K1012" s="616"/>
      <c r="M1012" s="540"/>
      <c r="O1012" s="454" t="s">
        <v>112</v>
      </c>
      <c r="Q1012" s="450">
        <f>MAX($Q$103:Q1011)+1</f>
        <v>23</v>
      </c>
    </row>
    <row r="1013" spans="2:18" ht="36" customHeight="1" x14ac:dyDescent="0.5">
      <c r="D1013" s="630" t="str">
        <f>Criteria!E9</f>
        <v>ABC COMPANY (PROPRIETARY) LIMITED</v>
      </c>
      <c r="E1013" s="631"/>
      <c r="F1013" s="631"/>
      <c r="G1013" s="631"/>
      <c r="H1013" s="631"/>
      <c r="I1013" s="631"/>
      <c r="J1013" s="631"/>
      <c r="K1013" s="616"/>
      <c r="M1013" s="540"/>
      <c r="O1013" s="451"/>
      <c r="P1013" s="451"/>
      <c r="Q1013" s="451"/>
    </row>
    <row r="1014" spans="2:18" ht="36" customHeight="1" x14ac:dyDescent="0.5">
      <c r="D1014" s="630" t="str">
        <f>Criteria!E10</f>
        <v>T/A SEAFRONT HOTEL, ABC RESTAURANT AND RENTAL PROPERTIES</v>
      </c>
      <c r="E1014" s="631"/>
      <c r="F1014" s="631"/>
      <c r="G1014" s="631"/>
      <c r="H1014" s="631"/>
      <c r="I1014" s="631"/>
      <c r="J1014" s="631"/>
      <c r="K1014" s="616"/>
      <c r="M1014" s="540"/>
      <c r="O1014" s="540"/>
      <c r="R1014" s="490" t="str">
        <f>IF(D1014=0,"DELETE"," ")</f>
        <v xml:space="preserve"> </v>
      </c>
    </row>
    <row r="1015" spans="2:18" ht="36" customHeight="1" x14ac:dyDescent="0.5">
      <c r="D1015" s="631"/>
      <c r="E1015" s="631"/>
      <c r="F1015" s="631"/>
      <c r="G1015" s="631"/>
      <c r="H1015" s="631"/>
      <c r="I1015" s="631"/>
      <c r="J1015" s="631"/>
      <c r="K1015" s="616"/>
      <c r="M1015" s="540"/>
      <c r="O1015" s="540"/>
    </row>
    <row r="1016" spans="2:18" ht="36" customHeight="1" x14ac:dyDescent="0.5">
      <c r="D1016" s="630" t="s">
        <v>415</v>
      </c>
      <c r="E1016" s="631"/>
      <c r="F1016" s="631"/>
      <c r="G1016" s="631"/>
      <c r="H1016" s="631"/>
      <c r="I1016" s="631"/>
      <c r="J1016" s="631"/>
      <c r="K1016" s="616"/>
      <c r="M1016" s="540"/>
      <c r="O1016" s="540"/>
    </row>
    <row r="1017" spans="2:18" ht="36" customHeight="1" x14ac:dyDescent="0.5">
      <c r="D1017" s="630" t="str">
        <f>Criteria!E20</f>
        <v>28 FEBRUARY 2026</v>
      </c>
      <c r="E1017" s="631"/>
      <c r="F1017" s="631"/>
      <c r="G1017" s="631"/>
      <c r="H1017" s="631"/>
      <c r="I1017" s="631"/>
      <c r="J1017" s="631" t="s">
        <v>282</v>
      </c>
      <c r="K1017" s="616"/>
      <c r="M1017" s="540"/>
      <c r="O1017" s="540"/>
    </row>
    <row r="1018" spans="2:18" ht="36" customHeight="1" x14ac:dyDescent="0.5">
      <c r="D1018" s="631"/>
      <c r="E1018" s="631"/>
      <c r="F1018" s="631"/>
      <c r="G1018" s="631"/>
      <c r="H1018" s="631"/>
      <c r="I1018" s="631"/>
      <c r="J1018" s="631"/>
      <c r="K1018" s="616"/>
      <c r="M1018" s="540"/>
      <c r="O1018" s="540"/>
    </row>
    <row r="1019" spans="2:18" ht="36" customHeight="1" x14ac:dyDescent="0.5">
      <c r="B1019" s="457"/>
      <c r="C1019" s="457"/>
      <c r="D1019" s="649"/>
      <c r="E1019" s="649"/>
      <c r="F1019" s="649"/>
      <c r="G1019" s="649"/>
      <c r="H1019" s="649"/>
      <c r="I1019" s="649"/>
      <c r="J1019" s="649"/>
      <c r="K1019" s="634"/>
      <c r="L1019" s="457"/>
      <c r="M1019" s="551"/>
      <c r="N1019" s="551"/>
      <c r="O1019" s="551"/>
      <c r="P1019" s="551"/>
      <c r="Q1019" s="457"/>
    </row>
    <row r="1020" spans="2:18" ht="36" customHeight="1" x14ac:dyDescent="0.5">
      <c r="B1020" s="501"/>
      <c r="C1020" s="448">
        <f>MAX(C$871:C1019)+0.1</f>
        <v>1.5000000000000004</v>
      </c>
      <c r="D1020" s="630" t="s">
        <v>1296</v>
      </c>
      <c r="E1020" s="631"/>
      <c r="F1020" s="631"/>
      <c r="G1020" s="631"/>
      <c r="H1020" s="631"/>
      <c r="I1020" s="631"/>
      <c r="J1020" s="631"/>
      <c r="K1020" s="616"/>
      <c r="M1020" s="540"/>
      <c r="O1020" s="540"/>
    </row>
    <row r="1021" spans="2:18" ht="36" customHeight="1" x14ac:dyDescent="0.5">
      <c r="B1021" s="501"/>
      <c r="D1021" s="630"/>
      <c r="E1021" s="631"/>
      <c r="F1021" s="631"/>
      <c r="G1021" s="631"/>
      <c r="H1021" s="631"/>
      <c r="I1021" s="631"/>
      <c r="J1021" s="631"/>
      <c r="K1021" s="616"/>
      <c r="M1021" s="540"/>
      <c r="O1021" s="540"/>
    </row>
    <row r="1022" spans="2:18" ht="36" customHeight="1" x14ac:dyDescent="0.5">
      <c r="B1022" s="501"/>
      <c r="C1022" s="449"/>
      <c r="D1022" s="631" t="s">
        <v>1229</v>
      </c>
      <c r="E1022" s="631"/>
      <c r="F1022" s="631"/>
      <c r="G1022" s="631"/>
      <c r="H1022" s="631"/>
      <c r="I1022" s="631"/>
      <c r="J1022" s="631"/>
      <c r="K1022" s="616"/>
      <c r="M1022" s="540"/>
      <c r="O1022" s="540"/>
    </row>
    <row r="1023" spans="2:18" ht="36" customHeight="1" x14ac:dyDescent="0.5">
      <c r="B1023" s="501"/>
      <c r="C1023" s="449"/>
      <c r="D1023" s="650" t="s">
        <v>1230</v>
      </c>
      <c r="E1023" s="631"/>
      <c r="F1023" s="631"/>
      <c r="G1023" s="631"/>
      <c r="H1023" s="631"/>
      <c r="I1023" s="631"/>
      <c r="J1023" s="631"/>
      <c r="K1023" s="616"/>
      <c r="M1023" s="540"/>
      <c r="O1023" s="540"/>
    </row>
    <row r="1024" spans="2:18" ht="36" customHeight="1" x14ac:dyDescent="0.5">
      <c r="B1024" s="501"/>
      <c r="C1024" s="449"/>
      <c r="D1024" s="631" t="s">
        <v>1704</v>
      </c>
      <c r="E1024" s="631"/>
      <c r="F1024" s="631"/>
      <c r="G1024" s="631"/>
      <c r="H1024" s="631"/>
      <c r="I1024" s="631"/>
      <c r="J1024" s="631"/>
      <c r="K1024" s="616"/>
      <c r="M1024" s="540"/>
      <c r="O1024" s="540"/>
    </row>
    <row r="1025" spans="2:18" ht="36" customHeight="1" x14ac:dyDescent="0.5">
      <c r="B1025" s="501"/>
      <c r="C1025" s="449"/>
      <c r="D1025" s="631" t="s">
        <v>1706</v>
      </c>
      <c r="E1025" s="631"/>
      <c r="F1025" s="631"/>
      <c r="G1025" s="631"/>
      <c r="H1025" s="631"/>
      <c r="I1025" s="631"/>
      <c r="J1025" s="631"/>
      <c r="K1025" s="616"/>
      <c r="M1025" s="540"/>
      <c r="O1025" s="540"/>
    </row>
    <row r="1026" spans="2:18" ht="36" customHeight="1" x14ac:dyDescent="0.5">
      <c r="B1026" s="501"/>
      <c r="C1026" s="449"/>
      <c r="D1026" s="631" t="s">
        <v>1705</v>
      </c>
      <c r="E1026" s="631"/>
      <c r="F1026" s="631"/>
      <c r="G1026" s="631"/>
      <c r="H1026" s="631"/>
      <c r="I1026" s="631"/>
      <c r="J1026" s="631"/>
      <c r="K1026" s="616"/>
      <c r="M1026" s="540"/>
      <c r="O1026" s="540"/>
    </row>
    <row r="1027" spans="2:18" ht="36" customHeight="1" x14ac:dyDescent="0.5">
      <c r="B1027" s="501"/>
      <c r="C1027" s="449"/>
      <c r="D1027" s="631"/>
      <c r="E1027" s="631"/>
      <c r="F1027" s="631"/>
      <c r="G1027" s="631"/>
      <c r="H1027" s="631"/>
      <c r="I1027" s="631"/>
      <c r="J1027" s="631"/>
      <c r="K1027" s="616"/>
      <c r="M1027" s="540"/>
      <c r="O1027" s="540"/>
    </row>
    <row r="1028" spans="2:18" ht="36" customHeight="1" x14ac:dyDescent="0.5">
      <c r="B1028" s="501"/>
      <c r="C1028" s="449"/>
      <c r="D1028" s="631"/>
      <c r="E1028" s="631"/>
      <c r="F1028" s="631"/>
      <c r="G1028" s="631"/>
      <c r="H1028" s="631"/>
      <c r="I1028" s="631"/>
      <c r="J1028" s="631"/>
      <c r="K1028" s="616"/>
      <c r="M1028" s="540"/>
      <c r="O1028" s="540"/>
    </row>
    <row r="1029" spans="2:18" ht="36" customHeight="1" x14ac:dyDescent="0.5">
      <c r="D1029" s="631"/>
      <c r="E1029" s="631"/>
      <c r="F1029" s="631"/>
      <c r="G1029" s="631"/>
      <c r="H1029" s="631"/>
      <c r="I1029" s="631"/>
      <c r="J1029" s="631"/>
      <c r="K1029" s="616"/>
      <c r="M1029" s="555"/>
      <c r="N1029" s="555"/>
      <c r="O1029" s="555"/>
      <c r="P1029" s="545"/>
    </row>
    <row r="1030" spans="2:18" ht="36" customHeight="1" x14ac:dyDescent="0.5">
      <c r="D1030" s="631"/>
      <c r="E1030" s="631"/>
      <c r="F1030" s="631"/>
      <c r="G1030" s="631"/>
      <c r="H1030" s="631"/>
      <c r="I1030" s="631"/>
      <c r="J1030" s="631"/>
      <c r="K1030" s="616"/>
      <c r="M1030" s="540"/>
      <c r="O1030" s="540"/>
    </row>
    <row r="1031" spans="2:18" ht="36" customHeight="1" x14ac:dyDescent="0.5">
      <c r="D1031" s="631"/>
      <c r="E1031" s="631"/>
      <c r="F1031" s="631"/>
      <c r="G1031" s="631"/>
      <c r="H1031" s="631"/>
      <c r="I1031" s="631"/>
      <c r="J1031" s="631"/>
      <c r="K1031" s="616"/>
      <c r="M1031" s="540"/>
      <c r="O1031" s="454" t="s">
        <v>112</v>
      </c>
      <c r="Q1031" s="450">
        <f>MAX($Q$103:Q1030)+1</f>
        <v>24</v>
      </c>
    </row>
    <row r="1032" spans="2:18" ht="36" customHeight="1" x14ac:dyDescent="0.5">
      <c r="D1032" s="630" t="str">
        <f>Criteria!E9</f>
        <v>ABC COMPANY (PROPRIETARY) LIMITED</v>
      </c>
      <c r="E1032" s="631"/>
      <c r="F1032" s="631"/>
      <c r="G1032" s="631"/>
      <c r="H1032" s="631"/>
      <c r="I1032" s="631"/>
      <c r="J1032" s="631"/>
      <c r="K1032" s="616"/>
      <c r="M1032" s="540"/>
      <c r="O1032" s="451"/>
      <c r="P1032" s="451"/>
      <c r="Q1032" s="451"/>
    </row>
    <row r="1033" spans="2:18" ht="36" customHeight="1" x14ac:dyDescent="0.5">
      <c r="D1033" s="630" t="str">
        <f>Criteria!E10</f>
        <v>T/A SEAFRONT HOTEL, ABC RESTAURANT AND RENTAL PROPERTIES</v>
      </c>
      <c r="E1033" s="631"/>
      <c r="F1033" s="631"/>
      <c r="G1033" s="631"/>
      <c r="H1033" s="631"/>
      <c r="I1033" s="631"/>
      <c r="J1033" s="631"/>
      <c r="K1033" s="616"/>
      <c r="M1033" s="540"/>
      <c r="O1033" s="540"/>
      <c r="R1033" s="490" t="str">
        <f>IF(D1033=0,"DELETE"," ")</f>
        <v xml:space="preserve"> </v>
      </c>
    </row>
    <row r="1034" spans="2:18" ht="36" customHeight="1" x14ac:dyDescent="0.5">
      <c r="D1034" s="631"/>
      <c r="E1034" s="631"/>
      <c r="F1034" s="631"/>
      <c r="G1034" s="631"/>
      <c r="H1034" s="631"/>
      <c r="I1034" s="631"/>
      <c r="J1034" s="631"/>
      <c r="K1034" s="616"/>
      <c r="M1034" s="540"/>
      <c r="O1034" s="540"/>
    </row>
    <row r="1035" spans="2:18" ht="36" customHeight="1" x14ac:dyDescent="0.5">
      <c r="D1035" s="630" t="s">
        <v>415</v>
      </c>
      <c r="E1035" s="631"/>
      <c r="F1035" s="631"/>
      <c r="G1035" s="631"/>
      <c r="H1035" s="631"/>
      <c r="I1035" s="631"/>
      <c r="J1035" s="631"/>
      <c r="K1035" s="616"/>
      <c r="M1035" s="540"/>
      <c r="O1035" s="540"/>
    </row>
    <row r="1036" spans="2:18" ht="36" customHeight="1" x14ac:dyDescent="0.5">
      <c r="D1036" s="630" t="str">
        <f>Criteria!E20</f>
        <v>28 FEBRUARY 2026</v>
      </c>
      <c r="E1036" s="631"/>
      <c r="F1036" s="631"/>
      <c r="G1036" s="631"/>
      <c r="H1036" s="631"/>
      <c r="I1036" s="631"/>
      <c r="J1036" s="631" t="s">
        <v>282</v>
      </c>
      <c r="K1036" s="616"/>
      <c r="M1036" s="540"/>
      <c r="O1036" s="540"/>
    </row>
    <row r="1037" spans="2:18" ht="36" customHeight="1" x14ac:dyDescent="0.5">
      <c r="D1037" s="631"/>
      <c r="E1037" s="631"/>
      <c r="F1037" s="631"/>
      <c r="G1037" s="631"/>
      <c r="H1037" s="631"/>
      <c r="I1037" s="631"/>
      <c r="J1037" s="631"/>
      <c r="K1037" s="616"/>
      <c r="M1037" s="540"/>
      <c r="O1037" s="540"/>
    </row>
    <row r="1038" spans="2:18" ht="36" customHeight="1" x14ac:dyDescent="0.5">
      <c r="B1038" s="457"/>
      <c r="C1038" s="457"/>
      <c r="D1038" s="649"/>
      <c r="E1038" s="649"/>
      <c r="F1038" s="649"/>
      <c r="G1038" s="649"/>
      <c r="H1038" s="649"/>
      <c r="I1038" s="649"/>
      <c r="J1038" s="649"/>
      <c r="K1038" s="634"/>
      <c r="L1038" s="457"/>
      <c r="M1038" s="551"/>
      <c r="N1038" s="551"/>
      <c r="O1038" s="551"/>
      <c r="P1038" s="551"/>
      <c r="Q1038" s="457"/>
    </row>
    <row r="1039" spans="2:18" ht="36" customHeight="1" x14ac:dyDescent="0.5">
      <c r="B1039" s="501"/>
      <c r="C1039" s="449"/>
      <c r="D1039" s="650" t="s">
        <v>1226</v>
      </c>
      <c r="E1039" s="631"/>
      <c r="F1039" s="631"/>
      <c r="G1039" s="631"/>
      <c r="H1039" s="631"/>
      <c r="I1039" s="631"/>
      <c r="J1039" s="631"/>
      <c r="K1039" s="616"/>
      <c r="M1039" s="540"/>
      <c r="O1039" s="540"/>
    </row>
    <row r="1040" spans="2:18" ht="36" customHeight="1" x14ac:dyDescent="0.5">
      <c r="B1040" s="501"/>
      <c r="C1040" s="449"/>
      <c r="D1040" s="631" t="s">
        <v>1559</v>
      </c>
      <c r="E1040" s="631"/>
      <c r="F1040" s="631"/>
      <c r="G1040" s="631"/>
      <c r="H1040" s="631"/>
      <c r="I1040" s="631"/>
      <c r="J1040" s="631"/>
      <c r="K1040" s="616"/>
      <c r="M1040" s="540"/>
      <c r="O1040" s="540"/>
    </row>
    <row r="1041" spans="2:18" ht="36" customHeight="1" x14ac:dyDescent="0.5">
      <c r="B1041" s="501"/>
      <c r="C1041" s="449"/>
      <c r="D1041" s="631" t="s">
        <v>1561</v>
      </c>
      <c r="E1041" s="631"/>
      <c r="F1041" s="631"/>
      <c r="G1041" s="631"/>
      <c r="H1041" s="631"/>
      <c r="I1041" s="631"/>
      <c r="J1041" s="631"/>
      <c r="K1041" s="616"/>
      <c r="M1041" s="540"/>
      <c r="O1041" s="540"/>
    </row>
    <row r="1042" spans="2:18" ht="36" customHeight="1" x14ac:dyDescent="0.5">
      <c r="B1042" s="501"/>
      <c r="C1042" s="449"/>
      <c r="D1042" s="631" t="s">
        <v>1560</v>
      </c>
      <c r="E1042" s="631"/>
      <c r="F1042" s="631"/>
      <c r="G1042" s="631"/>
      <c r="H1042" s="631"/>
      <c r="I1042" s="631"/>
      <c r="J1042" s="631"/>
      <c r="K1042" s="616"/>
      <c r="M1042" s="540"/>
      <c r="O1042" s="540"/>
    </row>
    <row r="1043" spans="2:18" ht="36" customHeight="1" x14ac:dyDescent="0.5">
      <c r="B1043" s="501"/>
      <c r="C1043" s="449"/>
      <c r="D1043" s="631" t="s">
        <v>1708</v>
      </c>
      <c r="E1043" s="631"/>
      <c r="F1043" s="631"/>
      <c r="G1043" s="631"/>
      <c r="H1043" s="631"/>
      <c r="I1043" s="631"/>
      <c r="J1043" s="631"/>
      <c r="K1043" s="616"/>
      <c r="M1043" s="540"/>
      <c r="O1043" s="540"/>
    </row>
    <row r="1044" spans="2:18" ht="36" customHeight="1" x14ac:dyDescent="0.5">
      <c r="B1044" s="501"/>
      <c r="C1044" s="449"/>
      <c r="D1044" s="631" t="s">
        <v>1707</v>
      </c>
      <c r="E1044" s="631"/>
      <c r="F1044" s="631"/>
      <c r="G1044" s="631"/>
      <c r="H1044" s="631"/>
      <c r="I1044" s="631"/>
      <c r="J1044" s="631"/>
      <c r="K1044" s="616"/>
      <c r="M1044" s="540"/>
      <c r="O1044" s="540"/>
    </row>
    <row r="1045" spans="2:18" ht="36" customHeight="1" x14ac:dyDescent="0.5">
      <c r="B1045" s="501"/>
      <c r="C1045" s="449"/>
      <c r="D1045" s="631" t="str">
        <f>CONCATENATE("- ",Criteria!F245," years")</f>
        <v>- 10 years</v>
      </c>
      <c r="E1045" s="631"/>
      <c r="F1045" s="631"/>
      <c r="G1045" s="631"/>
      <c r="H1045" s="631"/>
      <c r="I1045" s="631"/>
      <c r="J1045" s="631"/>
      <c r="K1045" s="616"/>
      <c r="M1045" s="540"/>
      <c r="O1045" s="540"/>
    </row>
    <row r="1046" spans="2:18" ht="36" customHeight="1" x14ac:dyDescent="0.5">
      <c r="B1046" s="501"/>
      <c r="C1046" s="449"/>
      <c r="D1046" s="631"/>
      <c r="E1046" s="631"/>
      <c r="F1046" s="631"/>
      <c r="G1046" s="631"/>
      <c r="H1046" s="631"/>
      <c r="I1046" s="631"/>
      <c r="J1046" s="631"/>
      <c r="K1046" s="616"/>
      <c r="M1046" s="540"/>
      <c r="O1046" s="540"/>
    </row>
    <row r="1047" spans="2:18" ht="36" customHeight="1" x14ac:dyDescent="0.5">
      <c r="B1047" s="501"/>
      <c r="C1047" s="449"/>
      <c r="D1047" s="631"/>
      <c r="E1047" s="631"/>
      <c r="F1047" s="631"/>
      <c r="G1047" s="631"/>
      <c r="H1047" s="631"/>
      <c r="I1047" s="631"/>
      <c r="J1047" s="631"/>
      <c r="K1047" s="616"/>
      <c r="M1047" s="540"/>
      <c r="O1047" s="540"/>
    </row>
    <row r="1048" spans="2:18" ht="36" customHeight="1" x14ac:dyDescent="0.5">
      <c r="D1048" s="631"/>
      <c r="E1048" s="631"/>
      <c r="F1048" s="631"/>
      <c r="G1048" s="631"/>
      <c r="H1048" s="631"/>
      <c r="I1048" s="631"/>
      <c r="J1048" s="631"/>
      <c r="K1048" s="616"/>
      <c r="M1048" s="555"/>
      <c r="N1048" s="555"/>
      <c r="O1048" s="555"/>
      <c r="P1048" s="545"/>
    </row>
    <row r="1049" spans="2:18" ht="36" customHeight="1" x14ac:dyDescent="0.5">
      <c r="D1049" s="631"/>
      <c r="E1049" s="631"/>
      <c r="F1049" s="631"/>
      <c r="G1049" s="631"/>
      <c r="H1049" s="631"/>
      <c r="I1049" s="631"/>
      <c r="J1049" s="631"/>
      <c r="K1049" s="616"/>
      <c r="M1049" s="540"/>
      <c r="O1049" s="540"/>
    </row>
    <row r="1050" spans="2:18" ht="36" customHeight="1" x14ac:dyDescent="0.5">
      <c r="D1050" s="631"/>
      <c r="E1050" s="631"/>
      <c r="F1050" s="631"/>
      <c r="G1050" s="631"/>
      <c r="H1050" s="631"/>
      <c r="I1050" s="631"/>
      <c r="J1050" s="631"/>
      <c r="K1050" s="616"/>
      <c r="M1050" s="540"/>
      <c r="O1050" s="454" t="s">
        <v>112</v>
      </c>
      <c r="Q1050" s="450">
        <f>MAX($Q$103:Q1049)+1</f>
        <v>25</v>
      </c>
    </row>
    <row r="1051" spans="2:18" ht="36" customHeight="1" x14ac:dyDescent="0.5">
      <c r="D1051" s="630" t="str">
        <f>Criteria!E9</f>
        <v>ABC COMPANY (PROPRIETARY) LIMITED</v>
      </c>
      <c r="E1051" s="631"/>
      <c r="F1051" s="631"/>
      <c r="G1051" s="631"/>
      <c r="H1051" s="631"/>
      <c r="I1051" s="631"/>
      <c r="J1051" s="631"/>
      <c r="K1051" s="616"/>
      <c r="M1051" s="540"/>
      <c r="O1051" s="451"/>
      <c r="P1051" s="451"/>
      <c r="Q1051" s="451"/>
    </row>
    <row r="1052" spans="2:18" ht="36" customHeight="1" x14ac:dyDescent="0.5">
      <c r="D1052" s="630" t="str">
        <f>Criteria!E10</f>
        <v>T/A SEAFRONT HOTEL, ABC RESTAURANT AND RENTAL PROPERTIES</v>
      </c>
      <c r="E1052" s="631"/>
      <c r="F1052" s="631"/>
      <c r="G1052" s="631"/>
      <c r="H1052" s="631"/>
      <c r="I1052" s="631"/>
      <c r="J1052" s="631"/>
      <c r="K1052" s="616"/>
      <c r="M1052" s="540"/>
      <c r="O1052" s="540"/>
      <c r="R1052" s="490" t="str">
        <f>IF(D1052=0,"DELETE"," ")</f>
        <v xml:space="preserve"> </v>
      </c>
    </row>
    <row r="1053" spans="2:18" ht="36" customHeight="1" x14ac:dyDescent="0.5">
      <c r="D1053" s="631"/>
      <c r="E1053" s="631"/>
      <c r="F1053" s="631"/>
      <c r="G1053" s="631"/>
      <c r="H1053" s="631"/>
      <c r="I1053" s="631"/>
      <c r="J1053" s="631"/>
      <c r="K1053" s="616"/>
      <c r="M1053" s="540"/>
      <c r="O1053" s="540"/>
    </row>
    <row r="1054" spans="2:18" ht="36" customHeight="1" x14ac:dyDescent="0.5">
      <c r="D1054" s="630" t="s">
        <v>415</v>
      </c>
      <c r="E1054" s="631"/>
      <c r="F1054" s="631"/>
      <c r="G1054" s="631"/>
      <c r="H1054" s="631"/>
      <c r="I1054" s="631"/>
      <c r="J1054" s="631"/>
      <c r="K1054" s="616"/>
      <c r="M1054" s="540"/>
      <c r="O1054" s="540"/>
    </row>
    <row r="1055" spans="2:18" ht="36" customHeight="1" x14ac:dyDescent="0.5">
      <c r="D1055" s="630" t="str">
        <f>Criteria!E20</f>
        <v>28 FEBRUARY 2026</v>
      </c>
      <c r="E1055" s="631"/>
      <c r="F1055" s="631"/>
      <c r="G1055" s="631"/>
      <c r="H1055" s="631"/>
      <c r="I1055" s="631"/>
      <c r="J1055" s="631" t="s">
        <v>282</v>
      </c>
      <c r="K1055" s="616"/>
      <c r="M1055" s="540"/>
      <c r="O1055" s="540"/>
    </row>
    <row r="1056" spans="2:18" ht="36" customHeight="1" x14ac:dyDescent="0.5">
      <c r="D1056" s="631"/>
      <c r="E1056" s="631"/>
      <c r="F1056" s="631"/>
      <c r="G1056" s="631"/>
      <c r="H1056" s="631"/>
      <c r="I1056" s="631"/>
      <c r="J1056" s="631"/>
      <c r="K1056" s="616"/>
      <c r="M1056" s="540"/>
      <c r="O1056" s="540"/>
    </row>
    <row r="1057" spans="2:17" ht="36" customHeight="1" x14ac:dyDescent="0.5">
      <c r="B1057" s="457"/>
      <c r="C1057" s="457"/>
      <c r="D1057" s="649"/>
      <c r="E1057" s="649"/>
      <c r="F1057" s="649"/>
      <c r="G1057" s="649"/>
      <c r="H1057" s="649"/>
      <c r="I1057" s="649"/>
      <c r="J1057" s="649"/>
      <c r="K1057" s="634"/>
      <c r="L1057" s="457"/>
      <c r="M1057" s="551"/>
      <c r="N1057" s="551"/>
      <c r="O1057" s="551"/>
      <c r="P1057" s="551"/>
      <c r="Q1057" s="457"/>
    </row>
    <row r="1058" spans="2:17" ht="36" customHeight="1" x14ac:dyDescent="0.5">
      <c r="B1058" s="501"/>
      <c r="C1058" s="448">
        <f>MAX(C$871:C1057)+0.1</f>
        <v>1.6000000000000005</v>
      </c>
      <c r="D1058" s="630" t="s">
        <v>1516</v>
      </c>
      <c r="E1058" s="631"/>
      <c r="F1058" s="631"/>
      <c r="G1058" s="631"/>
      <c r="H1058" s="631"/>
      <c r="I1058" s="631"/>
      <c r="J1058" s="631"/>
      <c r="K1058" s="616"/>
      <c r="M1058" s="540"/>
      <c r="O1058" s="540"/>
    </row>
    <row r="1059" spans="2:17" ht="36" customHeight="1" x14ac:dyDescent="0.5">
      <c r="B1059" s="501"/>
      <c r="D1059" s="630"/>
      <c r="E1059" s="631"/>
      <c r="F1059" s="631"/>
      <c r="G1059" s="631"/>
      <c r="H1059" s="631"/>
      <c r="I1059" s="631"/>
      <c r="J1059" s="631"/>
      <c r="K1059" s="616"/>
      <c r="M1059" s="540"/>
      <c r="O1059" s="540"/>
    </row>
    <row r="1060" spans="2:17" ht="36" customHeight="1" x14ac:dyDescent="0.5">
      <c r="B1060" s="501"/>
      <c r="C1060" s="449"/>
      <c r="D1060" s="631" t="s">
        <v>1709</v>
      </c>
      <c r="E1060" s="631"/>
      <c r="F1060" s="631"/>
      <c r="G1060" s="631"/>
      <c r="H1060" s="631"/>
      <c r="I1060" s="631"/>
      <c r="J1060" s="631"/>
      <c r="K1060" s="616"/>
      <c r="M1060" s="540"/>
      <c r="O1060" s="540"/>
    </row>
    <row r="1061" spans="2:17" ht="36" customHeight="1" x14ac:dyDescent="0.5">
      <c r="B1061" s="501"/>
      <c r="C1061" s="449"/>
      <c r="D1061" s="631" t="s">
        <v>1711</v>
      </c>
      <c r="E1061" s="631"/>
      <c r="F1061" s="631"/>
      <c r="G1061" s="631"/>
      <c r="H1061" s="631"/>
      <c r="I1061" s="631"/>
      <c r="J1061" s="631"/>
      <c r="K1061" s="616"/>
      <c r="M1061" s="540"/>
      <c r="O1061" s="540"/>
    </row>
    <row r="1062" spans="2:17" ht="36" customHeight="1" x14ac:dyDescent="0.5">
      <c r="B1062" s="501"/>
      <c r="C1062" s="449"/>
      <c r="D1062" s="631" t="s">
        <v>1710</v>
      </c>
      <c r="E1062" s="631"/>
      <c r="F1062" s="631"/>
      <c r="G1062" s="631"/>
      <c r="H1062" s="631"/>
      <c r="I1062" s="631"/>
      <c r="J1062" s="631"/>
      <c r="K1062" s="616"/>
      <c r="M1062" s="540"/>
      <c r="O1062" s="540"/>
    </row>
    <row r="1063" spans="2:17" ht="36" customHeight="1" x14ac:dyDescent="0.5">
      <c r="B1063" s="501"/>
      <c r="C1063" s="449"/>
      <c r="D1063" s="650" t="s">
        <v>1231</v>
      </c>
      <c r="E1063" s="631"/>
      <c r="F1063" s="631"/>
      <c r="G1063" s="631"/>
      <c r="H1063" s="631"/>
      <c r="I1063" s="631"/>
      <c r="J1063" s="631"/>
      <c r="K1063" s="616"/>
      <c r="M1063" s="540"/>
      <c r="O1063" s="540"/>
    </row>
    <row r="1064" spans="2:17" ht="36" customHeight="1" x14ac:dyDescent="0.5">
      <c r="B1064" s="501"/>
      <c r="C1064" s="449"/>
      <c r="D1064" s="631" t="s">
        <v>1713</v>
      </c>
      <c r="E1064" s="631"/>
      <c r="F1064" s="631"/>
      <c r="G1064" s="631"/>
      <c r="H1064" s="631"/>
      <c r="I1064" s="631"/>
      <c r="J1064" s="631"/>
      <c r="K1064" s="616"/>
      <c r="M1064" s="540"/>
      <c r="O1064" s="540"/>
    </row>
    <row r="1065" spans="2:17" ht="36" customHeight="1" x14ac:dyDescent="0.5">
      <c r="B1065" s="501"/>
      <c r="C1065" s="449"/>
      <c r="D1065" s="631" t="s">
        <v>1712</v>
      </c>
      <c r="E1065" s="631"/>
      <c r="F1065" s="631"/>
      <c r="G1065" s="631"/>
      <c r="H1065" s="631"/>
      <c r="I1065" s="631"/>
      <c r="J1065" s="631"/>
      <c r="K1065" s="616"/>
      <c r="M1065" s="540"/>
      <c r="O1065" s="540"/>
    </row>
    <row r="1066" spans="2:17" ht="36" customHeight="1" x14ac:dyDescent="0.5">
      <c r="B1066" s="501"/>
      <c r="C1066" s="449"/>
      <c r="D1066" s="650" t="s">
        <v>1232</v>
      </c>
      <c r="E1066" s="631"/>
      <c r="F1066" s="631"/>
      <c r="G1066" s="631"/>
      <c r="H1066" s="631"/>
      <c r="I1066" s="631"/>
      <c r="J1066" s="631"/>
      <c r="K1066" s="616"/>
      <c r="M1066" s="540"/>
      <c r="O1066" s="540"/>
    </row>
    <row r="1067" spans="2:17" ht="36" customHeight="1" x14ac:dyDescent="0.5">
      <c r="B1067" s="501"/>
      <c r="C1067" s="449"/>
      <c r="D1067" s="631" t="s">
        <v>1715</v>
      </c>
      <c r="E1067" s="631"/>
      <c r="F1067" s="631"/>
      <c r="G1067" s="631"/>
      <c r="H1067" s="631"/>
      <c r="I1067" s="631"/>
      <c r="J1067" s="631"/>
      <c r="K1067" s="616"/>
      <c r="M1067" s="540"/>
      <c r="O1067" s="540"/>
    </row>
    <row r="1068" spans="2:17" ht="36" customHeight="1" x14ac:dyDescent="0.5">
      <c r="B1068" s="501"/>
      <c r="C1068" s="449"/>
      <c r="D1068" s="631" t="s">
        <v>1714</v>
      </c>
      <c r="E1068" s="631"/>
      <c r="F1068" s="631"/>
      <c r="G1068" s="631"/>
      <c r="H1068" s="631"/>
      <c r="I1068" s="631"/>
      <c r="J1068" s="631"/>
      <c r="K1068" s="616"/>
      <c r="M1068" s="540"/>
      <c r="O1068" s="540"/>
    </row>
    <row r="1069" spans="2:17" ht="36" customHeight="1" x14ac:dyDescent="0.5">
      <c r="B1069" s="501"/>
      <c r="C1069" s="449"/>
      <c r="D1069" s="631"/>
      <c r="E1069" s="631"/>
      <c r="F1069" s="631"/>
      <c r="G1069" s="631"/>
      <c r="H1069" s="631"/>
      <c r="I1069" s="631"/>
      <c r="J1069" s="631"/>
      <c r="K1069" s="616"/>
      <c r="M1069" s="540"/>
      <c r="O1069" s="540"/>
    </row>
    <row r="1070" spans="2:17" ht="36" customHeight="1" x14ac:dyDescent="0.5">
      <c r="B1070" s="501"/>
      <c r="C1070" s="449"/>
      <c r="D1070" s="631"/>
      <c r="E1070" s="631"/>
      <c r="F1070" s="631"/>
      <c r="G1070" s="631"/>
      <c r="H1070" s="631"/>
      <c r="I1070" s="631"/>
      <c r="J1070" s="631"/>
      <c r="K1070" s="616"/>
      <c r="M1070" s="540"/>
      <c r="O1070" s="540"/>
    </row>
    <row r="1071" spans="2:17" ht="36" customHeight="1" x14ac:dyDescent="0.5">
      <c r="D1071" s="631"/>
      <c r="E1071" s="631"/>
      <c r="F1071" s="631"/>
      <c r="G1071" s="631"/>
      <c r="H1071" s="631"/>
      <c r="I1071" s="631"/>
      <c r="J1071" s="631"/>
      <c r="K1071" s="616"/>
      <c r="M1071" s="555"/>
      <c r="N1071" s="555"/>
      <c r="O1071" s="555"/>
      <c r="P1071" s="545"/>
    </row>
    <row r="1072" spans="2:17" ht="36" customHeight="1" x14ac:dyDescent="0.5">
      <c r="D1072" s="631"/>
      <c r="E1072" s="631"/>
      <c r="F1072" s="631"/>
      <c r="G1072" s="631"/>
      <c r="H1072" s="631"/>
      <c r="I1072" s="631"/>
      <c r="J1072" s="631"/>
      <c r="K1072" s="616"/>
      <c r="M1072" s="540"/>
      <c r="O1072" s="540"/>
    </row>
    <row r="1073" spans="2:18" ht="36" customHeight="1" x14ac:dyDescent="0.5">
      <c r="D1073" s="631"/>
      <c r="E1073" s="631"/>
      <c r="F1073" s="631"/>
      <c r="G1073" s="631"/>
      <c r="H1073" s="631"/>
      <c r="I1073" s="631"/>
      <c r="J1073" s="631"/>
      <c r="K1073" s="616"/>
      <c r="M1073" s="540"/>
      <c r="O1073" s="454" t="s">
        <v>112</v>
      </c>
      <c r="Q1073" s="450">
        <f>MAX($Q$103:Q1072)+1</f>
        <v>26</v>
      </c>
    </row>
    <row r="1074" spans="2:18" ht="36" customHeight="1" x14ac:dyDescent="0.5">
      <c r="D1074" s="630" t="str">
        <f>Criteria!E9</f>
        <v>ABC COMPANY (PROPRIETARY) LIMITED</v>
      </c>
      <c r="E1074" s="631"/>
      <c r="F1074" s="631"/>
      <c r="G1074" s="631"/>
      <c r="H1074" s="631"/>
      <c r="I1074" s="631"/>
      <c r="J1074" s="631"/>
      <c r="K1074" s="616"/>
      <c r="M1074" s="540"/>
      <c r="O1074" s="451"/>
      <c r="P1074" s="451"/>
      <c r="Q1074" s="451"/>
    </row>
    <row r="1075" spans="2:18" ht="36" customHeight="1" x14ac:dyDescent="0.5">
      <c r="D1075" s="630" t="str">
        <f>Criteria!E10</f>
        <v>T/A SEAFRONT HOTEL, ABC RESTAURANT AND RENTAL PROPERTIES</v>
      </c>
      <c r="E1075" s="631"/>
      <c r="F1075" s="631"/>
      <c r="G1075" s="631"/>
      <c r="H1075" s="631"/>
      <c r="I1075" s="631"/>
      <c r="J1075" s="631"/>
      <c r="K1075" s="616"/>
      <c r="M1075" s="540"/>
      <c r="O1075" s="540"/>
      <c r="R1075" s="490" t="str">
        <f>IF(D1075=0,"DELETE"," ")</f>
        <v xml:space="preserve"> </v>
      </c>
    </row>
    <row r="1076" spans="2:18" ht="36" customHeight="1" x14ac:dyDescent="0.5">
      <c r="D1076" s="631"/>
      <c r="E1076" s="631"/>
      <c r="F1076" s="631"/>
      <c r="G1076" s="631"/>
      <c r="H1076" s="631"/>
      <c r="I1076" s="631"/>
      <c r="J1076" s="631"/>
      <c r="K1076" s="616"/>
      <c r="M1076" s="540"/>
      <c r="O1076" s="540"/>
    </row>
    <row r="1077" spans="2:18" ht="36" customHeight="1" x14ac:dyDescent="0.5">
      <c r="D1077" s="630" t="s">
        <v>415</v>
      </c>
      <c r="E1077" s="631"/>
      <c r="F1077" s="631"/>
      <c r="G1077" s="631"/>
      <c r="H1077" s="631"/>
      <c r="I1077" s="631"/>
      <c r="J1077" s="631"/>
      <c r="K1077" s="616"/>
      <c r="M1077" s="540"/>
      <c r="O1077" s="540"/>
    </row>
    <row r="1078" spans="2:18" ht="36" customHeight="1" x14ac:dyDescent="0.5">
      <c r="D1078" s="630" t="str">
        <f>Criteria!E20</f>
        <v>28 FEBRUARY 2026</v>
      </c>
      <c r="E1078" s="631"/>
      <c r="F1078" s="631"/>
      <c r="G1078" s="631"/>
      <c r="H1078" s="631"/>
      <c r="I1078" s="631"/>
      <c r="J1078" s="631" t="s">
        <v>282</v>
      </c>
      <c r="K1078" s="616"/>
      <c r="M1078" s="540"/>
      <c r="O1078" s="540"/>
    </row>
    <row r="1079" spans="2:18" ht="36" customHeight="1" x14ac:dyDescent="0.5">
      <c r="D1079" s="631"/>
      <c r="E1079" s="631"/>
      <c r="F1079" s="631"/>
      <c r="G1079" s="631"/>
      <c r="H1079" s="631"/>
      <c r="I1079" s="631"/>
      <c r="J1079" s="631"/>
      <c r="K1079" s="616"/>
      <c r="M1079" s="540"/>
      <c r="O1079" s="540"/>
    </row>
    <row r="1080" spans="2:18" ht="36" customHeight="1" x14ac:dyDescent="0.5">
      <c r="B1080" s="457"/>
      <c r="C1080" s="457"/>
      <c r="D1080" s="649"/>
      <c r="E1080" s="649"/>
      <c r="F1080" s="649"/>
      <c r="G1080" s="649"/>
      <c r="H1080" s="649"/>
      <c r="I1080" s="649"/>
      <c r="J1080" s="649"/>
      <c r="K1080" s="634"/>
      <c r="L1080" s="457"/>
      <c r="M1080" s="551"/>
      <c r="N1080" s="551"/>
      <c r="O1080" s="551"/>
      <c r="P1080" s="551"/>
      <c r="Q1080" s="457"/>
    </row>
    <row r="1081" spans="2:18" ht="36" customHeight="1" x14ac:dyDescent="0.5">
      <c r="B1081" s="501"/>
      <c r="C1081" s="448">
        <f>MAX(C$871:C1080)+0.1</f>
        <v>1.7000000000000006</v>
      </c>
      <c r="D1081" s="630" t="s">
        <v>1517</v>
      </c>
      <c r="E1081" s="631"/>
      <c r="F1081" s="631"/>
      <c r="G1081" s="631"/>
      <c r="H1081" s="631"/>
      <c r="I1081" s="631"/>
      <c r="J1081" s="631"/>
      <c r="K1081" s="616"/>
      <c r="M1081" s="540"/>
      <c r="O1081" s="540"/>
    </row>
    <row r="1082" spans="2:18" ht="36" customHeight="1" x14ac:dyDescent="0.5">
      <c r="B1082" s="501"/>
      <c r="D1082" s="630"/>
      <c r="E1082" s="631"/>
      <c r="F1082" s="631"/>
      <c r="G1082" s="631"/>
      <c r="H1082" s="631"/>
      <c r="I1082" s="631"/>
      <c r="J1082" s="631"/>
      <c r="K1082" s="616"/>
      <c r="M1082" s="540"/>
      <c r="O1082" s="540"/>
    </row>
    <row r="1083" spans="2:18" ht="36" customHeight="1" x14ac:dyDescent="0.5">
      <c r="B1083" s="501"/>
      <c r="C1083" s="449"/>
      <c r="D1083" s="631" t="s">
        <v>1717</v>
      </c>
      <c r="E1083" s="631"/>
      <c r="F1083" s="631"/>
      <c r="G1083" s="631"/>
      <c r="H1083" s="631"/>
      <c r="I1083" s="631"/>
      <c r="J1083" s="631"/>
      <c r="K1083" s="616"/>
      <c r="M1083" s="540"/>
      <c r="O1083" s="540"/>
    </row>
    <row r="1084" spans="2:18" ht="36" customHeight="1" x14ac:dyDescent="0.5">
      <c r="B1084" s="501"/>
      <c r="C1084" s="449"/>
      <c r="D1084" s="631" t="s">
        <v>1716</v>
      </c>
      <c r="E1084" s="631"/>
      <c r="F1084" s="631"/>
      <c r="G1084" s="631"/>
      <c r="H1084" s="631"/>
      <c r="I1084" s="631"/>
      <c r="J1084" s="631"/>
      <c r="K1084" s="616"/>
      <c r="M1084" s="540"/>
      <c r="O1084" s="540"/>
    </row>
    <row r="1085" spans="2:18" ht="36" customHeight="1" x14ac:dyDescent="0.5">
      <c r="B1085" s="501"/>
      <c r="C1085" s="449"/>
      <c r="D1085" s="631"/>
      <c r="E1085" s="631"/>
      <c r="F1085" s="631"/>
      <c r="G1085" s="631"/>
      <c r="H1085" s="631"/>
      <c r="I1085" s="631"/>
      <c r="J1085" s="631"/>
      <c r="K1085" s="616"/>
      <c r="M1085" s="540"/>
      <c r="O1085" s="540"/>
    </row>
    <row r="1086" spans="2:18" ht="36" customHeight="1" x14ac:dyDescent="0.5">
      <c r="B1086" s="501"/>
      <c r="C1086" s="449"/>
      <c r="D1086" s="631"/>
      <c r="E1086" s="631"/>
      <c r="F1086" s="631"/>
      <c r="G1086" s="631"/>
      <c r="H1086" s="631"/>
      <c r="I1086" s="631"/>
      <c r="J1086" s="631"/>
      <c r="K1086" s="616"/>
      <c r="M1086" s="540"/>
      <c r="O1086" s="540"/>
    </row>
    <row r="1087" spans="2:18" ht="36" customHeight="1" x14ac:dyDescent="0.5">
      <c r="D1087" s="631"/>
      <c r="E1087" s="631"/>
      <c r="F1087" s="631"/>
      <c r="G1087" s="631"/>
      <c r="H1087" s="631"/>
      <c r="I1087" s="631"/>
      <c r="J1087" s="631"/>
      <c r="K1087" s="616"/>
      <c r="M1087" s="555"/>
      <c r="N1087" s="555"/>
      <c r="O1087" s="555"/>
      <c r="P1087" s="545"/>
    </row>
    <row r="1088" spans="2:18" ht="36" customHeight="1" x14ac:dyDescent="0.5">
      <c r="D1088" s="631"/>
      <c r="E1088" s="631"/>
      <c r="F1088" s="631"/>
      <c r="G1088" s="631"/>
      <c r="H1088" s="631"/>
      <c r="I1088" s="631"/>
      <c r="J1088" s="631"/>
      <c r="K1088" s="616"/>
      <c r="M1088" s="540"/>
      <c r="O1088" s="540"/>
    </row>
    <row r="1089" spans="2:18" ht="36" customHeight="1" x14ac:dyDescent="0.5">
      <c r="D1089" s="631"/>
      <c r="E1089" s="631"/>
      <c r="F1089" s="631"/>
      <c r="G1089" s="631"/>
      <c r="H1089" s="631"/>
      <c r="I1089" s="631"/>
      <c r="J1089" s="631"/>
      <c r="K1089" s="616"/>
      <c r="M1089" s="540"/>
      <c r="O1089" s="454" t="s">
        <v>112</v>
      </c>
      <c r="Q1089" s="450">
        <f>MAX($Q$103:Q1088)+1</f>
        <v>27</v>
      </c>
    </row>
    <row r="1090" spans="2:18" ht="36" customHeight="1" x14ac:dyDescent="0.5">
      <c r="D1090" s="630" t="str">
        <f>Criteria!E9</f>
        <v>ABC COMPANY (PROPRIETARY) LIMITED</v>
      </c>
      <c r="E1090" s="631"/>
      <c r="F1090" s="631"/>
      <c r="G1090" s="631"/>
      <c r="H1090" s="631"/>
      <c r="I1090" s="631"/>
      <c r="J1090" s="631"/>
      <c r="K1090" s="616"/>
      <c r="M1090" s="540"/>
      <c r="O1090" s="451"/>
      <c r="P1090" s="451"/>
      <c r="Q1090" s="451"/>
    </row>
    <row r="1091" spans="2:18" ht="36" customHeight="1" x14ac:dyDescent="0.5">
      <c r="D1091" s="630" t="str">
        <f>Criteria!E10</f>
        <v>T/A SEAFRONT HOTEL, ABC RESTAURANT AND RENTAL PROPERTIES</v>
      </c>
      <c r="E1091" s="631"/>
      <c r="F1091" s="631"/>
      <c r="G1091" s="631"/>
      <c r="H1091" s="631"/>
      <c r="I1091" s="631"/>
      <c r="J1091" s="631"/>
      <c r="K1091" s="616"/>
      <c r="M1091" s="540"/>
      <c r="O1091" s="540"/>
      <c r="R1091" s="490" t="str">
        <f>IF(D1091=0,"DELETE"," ")</f>
        <v xml:space="preserve"> </v>
      </c>
    </row>
    <row r="1092" spans="2:18" ht="36" customHeight="1" x14ac:dyDescent="0.5">
      <c r="D1092" s="631"/>
      <c r="E1092" s="631"/>
      <c r="F1092" s="631"/>
      <c r="G1092" s="631"/>
      <c r="H1092" s="631"/>
      <c r="I1092" s="631"/>
      <c r="J1092" s="631"/>
      <c r="K1092" s="616"/>
      <c r="M1092" s="540"/>
      <c r="O1092" s="540"/>
    </row>
    <row r="1093" spans="2:18" ht="36" customHeight="1" x14ac:dyDescent="0.5">
      <c r="D1093" s="630" t="s">
        <v>415</v>
      </c>
      <c r="E1093" s="631"/>
      <c r="F1093" s="631"/>
      <c r="G1093" s="631"/>
      <c r="H1093" s="631"/>
      <c r="I1093" s="631"/>
      <c r="J1093" s="631"/>
      <c r="K1093" s="616"/>
      <c r="M1093" s="540"/>
      <c r="O1093" s="540"/>
    </row>
    <row r="1094" spans="2:18" ht="36" customHeight="1" x14ac:dyDescent="0.5">
      <c r="D1094" s="630" t="str">
        <f>Criteria!E20</f>
        <v>28 FEBRUARY 2026</v>
      </c>
      <c r="E1094" s="631"/>
      <c r="F1094" s="631"/>
      <c r="G1094" s="631"/>
      <c r="H1094" s="631"/>
      <c r="I1094" s="631"/>
      <c r="J1094" s="631" t="s">
        <v>282</v>
      </c>
      <c r="K1094" s="616"/>
      <c r="M1094" s="540"/>
      <c r="O1094" s="540"/>
    </row>
    <row r="1095" spans="2:18" ht="36" customHeight="1" x14ac:dyDescent="0.5">
      <c r="D1095" s="631"/>
      <c r="E1095" s="631"/>
      <c r="F1095" s="631"/>
      <c r="G1095" s="631"/>
      <c r="H1095" s="631"/>
      <c r="I1095" s="631"/>
      <c r="J1095" s="631"/>
      <c r="K1095" s="616"/>
      <c r="M1095" s="540"/>
      <c r="O1095" s="540"/>
    </row>
    <row r="1096" spans="2:18" ht="36" customHeight="1" x14ac:dyDescent="0.5">
      <c r="B1096" s="457"/>
      <c r="C1096" s="457"/>
      <c r="D1096" s="649"/>
      <c r="E1096" s="649"/>
      <c r="F1096" s="649"/>
      <c r="G1096" s="649"/>
      <c r="H1096" s="649"/>
      <c r="I1096" s="649"/>
      <c r="J1096" s="649"/>
      <c r="K1096" s="634"/>
      <c r="L1096" s="457"/>
      <c r="M1096" s="551"/>
      <c r="N1096" s="551"/>
      <c r="O1096" s="551"/>
      <c r="P1096" s="551"/>
      <c r="Q1096" s="457"/>
    </row>
    <row r="1097" spans="2:18" ht="36" customHeight="1" x14ac:dyDescent="0.5">
      <c r="B1097" s="501"/>
      <c r="C1097" s="448">
        <f>MAX(C$871:C1096)+0.1</f>
        <v>1.8000000000000007</v>
      </c>
      <c r="D1097" s="630" t="s">
        <v>1518</v>
      </c>
      <c r="E1097" s="631"/>
      <c r="F1097" s="631"/>
      <c r="G1097" s="631"/>
      <c r="H1097" s="631"/>
      <c r="I1097" s="631"/>
      <c r="J1097" s="631"/>
      <c r="K1097" s="616"/>
      <c r="M1097" s="540"/>
      <c r="O1097" s="540"/>
    </row>
    <row r="1098" spans="2:18" ht="36" customHeight="1" x14ac:dyDescent="0.5">
      <c r="B1098" s="501"/>
      <c r="D1098" s="630"/>
      <c r="E1098" s="631"/>
      <c r="F1098" s="631"/>
      <c r="G1098" s="631"/>
      <c r="H1098" s="631"/>
      <c r="I1098" s="631"/>
      <c r="J1098" s="631"/>
      <c r="K1098" s="616"/>
      <c r="M1098" s="540"/>
      <c r="O1098" s="540"/>
    </row>
    <row r="1099" spans="2:18" ht="36" customHeight="1" x14ac:dyDescent="0.5">
      <c r="B1099" s="501"/>
      <c r="C1099" s="449"/>
      <c r="D1099" s="650" t="s">
        <v>980</v>
      </c>
      <c r="E1099" s="631"/>
      <c r="F1099" s="631"/>
      <c r="G1099" s="631"/>
      <c r="H1099" s="631"/>
      <c r="I1099" s="631"/>
      <c r="J1099" s="631"/>
      <c r="K1099" s="616"/>
      <c r="M1099" s="540"/>
      <c r="O1099" s="540"/>
    </row>
    <row r="1100" spans="2:18" ht="36" customHeight="1" x14ac:dyDescent="0.5">
      <c r="B1100" s="501"/>
      <c r="C1100" s="449"/>
      <c r="D1100" s="631" t="s">
        <v>1718</v>
      </c>
      <c r="E1100" s="631"/>
      <c r="F1100" s="631"/>
      <c r="G1100" s="631"/>
      <c r="H1100" s="631"/>
      <c r="I1100" s="631"/>
      <c r="J1100" s="631"/>
      <c r="K1100" s="616"/>
      <c r="M1100" s="540"/>
      <c r="O1100" s="540"/>
    </row>
    <row r="1101" spans="2:18" ht="36" customHeight="1" x14ac:dyDescent="0.5">
      <c r="B1101" s="501"/>
      <c r="C1101" s="449"/>
      <c r="D1101" s="631" t="s">
        <v>1719</v>
      </c>
      <c r="E1101" s="631"/>
      <c r="F1101" s="631"/>
      <c r="G1101" s="631"/>
      <c r="H1101" s="631"/>
      <c r="I1101" s="631"/>
      <c r="J1101" s="631"/>
      <c r="K1101" s="616"/>
      <c r="M1101" s="540"/>
      <c r="O1101" s="540"/>
    </row>
    <row r="1102" spans="2:18" ht="36" customHeight="1" x14ac:dyDescent="0.5">
      <c r="B1102" s="501"/>
      <c r="C1102" s="449"/>
      <c r="D1102" s="631" t="s">
        <v>1720</v>
      </c>
      <c r="E1102" s="631"/>
      <c r="F1102" s="631"/>
      <c r="G1102" s="631"/>
      <c r="H1102" s="631"/>
      <c r="I1102" s="631"/>
      <c r="J1102" s="631"/>
      <c r="K1102" s="616"/>
      <c r="M1102" s="540"/>
      <c r="O1102" s="540"/>
    </row>
    <row r="1103" spans="2:18" ht="36" customHeight="1" x14ac:dyDescent="0.5">
      <c r="B1103" s="501"/>
      <c r="C1103" s="449"/>
      <c r="D1103" s="631" t="s">
        <v>1721</v>
      </c>
      <c r="E1103" s="631"/>
      <c r="F1103" s="631"/>
      <c r="G1103" s="631"/>
      <c r="H1103" s="631"/>
      <c r="I1103" s="631"/>
      <c r="J1103" s="631"/>
      <c r="K1103" s="616"/>
      <c r="M1103" s="540"/>
      <c r="O1103" s="540"/>
    </row>
    <row r="1104" spans="2:18" ht="36" customHeight="1" x14ac:dyDescent="0.5">
      <c r="B1104" s="501"/>
      <c r="C1104" s="449"/>
      <c r="D1104" s="631" t="s">
        <v>1723</v>
      </c>
      <c r="E1104" s="631"/>
      <c r="F1104" s="631"/>
      <c r="G1104" s="631"/>
      <c r="H1104" s="631"/>
      <c r="I1104" s="631"/>
      <c r="J1104" s="631"/>
      <c r="K1104" s="616"/>
      <c r="M1104" s="540"/>
      <c r="O1104" s="540"/>
    </row>
    <row r="1105" spans="2:18" ht="36" customHeight="1" x14ac:dyDescent="0.5">
      <c r="B1105" s="501"/>
      <c r="C1105" s="449"/>
      <c r="D1105" s="631" t="s">
        <v>1722</v>
      </c>
      <c r="E1105" s="631"/>
      <c r="F1105" s="631"/>
      <c r="G1105" s="631"/>
      <c r="H1105" s="631"/>
      <c r="I1105" s="631"/>
      <c r="J1105" s="631"/>
      <c r="K1105" s="616"/>
      <c r="M1105" s="540"/>
      <c r="O1105" s="540"/>
    </row>
    <row r="1106" spans="2:18" ht="36" customHeight="1" x14ac:dyDescent="0.5">
      <c r="B1106" s="501"/>
      <c r="C1106" s="449"/>
      <c r="D1106" s="631"/>
      <c r="E1106" s="631"/>
      <c r="F1106" s="631"/>
      <c r="G1106" s="631"/>
      <c r="H1106" s="631"/>
      <c r="I1106" s="631"/>
      <c r="J1106" s="631"/>
      <c r="K1106" s="616"/>
      <c r="M1106" s="540"/>
      <c r="O1106" s="540"/>
    </row>
    <row r="1107" spans="2:18" ht="36" customHeight="1" x14ac:dyDescent="0.5">
      <c r="D1107" s="631"/>
      <c r="E1107" s="631"/>
      <c r="F1107" s="631"/>
      <c r="G1107" s="631"/>
      <c r="H1107" s="631"/>
      <c r="I1107" s="631"/>
      <c r="J1107" s="631"/>
      <c r="K1107" s="616"/>
      <c r="M1107" s="555"/>
      <c r="N1107" s="555"/>
      <c r="O1107" s="555"/>
      <c r="P1107" s="545"/>
    </row>
    <row r="1108" spans="2:18" ht="36" customHeight="1" x14ac:dyDescent="0.5">
      <c r="D1108" s="631"/>
      <c r="E1108" s="631"/>
      <c r="F1108" s="631"/>
      <c r="G1108" s="631"/>
      <c r="H1108" s="631"/>
      <c r="I1108" s="631"/>
      <c r="J1108" s="631"/>
      <c r="K1108" s="616"/>
      <c r="M1108" s="540"/>
      <c r="O1108" s="540"/>
    </row>
    <row r="1109" spans="2:18" ht="36" customHeight="1" x14ac:dyDescent="0.5">
      <c r="D1109" s="631"/>
      <c r="E1109" s="631"/>
      <c r="F1109" s="631"/>
      <c r="G1109" s="631"/>
      <c r="H1109" s="631"/>
      <c r="I1109" s="631"/>
      <c r="J1109" s="631"/>
      <c r="K1109" s="616"/>
      <c r="M1109" s="540"/>
      <c r="O1109" s="454" t="s">
        <v>112</v>
      </c>
      <c r="Q1109" s="450">
        <f>MAX($Q$103:Q1108)+1</f>
        <v>28</v>
      </c>
    </row>
    <row r="1110" spans="2:18" ht="36" customHeight="1" x14ac:dyDescent="0.5">
      <c r="D1110" s="630" t="str">
        <f>Criteria!E9</f>
        <v>ABC COMPANY (PROPRIETARY) LIMITED</v>
      </c>
      <c r="E1110" s="631"/>
      <c r="F1110" s="631"/>
      <c r="G1110" s="631"/>
      <c r="H1110" s="631"/>
      <c r="I1110" s="631"/>
      <c r="J1110" s="631"/>
      <c r="K1110" s="616"/>
      <c r="M1110" s="540"/>
      <c r="O1110" s="451"/>
      <c r="P1110" s="451"/>
      <c r="Q1110" s="451"/>
    </row>
    <row r="1111" spans="2:18" ht="36" customHeight="1" x14ac:dyDescent="0.5">
      <c r="D1111" s="630" t="str">
        <f>Criteria!E10</f>
        <v>T/A SEAFRONT HOTEL, ABC RESTAURANT AND RENTAL PROPERTIES</v>
      </c>
      <c r="E1111" s="631"/>
      <c r="F1111" s="631"/>
      <c r="G1111" s="631"/>
      <c r="H1111" s="631"/>
      <c r="I1111" s="631"/>
      <c r="J1111" s="631"/>
      <c r="K1111" s="616"/>
      <c r="M1111" s="540"/>
      <c r="O1111" s="540"/>
      <c r="R1111" s="490" t="str">
        <f>IF(D1111=0,"DELETE"," ")</f>
        <v xml:space="preserve"> </v>
      </c>
    </row>
    <row r="1112" spans="2:18" ht="36" customHeight="1" x14ac:dyDescent="0.5">
      <c r="D1112" s="631"/>
      <c r="E1112" s="631"/>
      <c r="F1112" s="631"/>
      <c r="G1112" s="631"/>
      <c r="H1112" s="631"/>
      <c r="I1112" s="631"/>
      <c r="J1112" s="631"/>
      <c r="K1112" s="616"/>
      <c r="M1112" s="540"/>
      <c r="O1112" s="540"/>
    </row>
    <row r="1113" spans="2:18" ht="36" customHeight="1" x14ac:dyDescent="0.5">
      <c r="D1113" s="630" t="s">
        <v>415</v>
      </c>
      <c r="E1113" s="631"/>
      <c r="F1113" s="631"/>
      <c r="G1113" s="631"/>
      <c r="H1113" s="631"/>
      <c r="I1113" s="631"/>
      <c r="J1113" s="631"/>
      <c r="K1113" s="616"/>
      <c r="M1113" s="540"/>
      <c r="O1113" s="540"/>
    </row>
    <row r="1114" spans="2:18" ht="36" customHeight="1" x14ac:dyDescent="0.5">
      <c r="D1114" s="630" t="str">
        <f>Criteria!E20</f>
        <v>28 FEBRUARY 2026</v>
      </c>
      <c r="E1114" s="631"/>
      <c r="F1114" s="631"/>
      <c r="G1114" s="631"/>
      <c r="H1114" s="631"/>
      <c r="I1114" s="631"/>
      <c r="J1114" s="631" t="s">
        <v>282</v>
      </c>
      <c r="K1114" s="616"/>
      <c r="M1114" s="540"/>
      <c r="O1114" s="540"/>
    </row>
    <row r="1115" spans="2:18" ht="36" customHeight="1" x14ac:dyDescent="0.5">
      <c r="D1115" s="631"/>
      <c r="E1115" s="631"/>
      <c r="F1115" s="631"/>
      <c r="G1115" s="631"/>
      <c r="H1115" s="631"/>
      <c r="I1115" s="631"/>
      <c r="J1115" s="631"/>
      <c r="K1115" s="616"/>
      <c r="M1115" s="540"/>
      <c r="O1115" s="540"/>
    </row>
    <row r="1116" spans="2:18" ht="36" customHeight="1" x14ac:dyDescent="0.5">
      <c r="B1116" s="457"/>
      <c r="C1116" s="457"/>
      <c r="D1116" s="649"/>
      <c r="E1116" s="649"/>
      <c r="F1116" s="649"/>
      <c r="G1116" s="649"/>
      <c r="H1116" s="649"/>
      <c r="I1116" s="649"/>
      <c r="J1116" s="649"/>
      <c r="K1116" s="634"/>
      <c r="L1116" s="457"/>
      <c r="M1116" s="551"/>
      <c r="N1116" s="551"/>
      <c r="O1116" s="551"/>
      <c r="P1116" s="551"/>
      <c r="Q1116" s="457"/>
    </row>
    <row r="1117" spans="2:18" ht="36" customHeight="1" x14ac:dyDescent="0.5">
      <c r="B1117" s="501"/>
      <c r="C1117" s="449"/>
      <c r="D1117" s="650" t="s">
        <v>1240</v>
      </c>
      <c r="E1117" s="631"/>
      <c r="F1117" s="631"/>
      <c r="G1117" s="631"/>
      <c r="H1117" s="631"/>
      <c r="I1117" s="631"/>
      <c r="J1117" s="631"/>
      <c r="K1117" s="616"/>
      <c r="M1117" s="540"/>
      <c r="O1117" s="540"/>
    </row>
    <row r="1118" spans="2:18" ht="36" customHeight="1" x14ac:dyDescent="0.5">
      <c r="B1118" s="501"/>
      <c r="C1118" s="449"/>
      <c r="D1118" s="631" t="s">
        <v>1562</v>
      </c>
      <c r="E1118" s="631"/>
      <c r="F1118" s="631"/>
      <c r="G1118" s="631"/>
      <c r="H1118" s="631"/>
      <c r="I1118" s="631"/>
      <c r="J1118" s="631"/>
      <c r="K1118" s="616"/>
      <c r="M1118" s="540"/>
      <c r="O1118" s="540"/>
    </row>
    <row r="1119" spans="2:18" ht="36" customHeight="1" x14ac:dyDescent="0.5">
      <c r="B1119" s="501"/>
      <c r="C1119" s="449"/>
      <c r="D1119" s="631" t="s">
        <v>1724</v>
      </c>
      <c r="E1119" s="631"/>
      <c r="F1119" s="631"/>
      <c r="G1119" s="631"/>
      <c r="H1119" s="631"/>
      <c r="I1119" s="631"/>
      <c r="J1119" s="631"/>
      <c r="K1119" s="616"/>
      <c r="M1119" s="540"/>
      <c r="O1119" s="540"/>
    </row>
    <row r="1120" spans="2:18" ht="36" customHeight="1" x14ac:dyDescent="0.5">
      <c r="B1120" s="501"/>
      <c r="C1120" s="449"/>
      <c r="D1120" s="631" t="s">
        <v>1725</v>
      </c>
      <c r="E1120" s="631"/>
      <c r="F1120" s="631"/>
      <c r="G1120" s="631"/>
      <c r="H1120" s="631"/>
      <c r="I1120" s="631"/>
      <c r="J1120" s="631"/>
      <c r="K1120" s="616"/>
      <c r="M1120" s="540"/>
      <c r="O1120" s="540"/>
    </row>
    <row r="1121" spans="2:18" ht="36" customHeight="1" x14ac:dyDescent="0.5">
      <c r="B1121" s="501"/>
      <c r="C1121" s="449"/>
      <c r="D1121" s="631" t="s">
        <v>1726</v>
      </c>
      <c r="E1121" s="631"/>
      <c r="F1121" s="631"/>
      <c r="G1121" s="631"/>
      <c r="H1121" s="631"/>
      <c r="I1121" s="631"/>
      <c r="J1121" s="631"/>
      <c r="K1121" s="616"/>
      <c r="M1121" s="540"/>
      <c r="O1121" s="540"/>
    </row>
    <row r="1122" spans="2:18" ht="36" customHeight="1" x14ac:dyDescent="0.5">
      <c r="B1122" s="501"/>
      <c r="C1122" s="449"/>
      <c r="D1122" s="631" t="s">
        <v>1727</v>
      </c>
      <c r="E1122" s="631"/>
      <c r="F1122" s="631"/>
      <c r="G1122" s="631"/>
      <c r="H1122" s="631"/>
      <c r="I1122" s="631"/>
      <c r="J1122" s="631"/>
      <c r="K1122" s="616"/>
      <c r="M1122" s="540"/>
      <c r="O1122" s="540"/>
    </row>
    <row r="1123" spans="2:18" ht="36" customHeight="1" x14ac:dyDescent="0.5">
      <c r="B1123" s="501"/>
      <c r="C1123" s="449"/>
      <c r="D1123" s="631" t="s">
        <v>1728</v>
      </c>
      <c r="E1123" s="631"/>
      <c r="F1123" s="631"/>
      <c r="G1123" s="631"/>
      <c r="H1123" s="631"/>
      <c r="I1123" s="631"/>
      <c r="J1123" s="631"/>
      <c r="K1123" s="616"/>
      <c r="M1123" s="540"/>
      <c r="O1123" s="540"/>
    </row>
    <row r="1124" spans="2:18" ht="36" customHeight="1" x14ac:dyDescent="0.5">
      <c r="B1124" s="501"/>
      <c r="C1124" s="449"/>
      <c r="D1124" s="631" t="s">
        <v>1729</v>
      </c>
      <c r="E1124" s="631"/>
      <c r="F1124" s="631"/>
      <c r="G1124" s="631"/>
      <c r="H1124" s="631"/>
      <c r="I1124" s="631"/>
      <c r="J1124" s="631"/>
      <c r="K1124" s="616"/>
      <c r="M1124" s="540"/>
      <c r="O1124" s="540"/>
    </row>
    <row r="1125" spans="2:18" ht="36" customHeight="1" x14ac:dyDescent="0.5">
      <c r="B1125" s="501"/>
      <c r="C1125" s="449"/>
      <c r="D1125" s="631" t="s">
        <v>1731</v>
      </c>
      <c r="E1125" s="631"/>
      <c r="F1125" s="631"/>
      <c r="G1125" s="631"/>
      <c r="H1125" s="631"/>
      <c r="I1125" s="631"/>
      <c r="J1125" s="631"/>
      <c r="K1125" s="616"/>
      <c r="M1125" s="540"/>
      <c r="O1125" s="540"/>
    </row>
    <row r="1126" spans="2:18" ht="36" customHeight="1" x14ac:dyDescent="0.5">
      <c r="B1126" s="501"/>
      <c r="C1126" s="449"/>
      <c r="D1126" s="631" t="s">
        <v>1730</v>
      </c>
      <c r="E1126" s="631"/>
      <c r="F1126" s="631"/>
      <c r="G1126" s="631"/>
      <c r="H1126" s="631"/>
      <c r="I1126" s="631"/>
      <c r="J1126" s="631"/>
      <c r="K1126" s="616"/>
      <c r="M1126" s="540"/>
      <c r="O1126" s="540"/>
    </row>
    <row r="1127" spans="2:18" ht="36" customHeight="1" x14ac:dyDescent="0.5">
      <c r="B1127" s="501"/>
      <c r="C1127" s="449"/>
      <c r="D1127" s="631"/>
      <c r="E1127" s="631"/>
      <c r="F1127" s="631"/>
      <c r="G1127" s="631"/>
      <c r="H1127" s="631"/>
      <c r="I1127" s="631"/>
      <c r="J1127" s="631"/>
      <c r="K1127" s="616"/>
      <c r="M1127" s="540"/>
      <c r="O1127" s="540"/>
    </row>
    <row r="1128" spans="2:18" ht="36" customHeight="1" x14ac:dyDescent="0.5">
      <c r="D1128" s="631"/>
      <c r="E1128" s="631"/>
      <c r="F1128" s="631"/>
      <c r="G1128" s="631"/>
      <c r="H1128" s="631"/>
      <c r="I1128" s="631"/>
      <c r="J1128" s="631"/>
      <c r="K1128" s="616"/>
      <c r="M1128" s="555"/>
      <c r="N1128" s="555"/>
      <c r="O1128" s="555"/>
      <c r="P1128" s="545"/>
    </row>
    <row r="1129" spans="2:18" ht="36" customHeight="1" x14ac:dyDescent="0.5">
      <c r="D1129" s="631"/>
      <c r="E1129" s="631"/>
      <c r="F1129" s="631"/>
      <c r="G1129" s="631"/>
      <c r="H1129" s="631"/>
      <c r="I1129" s="631"/>
      <c r="J1129" s="631"/>
      <c r="K1129" s="616"/>
      <c r="M1129" s="540"/>
      <c r="O1129" s="540"/>
    </row>
    <row r="1130" spans="2:18" ht="36" customHeight="1" x14ac:dyDescent="0.5">
      <c r="D1130" s="631"/>
      <c r="E1130" s="631"/>
      <c r="F1130" s="631"/>
      <c r="G1130" s="631"/>
      <c r="H1130" s="631"/>
      <c r="I1130" s="631"/>
      <c r="J1130" s="631"/>
      <c r="K1130" s="616"/>
      <c r="M1130" s="540"/>
      <c r="O1130" s="454" t="s">
        <v>112</v>
      </c>
      <c r="Q1130" s="450">
        <f>MAX($Q$103:Q1129)+1</f>
        <v>29</v>
      </c>
    </row>
    <row r="1131" spans="2:18" ht="36" customHeight="1" x14ac:dyDescent="0.5">
      <c r="D1131" s="630" t="str">
        <f>Criteria!E9</f>
        <v>ABC COMPANY (PROPRIETARY) LIMITED</v>
      </c>
      <c r="E1131" s="631"/>
      <c r="F1131" s="631"/>
      <c r="G1131" s="631"/>
      <c r="H1131" s="631"/>
      <c r="I1131" s="631"/>
      <c r="J1131" s="631"/>
      <c r="K1131" s="616"/>
      <c r="M1131" s="540"/>
      <c r="O1131" s="451"/>
      <c r="P1131" s="451"/>
      <c r="Q1131" s="451"/>
    </row>
    <row r="1132" spans="2:18" ht="36" customHeight="1" x14ac:dyDescent="0.5">
      <c r="D1132" s="630" t="str">
        <f>Criteria!E10</f>
        <v>T/A SEAFRONT HOTEL, ABC RESTAURANT AND RENTAL PROPERTIES</v>
      </c>
      <c r="E1132" s="631"/>
      <c r="F1132" s="631"/>
      <c r="G1132" s="631"/>
      <c r="H1132" s="631"/>
      <c r="I1132" s="631"/>
      <c r="J1132" s="631"/>
      <c r="K1132" s="616"/>
      <c r="M1132" s="540"/>
      <c r="O1132" s="540"/>
      <c r="R1132" s="490" t="str">
        <f>IF(D1132=0,"DELETE"," ")</f>
        <v xml:space="preserve"> </v>
      </c>
    </row>
    <row r="1133" spans="2:18" ht="36" customHeight="1" x14ac:dyDescent="0.5">
      <c r="D1133" s="631"/>
      <c r="E1133" s="631"/>
      <c r="F1133" s="631"/>
      <c r="G1133" s="631"/>
      <c r="H1133" s="631"/>
      <c r="I1133" s="631"/>
      <c r="J1133" s="631"/>
      <c r="K1133" s="616"/>
      <c r="M1133" s="540"/>
      <c r="O1133" s="540"/>
    </row>
    <row r="1134" spans="2:18" ht="36" customHeight="1" x14ac:dyDescent="0.5">
      <c r="D1134" s="630" t="s">
        <v>415</v>
      </c>
      <c r="E1134" s="631"/>
      <c r="F1134" s="631"/>
      <c r="G1134" s="631"/>
      <c r="H1134" s="631"/>
      <c r="I1134" s="631"/>
      <c r="J1134" s="631"/>
      <c r="K1134" s="616"/>
      <c r="M1134" s="540"/>
      <c r="O1134" s="540"/>
    </row>
    <row r="1135" spans="2:18" ht="36" customHeight="1" x14ac:dyDescent="0.5">
      <c r="D1135" s="630" t="str">
        <f>Criteria!E20</f>
        <v>28 FEBRUARY 2026</v>
      </c>
      <c r="E1135" s="631"/>
      <c r="F1135" s="631"/>
      <c r="G1135" s="631"/>
      <c r="H1135" s="631"/>
      <c r="I1135" s="631"/>
      <c r="J1135" s="631" t="s">
        <v>282</v>
      </c>
      <c r="K1135" s="616"/>
      <c r="M1135" s="540"/>
      <c r="O1135" s="540"/>
    </row>
    <row r="1136" spans="2:18" ht="36" customHeight="1" x14ac:dyDescent="0.5">
      <c r="D1136" s="631"/>
      <c r="E1136" s="631"/>
      <c r="F1136" s="631"/>
      <c r="G1136" s="631"/>
      <c r="H1136" s="631"/>
      <c r="I1136" s="631"/>
      <c r="J1136" s="631"/>
      <c r="K1136" s="616"/>
      <c r="M1136" s="540"/>
      <c r="O1136" s="540"/>
    </row>
    <row r="1137" spans="2:18" ht="36" customHeight="1" x14ac:dyDescent="0.5">
      <c r="B1137" s="457"/>
      <c r="C1137" s="457"/>
      <c r="D1137" s="649"/>
      <c r="E1137" s="649"/>
      <c r="F1137" s="649"/>
      <c r="G1137" s="649"/>
      <c r="H1137" s="649"/>
      <c r="I1137" s="649"/>
      <c r="J1137" s="649"/>
      <c r="K1137" s="634"/>
      <c r="L1137" s="457"/>
      <c r="M1137" s="551"/>
      <c r="N1137" s="551"/>
      <c r="O1137" s="551"/>
      <c r="P1137" s="551"/>
      <c r="Q1137" s="457"/>
    </row>
    <row r="1138" spans="2:18" ht="36" customHeight="1" x14ac:dyDescent="0.5">
      <c r="B1138" s="501"/>
      <c r="C1138" s="448">
        <f>MAX(C$871:C1137)+0.1</f>
        <v>1.9000000000000008</v>
      </c>
      <c r="D1138" s="630" t="s">
        <v>1519</v>
      </c>
      <c r="E1138" s="631"/>
      <c r="F1138" s="631"/>
      <c r="G1138" s="631"/>
      <c r="H1138" s="631"/>
      <c r="I1138" s="631"/>
      <c r="J1138" s="631"/>
      <c r="K1138" s="616"/>
      <c r="M1138" s="540"/>
      <c r="O1138" s="540"/>
    </row>
    <row r="1139" spans="2:18" ht="36" customHeight="1" x14ac:dyDescent="0.5">
      <c r="B1139" s="501"/>
      <c r="D1139" s="630"/>
      <c r="E1139" s="631"/>
      <c r="F1139" s="631"/>
      <c r="G1139" s="631"/>
      <c r="H1139" s="631"/>
      <c r="I1139" s="631"/>
      <c r="J1139" s="631"/>
      <c r="K1139" s="616"/>
      <c r="M1139" s="540"/>
      <c r="O1139" s="540"/>
    </row>
    <row r="1140" spans="2:18" ht="36" customHeight="1" x14ac:dyDescent="0.5">
      <c r="B1140" s="501"/>
      <c r="C1140" s="449"/>
      <c r="D1140" s="631" t="s">
        <v>1241</v>
      </c>
      <c r="E1140" s="631"/>
      <c r="F1140" s="631"/>
      <c r="G1140" s="631"/>
      <c r="H1140" s="631"/>
      <c r="I1140" s="631"/>
      <c r="J1140" s="631"/>
      <c r="K1140" s="616"/>
      <c r="M1140" s="540"/>
      <c r="O1140" s="540"/>
    </row>
    <row r="1141" spans="2:18" ht="36" customHeight="1" x14ac:dyDescent="0.5">
      <c r="B1141" s="501"/>
      <c r="C1141" s="449"/>
      <c r="D1141" s="631"/>
      <c r="E1141" s="631"/>
      <c r="F1141" s="631"/>
      <c r="G1141" s="631"/>
      <c r="H1141" s="631"/>
      <c r="I1141" s="631"/>
      <c r="J1141" s="631"/>
      <c r="K1141" s="616"/>
      <c r="M1141" s="540"/>
      <c r="O1141" s="540"/>
    </row>
    <row r="1142" spans="2:18" ht="36" customHeight="1" x14ac:dyDescent="0.5">
      <c r="B1142" s="501"/>
      <c r="C1142" s="449"/>
      <c r="D1142" s="631"/>
      <c r="E1142" s="631"/>
      <c r="F1142" s="631"/>
      <c r="G1142" s="631"/>
      <c r="H1142" s="631"/>
      <c r="I1142" s="631"/>
      <c r="J1142" s="631"/>
      <c r="K1142" s="616"/>
      <c r="M1142" s="540"/>
      <c r="O1142" s="540"/>
    </row>
    <row r="1143" spans="2:18" ht="36" customHeight="1" x14ac:dyDescent="0.5">
      <c r="D1143" s="631"/>
      <c r="E1143" s="631"/>
      <c r="F1143" s="631"/>
      <c r="G1143" s="631"/>
      <c r="H1143" s="631"/>
      <c r="I1143" s="631"/>
      <c r="J1143" s="631"/>
      <c r="K1143" s="616"/>
      <c r="M1143" s="555"/>
      <c r="N1143" s="555"/>
      <c r="O1143" s="555"/>
      <c r="P1143" s="545"/>
    </row>
    <row r="1144" spans="2:18" ht="36" customHeight="1" x14ac:dyDescent="0.5">
      <c r="D1144" s="631"/>
      <c r="E1144" s="631"/>
      <c r="F1144" s="631"/>
      <c r="G1144" s="631"/>
      <c r="H1144" s="631"/>
      <c r="I1144" s="631"/>
      <c r="J1144" s="631"/>
      <c r="K1144" s="616"/>
      <c r="M1144" s="540"/>
      <c r="O1144" s="540"/>
    </row>
    <row r="1145" spans="2:18" ht="36" customHeight="1" x14ac:dyDescent="0.5">
      <c r="D1145" s="631"/>
      <c r="E1145" s="631"/>
      <c r="F1145" s="631"/>
      <c r="G1145" s="631"/>
      <c r="H1145" s="631"/>
      <c r="I1145" s="631"/>
      <c r="J1145" s="631"/>
      <c r="K1145" s="616"/>
      <c r="M1145" s="540"/>
      <c r="O1145" s="454" t="s">
        <v>112</v>
      </c>
      <c r="Q1145" s="450">
        <f>MAX($Q$103:Q1144)+1</f>
        <v>30</v>
      </c>
    </row>
    <row r="1146" spans="2:18" ht="36" customHeight="1" x14ac:dyDescent="0.5">
      <c r="D1146" s="630" t="str">
        <f>Criteria!E9</f>
        <v>ABC COMPANY (PROPRIETARY) LIMITED</v>
      </c>
      <c r="E1146" s="631"/>
      <c r="F1146" s="631"/>
      <c r="G1146" s="631"/>
      <c r="H1146" s="631"/>
      <c r="I1146" s="631"/>
      <c r="J1146" s="631"/>
      <c r="K1146" s="616"/>
      <c r="M1146" s="540"/>
      <c r="O1146" s="451"/>
      <c r="P1146" s="451"/>
      <c r="Q1146" s="451"/>
    </row>
    <row r="1147" spans="2:18" ht="36" customHeight="1" x14ac:dyDescent="0.5">
      <c r="D1147" s="630" t="str">
        <f>Criteria!E10</f>
        <v>T/A SEAFRONT HOTEL, ABC RESTAURANT AND RENTAL PROPERTIES</v>
      </c>
      <c r="E1147" s="631"/>
      <c r="F1147" s="631"/>
      <c r="G1147" s="631"/>
      <c r="H1147" s="631"/>
      <c r="I1147" s="631"/>
      <c r="J1147" s="631"/>
      <c r="K1147" s="616"/>
      <c r="M1147" s="540"/>
      <c r="O1147" s="540"/>
      <c r="R1147" s="490" t="str">
        <f>IF(D1147=0,"DELETE"," ")</f>
        <v xml:space="preserve"> </v>
      </c>
    </row>
    <row r="1148" spans="2:18" ht="36" customHeight="1" x14ac:dyDescent="0.5">
      <c r="D1148" s="631"/>
      <c r="E1148" s="631"/>
      <c r="F1148" s="631"/>
      <c r="G1148" s="631"/>
      <c r="H1148" s="631"/>
      <c r="I1148" s="631"/>
      <c r="J1148" s="631"/>
      <c r="K1148" s="616"/>
      <c r="M1148" s="540"/>
      <c r="O1148" s="540"/>
    </row>
    <row r="1149" spans="2:18" ht="36" customHeight="1" x14ac:dyDescent="0.5">
      <c r="D1149" s="630" t="s">
        <v>415</v>
      </c>
      <c r="E1149" s="631"/>
      <c r="F1149" s="631"/>
      <c r="G1149" s="631"/>
      <c r="H1149" s="631"/>
      <c r="I1149" s="631"/>
      <c r="J1149" s="631"/>
      <c r="K1149" s="616"/>
      <c r="M1149" s="540"/>
      <c r="O1149" s="540"/>
    </row>
    <row r="1150" spans="2:18" ht="36" customHeight="1" x14ac:dyDescent="0.5">
      <c r="D1150" s="630" t="str">
        <f>Criteria!E20</f>
        <v>28 FEBRUARY 2026</v>
      </c>
      <c r="E1150" s="631"/>
      <c r="F1150" s="631"/>
      <c r="G1150" s="631"/>
      <c r="H1150" s="631"/>
      <c r="I1150" s="631"/>
      <c r="J1150" s="631" t="s">
        <v>282</v>
      </c>
      <c r="K1150" s="616"/>
      <c r="M1150" s="540"/>
      <c r="O1150" s="540"/>
    </row>
    <row r="1151" spans="2:18" ht="36" customHeight="1" x14ac:dyDescent="0.5">
      <c r="D1151" s="631"/>
      <c r="E1151" s="631"/>
      <c r="F1151" s="631"/>
      <c r="G1151" s="631"/>
      <c r="H1151" s="631"/>
      <c r="I1151" s="631"/>
      <c r="J1151" s="631"/>
      <c r="K1151" s="616"/>
      <c r="M1151" s="540"/>
      <c r="O1151" s="540"/>
    </row>
    <row r="1152" spans="2:18" ht="36" customHeight="1" x14ac:dyDescent="0.5">
      <c r="B1152" s="457"/>
      <c r="C1152" s="457"/>
      <c r="D1152" s="649"/>
      <c r="E1152" s="649"/>
      <c r="F1152" s="649"/>
      <c r="G1152" s="649"/>
      <c r="H1152" s="649"/>
      <c r="I1152" s="649"/>
      <c r="J1152" s="649"/>
      <c r="K1152" s="634"/>
      <c r="L1152" s="457"/>
      <c r="M1152" s="551"/>
      <c r="N1152" s="551"/>
      <c r="O1152" s="551"/>
      <c r="P1152" s="551"/>
      <c r="Q1152" s="457"/>
    </row>
    <row r="1153" spans="2:18" ht="36" customHeight="1" x14ac:dyDescent="0.5">
      <c r="B1153" s="501">
        <f>MAX(B$871:B1152)+1</f>
        <v>2</v>
      </c>
      <c r="C1153" s="630" t="s">
        <v>1520</v>
      </c>
      <c r="D1153" s="631"/>
      <c r="E1153" s="631"/>
      <c r="F1153" s="631"/>
      <c r="G1153" s="631"/>
      <c r="H1153" s="631"/>
      <c r="I1153" s="631"/>
      <c r="J1153" s="631"/>
      <c r="M1153" s="540"/>
      <c r="O1153" s="540"/>
    </row>
    <row r="1154" spans="2:18" ht="36" customHeight="1" x14ac:dyDescent="0.5">
      <c r="B1154" s="501"/>
      <c r="C1154" s="630"/>
      <c r="D1154" s="631"/>
      <c r="E1154" s="631"/>
      <c r="F1154" s="631"/>
      <c r="G1154" s="631"/>
      <c r="H1154" s="631"/>
      <c r="I1154" s="631"/>
      <c r="J1154" s="631"/>
      <c r="M1154" s="540"/>
      <c r="O1154" s="540"/>
    </row>
    <row r="1155" spans="2:18" ht="36" customHeight="1" x14ac:dyDescent="0.5">
      <c r="B1155" s="501"/>
      <c r="C1155" s="631">
        <f>Criteria!F127</f>
        <v>0</v>
      </c>
      <c r="D1155" s="648"/>
      <c r="E1155" s="631"/>
      <c r="F1155" s="631"/>
      <c r="G1155" s="631"/>
      <c r="H1155" s="631"/>
      <c r="I1155" s="631"/>
      <c r="J1155" s="631"/>
      <c r="M1155" s="540"/>
      <c r="O1155" s="540"/>
      <c r="R1155" s="490" t="str">
        <f>IF(C1155=0,"DELETE"," ")</f>
        <v>DELETE</v>
      </c>
    </row>
    <row r="1156" spans="2:18" ht="36" customHeight="1" x14ac:dyDescent="0.5">
      <c r="B1156" s="501"/>
      <c r="C1156" s="631">
        <f>Criteria!F128</f>
        <v>0</v>
      </c>
      <c r="D1156" s="648"/>
      <c r="E1156" s="631"/>
      <c r="F1156" s="631"/>
      <c r="G1156" s="631"/>
      <c r="H1156" s="631"/>
      <c r="I1156" s="631"/>
      <c r="J1156" s="631"/>
      <c r="M1156" s="540"/>
      <c r="O1156" s="540"/>
      <c r="R1156" s="490" t="str">
        <f>IF(C1156=0,"DELETE"," ")</f>
        <v>DELETE</v>
      </c>
    </row>
    <row r="1157" spans="2:18" ht="36" customHeight="1" x14ac:dyDescent="0.5">
      <c r="B1157" s="501"/>
      <c r="C1157" s="631">
        <f>Criteria!F129</f>
        <v>0</v>
      </c>
      <c r="D1157" s="648"/>
      <c r="E1157" s="631"/>
      <c r="F1157" s="631"/>
      <c r="G1157" s="631"/>
      <c r="H1157" s="631"/>
      <c r="I1157" s="631"/>
      <c r="J1157" s="631"/>
      <c r="M1157" s="540"/>
      <c r="O1157" s="540"/>
      <c r="R1157" s="490" t="str">
        <f>IF(C1157=0,"DELETE"," ")</f>
        <v>DELETE</v>
      </c>
    </row>
    <row r="1158" spans="2:18" ht="36" customHeight="1" x14ac:dyDescent="0.5">
      <c r="B1158" s="501"/>
      <c r="C1158" s="631">
        <f>Criteria!F130</f>
        <v>0</v>
      </c>
      <c r="D1158" s="648"/>
      <c r="E1158" s="631"/>
      <c r="F1158" s="631"/>
      <c r="G1158" s="631"/>
      <c r="H1158" s="631"/>
      <c r="I1158" s="631"/>
      <c r="J1158" s="631"/>
      <c r="M1158" s="540"/>
      <c r="O1158" s="540"/>
      <c r="R1158" s="490" t="str">
        <f>IF(C1158=0,"DELETE"," ")</f>
        <v>DELETE</v>
      </c>
    </row>
    <row r="1159" spans="2:18" ht="36" customHeight="1" x14ac:dyDescent="0.5">
      <c r="B1159" s="501"/>
      <c r="C1159" s="631">
        <f>Criteria!F131</f>
        <v>0</v>
      </c>
      <c r="D1159" s="648"/>
      <c r="E1159" s="631"/>
      <c r="F1159" s="631"/>
      <c r="G1159" s="631"/>
      <c r="H1159" s="631"/>
      <c r="I1159" s="631"/>
      <c r="J1159" s="631"/>
      <c r="M1159" s="540"/>
      <c r="O1159" s="540"/>
      <c r="R1159" s="490" t="str">
        <f>IF(C1159=0,"DELETE"," ")</f>
        <v>DELETE</v>
      </c>
    </row>
    <row r="1160" spans="2:18" ht="36" customHeight="1" x14ac:dyDescent="0.5">
      <c r="B1160" s="501"/>
      <c r="C1160" s="630"/>
      <c r="D1160" s="631"/>
      <c r="E1160" s="631"/>
      <c r="F1160" s="631"/>
      <c r="G1160" s="631"/>
      <c r="H1160" s="631"/>
      <c r="I1160" s="631"/>
      <c r="J1160" s="631"/>
      <c r="M1160" s="540"/>
      <c r="O1160" s="540"/>
      <c r="R1160" s="490" t="str">
        <f>R1155</f>
        <v>DELETE</v>
      </c>
    </row>
    <row r="1161" spans="2:18" ht="36" customHeight="1" x14ac:dyDescent="0.5">
      <c r="B1161" s="501"/>
      <c r="C1161" s="631" t="str">
        <f>CONCATENATE("No",IF(Criteria!F125="Yes"," other "," "),"material changes to the accounting policies were identified and the comparative")</f>
        <v>No material changes to the accounting policies were identified and the comparative</v>
      </c>
      <c r="D1161" s="648"/>
      <c r="E1161" s="631"/>
      <c r="F1161" s="631"/>
      <c r="G1161" s="631"/>
      <c r="H1161" s="631"/>
      <c r="I1161" s="631"/>
      <c r="J1161" s="631"/>
      <c r="M1161" s="540"/>
      <c r="O1161" s="540"/>
    </row>
    <row r="1162" spans="2:18" ht="36" customHeight="1" x14ac:dyDescent="0.5">
      <c r="B1162" s="501"/>
      <c r="C1162" s="631" t="s">
        <v>1220</v>
      </c>
      <c r="D1162" s="648"/>
      <c r="E1162" s="631"/>
      <c r="F1162" s="631"/>
      <c r="G1162" s="631"/>
      <c r="H1162" s="631"/>
      <c r="I1162" s="631"/>
      <c r="J1162" s="631"/>
      <c r="M1162" s="540"/>
      <c r="O1162" s="540"/>
    </row>
    <row r="1163" spans="2:18" ht="36" customHeight="1" x14ac:dyDescent="0.5">
      <c r="B1163" s="501"/>
      <c r="C1163" s="630"/>
      <c r="D1163" s="631"/>
      <c r="E1163" s="631"/>
      <c r="F1163" s="631"/>
      <c r="G1163" s="631"/>
      <c r="H1163" s="631"/>
      <c r="I1163" s="631"/>
      <c r="J1163" s="631"/>
      <c r="M1163" s="540"/>
      <c r="O1163" s="540"/>
    </row>
    <row r="1164" spans="2:18" ht="36" customHeight="1" x14ac:dyDescent="0.5">
      <c r="B1164" s="501"/>
      <c r="C1164" s="630"/>
      <c r="D1164" s="631"/>
      <c r="E1164" s="631"/>
      <c r="F1164" s="631"/>
      <c r="G1164" s="631"/>
      <c r="H1164" s="631"/>
      <c r="I1164" s="631"/>
      <c r="J1164" s="631"/>
      <c r="M1164" s="540"/>
      <c r="O1164" s="540"/>
    </row>
    <row r="1165" spans="2:18" ht="36" customHeight="1" x14ac:dyDescent="0.5">
      <c r="B1165" s="502"/>
      <c r="C1165" s="630"/>
      <c r="D1165" s="631"/>
      <c r="E1165" s="631"/>
      <c r="F1165" s="631"/>
      <c r="G1165" s="631"/>
      <c r="H1165" s="631"/>
      <c r="I1165" s="631"/>
      <c r="J1165" s="631"/>
      <c r="M1165" s="545"/>
      <c r="N1165" s="545"/>
      <c r="O1165" s="545"/>
      <c r="P1165" s="545"/>
    </row>
    <row r="1166" spans="2:18" ht="36" customHeight="1" x14ac:dyDescent="0.5">
      <c r="C1166" s="630"/>
      <c r="D1166" s="631"/>
      <c r="E1166" s="631"/>
      <c r="F1166" s="631"/>
      <c r="G1166" s="631"/>
      <c r="H1166" s="631"/>
      <c r="I1166" s="631"/>
      <c r="J1166" s="631"/>
      <c r="M1166" s="540"/>
      <c r="O1166" s="540"/>
    </row>
    <row r="1167" spans="2:18" ht="36" customHeight="1" x14ac:dyDescent="0.5">
      <c r="C1167" s="631"/>
      <c r="D1167" s="631"/>
      <c r="E1167" s="631"/>
      <c r="F1167" s="631"/>
      <c r="G1167" s="631"/>
      <c r="H1167" s="631"/>
      <c r="I1167" s="631"/>
      <c r="J1167" s="631"/>
      <c r="M1167" s="540"/>
      <c r="O1167" s="454" t="s">
        <v>112</v>
      </c>
      <c r="Q1167" s="450">
        <f>MAX($Q$103:Q1166)+1</f>
        <v>31</v>
      </c>
    </row>
    <row r="1168" spans="2:18" ht="36" customHeight="1" x14ac:dyDescent="0.5">
      <c r="C1168" s="631"/>
      <c r="D1168" s="630" t="str">
        <f>Criteria!E9</f>
        <v>ABC COMPANY (PROPRIETARY) LIMITED</v>
      </c>
      <c r="E1168" s="631"/>
      <c r="F1168" s="631"/>
      <c r="G1168" s="631"/>
      <c r="H1168" s="631"/>
      <c r="I1168" s="631"/>
      <c r="J1168" s="631"/>
      <c r="M1168" s="540"/>
      <c r="O1168" s="451"/>
      <c r="P1168" s="451"/>
      <c r="Q1168" s="451"/>
    </row>
    <row r="1169" spans="2:18" ht="36" customHeight="1" x14ac:dyDescent="0.5">
      <c r="C1169" s="631"/>
      <c r="D1169" s="630" t="str">
        <f>Criteria!E10</f>
        <v>T/A SEAFRONT HOTEL, ABC RESTAURANT AND RENTAL PROPERTIES</v>
      </c>
      <c r="E1169" s="631"/>
      <c r="F1169" s="631"/>
      <c r="G1169" s="631"/>
      <c r="H1169" s="631"/>
      <c r="I1169" s="631"/>
      <c r="J1169" s="631"/>
      <c r="M1169" s="540"/>
      <c r="O1169" s="540"/>
      <c r="R1169" s="490" t="str">
        <f>IF(D1169=0,"DELETE"," ")</f>
        <v xml:space="preserve"> </v>
      </c>
    </row>
    <row r="1170" spans="2:18" ht="36" customHeight="1" x14ac:dyDescent="0.5">
      <c r="C1170" s="631"/>
      <c r="D1170" s="631"/>
      <c r="E1170" s="631"/>
      <c r="F1170" s="631"/>
      <c r="G1170" s="631"/>
      <c r="H1170" s="631"/>
      <c r="I1170" s="631"/>
      <c r="J1170" s="631"/>
      <c r="M1170" s="540"/>
      <c r="O1170" s="540"/>
    </row>
    <row r="1171" spans="2:18" ht="36" customHeight="1" x14ac:dyDescent="0.5">
      <c r="C1171" s="631"/>
      <c r="D1171" s="630" t="s">
        <v>415</v>
      </c>
      <c r="E1171" s="631"/>
      <c r="F1171" s="631"/>
      <c r="G1171" s="631"/>
      <c r="H1171" s="631"/>
      <c r="I1171" s="631"/>
      <c r="J1171" s="631"/>
      <c r="M1171" s="540"/>
      <c r="O1171" s="540"/>
    </row>
    <row r="1172" spans="2:18" ht="36" customHeight="1" x14ac:dyDescent="0.5">
      <c r="C1172" s="631"/>
      <c r="D1172" s="630" t="str">
        <f>Criteria!E20</f>
        <v>28 FEBRUARY 2026</v>
      </c>
      <c r="E1172" s="631"/>
      <c r="F1172" s="631"/>
      <c r="G1172" s="631"/>
      <c r="H1172" s="631"/>
      <c r="I1172" s="631"/>
      <c r="J1172" s="631" t="s">
        <v>282</v>
      </c>
      <c r="M1172" s="540"/>
      <c r="O1172" s="540"/>
    </row>
    <row r="1173" spans="2:18" ht="36" customHeight="1" x14ac:dyDescent="0.5">
      <c r="C1173" s="631"/>
      <c r="D1173" s="630"/>
      <c r="E1173" s="631"/>
      <c r="F1173" s="631"/>
      <c r="G1173" s="631"/>
      <c r="H1173" s="631"/>
      <c r="I1173" s="631"/>
      <c r="J1173" s="631"/>
      <c r="M1173" s="540"/>
      <c r="O1173" s="540"/>
    </row>
    <row r="1174" spans="2:18" ht="36" customHeight="1" x14ac:dyDescent="0.5">
      <c r="B1174" s="457"/>
      <c r="C1174" s="649"/>
      <c r="D1174" s="652"/>
      <c r="E1174" s="649"/>
      <c r="F1174" s="649"/>
      <c r="G1174" s="649"/>
      <c r="H1174" s="649"/>
      <c r="I1174" s="649"/>
      <c r="J1174" s="649"/>
      <c r="K1174" s="457"/>
      <c r="L1174" s="457"/>
      <c r="M1174" s="551"/>
      <c r="N1174" s="551"/>
      <c r="O1174" s="551"/>
      <c r="P1174" s="551"/>
      <c r="Q1174" s="457"/>
    </row>
    <row r="1175" spans="2:18" ht="36" customHeight="1" x14ac:dyDescent="0.5">
      <c r="C1175" s="631"/>
      <c r="D1175" s="630"/>
      <c r="E1175" s="631"/>
      <c r="F1175" s="631"/>
      <c r="G1175" s="631"/>
      <c r="H1175" s="631"/>
      <c r="I1175" s="631"/>
      <c r="J1175" s="631"/>
      <c r="M1175" s="488">
        <f>Criteria!E22</f>
        <v>2026</v>
      </c>
      <c r="N1175" s="488"/>
      <c r="O1175" s="488">
        <f>Criteria!E27</f>
        <v>2025</v>
      </c>
      <c r="P1175" s="545"/>
    </row>
    <row r="1176" spans="2:18" ht="36" customHeight="1" x14ac:dyDescent="0.5">
      <c r="C1176" s="631"/>
      <c r="D1176" s="630"/>
      <c r="E1176" s="631"/>
      <c r="F1176" s="631"/>
      <c r="G1176" s="631"/>
      <c r="H1176" s="631"/>
      <c r="I1176" s="631"/>
      <c r="J1176" s="631"/>
      <c r="M1176" s="545"/>
      <c r="N1176" s="545"/>
      <c r="O1176" s="545"/>
      <c r="P1176" s="545"/>
    </row>
    <row r="1177" spans="2:18" ht="36" customHeight="1" x14ac:dyDescent="0.5">
      <c r="B1177" s="501">
        <f>MAX(B$871:B1176)+1</f>
        <v>3</v>
      </c>
      <c r="C1177" s="630" t="s">
        <v>1194</v>
      </c>
      <c r="D1177" s="630"/>
      <c r="E1177" s="631"/>
      <c r="F1177" s="631"/>
      <c r="G1177" s="631"/>
      <c r="H1177" s="631"/>
      <c r="I1177" s="631"/>
      <c r="J1177" s="631"/>
      <c r="M1177" s="545"/>
      <c r="N1177" s="545"/>
      <c r="O1177" s="545"/>
      <c r="P1177" s="545"/>
    </row>
    <row r="1178" spans="2:18" ht="36" customHeight="1" x14ac:dyDescent="0.5">
      <c r="B1178" s="501"/>
      <c r="C1178" s="630"/>
      <c r="D1178" s="630"/>
      <c r="E1178" s="631"/>
      <c r="F1178" s="631"/>
      <c r="G1178" s="631"/>
      <c r="H1178" s="631"/>
      <c r="I1178" s="631"/>
      <c r="J1178" s="631"/>
      <c r="M1178" s="545"/>
      <c r="N1178" s="545"/>
      <c r="O1178" s="545"/>
      <c r="P1178" s="545"/>
    </row>
    <row r="1179" spans="2:18" ht="36" customHeight="1" x14ac:dyDescent="0.5">
      <c r="C1179" s="631" t="str">
        <f>TrialBalance!C5</f>
        <v>Sale of goods</v>
      </c>
      <c r="D1179" s="648"/>
      <c r="E1179" s="631"/>
      <c r="F1179" s="631"/>
      <c r="G1179" s="631"/>
      <c r="H1179" s="631"/>
      <c r="I1179" s="631"/>
      <c r="J1179" s="631"/>
      <c r="M1179" s="555">
        <f>-TrialBalance!L5-TrialBalanceA!I5-TrialBalanceB!I5-TrialBalanceC!I5</f>
        <v>0</v>
      </c>
      <c r="N1179" s="555"/>
      <c r="O1179" s="555">
        <f>-TrialBalance!N5-TrialBalanceA!K5-TrialBalanceB!K5-TrialBalanceC!K5</f>
        <v>0</v>
      </c>
      <c r="P1179" s="545"/>
      <c r="R1179" s="490" t="str">
        <f>IF(M1179+O1179=0,IF(SUM(M1180:M1185)+SUM(O1180:O1185)&gt;0,"DELETE"," ")," ")</f>
        <v xml:space="preserve"> </v>
      </c>
    </row>
    <row r="1180" spans="2:18" ht="36" customHeight="1" x14ac:dyDescent="0.5">
      <c r="C1180" s="631" t="str">
        <f>TrialBalance!C6</f>
        <v>Rendering of services</v>
      </c>
      <c r="D1180" s="648"/>
      <c r="E1180" s="631"/>
      <c r="F1180" s="631"/>
      <c r="G1180" s="631"/>
      <c r="H1180" s="631"/>
      <c r="I1180" s="631"/>
      <c r="J1180" s="631"/>
      <c r="M1180" s="555">
        <f>-TrialBalance!L6-TrialBalanceA!I6-TrialBalanceB!I6-TrialBalanceC!I6</f>
        <v>0</v>
      </c>
      <c r="N1180" s="555"/>
      <c r="O1180" s="555">
        <f>-TrialBalance!N6-TrialBalanceA!K6-TrialBalanceB!K6-TrialBalanceC!K6</f>
        <v>0</v>
      </c>
      <c r="P1180" s="545"/>
      <c r="R1180" s="490" t="str">
        <f t="shared" ref="R1180:R1185" si="16">IF(M1180+O1180=0,"DELETE"," ")</f>
        <v>DELETE</v>
      </c>
    </row>
    <row r="1181" spans="2:18" ht="36" customHeight="1" x14ac:dyDescent="0.5">
      <c r="C1181" s="631" t="str">
        <f>TrialBalance!C7</f>
        <v>Commissions received</v>
      </c>
      <c r="D1181" s="648"/>
      <c r="E1181" s="631"/>
      <c r="F1181" s="631"/>
      <c r="G1181" s="631"/>
      <c r="H1181" s="631"/>
      <c r="I1181" s="631"/>
      <c r="J1181" s="631"/>
      <c r="M1181" s="555">
        <f>-TrialBalance!L7-TrialBalanceA!I7-TrialBalanceB!I7-TrialBalanceC!I7</f>
        <v>0</v>
      </c>
      <c r="N1181" s="555"/>
      <c r="O1181" s="555">
        <f>-TrialBalance!N7-TrialBalanceA!K7-TrialBalanceB!K7-TrialBalanceC!K7</f>
        <v>0</v>
      </c>
      <c r="P1181" s="545"/>
      <c r="R1181" s="490" t="str">
        <f t="shared" si="16"/>
        <v>DELETE</v>
      </c>
    </row>
    <row r="1182" spans="2:18" ht="36" customHeight="1" x14ac:dyDescent="0.5">
      <c r="C1182" s="631">
        <f>TrialBalance!C8</f>
        <v>0</v>
      </c>
      <c r="D1182" s="648"/>
      <c r="E1182" s="631"/>
      <c r="F1182" s="631"/>
      <c r="G1182" s="631"/>
      <c r="H1182" s="631"/>
      <c r="I1182" s="631"/>
      <c r="J1182" s="631"/>
      <c r="M1182" s="555">
        <f>-TrialBalance!L8-TrialBalanceA!I8-TrialBalanceB!I8-TrialBalanceC!I8</f>
        <v>0</v>
      </c>
      <c r="N1182" s="555"/>
      <c r="O1182" s="555">
        <f>-TrialBalance!N8-TrialBalanceA!K8-TrialBalanceB!K8-TrialBalanceC!K8</f>
        <v>0</v>
      </c>
      <c r="P1182" s="545"/>
      <c r="R1182" s="490" t="str">
        <f t="shared" si="16"/>
        <v>DELETE</v>
      </c>
    </row>
    <row r="1183" spans="2:18" ht="36" customHeight="1" x14ac:dyDescent="0.5">
      <c r="C1183" s="631">
        <f>TrialBalance!C9</f>
        <v>0</v>
      </c>
      <c r="D1183" s="648"/>
      <c r="E1183" s="631"/>
      <c r="F1183" s="631"/>
      <c r="G1183" s="631"/>
      <c r="H1183" s="631"/>
      <c r="I1183" s="631"/>
      <c r="J1183" s="631"/>
      <c r="M1183" s="555">
        <f>-TrialBalance!L9-TrialBalanceA!I9-TrialBalanceB!I9-TrialBalanceC!I9</f>
        <v>0</v>
      </c>
      <c r="N1183" s="555"/>
      <c r="O1183" s="555">
        <f>-TrialBalance!N9-TrialBalanceA!K9-TrialBalanceB!K9-TrialBalanceC!K9</f>
        <v>0</v>
      </c>
      <c r="P1183" s="545"/>
      <c r="R1183" s="490" t="str">
        <f t="shared" si="16"/>
        <v>DELETE</v>
      </c>
    </row>
    <row r="1184" spans="2:18" ht="36" customHeight="1" x14ac:dyDescent="0.5">
      <c r="C1184" s="631">
        <f>TrialBalance!C10</f>
        <v>0</v>
      </c>
      <c r="D1184" s="648"/>
      <c r="E1184" s="631"/>
      <c r="F1184" s="631"/>
      <c r="G1184" s="631"/>
      <c r="H1184" s="631"/>
      <c r="I1184" s="631"/>
      <c r="J1184" s="631"/>
      <c r="M1184" s="555">
        <f>-TrialBalance!L10-TrialBalanceA!I10-TrialBalanceB!I10-TrialBalanceC!I10</f>
        <v>0</v>
      </c>
      <c r="N1184" s="555"/>
      <c r="O1184" s="555">
        <f>-TrialBalance!N10-TrialBalanceA!K10-TrialBalanceB!K10-TrialBalanceC!K10</f>
        <v>0</v>
      </c>
      <c r="P1184" s="545"/>
      <c r="R1184" s="490" t="str">
        <f t="shared" si="16"/>
        <v>DELETE</v>
      </c>
    </row>
    <row r="1185" spans="2:18" ht="36" customHeight="1" x14ac:dyDescent="0.5">
      <c r="C1185" s="631" t="str">
        <f>TrialBalance!C11</f>
        <v>Rent received</v>
      </c>
      <c r="D1185" s="648"/>
      <c r="E1185" s="631"/>
      <c r="F1185" s="631"/>
      <c r="G1185" s="631"/>
      <c r="H1185" s="631"/>
      <c r="I1185" s="631"/>
      <c r="J1185" s="631"/>
      <c r="M1185" s="555">
        <f>-TrialBalance!L11-TrialBalanceA!I11-TrialBalanceB!I11-TrialBalanceC!I11</f>
        <v>0</v>
      </c>
      <c r="N1185" s="555"/>
      <c r="O1185" s="555">
        <f>-TrialBalance!N11-TrialBalanceA!K11-TrialBalanceB!K11-TrialBalanceC!K11</f>
        <v>0</v>
      </c>
      <c r="P1185" s="545"/>
      <c r="R1185" s="490" t="str">
        <f t="shared" si="16"/>
        <v>DELETE</v>
      </c>
    </row>
    <row r="1186" spans="2:18" ht="9" customHeight="1" x14ac:dyDescent="0.5">
      <c r="C1186" s="631"/>
      <c r="D1186" s="630"/>
      <c r="E1186" s="631"/>
      <c r="F1186" s="631"/>
      <c r="G1186" s="631"/>
      <c r="H1186" s="631"/>
      <c r="I1186" s="631"/>
      <c r="J1186" s="631"/>
      <c r="M1186" s="554"/>
      <c r="N1186" s="554"/>
      <c r="O1186" s="554"/>
      <c r="P1186" s="545"/>
    </row>
    <row r="1187" spans="2:18" ht="9" customHeight="1" x14ac:dyDescent="0.5">
      <c r="C1187" s="631"/>
      <c r="D1187" s="630"/>
      <c r="E1187" s="631"/>
      <c r="F1187" s="631"/>
      <c r="G1187" s="631"/>
      <c r="H1187" s="631"/>
      <c r="I1187" s="631"/>
      <c r="J1187" s="631"/>
      <c r="M1187" s="555"/>
      <c r="N1187" s="555"/>
      <c r="O1187" s="555"/>
      <c r="P1187" s="545"/>
    </row>
    <row r="1188" spans="2:18" ht="36.75" customHeight="1" x14ac:dyDescent="0.5">
      <c r="C1188" s="631"/>
      <c r="D1188" s="630"/>
      <c r="E1188" s="631"/>
      <c r="F1188" s="631"/>
      <c r="G1188" s="631"/>
      <c r="H1188" s="631"/>
      <c r="I1188" s="631"/>
      <c r="J1188" s="631"/>
      <c r="M1188" s="555">
        <f>SUM(M1179:M1187)</f>
        <v>0</v>
      </c>
      <c r="N1188" s="555"/>
      <c r="O1188" s="555">
        <f>SUM(O1179:O1187)</f>
        <v>0</v>
      </c>
      <c r="P1188" s="545"/>
    </row>
    <row r="1189" spans="2:18" ht="9" customHeight="1" thickBot="1" x14ac:dyDescent="0.55000000000000004">
      <c r="C1189" s="631"/>
      <c r="D1189" s="630"/>
      <c r="E1189" s="631"/>
      <c r="F1189" s="631"/>
      <c r="G1189" s="631"/>
      <c r="H1189" s="631"/>
      <c r="I1189" s="631"/>
      <c r="J1189" s="631"/>
      <c r="M1189" s="552"/>
      <c r="N1189" s="552"/>
      <c r="O1189" s="552"/>
      <c r="P1189" s="545"/>
    </row>
    <row r="1190" spans="2:18" ht="9" customHeight="1" thickTop="1" x14ac:dyDescent="0.5">
      <c r="C1190" s="631"/>
      <c r="D1190" s="630"/>
      <c r="E1190" s="631"/>
      <c r="F1190" s="631"/>
      <c r="G1190" s="631"/>
      <c r="H1190" s="631"/>
      <c r="I1190" s="631"/>
      <c r="J1190" s="631"/>
      <c r="M1190" s="545"/>
      <c r="N1190" s="545"/>
      <c r="O1190" s="545"/>
      <c r="P1190" s="545"/>
    </row>
    <row r="1191" spans="2:18" ht="36" customHeight="1" x14ac:dyDescent="0.5">
      <c r="C1191" s="631"/>
      <c r="D1191" s="630"/>
      <c r="E1191" s="631"/>
      <c r="F1191" s="631"/>
      <c r="G1191" s="631"/>
      <c r="H1191" s="631"/>
      <c r="I1191" s="631"/>
      <c r="J1191" s="631"/>
      <c r="M1191" s="545"/>
      <c r="N1191" s="545"/>
      <c r="O1191" s="545"/>
      <c r="P1191" s="545"/>
    </row>
    <row r="1192" spans="2:18" ht="36" customHeight="1" x14ac:dyDescent="0.5">
      <c r="C1192" s="631"/>
      <c r="D1192" s="630"/>
      <c r="E1192" s="631"/>
      <c r="F1192" s="631"/>
      <c r="G1192" s="631"/>
      <c r="H1192" s="631"/>
      <c r="I1192" s="631"/>
      <c r="J1192" s="631"/>
      <c r="M1192" s="545"/>
      <c r="N1192" s="545"/>
      <c r="O1192" s="545"/>
      <c r="P1192" s="545"/>
    </row>
    <row r="1193" spans="2:18" ht="36" customHeight="1" x14ac:dyDescent="0.5">
      <c r="B1193" s="502"/>
      <c r="C1193" s="630"/>
      <c r="D1193" s="631"/>
      <c r="E1193" s="631"/>
      <c r="F1193" s="631"/>
      <c r="G1193" s="631"/>
      <c r="H1193" s="631"/>
      <c r="I1193" s="631"/>
      <c r="J1193" s="631"/>
      <c r="M1193" s="545"/>
      <c r="N1193" s="545"/>
      <c r="O1193" s="545"/>
      <c r="P1193" s="545"/>
    </row>
    <row r="1194" spans="2:18" ht="36" customHeight="1" x14ac:dyDescent="0.5">
      <c r="C1194" s="630"/>
      <c r="D1194" s="631"/>
      <c r="E1194" s="631"/>
      <c r="F1194" s="631"/>
      <c r="G1194" s="631"/>
      <c r="H1194" s="631"/>
      <c r="I1194" s="631"/>
      <c r="J1194" s="631"/>
      <c r="M1194" s="540"/>
      <c r="O1194" s="540"/>
    </row>
    <row r="1195" spans="2:18" ht="36" customHeight="1" x14ac:dyDescent="0.5">
      <c r="C1195" s="631"/>
      <c r="D1195" s="631"/>
      <c r="E1195" s="631"/>
      <c r="F1195" s="631"/>
      <c r="G1195" s="631"/>
      <c r="H1195" s="631"/>
      <c r="I1195" s="631"/>
      <c r="J1195" s="631"/>
      <c r="M1195" s="540"/>
      <c r="O1195" s="454" t="s">
        <v>112</v>
      </c>
      <c r="Q1195" s="450">
        <f>MAX($Q$103:Q1194)+1</f>
        <v>32</v>
      </c>
      <c r="R1195" s="490" t="str">
        <f t="shared" ref="R1195:R1196" si="17">R$1233</f>
        <v>DELETE</v>
      </c>
    </row>
    <row r="1196" spans="2:18" ht="36" customHeight="1" x14ac:dyDescent="0.5">
      <c r="C1196" s="631"/>
      <c r="D1196" s="630" t="str">
        <f>Criteria!E9</f>
        <v>ABC COMPANY (PROPRIETARY) LIMITED</v>
      </c>
      <c r="E1196" s="631"/>
      <c r="F1196" s="631"/>
      <c r="G1196" s="631"/>
      <c r="H1196" s="631"/>
      <c r="I1196" s="631"/>
      <c r="J1196" s="631"/>
      <c r="M1196" s="540"/>
      <c r="O1196" s="451"/>
      <c r="P1196" s="451"/>
      <c r="Q1196" s="451"/>
      <c r="R1196" s="490" t="str">
        <f t="shared" si="17"/>
        <v>DELETE</v>
      </c>
    </row>
    <row r="1197" spans="2:18" ht="36" customHeight="1" x14ac:dyDescent="0.5">
      <c r="C1197" s="631"/>
      <c r="D1197" s="630" t="str">
        <f>Criteria!E10</f>
        <v>T/A SEAFRONT HOTEL, ABC RESTAURANT AND RENTAL PROPERTIES</v>
      </c>
      <c r="E1197" s="631"/>
      <c r="F1197" s="631"/>
      <c r="G1197" s="631"/>
      <c r="H1197" s="631"/>
      <c r="I1197" s="631"/>
      <c r="J1197" s="631"/>
      <c r="M1197" s="540"/>
      <c r="O1197" s="540"/>
      <c r="R1197" s="490" t="str">
        <f>IF(R$1233="DELETE","DELETE",IF(D1197=0,"DELETE"," "))</f>
        <v>DELETE</v>
      </c>
    </row>
    <row r="1198" spans="2:18" ht="36" customHeight="1" x14ac:dyDescent="0.5">
      <c r="C1198" s="631"/>
      <c r="D1198" s="631"/>
      <c r="E1198" s="631"/>
      <c r="F1198" s="631"/>
      <c r="G1198" s="631"/>
      <c r="H1198" s="631"/>
      <c r="I1198" s="631"/>
      <c r="J1198" s="631"/>
      <c r="M1198" s="540"/>
      <c r="O1198" s="540"/>
      <c r="R1198" s="490" t="str">
        <f t="shared" ref="R1198:R1204" si="18">R$1233</f>
        <v>DELETE</v>
      </c>
    </row>
    <row r="1199" spans="2:18" ht="36" customHeight="1" x14ac:dyDescent="0.5">
      <c r="C1199" s="631"/>
      <c r="D1199" s="630" t="s">
        <v>415</v>
      </c>
      <c r="E1199" s="631"/>
      <c r="F1199" s="631"/>
      <c r="G1199" s="631"/>
      <c r="H1199" s="631"/>
      <c r="I1199" s="631"/>
      <c r="J1199" s="631"/>
      <c r="M1199" s="540"/>
      <c r="O1199" s="540"/>
      <c r="R1199" s="490" t="str">
        <f t="shared" si="18"/>
        <v>DELETE</v>
      </c>
    </row>
    <row r="1200" spans="2:18" ht="36" customHeight="1" x14ac:dyDescent="0.5">
      <c r="C1200" s="631"/>
      <c r="D1200" s="630" t="str">
        <f>Criteria!E20</f>
        <v>28 FEBRUARY 2026</v>
      </c>
      <c r="E1200" s="631"/>
      <c r="F1200" s="631"/>
      <c r="G1200" s="631"/>
      <c r="H1200" s="631"/>
      <c r="I1200" s="631"/>
      <c r="J1200" s="631" t="s">
        <v>282</v>
      </c>
      <c r="M1200" s="540"/>
      <c r="O1200" s="540"/>
      <c r="R1200" s="490" t="str">
        <f t="shared" si="18"/>
        <v>DELETE</v>
      </c>
    </row>
    <row r="1201" spans="2:18" ht="36" customHeight="1" x14ac:dyDescent="0.5">
      <c r="C1201" s="631"/>
      <c r="D1201" s="630"/>
      <c r="E1201" s="631"/>
      <c r="F1201" s="631"/>
      <c r="G1201" s="631"/>
      <c r="H1201" s="631"/>
      <c r="I1201" s="631"/>
      <c r="J1201" s="631"/>
      <c r="M1201" s="540"/>
      <c r="O1201" s="540"/>
      <c r="R1201" s="490" t="str">
        <f t="shared" si="18"/>
        <v>DELETE</v>
      </c>
    </row>
    <row r="1202" spans="2:18" ht="36" customHeight="1" x14ac:dyDescent="0.5">
      <c r="B1202" s="457"/>
      <c r="C1202" s="649"/>
      <c r="D1202" s="652"/>
      <c r="E1202" s="649"/>
      <c r="F1202" s="649"/>
      <c r="G1202" s="649"/>
      <c r="H1202" s="649"/>
      <c r="I1202" s="649"/>
      <c r="J1202" s="649"/>
      <c r="K1202" s="457"/>
      <c r="L1202" s="457"/>
      <c r="M1202" s="551"/>
      <c r="N1202" s="551"/>
      <c r="O1202" s="551"/>
      <c r="P1202" s="551"/>
      <c r="Q1202" s="457"/>
      <c r="R1202" s="490" t="str">
        <f t="shared" si="18"/>
        <v>DELETE</v>
      </c>
    </row>
    <row r="1203" spans="2:18" ht="36" customHeight="1" x14ac:dyDescent="0.5">
      <c r="C1203" s="631"/>
      <c r="D1203" s="630"/>
      <c r="E1203" s="631"/>
      <c r="F1203" s="631"/>
      <c r="G1203" s="631"/>
      <c r="H1203" s="631"/>
      <c r="I1203" s="631"/>
      <c r="J1203" s="631"/>
      <c r="M1203" s="488">
        <f>Criteria!E22</f>
        <v>2026</v>
      </c>
      <c r="N1203" s="488"/>
      <c r="O1203" s="488">
        <f>Criteria!E27</f>
        <v>2025</v>
      </c>
      <c r="P1203" s="545"/>
      <c r="R1203" s="490" t="str">
        <f t="shared" si="18"/>
        <v>DELETE</v>
      </c>
    </row>
    <row r="1204" spans="2:18" ht="36" customHeight="1" x14ac:dyDescent="0.5">
      <c r="C1204" s="631"/>
      <c r="D1204" s="630"/>
      <c r="E1204" s="631"/>
      <c r="F1204" s="631"/>
      <c r="G1204" s="631"/>
      <c r="H1204" s="631"/>
      <c r="I1204" s="631"/>
      <c r="J1204" s="631"/>
      <c r="M1204" s="545"/>
      <c r="N1204" s="545"/>
      <c r="O1204" s="545"/>
      <c r="P1204" s="545"/>
      <c r="R1204" s="490" t="str">
        <f t="shared" si="18"/>
        <v>DELETE</v>
      </c>
    </row>
    <row r="1205" spans="2:18" ht="36" customHeight="1" x14ac:dyDescent="0.5">
      <c r="B1205" s="501">
        <f>MAX(B$871:B1204)+1</f>
        <v>4</v>
      </c>
      <c r="C1205" s="630" t="s">
        <v>1491</v>
      </c>
      <c r="D1205" s="631"/>
      <c r="E1205" s="631"/>
      <c r="F1205" s="631"/>
      <c r="G1205" s="631"/>
      <c r="H1205" s="631"/>
      <c r="I1205" s="631"/>
      <c r="J1205" s="631"/>
      <c r="M1205" s="475"/>
      <c r="N1205" s="475"/>
      <c r="O1205" s="475"/>
      <c r="P1205" s="545"/>
      <c r="R1205" s="490" t="str">
        <f>R$1233</f>
        <v>DELETE</v>
      </c>
    </row>
    <row r="1206" spans="2:18" ht="36" customHeight="1" x14ac:dyDescent="0.5">
      <c r="B1206" s="501"/>
      <c r="C1206" s="630"/>
      <c r="D1206" s="631"/>
      <c r="E1206" s="631"/>
      <c r="F1206" s="631"/>
      <c r="G1206" s="631"/>
      <c r="H1206" s="631"/>
      <c r="I1206" s="631"/>
      <c r="J1206" s="631"/>
      <c r="M1206" s="475"/>
      <c r="N1206" s="475"/>
      <c r="O1206" s="475"/>
      <c r="P1206" s="545"/>
      <c r="R1206" s="490" t="str">
        <f>R$1233</f>
        <v>DELETE</v>
      </c>
    </row>
    <row r="1207" spans="2:18" ht="36" customHeight="1" x14ac:dyDescent="0.5">
      <c r="B1207" s="501"/>
      <c r="C1207" s="631" t="str">
        <f>TrialBalance!C28</f>
        <v>Insurance claims - Seafront Hotel</v>
      </c>
      <c r="D1207" s="648"/>
      <c r="E1207" s="631"/>
      <c r="F1207" s="631"/>
      <c r="G1207" s="631"/>
      <c r="H1207" s="631"/>
      <c r="I1207" s="631"/>
      <c r="J1207" s="631"/>
      <c r="M1207" s="475">
        <f>-TrialBalance!L28</f>
        <v>0</v>
      </c>
      <c r="N1207" s="475"/>
      <c r="O1207" s="475">
        <f>-TrialBalance!N28</f>
        <v>0</v>
      </c>
      <c r="P1207" s="545"/>
      <c r="R1207" s="490" t="str">
        <f t="shared" ref="R1207:R1212" si="19">IF(M1207+O1207=0,"DELETE"," ")</f>
        <v>DELETE</v>
      </c>
    </row>
    <row r="1208" spans="2:18" ht="36" customHeight="1" x14ac:dyDescent="0.5">
      <c r="B1208" s="501"/>
      <c r="C1208" s="631" t="str">
        <f>TrialBalance!C29</f>
        <v>Government grants received</v>
      </c>
      <c r="D1208" s="648"/>
      <c r="E1208" s="631"/>
      <c r="F1208" s="631"/>
      <c r="G1208" s="631"/>
      <c r="H1208" s="631"/>
      <c r="I1208" s="631"/>
      <c r="J1208" s="631"/>
      <c r="M1208" s="475">
        <f>-TrialBalance!L29</f>
        <v>0</v>
      </c>
      <c r="N1208" s="475"/>
      <c r="O1208" s="475">
        <f>-TrialBalance!N29</f>
        <v>0</v>
      </c>
      <c r="P1208" s="545"/>
      <c r="R1208" s="490" t="str">
        <f t="shared" si="19"/>
        <v>DELETE</v>
      </c>
    </row>
    <row r="1209" spans="2:18" ht="36" customHeight="1" x14ac:dyDescent="0.5">
      <c r="B1209" s="501"/>
      <c r="C1209" s="631">
        <f>TrialBalance!C30</f>
        <v>0</v>
      </c>
      <c r="D1209" s="648"/>
      <c r="E1209" s="631"/>
      <c r="F1209" s="631"/>
      <c r="G1209" s="631"/>
      <c r="H1209" s="631"/>
      <c r="I1209" s="631"/>
      <c r="J1209" s="631"/>
      <c r="M1209" s="475">
        <f>-TrialBalance!L30</f>
        <v>0</v>
      </c>
      <c r="N1209" s="475"/>
      <c r="O1209" s="475">
        <f>-TrialBalance!N30</f>
        <v>0</v>
      </c>
      <c r="P1209" s="545"/>
      <c r="R1209" s="490" t="str">
        <f t="shared" si="19"/>
        <v>DELETE</v>
      </c>
    </row>
    <row r="1210" spans="2:18" ht="36" customHeight="1" x14ac:dyDescent="0.5">
      <c r="B1210" s="501"/>
      <c r="C1210" s="631">
        <f>TrialBalance!C31</f>
        <v>0</v>
      </c>
      <c r="D1210" s="648"/>
      <c r="E1210" s="631"/>
      <c r="F1210" s="631"/>
      <c r="G1210" s="631"/>
      <c r="H1210" s="631"/>
      <c r="I1210" s="631"/>
      <c r="J1210" s="631"/>
      <c r="M1210" s="475">
        <f>-TrialBalance!L31</f>
        <v>0</v>
      </c>
      <c r="N1210" s="475"/>
      <c r="O1210" s="475">
        <f>-TrialBalance!N31</f>
        <v>0</v>
      </c>
      <c r="P1210" s="545"/>
      <c r="R1210" s="490" t="str">
        <f t="shared" si="19"/>
        <v>DELETE</v>
      </c>
    </row>
    <row r="1211" spans="2:18" ht="36" customHeight="1" x14ac:dyDescent="0.5">
      <c r="B1211" s="501"/>
      <c r="C1211" s="631">
        <f>TrialBalance!C32</f>
        <v>0</v>
      </c>
      <c r="D1211" s="648"/>
      <c r="E1211" s="631"/>
      <c r="F1211" s="631"/>
      <c r="G1211" s="631"/>
      <c r="H1211" s="631"/>
      <c r="I1211" s="631"/>
      <c r="J1211" s="631"/>
      <c r="M1211" s="475">
        <f>-TrialBalance!L32</f>
        <v>0</v>
      </c>
      <c r="N1211" s="475"/>
      <c r="O1211" s="475">
        <f>-TrialBalance!N32</f>
        <v>0</v>
      </c>
      <c r="P1211" s="545"/>
      <c r="R1211" s="490" t="str">
        <f t="shared" si="19"/>
        <v>DELETE</v>
      </c>
    </row>
    <row r="1212" spans="2:18" ht="36" customHeight="1" x14ac:dyDescent="0.5">
      <c r="B1212" s="501"/>
      <c r="C1212" s="631" t="str">
        <f>TrialBalance!C33</f>
        <v>Recoupment of depreciation</v>
      </c>
      <c r="D1212" s="648"/>
      <c r="E1212" s="631"/>
      <c r="F1212" s="631"/>
      <c r="G1212" s="631"/>
      <c r="H1212" s="631"/>
      <c r="I1212" s="631"/>
      <c r="J1212" s="631"/>
      <c r="M1212" s="475">
        <f>-TrialBalance!L33</f>
        <v>0</v>
      </c>
      <c r="N1212" s="475"/>
      <c r="O1212" s="475">
        <f>-TrialBalance!N33</f>
        <v>0</v>
      </c>
      <c r="P1212" s="545"/>
      <c r="R1212" s="490" t="str">
        <f t="shared" si="19"/>
        <v>DELETE</v>
      </c>
    </row>
    <row r="1213" spans="2:18" ht="36" customHeight="1" x14ac:dyDescent="0.5">
      <c r="B1213" s="501"/>
      <c r="C1213" s="631" t="str">
        <f>TrialBalanceA!C28</f>
        <v>Insurance claims - ABC Restaurant</v>
      </c>
      <c r="D1213" s="648"/>
      <c r="E1213" s="631"/>
      <c r="F1213" s="631"/>
      <c r="G1213" s="631"/>
      <c r="H1213" s="631"/>
      <c r="I1213" s="631"/>
      <c r="J1213" s="631"/>
      <c r="M1213" s="475">
        <f>-TrialBalanceA!I28</f>
        <v>0</v>
      </c>
      <c r="N1213" s="475"/>
      <c r="O1213" s="475">
        <f>-TrialBalanceA!K28</f>
        <v>0</v>
      </c>
      <c r="P1213" s="545"/>
      <c r="R1213" s="490" t="str">
        <f t="shared" ref="R1213:R1219" si="20">IF(M1213+O1213=0,"DELETE"," ")</f>
        <v>DELETE</v>
      </c>
    </row>
    <row r="1214" spans="2:18" ht="36" customHeight="1" x14ac:dyDescent="0.5">
      <c r="B1214" s="501"/>
      <c r="C1214" s="631" t="str">
        <f>TrialBalanceA!C29</f>
        <v>Government grants received</v>
      </c>
      <c r="D1214" s="648"/>
      <c r="E1214" s="631"/>
      <c r="F1214" s="631"/>
      <c r="G1214" s="631"/>
      <c r="H1214" s="631"/>
      <c r="I1214" s="631"/>
      <c r="J1214" s="631"/>
      <c r="M1214" s="475">
        <f>-TrialBalanceA!I29</f>
        <v>0</v>
      </c>
      <c r="N1214" s="475"/>
      <c r="O1214" s="475">
        <f>-TrialBalanceA!K29</f>
        <v>0</v>
      </c>
      <c r="P1214" s="545"/>
      <c r="R1214" s="490" t="str">
        <f t="shared" si="20"/>
        <v>DELETE</v>
      </c>
    </row>
    <row r="1215" spans="2:18" ht="36" customHeight="1" x14ac:dyDescent="0.5">
      <c r="B1215" s="501"/>
      <c r="C1215" s="631">
        <f>TrialBalanceA!C30</f>
        <v>0</v>
      </c>
      <c r="D1215" s="648"/>
      <c r="E1215" s="631"/>
      <c r="F1215" s="631"/>
      <c r="G1215" s="631"/>
      <c r="H1215" s="631"/>
      <c r="I1215" s="631"/>
      <c r="J1215" s="631"/>
      <c r="M1215" s="475">
        <f>-TrialBalanceA!I30</f>
        <v>0</v>
      </c>
      <c r="N1215" s="475"/>
      <c r="O1215" s="475">
        <f>-TrialBalanceA!K30</f>
        <v>0</v>
      </c>
      <c r="P1215" s="545"/>
      <c r="R1215" s="490" t="str">
        <f t="shared" si="20"/>
        <v>DELETE</v>
      </c>
    </row>
    <row r="1216" spans="2:18" ht="36" customHeight="1" x14ac:dyDescent="0.5">
      <c r="B1216" s="501"/>
      <c r="C1216" s="631">
        <f>TrialBalanceA!C31</f>
        <v>0</v>
      </c>
      <c r="D1216" s="648"/>
      <c r="E1216" s="631"/>
      <c r="F1216" s="631"/>
      <c r="G1216" s="631"/>
      <c r="H1216" s="631"/>
      <c r="I1216" s="631"/>
      <c r="J1216" s="631"/>
      <c r="M1216" s="475">
        <f>-TrialBalanceA!I31</f>
        <v>0</v>
      </c>
      <c r="N1216" s="475"/>
      <c r="O1216" s="475">
        <f>-TrialBalanceA!K31</f>
        <v>0</v>
      </c>
      <c r="P1216" s="545"/>
      <c r="R1216" s="490" t="str">
        <f t="shared" si="20"/>
        <v>DELETE</v>
      </c>
    </row>
    <row r="1217" spans="2:18" ht="36" customHeight="1" x14ac:dyDescent="0.5">
      <c r="B1217" s="501"/>
      <c r="C1217" s="631">
        <f>TrialBalanceA!C32</f>
        <v>0</v>
      </c>
      <c r="D1217" s="648"/>
      <c r="E1217" s="631"/>
      <c r="F1217" s="631"/>
      <c r="G1217" s="631"/>
      <c r="H1217" s="631"/>
      <c r="I1217" s="631"/>
      <c r="J1217" s="631"/>
      <c r="M1217" s="475">
        <f>-TrialBalanceA!I32</f>
        <v>0</v>
      </c>
      <c r="N1217" s="475"/>
      <c r="O1217" s="475">
        <f>-TrialBalanceA!K32</f>
        <v>0</v>
      </c>
      <c r="P1217" s="545"/>
      <c r="R1217" s="490" t="str">
        <f t="shared" si="20"/>
        <v>DELETE</v>
      </c>
    </row>
    <row r="1218" spans="2:18" ht="36" customHeight="1" x14ac:dyDescent="0.5">
      <c r="B1218" s="501"/>
      <c r="C1218" s="631" t="str">
        <f>TrialBalanceA!C33</f>
        <v>Recoupment of depreciation</v>
      </c>
      <c r="D1218" s="648"/>
      <c r="E1218" s="631"/>
      <c r="F1218" s="631"/>
      <c r="G1218" s="631"/>
      <c r="H1218" s="631"/>
      <c r="I1218" s="631"/>
      <c r="J1218" s="631"/>
      <c r="M1218" s="475">
        <f>-TrialBalanceA!I33</f>
        <v>0</v>
      </c>
      <c r="N1218" s="475"/>
      <c r="O1218" s="475">
        <f>-TrialBalanceA!K33</f>
        <v>0</v>
      </c>
      <c r="P1218" s="545"/>
      <c r="R1218" s="490" t="str">
        <f t="shared" ref="R1218" si="21">IF(M1218+O1218=0,"DELETE"," ")</f>
        <v>DELETE</v>
      </c>
    </row>
    <row r="1219" spans="2:18" ht="36" customHeight="1" x14ac:dyDescent="0.5">
      <c r="B1219" s="501"/>
      <c r="C1219" s="631" t="str">
        <f>TrialBalanceB!C28</f>
        <v>Insurance claims - Rental Properties</v>
      </c>
      <c r="D1219" s="648"/>
      <c r="E1219" s="631"/>
      <c r="F1219" s="631"/>
      <c r="G1219" s="631"/>
      <c r="H1219" s="631"/>
      <c r="I1219" s="631"/>
      <c r="J1219" s="631"/>
      <c r="M1219" s="475">
        <f>-TrialBalanceB!I28</f>
        <v>0</v>
      </c>
      <c r="N1219" s="475"/>
      <c r="O1219" s="475">
        <f>-TrialBalanceB!K28</f>
        <v>0</v>
      </c>
      <c r="P1219" s="545"/>
      <c r="R1219" s="490" t="str">
        <f t="shared" si="20"/>
        <v>DELETE</v>
      </c>
    </row>
    <row r="1220" spans="2:18" ht="36" customHeight="1" x14ac:dyDescent="0.5">
      <c r="B1220" s="501"/>
      <c r="C1220" s="631" t="str">
        <f>TrialBalanceB!C29</f>
        <v>Government grants received</v>
      </c>
      <c r="D1220" s="648"/>
      <c r="E1220" s="631"/>
      <c r="F1220" s="631"/>
      <c r="G1220" s="631"/>
      <c r="H1220" s="631"/>
      <c r="I1220" s="631"/>
      <c r="J1220" s="631"/>
      <c r="M1220" s="475">
        <f>-TrialBalanceB!I29</f>
        <v>0</v>
      </c>
      <c r="N1220" s="475"/>
      <c r="O1220" s="475">
        <f>-TrialBalanceB!K29</f>
        <v>0</v>
      </c>
      <c r="P1220" s="545"/>
      <c r="R1220" s="490" t="str">
        <f t="shared" ref="R1220:R1225" si="22">IF(M1220+O1220=0,"DELETE"," ")</f>
        <v>DELETE</v>
      </c>
    </row>
    <row r="1221" spans="2:18" ht="36" customHeight="1" x14ac:dyDescent="0.5">
      <c r="B1221" s="501"/>
      <c r="C1221" s="631">
        <f>TrialBalanceB!C30</f>
        <v>0</v>
      </c>
      <c r="D1221" s="648"/>
      <c r="E1221" s="631"/>
      <c r="F1221" s="631"/>
      <c r="G1221" s="631"/>
      <c r="H1221" s="631"/>
      <c r="I1221" s="631"/>
      <c r="J1221" s="631"/>
      <c r="M1221" s="475">
        <f>-TrialBalanceB!I30</f>
        <v>0</v>
      </c>
      <c r="N1221" s="475"/>
      <c r="O1221" s="475">
        <f>-TrialBalanceB!K30</f>
        <v>0</v>
      </c>
      <c r="P1221" s="545"/>
      <c r="R1221" s="490" t="str">
        <f t="shared" si="22"/>
        <v>DELETE</v>
      </c>
    </row>
    <row r="1222" spans="2:18" ht="36" customHeight="1" x14ac:dyDescent="0.5">
      <c r="B1222" s="501"/>
      <c r="C1222" s="631">
        <f>TrialBalanceB!C31</f>
        <v>0</v>
      </c>
      <c r="D1222" s="648"/>
      <c r="E1222" s="631"/>
      <c r="F1222" s="631"/>
      <c r="G1222" s="631"/>
      <c r="H1222" s="631"/>
      <c r="I1222" s="631"/>
      <c r="J1222" s="631"/>
      <c r="M1222" s="475">
        <f>-TrialBalanceB!I31</f>
        <v>0</v>
      </c>
      <c r="N1222" s="475"/>
      <c r="O1222" s="475">
        <f>-TrialBalanceB!K31</f>
        <v>0</v>
      </c>
      <c r="P1222" s="545"/>
      <c r="R1222" s="490" t="str">
        <f t="shared" si="22"/>
        <v>DELETE</v>
      </c>
    </row>
    <row r="1223" spans="2:18" ht="36" customHeight="1" x14ac:dyDescent="0.5">
      <c r="B1223" s="501"/>
      <c r="C1223" s="631">
        <f>TrialBalanceB!C32</f>
        <v>0</v>
      </c>
      <c r="D1223" s="648"/>
      <c r="E1223" s="631"/>
      <c r="F1223" s="631"/>
      <c r="G1223" s="631"/>
      <c r="H1223" s="631"/>
      <c r="I1223" s="631"/>
      <c r="J1223" s="631"/>
      <c r="M1223" s="475">
        <f>-TrialBalanceB!I32</f>
        <v>0</v>
      </c>
      <c r="N1223" s="475"/>
      <c r="O1223" s="475">
        <f>-TrialBalanceB!K32</f>
        <v>0</v>
      </c>
      <c r="P1223" s="545"/>
      <c r="R1223" s="490" t="str">
        <f t="shared" si="22"/>
        <v>DELETE</v>
      </c>
    </row>
    <row r="1224" spans="2:18" ht="36" customHeight="1" x14ac:dyDescent="0.5">
      <c r="B1224" s="501"/>
      <c r="C1224" s="631" t="str">
        <f>TrialBalanceB!C33</f>
        <v>Recoupment of depreciation</v>
      </c>
      <c r="D1224" s="648"/>
      <c r="E1224" s="631"/>
      <c r="F1224" s="631"/>
      <c r="G1224" s="631"/>
      <c r="H1224" s="631"/>
      <c r="I1224" s="631"/>
      <c r="J1224" s="631"/>
      <c r="M1224" s="475">
        <f>-TrialBalanceB!I33</f>
        <v>0</v>
      </c>
      <c r="N1224" s="475"/>
      <c r="O1224" s="475">
        <f>-TrialBalanceB!K33</f>
        <v>0</v>
      </c>
      <c r="P1224" s="545"/>
      <c r="R1224" s="490" t="str">
        <f t="shared" ref="R1224" si="23">IF(M1224+O1224=0,"DELETE"," ")</f>
        <v>DELETE</v>
      </c>
    </row>
    <row r="1225" spans="2:18" ht="36" customHeight="1" x14ac:dyDescent="0.5">
      <c r="B1225" s="501"/>
      <c r="C1225" s="631" t="str">
        <f>TrialBalanceC!C28</f>
        <v xml:space="preserve">Insurance claims - </v>
      </c>
      <c r="D1225" s="648"/>
      <c r="E1225" s="631"/>
      <c r="F1225" s="631"/>
      <c r="G1225" s="631"/>
      <c r="H1225" s="631"/>
      <c r="I1225" s="631"/>
      <c r="J1225" s="631"/>
      <c r="M1225" s="475">
        <f>-TrialBalanceC!I28</f>
        <v>0</v>
      </c>
      <c r="N1225" s="475"/>
      <c r="O1225" s="475">
        <f>-TrialBalanceC!K28</f>
        <v>0</v>
      </c>
      <c r="P1225" s="545"/>
      <c r="R1225" s="490" t="str">
        <f t="shared" si="22"/>
        <v>DELETE</v>
      </c>
    </row>
    <row r="1226" spans="2:18" ht="36" customHeight="1" x14ac:dyDescent="0.5">
      <c r="B1226" s="501"/>
      <c r="C1226" s="631" t="str">
        <f>TrialBalanceC!C29</f>
        <v>Government grants received</v>
      </c>
      <c r="D1226" s="648"/>
      <c r="E1226" s="631"/>
      <c r="F1226" s="631"/>
      <c r="G1226" s="631"/>
      <c r="H1226" s="631"/>
      <c r="I1226" s="631"/>
      <c r="J1226" s="631"/>
      <c r="M1226" s="475">
        <f>-TrialBalanceC!I29</f>
        <v>0</v>
      </c>
      <c r="N1226" s="475"/>
      <c r="O1226" s="475">
        <f>-TrialBalanceC!K29</f>
        <v>0</v>
      </c>
      <c r="P1226" s="545"/>
      <c r="R1226" s="490" t="str">
        <f t="shared" ref="R1226:R1229" si="24">IF(M1226+O1226=0,"DELETE"," ")</f>
        <v>DELETE</v>
      </c>
    </row>
    <row r="1227" spans="2:18" ht="36" customHeight="1" x14ac:dyDescent="0.5">
      <c r="B1227" s="501"/>
      <c r="C1227" s="631">
        <f>TrialBalanceC!C30</f>
        <v>0</v>
      </c>
      <c r="D1227" s="648"/>
      <c r="E1227" s="631"/>
      <c r="F1227" s="631"/>
      <c r="G1227" s="631"/>
      <c r="H1227" s="631"/>
      <c r="I1227" s="631"/>
      <c r="J1227" s="631"/>
      <c r="M1227" s="475">
        <f>-TrialBalanceC!I30</f>
        <v>0</v>
      </c>
      <c r="N1227" s="475"/>
      <c r="O1227" s="475">
        <f>-TrialBalanceC!K30</f>
        <v>0</v>
      </c>
      <c r="P1227" s="545"/>
      <c r="R1227" s="490" t="str">
        <f t="shared" si="24"/>
        <v>DELETE</v>
      </c>
    </row>
    <row r="1228" spans="2:18" ht="36" customHeight="1" x14ac:dyDescent="0.5">
      <c r="B1228" s="501"/>
      <c r="C1228" s="631">
        <f>TrialBalanceC!C31</f>
        <v>0</v>
      </c>
      <c r="D1228" s="648"/>
      <c r="E1228" s="631"/>
      <c r="F1228" s="631"/>
      <c r="G1228" s="631"/>
      <c r="H1228" s="631"/>
      <c r="I1228" s="631"/>
      <c r="J1228" s="631"/>
      <c r="M1228" s="475">
        <f>-TrialBalanceC!I31</f>
        <v>0</v>
      </c>
      <c r="N1228" s="475"/>
      <c r="O1228" s="475">
        <f>-TrialBalanceC!K31</f>
        <v>0</v>
      </c>
      <c r="P1228" s="545"/>
      <c r="R1228" s="490" t="str">
        <f t="shared" si="24"/>
        <v>DELETE</v>
      </c>
    </row>
    <row r="1229" spans="2:18" ht="36" customHeight="1" x14ac:dyDescent="0.5">
      <c r="B1229" s="501"/>
      <c r="C1229" s="631">
        <f>TrialBalanceC!C32</f>
        <v>0</v>
      </c>
      <c r="D1229" s="648"/>
      <c r="E1229" s="631"/>
      <c r="F1229" s="631"/>
      <c r="G1229" s="631"/>
      <c r="H1229" s="631"/>
      <c r="I1229" s="631"/>
      <c r="J1229" s="631"/>
      <c r="M1229" s="475">
        <f>-TrialBalanceC!I32</f>
        <v>0</v>
      </c>
      <c r="N1229" s="475"/>
      <c r="O1229" s="475">
        <f>-TrialBalanceC!K32</f>
        <v>0</v>
      </c>
      <c r="P1229" s="545"/>
      <c r="R1229" s="490" t="str">
        <f t="shared" si="24"/>
        <v>DELETE</v>
      </c>
    </row>
    <row r="1230" spans="2:18" ht="36" customHeight="1" x14ac:dyDescent="0.5">
      <c r="B1230" s="501"/>
      <c r="C1230" s="631" t="str">
        <f>TrialBalanceC!C33</f>
        <v>Recoupment of depreciation</v>
      </c>
      <c r="D1230" s="648"/>
      <c r="E1230" s="631"/>
      <c r="F1230" s="631"/>
      <c r="G1230" s="631"/>
      <c r="H1230" s="631"/>
      <c r="I1230" s="631"/>
      <c r="J1230" s="631"/>
      <c r="M1230" s="475">
        <f>-TrialBalanceC!I33</f>
        <v>0</v>
      </c>
      <c r="N1230" s="475"/>
      <c r="O1230" s="475">
        <f>-TrialBalanceC!K33</f>
        <v>0</v>
      </c>
      <c r="P1230" s="545"/>
      <c r="R1230" s="490" t="str">
        <f t="shared" ref="R1230" si="25">IF(M1230+O1230=0,"DELETE"," ")</f>
        <v>DELETE</v>
      </c>
    </row>
    <row r="1231" spans="2:18" ht="9" customHeight="1" x14ac:dyDescent="0.5">
      <c r="B1231" s="501"/>
      <c r="C1231" s="630"/>
      <c r="D1231" s="631"/>
      <c r="E1231" s="631"/>
      <c r="F1231" s="631"/>
      <c r="G1231" s="631"/>
      <c r="H1231" s="631"/>
      <c r="I1231" s="631"/>
      <c r="J1231" s="631"/>
      <c r="M1231" s="461"/>
      <c r="N1231" s="461"/>
      <c r="O1231" s="461"/>
      <c r="P1231" s="545"/>
      <c r="R1231" s="490" t="str">
        <f>R$1233</f>
        <v>DELETE</v>
      </c>
    </row>
    <row r="1232" spans="2:18" ht="9" customHeight="1" x14ac:dyDescent="0.5">
      <c r="B1232" s="501"/>
      <c r="C1232" s="630"/>
      <c r="D1232" s="631"/>
      <c r="E1232" s="631"/>
      <c r="F1232" s="631"/>
      <c r="G1232" s="631"/>
      <c r="H1232" s="631"/>
      <c r="I1232" s="631"/>
      <c r="J1232" s="631"/>
      <c r="M1232" s="475"/>
      <c r="N1232" s="475"/>
      <c r="O1232" s="475"/>
      <c r="P1232" s="545"/>
      <c r="R1232" s="490" t="str">
        <f>R$1233</f>
        <v>DELETE</v>
      </c>
    </row>
    <row r="1233" spans="2:18" ht="36.75" customHeight="1" x14ac:dyDescent="0.5">
      <c r="B1233" s="501"/>
      <c r="C1233" s="630"/>
      <c r="D1233" s="631"/>
      <c r="E1233" s="631"/>
      <c r="F1233" s="631"/>
      <c r="G1233" s="631"/>
      <c r="H1233" s="631"/>
      <c r="I1233" s="631"/>
      <c r="J1233" s="631"/>
      <c r="M1233" s="475">
        <f>SUM(M1207:M1232)</f>
        <v>0</v>
      </c>
      <c r="N1233" s="475"/>
      <c r="O1233" s="475">
        <f>SUM(O1207:O1232)</f>
        <v>0</v>
      </c>
      <c r="P1233" s="545"/>
      <c r="R1233" s="490" t="str">
        <f>IF(M1233+O1233=0,"DELETE"," ")</f>
        <v>DELETE</v>
      </c>
    </row>
    <row r="1234" spans="2:18" ht="9" customHeight="1" thickBot="1" x14ac:dyDescent="0.55000000000000004">
      <c r="B1234" s="501"/>
      <c r="C1234" s="630"/>
      <c r="D1234" s="631"/>
      <c r="E1234" s="631"/>
      <c r="F1234" s="631"/>
      <c r="G1234" s="631"/>
      <c r="H1234" s="631"/>
      <c r="I1234" s="631"/>
      <c r="J1234" s="631"/>
      <c r="M1234" s="462"/>
      <c r="N1234" s="462"/>
      <c r="O1234" s="462"/>
      <c r="P1234" s="545"/>
      <c r="R1234" s="490" t="str">
        <f>R$1233</f>
        <v>DELETE</v>
      </c>
    </row>
    <row r="1235" spans="2:18" ht="9" customHeight="1" thickTop="1" x14ac:dyDescent="0.5">
      <c r="B1235" s="501"/>
      <c r="C1235" s="630"/>
      <c r="D1235" s="631"/>
      <c r="E1235" s="631"/>
      <c r="F1235" s="631"/>
      <c r="G1235" s="631"/>
      <c r="H1235" s="631"/>
      <c r="I1235" s="631"/>
      <c r="J1235" s="631"/>
      <c r="M1235" s="475"/>
      <c r="N1235" s="475"/>
      <c r="O1235" s="475"/>
      <c r="P1235" s="545"/>
      <c r="R1235" s="490" t="str">
        <f>R$1233</f>
        <v>DELETE</v>
      </c>
    </row>
    <row r="1236" spans="2:18" ht="36" customHeight="1" x14ac:dyDescent="0.5">
      <c r="B1236" s="501"/>
      <c r="C1236" s="630"/>
      <c r="D1236" s="631"/>
      <c r="E1236" s="631"/>
      <c r="F1236" s="631"/>
      <c r="G1236" s="631"/>
      <c r="H1236" s="631"/>
      <c r="I1236" s="631"/>
      <c r="J1236" s="631"/>
      <c r="M1236" s="475"/>
      <c r="N1236" s="475"/>
      <c r="O1236" s="475"/>
      <c r="P1236" s="545"/>
      <c r="R1236" s="490" t="str">
        <f>R$1233</f>
        <v>DELETE</v>
      </c>
    </row>
    <row r="1237" spans="2:18" ht="36" customHeight="1" x14ac:dyDescent="0.5">
      <c r="B1237" s="501"/>
      <c r="C1237" s="630"/>
      <c r="D1237" s="631"/>
      <c r="E1237" s="631"/>
      <c r="F1237" s="631"/>
      <c r="G1237" s="631"/>
      <c r="H1237" s="631"/>
      <c r="I1237" s="631"/>
      <c r="J1237" s="631"/>
      <c r="M1237" s="475"/>
      <c r="N1237" s="475"/>
      <c r="O1237" s="475"/>
      <c r="P1237" s="545"/>
      <c r="R1237" s="490" t="str">
        <f t="shared" ref="R1237:R1239" si="26">R$1233</f>
        <v>DELETE</v>
      </c>
    </row>
    <row r="1238" spans="2:18" ht="36" customHeight="1" x14ac:dyDescent="0.5">
      <c r="B1238" s="502"/>
      <c r="C1238" s="630"/>
      <c r="D1238" s="631"/>
      <c r="E1238" s="631"/>
      <c r="F1238" s="631"/>
      <c r="G1238" s="631"/>
      <c r="H1238" s="631"/>
      <c r="I1238" s="631"/>
      <c r="J1238" s="631"/>
      <c r="M1238" s="545"/>
      <c r="N1238" s="545"/>
      <c r="O1238" s="545"/>
      <c r="P1238" s="545"/>
      <c r="R1238" s="490" t="str">
        <f t="shared" si="26"/>
        <v>DELETE</v>
      </c>
    </row>
    <row r="1239" spans="2:18" ht="36" customHeight="1" x14ac:dyDescent="0.5">
      <c r="C1239" s="630"/>
      <c r="D1239" s="631"/>
      <c r="E1239" s="631"/>
      <c r="F1239" s="631"/>
      <c r="G1239" s="631"/>
      <c r="H1239" s="631"/>
      <c r="I1239" s="631"/>
      <c r="J1239" s="631"/>
      <c r="M1239" s="540"/>
      <c r="O1239" s="540"/>
      <c r="R1239" s="490" t="str">
        <f t="shared" si="26"/>
        <v>DELETE</v>
      </c>
    </row>
    <row r="1240" spans="2:18" ht="36" customHeight="1" x14ac:dyDescent="0.5">
      <c r="C1240" s="631"/>
      <c r="D1240" s="631"/>
      <c r="E1240" s="631"/>
      <c r="F1240" s="631"/>
      <c r="G1240" s="631"/>
      <c r="H1240" s="631"/>
      <c r="I1240" s="631"/>
      <c r="J1240" s="631"/>
      <c r="M1240" s="540"/>
      <c r="O1240" s="454" t="s">
        <v>112</v>
      </c>
      <c r="Q1240" s="450">
        <f>MAX($Q$103:Q1239)+1</f>
        <v>33</v>
      </c>
    </row>
    <row r="1241" spans="2:18" ht="36" customHeight="1" x14ac:dyDescent="0.5">
      <c r="C1241" s="631"/>
      <c r="D1241" s="630" t="str">
        <f>Criteria!E9</f>
        <v>ABC COMPANY (PROPRIETARY) LIMITED</v>
      </c>
      <c r="E1241" s="631"/>
      <c r="F1241" s="631"/>
      <c r="G1241" s="631"/>
      <c r="H1241" s="631"/>
      <c r="I1241" s="631"/>
      <c r="J1241" s="631"/>
      <c r="M1241" s="540"/>
      <c r="O1241" s="451"/>
      <c r="P1241" s="451"/>
      <c r="Q1241" s="451"/>
    </row>
    <row r="1242" spans="2:18" ht="36" customHeight="1" x14ac:dyDescent="0.5">
      <c r="C1242" s="631"/>
      <c r="D1242" s="630" t="str">
        <f>Criteria!E10</f>
        <v>T/A SEAFRONT HOTEL, ABC RESTAURANT AND RENTAL PROPERTIES</v>
      </c>
      <c r="E1242" s="631"/>
      <c r="F1242" s="631"/>
      <c r="G1242" s="631"/>
      <c r="H1242" s="631"/>
      <c r="I1242" s="631"/>
      <c r="J1242" s="631"/>
      <c r="M1242" s="540"/>
      <c r="O1242" s="540"/>
      <c r="R1242" s="490" t="str">
        <f>IF(D1242=0,"DELETE"," ")</f>
        <v xml:space="preserve"> </v>
      </c>
    </row>
    <row r="1243" spans="2:18" ht="36" customHeight="1" x14ac:dyDescent="0.5">
      <c r="C1243" s="631"/>
      <c r="D1243" s="631"/>
      <c r="E1243" s="631"/>
      <c r="F1243" s="631"/>
      <c r="G1243" s="631"/>
      <c r="H1243" s="631"/>
      <c r="I1243" s="631"/>
      <c r="J1243" s="631"/>
      <c r="M1243" s="540"/>
      <c r="O1243" s="540"/>
    </row>
    <row r="1244" spans="2:18" ht="36" customHeight="1" x14ac:dyDescent="0.5">
      <c r="C1244" s="631"/>
      <c r="D1244" s="630" t="s">
        <v>415</v>
      </c>
      <c r="E1244" s="631"/>
      <c r="F1244" s="631"/>
      <c r="G1244" s="631"/>
      <c r="H1244" s="631"/>
      <c r="I1244" s="631"/>
      <c r="J1244" s="631"/>
      <c r="M1244" s="540"/>
      <c r="O1244" s="540"/>
    </row>
    <row r="1245" spans="2:18" ht="36" customHeight="1" x14ac:dyDescent="0.5">
      <c r="C1245" s="631"/>
      <c r="D1245" s="630" t="str">
        <f>Criteria!E20</f>
        <v>28 FEBRUARY 2026</v>
      </c>
      <c r="E1245" s="631"/>
      <c r="F1245" s="631"/>
      <c r="G1245" s="631"/>
      <c r="H1245" s="631"/>
      <c r="I1245" s="631"/>
      <c r="J1245" s="631" t="s">
        <v>282</v>
      </c>
      <c r="M1245" s="540"/>
      <c r="O1245" s="540"/>
    </row>
    <row r="1246" spans="2:18" ht="36" customHeight="1" x14ac:dyDescent="0.5">
      <c r="C1246" s="631"/>
      <c r="D1246" s="630"/>
      <c r="E1246" s="631"/>
      <c r="F1246" s="631"/>
      <c r="G1246" s="631"/>
      <c r="H1246" s="631"/>
      <c r="I1246" s="631"/>
      <c r="J1246" s="631"/>
      <c r="M1246" s="540"/>
      <c r="O1246" s="540"/>
    </row>
    <row r="1247" spans="2:18" ht="36" customHeight="1" x14ac:dyDescent="0.5">
      <c r="B1247" s="457"/>
      <c r="C1247" s="649"/>
      <c r="D1247" s="652"/>
      <c r="E1247" s="649"/>
      <c r="F1247" s="649"/>
      <c r="G1247" s="649"/>
      <c r="H1247" s="649"/>
      <c r="I1247" s="649"/>
      <c r="J1247" s="649"/>
      <c r="K1247" s="457"/>
      <c r="L1247" s="457"/>
      <c r="M1247" s="551"/>
      <c r="N1247" s="551"/>
      <c r="O1247" s="551"/>
      <c r="P1247" s="551"/>
      <c r="Q1247" s="457"/>
    </row>
    <row r="1248" spans="2:18" ht="36" customHeight="1" x14ac:dyDescent="0.5">
      <c r="C1248" s="631"/>
      <c r="D1248" s="630"/>
      <c r="E1248" s="631"/>
      <c r="F1248" s="631"/>
      <c r="G1248" s="631"/>
      <c r="H1248" s="631"/>
      <c r="I1248" s="631"/>
      <c r="J1248" s="631"/>
      <c r="M1248" s="488">
        <f>Criteria!E22</f>
        <v>2026</v>
      </c>
      <c r="N1248" s="488"/>
      <c r="O1248" s="488">
        <f>Criteria!E27</f>
        <v>2025</v>
      </c>
      <c r="P1248" s="545"/>
    </row>
    <row r="1249" spans="2:26" ht="36" customHeight="1" x14ac:dyDescent="0.5">
      <c r="B1249" s="501"/>
      <c r="C1249" s="630"/>
      <c r="D1249" s="631"/>
      <c r="E1249" s="631"/>
      <c r="F1249" s="631"/>
      <c r="G1249" s="631"/>
      <c r="H1249" s="631"/>
      <c r="I1249" s="631"/>
      <c r="J1249" s="631"/>
      <c r="M1249" s="475"/>
      <c r="N1249" s="475"/>
      <c r="O1249" s="475"/>
      <c r="P1249" s="545"/>
    </row>
    <row r="1250" spans="2:26" ht="36" customHeight="1" x14ac:dyDescent="0.5">
      <c r="B1250" s="501">
        <f>MAX(B$871:B1249)+1</f>
        <v>5</v>
      </c>
      <c r="C1250" s="653" t="str">
        <f>IF((Y1250+Z1250)=3,"Operating profit/(loss)",(IF((Y1250+Z1250=4),"Operating profit","Operating loss")))</f>
        <v>Operating profit</v>
      </c>
      <c r="D1250" s="631"/>
      <c r="E1250" s="631"/>
      <c r="F1250" s="631"/>
      <c r="G1250" s="631"/>
      <c r="H1250" s="631"/>
      <c r="I1250" s="631"/>
      <c r="J1250" s="631"/>
      <c r="M1250" s="475"/>
      <c r="N1250" s="475"/>
      <c r="O1250" s="475"/>
      <c r="P1250" s="545"/>
      <c r="Y1250" s="491">
        <f>IF(SUM(S611:S625)&lt;0,1,IF(SUM(S611:S625)=0,IF(SUM(U611:U625)&lt;0,1,2),2))</f>
        <v>2</v>
      </c>
      <c r="Z1250" s="491">
        <f>IF(SUM(U611:U625)&lt;0,1,IF(SUM(U611:U625)=0,IF(SUM(S611:S625)&lt;0,1,2),2))</f>
        <v>2</v>
      </c>
    </row>
    <row r="1251" spans="2:26" ht="36" customHeight="1" x14ac:dyDescent="0.5">
      <c r="B1251" s="501"/>
      <c r="C1251" s="653"/>
      <c r="D1251" s="631"/>
      <c r="E1251" s="631"/>
      <c r="F1251" s="631"/>
      <c r="G1251" s="631"/>
      <c r="H1251" s="631"/>
      <c r="I1251" s="631"/>
      <c r="J1251" s="631"/>
      <c r="M1251" s="475"/>
      <c r="N1251" s="475"/>
      <c r="O1251" s="475"/>
      <c r="P1251" s="545"/>
    </row>
    <row r="1252" spans="2:26" ht="36" customHeight="1" x14ac:dyDescent="0.5">
      <c r="B1252" s="501"/>
      <c r="C1252" s="654" t="str">
        <f>IF((Y1252+Z1252)=3,"The following items have been recognised as expenses in determining operating",(IF((Y1252+Z1252=4),"The following items have been recognised as expenses in determining operating profit:","The following items have been recognised as expenses in determining operating loss:")))</f>
        <v>The following items have been recognised as expenses in determining operating profit:</v>
      </c>
      <c r="D1252" s="648"/>
      <c r="E1252" s="631"/>
      <c r="F1252" s="631"/>
      <c r="G1252" s="631"/>
      <c r="H1252" s="631"/>
      <c r="I1252" s="631"/>
      <c r="J1252" s="631"/>
      <c r="M1252" s="475"/>
      <c r="N1252" s="475"/>
      <c r="O1252" s="475"/>
      <c r="P1252" s="545"/>
      <c r="Y1252" s="491">
        <f>IF(SUM(S611:S625)&lt;0,1,IF(SUM(S611:S625)=0,IF(SUM(U611:U625)&lt;0,1,2),2))</f>
        <v>2</v>
      </c>
      <c r="Z1252" s="491">
        <f>IF(SUM(U611:U625)&lt;0,1,IF(SUM(U611:U625)=0,IF(SUM(S611:S625)&lt;0,1,2),2))</f>
        <v>2</v>
      </c>
    </row>
    <row r="1253" spans="2:26" ht="36" customHeight="1" x14ac:dyDescent="0.5">
      <c r="B1253" s="501"/>
      <c r="C1253" s="654" t="str">
        <f>IF(Y1252+Z1252=3,"profit/(loss):"," ")</f>
        <v xml:space="preserve"> </v>
      </c>
      <c r="D1253" s="648"/>
      <c r="E1253" s="631"/>
      <c r="F1253" s="631"/>
      <c r="G1253" s="631"/>
      <c r="H1253" s="631"/>
      <c r="I1253" s="631"/>
      <c r="J1253" s="631"/>
      <c r="M1253" s="475"/>
      <c r="N1253" s="475"/>
      <c r="O1253" s="475"/>
      <c r="P1253" s="545"/>
      <c r="R1253" s="490" t="str">
        <f>IF(C1253=" ","DELETE"," ")</f>
        <v>DELETE</v>
      </c>
    </row>
    <row r="1254" spans="2:26" ht="36" customHeight="1" x14ac:dyDescent="0.5">
      <c r="B1254" s="501"/>
      <c r="C1254" s="654"/>
      <c r="D1254" s="648"/>
      <c r="E1254" s="631"/>
      <c r="F1254" s="631"/>
      <c r="G1254" s="631"/>
      <c r="H1254" s="631"/>
      <c r="I1254" s="631"/>
      <c r="J1254" s="631"/>
      <c r="M1254" s="475"/>
      <c r="N1254" s="475"/>
      <c r="O1254" s="475"/>
      <c r="P1254" s="545"/>
    </row>
    <row r="1255" spans="2:26" ht="36" customHeight="1" x14ac:dyDescent="0.5">
      <c r="B1255" s="501"/>
      <c r="C1255" s="631" t="s">
        <v>1762</v>
      </c>
      <c r="D1255" s="451"/>
      <c r="E1255" s="631"/>
      <c r="F1255" s="631"/>
      <c r="G1255" s="631"/>
      <c r="H1255" s="631"/>
      <c r="I1255" s="631"/>
      <c r="J1255" s="631"/>
      <c r="M1255" s="475">
        <f>SUM(TrialBalance!L12:L26)+SUM(TrialBalanceA!I12:I26)+SUM(TrialBalanceB!I12:I26)+SUM(TrialBalanceC!I12:I26)</f>
        <v>0</v>
      </c>
      <c r="N1255" s="475"/>
      <c r="O1255" s="475">
        <f>SUM(TrialBalance!N12:N26)+SUM(TrialBalanceA!K12:K26)+SUM(TrialBalanceB!K12:K26)+SUM(TrialBalanceC!K12:K26)</f>
        <v>0</v>
      </c>
      <c r="P1255" s="545"/>
      <c r="R1255" s="490" t="str">
        <f>IF(M1255+O1255=0,"DELETE"," ")</f>
        <v>DELETE</v>
      </c>
      <c r="V1255" s="491" t="b">
        <f>M1255=-M613</f>
        <v>1</v>
      </c>
      <c r="X1255" s="491" t="b">
        <f>O1255=-O613</f>
        <v>1</v>
      </c>
    </row>
    <row r="1256" spans="2:26" ht="36" customHeight="1" x14ac:dyDescent="0.5">
      <c r="B1256" s="501"/>
      <c r="C1256" s="631"/>
      <c r="D1256" s="451"/>
      <c r="E1256" s="631"/>
      <c r="F1256" s="631"/>
      <c r="G1256" s="631"/>
      <c r="H1256" s="631"/>
      <c r="I1256" s="631"/>
      <c r="J1256" s="631"/>
      <c r="M1256" s="475"/>
      <c r="N1256" s="475"/>
      <c r="O1256" s="475"/>
      <c r="P1256" s="545"/>
      <c r="R1256" s="490" t="str">
        <f>R1255</f>
        <v>DELETE</v>
      </c>
    </row>
    <row r="1257" spans="2:26" ht="36" customHeight="1" x14ac:dyDescent="0.5">
      <c r="B1257" s="501"/>
      <c r="C1257" s="631" t="s">
        <v>1756</v>
      </c>
      <c r="D1257" s="451"/>
      <c r="E1257" s="631"/>
      <c r="F1257" s="631"/>
      <c r="G1257" s="631"/>
      <c r="H1257" s="631"/>
      <c r="I1257" s="631"/>
      <c r="J1257" s="631"/>
      <c r="M1257" s="475">
        <f>TrialBalance!L65+TrialBalanceA!I65+TrialBalanceB!I65+TrialBalanceC!I65</f>
        <v>0</v>
      </c>
      <c r="N1257" s="475"/>
      <c r="O1257" s="475">
        <f>TrialBalance!N65+TrialBalanceA!K65+TrialBalanceB!K65+TrialBalanceC!K65</f>
        <v>0</v>
      </c>
      <c r="P1257" s="545"/>
      <c r="R1257" s="490" t="str">
        <f>IF(M1257+O1257=0,"DELETE"," ")</f>
        <v>DELETE</v>
      </c>
    </row>
    <row r="1258" spans="2:26" ht="36" customHeight="1" x14ac:dyDescent="0.5">
      <c r="B1258" s="501"/>
      <c r="C1258" s="631"/>
      <c r="D1258" s="451"/>
      <c r="E1258" s="631"/>
      <c r="F1258" s="631"/>
      <c r="G1258" s="631"/>
      <c r="H1258" s="631"/>
      <c r="I1258" s="631"/>
      <c r="J1258" s="631"/>
      <c r="M1258" s="475"/>
      <c r="N1258" s="475"/>
      <c r="O1258" s="475"/>
      <c r="P1258" s="545"/>
      <c r="R1258" s="490" t="str">
        <f>R1257</f>
        <v>DELETE</v>
      </c>
    </row>
    <row r="1259" spans="2:26" ht="36" customHeight="1" x14ac:dyDescent="0.5">
      <c r="B1259" s="501"/>
      <c r="C1259" s="631" t="s">
        <v>1256</v>
      </c>
      <c r="D1259" s="451"/>
      <c r="E1259" s="631"/>
      <c r="F1259" s="631"/>
      <c r="G1259" s="631"/>
      <c r="H1259" s="631"/>
      <c r="I1259" s="631"/>
      <c r="J1259" s="631"/>
      <c r="M1259" s="475">
        <f>TrialBalance!L156+TrialBalanceA!I156+TrialBalanceB!I156+TrialBalanceC!I156</f>
        <v>0</v>
      </c>
      <c r="N1259" s="475"/>
      <c r="O1259" s="475">
        <f>TrialBalance!N156+TrialBalanceA!K156+TrialBalanceB!K156+TrialBalanceC!K156</f>
        <v>0</v>
      </c>
      <c r="P1259" s="545"/>
      <c r="R1259" s="490" t="str">
        <f>IF(M1259+O1259=0,"DELETE"," ")</f>
        <v>DELETE</v>
      </c>
    </row>
    <row r="1260" spans="2:26" ht="36" customHeight="1" x14ac:dyDescent="0.5">
      <c r="B1260" s="501"/>
      <c r="C1260" s="631"/>
      <c r="D1260" s="451"/>
      <c r="E1260" s="631"/>
      <c r="F1260" s="631"/>
      <c r="G1260" s="631"/>
      <c r="H1260" s="631"/>
      <c r="I1260" s="631"/>
      <c r="J1260" s="631"/>
      <c r="M1260" s="475"/>
      <c r="N1260" s="475"/>
      <c r="O1260" s="475"/>
      <c r="P1260" s="545"/>
      <c r="R1260" s="490" t="str">
        <f>R1259</f>
        <v>DELETE</v>
      </c>
    </row>
    <row r="1261" spans="2:26" ht="36" customHeight="1" x14ac:dyDescent="0.5">
      <c r="B1261" s="501"/>
      <c r="C1261" s="631" t="s">
        <v>1763</v>
      </c>
      <c r="D1261" s="451"/>
      <c r="E1261" s="631"/>
      <c r="F1261" s="631"/>
      <c r="G1261" s="631"/>
      <c r="H1261" s="631"/>
      <c r="I1261" s="631"/>
      <c r="J1261" s="631"/>
      <c r="M1261" s="475">
        <f>SUM(TrialBalance!L140:L141)+SUM(TrialBalanceA!I140:I141)+SUM(TrialBalanceB!I140:I141)+SUM(TrialBalanceC!I140:I141)</f>
        <v>0</v>
      </c>
      <c r="N1261" s="475"/>
      <c r="O1261" s="475">
        <f>SUM(TrialBalance!N140:N141)+SUM(TrialBalanceA!K140:K141)+SUM(TrialBalanceB!K140:K141)+SUM(TrialBalanceC!K140:K141)</f>
        <v>0</v>
      </c>
      <c r="P1261" s="545"/>
      <c r="R1261" s="490" t="str">
        <f>IF(M1261+O1261=0,"DELETE"," ")</f>
        <v>DELETE</v>
      </c>
    </row>
    <row r="1262" spans="2:26" ht="36" customHeight="1" x14ac:dyDescent="0.5">
      <c r="B1262" s="501"/>
      <c r="C1262" s="631"/>
      <c r="D1262" s="451"/>
      <c r="E1262" s="631"/>
      <c r="F1262" s="631"/>
      <c r="G1262" s="631"/>
      <c r="H1262" s="631"/>
      <c r="I1262" s="631"/>
      <c r="J1262" s="631"/>
      <c r="M1262" s="475"/>
      <c r="N1262" s="475"/>
      <c r="O1262" s="475"/>
      <c r="P1262" s="545"/>
      <c r="R1262" s="490" t="str">
        <f>R1261</f>
        <v>DELETE</v>
      </c>
    </row>
    <row r="1263" spans="2:26" ht="36" customHeight="1" x14ac:dyDescent="0.5">
      <c r="B1263" s="501"/>
      <c r="C1263" s="631" t="s">
        <v>1759</v>
      </c>
      <c r="D1263" s="451"/>
      <c r="E1263" s="631"/>
      <c r="F1263" s="631"/>
      <c r="G1263" s="631"/>
      <c r="H1263" s="631"/>
      <c r="I1263" s="631"/>
      <c r="J1263" s="631"/>
      <c r="M1263" s="475">
        <f>TrialBalance!L108+TrialBalanceA!I108+TrialBalanceB!I108+TrialBalanceC!I108</f>
        <v>0</v>
      </c>
      <c r="N1263" s="475"/>
      <c r="O1263" s="475">
        <f>TrialBalance!N108+TrialBalanceA!K108+TrialBalanceB!K108+TrialBalanceC!K108</f>
        <v>0</v>
      </c>
      <c r="P1263" s="545"/>
      <c r="R1263" s="490" t="str">
        <f>IF(M1263+O1263=0,"DELETE"," ")</f>
        <v>DELETE</v>
      </c>
    </row>
    <row r="1264" spans="2:26" ht="36" customHeight="1" x14ac:dyDescent="0.5">
      <c r="B1264" s="501"/>
      <c r="C1264" s="654"/>
      <c r="D1264" s="648"/>
      <c r="E1264" s="631"/>
      <c r="F1264" s="631"/>
      <c r="G1264" s="631"/>
      <c r="H1264" s="631"/>
      <c r="I1264" s="631"/>
      <c r="J1264" s="631"/>
      <c r="M1264" s="475"/>
      <c r="N1264" s="475"/>
      <c r="O1264" s="475"/>
      <c r="P1264" s="545"/>
      <c r="R1264" s="490" t="str">
        <f>R1263</f>
        <v>DELETE</v>
      </c>
    </row>
    <row r="1265" spans="2:18" ht="36" customHeight="1" x14ac:dyDescent="0.5">
      <c r="B1265" s="501"/>
      <c r="C1265" s="654"/>
      <c r="D1265" s="648"/>
      <c r="E1265" s="631"/>
      <c r="F1265" s="631"/>
      <c r="G1265" s="631"/>
      <c r="H1265" s="631"/>
      <c r="I1265" s="631"/>
      <c r="J1265" s="631"/>
      <c r="M1265" s="475"/>
      <c r="N1265" s="475"/>
      <c r="O1265" s="475"/>
      <c r="P1265" s="545"/>
      <c r="R1265" s="490" t="str">
        <f>R$1267</f>
        <v>DELETE</v>
      </c>
    </row>
    <row r="1266" spans="2:18" ht="36" customHeight="1" x14ac:dyDescent="0.5">
      <c r="B1266" s="501"/>
      <c r="C1266" s="654"/>
      <c r="D1266" s="648"/>
      <c r="E1266" s="631"/>
      <c r="F1266" s="631"/>
      <c r="G1266" s="631"/>
      <c r="H1266" s="631"/>
      <c r="I1266" s="631"/>
      <c r="J1266" s="631"/>
      <c r="M1266" s="475"/>
      <c r="N1266" s="475"/>
      <c r="O1266" s="475"/>
      <c r="P1266" s="545"/>
      <c r="R1266" s="490" t="str">
        <f>R$1267</f>
        <v>DELETE</v>
      </c>
    </row>
    <row r="1267" spans="2:18" ht="36" customHeight="1" x14ac:dyDescent="0.5">
      <c r="C1267" s="631"/>
      <c r="D1267" s="631"/>
      <c r="E1267" s="631"/>
      <c r="F1267" s="631"/>
      <c r="G1267" s="631"/>
      <c r="H1267" s="631"/>
      <c r="I1267" s="631"/>
      <c r="J1267" s="631"/>
      <c r="M1267" s="540"/>
      <c r="O1267" s="454" t="s">
        <v>112</v>
      </c>
      <c r="Q1267" s="450">
        <f>MAX($Q$103:Q1266)+1</f>
        <v>34</v>
      </c>
      <c r="R1267" s="490" t="str">
        <f>IF(SUM(M1255:M1263)+SUM(O1255:O1263)=0,"DELETE"," ")</f>
        <v>DELETE</v>
      </c>
    </row>
    <row r="1268" spans="2:18" ht="36" customHeight="1" x14ac:dyDescent="0.5">
      <c r="C1268" s="631"/>
      <c r="D1268" s="630" t="str">
        <f>Criteria!E9</f>
        <v>ABC COMPANY (PROPRIETARY) LIMITED</v>
      </c>
      <c r="E1268" s="631"/>
      <c r="F1268" s="631"/>
      <c r="G1268" s="631"/>
      <c r="H1268" s="631"/>
      <c r="I1268" s="631"/>
      <c r="J1268" s="631"/>
      <c r="M1268" s="540"/>
      <c r="O1268" s="451"/>
      <c r="P1268" s="451"/>
      <c r="Q1268" s="451"/>
      <c r="R1268" s="490" t="str">
        <f t="shared" ref="R1268:R1276" si="27">R$1267</f>
        <v>DELETE</v>
      </c>
    </row>
    <row r="1269" spans="2:18" ht="36" customHeight="1" x14ac:dyDescent="0.5">
      <c r="C1269" s="631"/>
      <c r="D1269" s="630" t="str">
        <f>Criteria!E10</f>
        <v>T/A SEAFRONT HOTEL, ABC RESTAURANT AND RENTAL PROPERTIES</v>
      </c>
      <c r="E1269" s="631"/>
      <c r="F1269" s="631"/>
      <c r="G1269" s="631"/>
      <c r="H1269" s="631"/>
      <c r="I1269" s="631"/>
      <c r="J1269" s="631"/>
      <c r="M1269" s="540"/>
      <c r="O1269" s="540"/>
      <c r="R1269" s="490" t="str">
        <f>IF(R$1267="DELETE","DELETE",IF(D1269=0,"DELETE"," "))</f>
        <v>DELETE</v>
      </c>
    </row>
    <row r="1270" spans="2:18" ht="36" customHeight="1" x14ac:dyDescent="0.5">
      <c r="C1270" s="631"/>
      <c r="D1270" s="631"/>
      <c r="E1270" s="631"/>
      <c r="F1270" s="631"/>
      <c r="G1270" s="631"/>
      <c r="H1270" s="631"/>
      <c r="I1270" s="631"/>
      <c r="J1270" s="631"/>
      <c r="M1270" s="540"/>
      <c r="O1270" s="540"/>
      <c r="R1270" s="490" t="str">
        <f t="shared" si="27"/>
        <v>DELETE</v>
      </c>
    </row>
    <row r="1271" spans="2:18" ht="36" customHeight="1" x14ac:dyDescent="0.5">
      <c r="C1271" s="631"/>
      <c r="D1271" s="630" t="s">
        <v>415</v>
      </c>
      <c r="E1271" s="631"/>
      <c r="F1271" s="631"/>
      <c r="G1271" s="631"/>
      <c r="H1271" s="631"/>
      <c r="I1271" s="631"/>
      <c r="J1271" s="631"/>
      <c r="M1271" s="540"/>
      <c r="O1271" s="540"/>
      <c r="R1271" s="490" t="str">
        <f t="shared" si="27"/>
        <v>DELETE</v>
      </c>
    </row>
    <row r="1272" spans="2:18" ht="36" customHeight="1" x14ac:dyDescent="0.5">
      <c r="C1272" s="631"/>
      <c r="D1272" s="630" t="str">
        <f>Criteria!E20</f>
        <v>28 FEBRUARY 2026</v>
      </c>
      <c r="E1272" s="631"/>
      <c r="F1272" s="631"/>
      <c r="G1272" s="631"/>
      <c r="H1272" s="631"/>
      <c r="I1272" s="631"/>
      <c r="J1272" s="631" t="s">
        <v>282</v>
      </c>
      <c r="M1272" s="540"/>
      <c r="O1272" s="540"/>
      <c r="R1272" s="490" t="str">
        <f t="shared" si="27"/>
        <v>DELETE</v>
      </c>
    </row>
    <row r="1273" spans="2:18" ht="36" customHeight="1" x14ac:dyDescent="0.5">
      <c r="C1273" s="631"/>
      <c r="D1273" s="630"/>
      <c r="E1273" s="631"/>
      <c r="F1273" s="631"/>
      <c r="G1273" s="631"/>
      <c r="H1273" s="631"/>
      <c r="I1273" s="631"/>
      <c r="J1273" s="631"/>
      <c r="M1273" s="540"/>
      <c r="O1273" s="540"/>
      <c r="R1273" s="490" t="str">
        <f t="shared" si="27"/>
        <v>DELETE</v>
      </c>
    </row>
    <row r="1274" spans="2:18" ht="36" customHeight="1" x14ac:dyDescent="0.5">
      <c r="B1274" s="457"/>
      <c r="C1274" s="649"/>
      <c r="D1274" s="652"/>
      <c r="E1274" s="649"/>
      <c r="F1274" s="649"/>
      <c r="G1274" s="649"/>
      <c r="H1274" s="649"/>
      <c r="I1274" s="649"/>
      <c r="J1274" s="649"/>
      <c r="K1274" s="457"/>
      <c r="L1274" s="457"/>
      <c r="M1274" s="551"/>
      <c r="N1274" s="551"/>
      <c r="O1274" s="551"/>
      <c r="P1274" s="551"/>
      <c r="Q1274" s="457"/>
      <c r="R1274" s="490" t="str">
        <f t="shared" si="27"/>
        <v>DELETE</v>
      </c>
    </row>
    <row r="1275" spans="2:18" ht="36" customHeight="1" x14ac:dyDescent="0.5">
      <c r="C1275" s="631"/>
      <c r="D1275" s="630"/>
      <c r="E1275" s="631"/>
      <c r="F1275" s="631"/>
      <c r="G1275" s="631"/>
      <c r="H1275" s="631"/>
      <c r="I1275" s="631"/>
      <c r="J1275" s="631"/>
      <c r="M1275" s="488">
        <f>Criteria!E22</f>
        <v>2026</v>
      </c>
      <c r="N1275" s="488"/>
      <c r="O1275" s="488">
        <f>Criteria!E27</f>
        <v>2025</v>
      </c>
      <c r="P1275" s="545"/>
      <c r="R1275" s="490" t="str">
        <f t="shared" si="27"/>
        <v>DELETE</v>
      </c>
    </row>
    <row r="1276" spans="2:18" ht="36" customHeight="1" x14ac:dyDescent="0.5">
      <c r="B1276" s="501"/>
      <c r="C1276" s="630"/>
      <c r="D1276" s="631"/>
      <c r="E1276" s="631"/>
      <c r="F1276" s="631"/>
      <c r="G1276" s="631"/>
      <c r="H1276" s="631"/>
      <c r="I1276" s="631"/>
      <c r="J1276" s="631"/>
      <c r="M1276" s="475"/>
      <c r="N1276" s="475"/>
      <c r="O1276" s="475"/>
      <c r="P1276" s="545"/>
      <c r="R1276" s="490" t="str">
        <f t="shared" si="27"/>
        <v>DELETE</v>
      </c>
    </row>
    <row r="1277" spans="2:18" ht="36" customHeight="1" x14ac:dyDescent="0.5">
      <c r="B1277" s="501"/>
      <c r="C1277" s="630" t="str">
        <f>IF(MAX(Criteria!I41:I45)&gt;1,"Directors' remuneration","Director's remuneration")</f>
        <v>Directors' remuneration</v>
      </c>
      <c r="D1277" s="451"/>
      <c r="E1277" s="631"/>
      <c r="F1277" s="631"/>
      <c r="G1277" s="631"/>
      <c r="H1277" s="631"/>
      <c r="I1277" s="631"/>
      <c r="J1277" s="631"/>
      <c r="M1277" s="475"/>
      <c r="N1277" s="475"/>
      <c r="O1277" s="475"/>
      <c r="P1277" s="545"/>
    </row>
    <row r="1278" spans="2:18" ht="36" customHeight="1" x14ac:dyDescent="0.5">
      <c r="B1278" s="501"/>
      <c r="C1278" s="630"/>
      <c r="D1278" s="451"/>
      <c r="E1278" s="631"/>
      <c r="F1278" s="631"/>
      <c r="G1278" s="631"/>
      <c r="H1278" s="631"/>
      <c r="I1278" s="631"/>
      <c r="J1278" s="631"/>
      <c r="M1278" s="475"/>
      <c r="N1278" s="475"/>
      <c r="O1278" s="475"/>
      <c r="P1278" s="545"/>
    </row>
    <row r="1279" spans="2:18" ht="36" customHeight="1" x14ac:dyDescent="0.5">
      <c r="B1279" s="501"/>
      <c r="C1279" s="655" t="str">
        <f>TrialBalance!C113</f>
        <v>A Director</v>
      </c>
      <c r="D1279" s="451"/>
      <c r="E1279" s="631"/>
      <c r="F1279" s="631"/>
      <c r="G1279" s="631"/>
      <c r="H1279" s="631"/>
      <c r="I1279" s="631"/>
      <c r="J1279" s="631"/>
      <c r="M1279" s="475">
        <f>TrialBalance!L113+TrialBalanceA!I113+TrialBalanceB!I113+TrialBalanceC!I113</f>
        <v>0</v>
      </c>
      <c r="N1279" s="475"/>
      <c r="O1279" s="475">
        <f>TrialBalance!N113+TrialBalanceA!K113+TrialBalanceB!K113+TrialBalanceC!K113</f>
        <v>0</v>
      </c>
      <c r="P1279" s="545"/>
      <c r="R1279" s="490" t="str">
        <f>IF(M1279+O1279=0,"DELETE"," ")</f>
        <v>DELETE</v>
      </c>
    </row>
    <row r="1280" spans="2:18" ht="36" customHeight="1" x14ac:dyDescent="0.5">
      <c r="B1280" s="501"/>
      <c r="C1280" s="655" t="str">
        <f>TrialBalance!C114</f>
        <v>B Director</v>
      </c>
      <c r="D1280" s="451"/>
      <c r="E1280" s="631"/>
      <c r="F1280" s="631"/>
      <c r="G1280" s="631"/>
      <c r="H1280" s="631"/>
      <c r="I1280" s="631"/>
      <c r="J1280" s="631"/>
      <c r="M1280" s="475">
        <f>TrialBalance!L114+TrialBalanceA!I114+TrialBalanceB!I114+TrialBalanceC!I114</f>
        <v>0</v>
      </c>
      <c r="N1280" s="475"/>
      <c r="O1280" s="475">
        <f>TrialBalance!N114+TrialBalanceA!K114+TrialBalanceB!K114+TrialBalanceC!K114</f>
        <v>0</v>
      </c>
      <c r="P1280" s="545"/>
      <c r="R1280" s="490" t="str">
        <f>IF(M1280+O1280=0,"DELETE"," ")</f>
        <v>DELETE</v>
      </c>
    </row>
    <row r="1281" spans="2:24" ht="36" customHeight="1" x14ac:dyDescent="0.5">
      <c r="B1281" s="501"/>
      <c r="C1281" s="655">
        <f>TrialBalance!C115</f>
        <v>0</v>
      </c>
      <c r="D1281" s="451"/>
      <c r="E1281" s="631"/>
      <c r="F1281" s="631"/>
      <c r="G1281" s="631"/>
      <c r="H1281" s="631"/>
      <c r="I1281" s="631"/>
      <c r="J1281" s="631"/>
      <c r="M1281" s="475">
        <f>TrialBalance!L115+TrialBalanceA!I115+TrialBalanceB!I115+TrialBalanceC!I115</f>
        <v>0</v>
      </c>
      <c r="N1281" s="475"/>
      <c r="O1281" s="475">
        <f>TrialBalance!N115+TrialBalanceA!K115+TrialBalanceB!K115+TrialBalanceC!K115</f>
        <v>0</v>
      </c>
      <c r="P1281" s="545"/>
      <c r="R1281" s="490" t="str">
        <f>IF(M1281+O1281=0,"DELETE"," ")</f>
        <v>DELETE</v>
      </c>
    </row>
    <row r="1282" spans="2:24" ht="36" customHeight="1" x14ac:dyDescent="0.5">
      <c r="B1282" s="501"/>
      <c r="C1282" s="655">
        <f>TrialBalance!C116</f>
        <v>0</v>
      </c>
      <c r="D1282" s="451"/>
      <c r="E1282" s="631"/>
      <c r="F1282" s="631"/>
      <c r="G1282" s="631"/>
      <c r="H1282" s="631"/>
      <c r="I1282" s="631"/>
      <c r="J1282" s="631"/>
      <c r="M1282" s="475">
        <f>TrialBalance!L116+TrialBalanceA!I116+TrialBalanceB!I116+TrialBalanceC!I116</f>
        <v>0</v>
      </c>
      <c r="N1282" s="475"/>
      <c r="O1282" s="475">
        <f>TrialBalance!N116+TrialBalanceA!K116+TrialBalanceB!K116+TrialBalanceC!K116</f>
        <v>0</v>
      </c>
      <c r="P1282" s="545"/>
      <c r="R1282" s="490" t="str">
        <f>IF(M1282+O1282=0,"DELETE"," ")</f>
        <v>DELETE</v>
      </c>
    </row>
    <row r="1283" spans="2:24" ht="36" customHeight="1" x14ac:dyDescent="0.5">
      <c r="B1283" s="501"/>
      <c r="C1283" s="655">
        <f>TrialBalance!C117</f>
        <v>0</v>
      </c>
      <c r="D1283" s="451"/>
      <c r="E1283" s="631"/>
      <c r="F1283" s="631"/>
      <c r="G1283" s="631"/>
      <c r="H1283" s="631"/>
      <c r="I1283" s="631"/>
      <c r="J1283" s="631"/>
      <c r="M1283" s="475">
        <f>TrialBalance!L117+TrialBalanceA!I117+TrialBalanceB!I117+TrialBalanceC!I117</f>
        <v>0</v>
      </c>
      <c r="N1283" s="475"/>
      <c r="O1283" s="475">
        <f>TrialBalance!N117+TrialBalanceA!K117+TrialBalanceB!K117+TrialBalanceC!K117</f>
        <v>0</v>
      </c>
      <c r="P1283" s="545"/>
      <c r="R1283" s="490" t="str">
        <f>IF(M1283+O1283=0,"DELETE"," ")</f>
        <v>DELETE</v>
      </c>
    </row>
    <row r="1284" spans="2:24" ht="9" customHeight="1" x14ac:dyDescent="0.5">
      <c r="B1284" s="501"/>
      <c r="C1284" s="516"/>
      <c r="D1284" s="631"/>
      <c r="E1284" s="631"/>
      <c r="F1284" s="631"/>
      <c r="G1284" s="631"/>
      <c r="H1284" s="631"/>
      <c r="I1284" s="631"/>
      <c r="J1284" s="631"/>
      <c r="M1284" s="461"/>
      <c r="N1284" s="461"/>
      <c r="O1284" s="461"/>
      <c r="P1284" s="545"/>
      <c r="R1284" s="490" t="str">
        <f>R1286</f>
        <v>DELETE</v>
      </c>
    </row>
    <row r="1285" spans="2:24" ht="9" customHeight="1" x14ac:dyDescent="0.5">
      <c r="B1285" s="501"/>
      <c r="C1285" s="516"/>
      <c r="D1285" s="631"/>
      <c r="E1285" s="631"/>
      <c r="F1285" s="631"/>
      <c r="G1285" s="631"/>
      <c r="H1285" s="631"/>
      <c r="I1285" s="631"/>
      <c r="J1285" s="631"/>
      <c r="M1285" s="475"/>
      <c r="N1285" s="475"/>
      <c r="O1285" s="475"/>
      <c r="P1285" s="545"/>
      <c r="R1285" s="490" t="str">
        <f>R1286</f>
        <v>DELETE</v>
      </c>
    </row>
    <row r="1286" spans="2:24" ht="36.75" customHeight="1" x14ac:dyDescent="0.5">
      <c r="B1286" s="501"/>
      <c r="C1286" s="516"/>
      <c r="D1286" s="631"/>
      <c r="E1286" s="631"/>
      <c r="F1286" s="631"/>
      <c r="G1286" s="631"/>
      <c r="H1286" s="631"/>
      <c r="I1286" s="631"/>
      <c r="J1286" s="631"/>
      <c r="M1286" s="475">
        <f>SUM(M1279:M1285)</f>
        <v>0</v>
      </c>
      <c r="N1286" s="475"/>
      <c r="O1286" s="475">
        <f>SUM(O1279:O1285)</f>
        <v>0</v>
      </c>
      <c r="P1286" s="545"/>
      <c r="R1286" s="490" t="str">
        <f>IF(M1286+O1286=0,"DELETE"," ")</f>
        <v>DELETE</v>
      </c>
      <c r="V1286" s="491" t="b">
        <f>M1286=SUM(TrialBalance!L113:L117)+SUM(TrialBalanceA!I113:I117)+SUM(TrialBalanceB!I113:I117)+SUM(TrialBalanceC!I113:I117)</f>
        <v>1</v>
      </c>
      <c r="X1286" s="491" t="b">
        <f>O1286=SUM(TrialBalance!N113:N117)+SUM(TrialBalanceA!K113:K117)+SUM(TrialBalanceB!K113:K117)+SUM(TrialBalanceC!K113:K117)</f>
        <v>1</v>
      </c>
    </row>
    <row r="1287" spans="2:24" ht="9" customHeight="1" thickBot="1" x14ac:dyDescent="0.55000000000000004">
      <c r="B1287" s="501"/>
      <c r="C1287" s="516"/>
      <c r="D1287" s="631"/>
      <c r="E1287" s="631"/>
      <c r="F1287" s="631"/>
      <c r="G1287" s="631"/>
      <c r="H1287" s="631"/>
      <c r="I1287" s="631"/>
      <c r="J1287" s="631"/>
      <c r="M1287" s="462"/>
      <c r="N1287" s="462"/>
      <c r="O1287" s="462"/>
      <c r="P1287" s="545"/>
      <c r="R1287" s="490" t="str">
        <f>R1286</f>
        <v>DELETE</v>
      </c>
    </row>
    <row r="1288" spans="2:24" ht="9" customHeight="1" thickTop="1" x14ac:dyDescent="0.5">
      <c r="B1288" s="501"/>
      <c r="C1288" s="516"/>
      <c r="D1288" s="631"/>
      <c r="E1288" s="631"/>
      <c r="F1288" s="631"/>
      <c r="G1288" s="631"/>
      <c r="H1288" s="631"/>
      <c r="I1288" s="631"/>
      <c r="J1288" s="631"/>
      <c r="M1288" s="475"/>
      <c r="N1288" s="475"/>
      <c r="O1288" s="475"/>
      <c r="P1288" s="545"/>
      <c r="R1288" s="490" t="str">
        <f>R1287</f>
        <v>DELETE</v>
      </c>
    </row>
    <row r="1289" spans="2:24" ht="36" customHeight="1" x14ac:dyDescent="0.5">
      <c r="B1289" s="501"/>
      <c r="C1289" s="516"/>
      <c r="D1289" s="631"/>
      <c r="E1289" s="631"/>
      <c r="F1289" s="631"/>
      <c r="G1289" s="631"/>
      <c r="H1289" s="631"/>
      <c r="I1289" s="631"/>
      <c r="J1289" s="631"/>
      <c r="M1289" s="475"/>
      <c r="N1289" s="475"/>
      <c r="O1289" s="475"/>
      <c r="P1289" s="545"/>
      <c r="R1289" s="490" t="str">
        <f>R1286</f>
        <v>DELETE</v>
      </c>
    </row>
    <row r="1290" spans="2:24" ht="36" customHeight="1" x14ac:dyDescent="0.5">
      <c r="B1290" s="501"/>
      <c r="C1290" s="631" t="str">
        <f>IF(SUM(TrialBalance!L113:L117)+SUM(TrialBalance!N113:N117)+SUM(TrialBalanceA!I113:I117)+SUM(TrialBalanceA!K113:K117)+SUM(TrialBalanceB!I113:I117)+SUM(TrialBalanceB!K113:K117)+SUM(TrialBalanceC!I113:I117)+SUM(TrialBalanceC!K113:K117)&gt;0," ",IF(MAX(Criteria!I41:I45)&gt;1,"No remuneration was paid to the directors during the periods under review.","No remuneration was paid to the director during the periods under review."))</f>
        <v>No remuneration was paid to the directors during the periods under review.</v>
      </c>
      <c r="D1290" s="451"/>
      <c r="E1290" s="631"/>
      <c r="F1290" s="631"/>
      <c r="G1290" s="631"/>
      <c r="H1290" s="631"/>
      <c r="I1290" s="631"/>
      <c r="J1290" s="631"/>
      <c r="M1290" s="475"/>
      <c r="N1290" s="475"/>
      <c r="O1290" s="475"/>
      <c r="P1290" s="545"/>
      <c r="R1290" s="490" t="str">
        <f>IF(C1290=" ","DELETE"," ")</f>
        <v xml:space="preserve"> </v>
      </c>
    </row>
    <row r="1291" spans="2:24" ht="36" customHeight="1" x14ac:dyDescent="0.5">
      <c r="B1291" s="501"/>
      <c r="C1291" s="516"/>
      <c r="D1291" s="631"/>
      <c r="E1291" s="631"/>
      <c r="F1291" s="631"/>
      <c r="G1291" s="631"/>
      <c r="H1291" s="631"/>
      <c r="I1291" s="631"/>
      <c r="J1291" s="631"/>
      <c r="M1291" s="475"/>
      <c r="N1291" s="475"/>
      <c r="O1291" s="475"/>
      <c r="P1291" s="545"/>
    </row>
    <row r="1292" spans="2:24" ht="36" customHeight="1" x14ac:dyDescent="0.5">
      <c r="B1292" s="501"/>
      <c r="C1292" s="516"/>
      <c r="D1292" s="631"/>
      <c r="E1292" s="631"/>
      <c r="F1292" s="631"/>
      <c r="G1292" s="631"/>
      <c r="H1292" s="631"/>
      <c r="I1292" s="631"/>
      <c r="J1292" s="631"/>
      <c r="M1292" s="475"/>
      <c r="N1292" s="475"/>
      <c r="O1292" s="475"/>
      <c r="P1292" s="545"/>
    </row>
    <row r="1293" spans="2:24" ht="36" customHeight="1" x14ac:dyDescent="0.5">
      <c r="B1293" s="501"/>
      <c r="C1293" s="516"/>
      <c r="D1293" s="631"/>
      <c r="E1293" s="631"/>
      <c r="F1293" s="631"/>
      <c r="G1293" s="631"/>
      <c r="H1293" s="631"/>
      <c r="I1293" s="631"/>
      <c r="J1293" s="631"/>
      <c r="M1293" s="475"/>
      <c r="N1293" s="475"/>
      <c r="O1293" s="475"/>
      <c r="P1293" s="545"/>
    </row>
    <row r="1294" spans="2:24" ht="36" customHeight="1" x14ac:dyDescent="0.5">
      <c r="B1294" s="501"/>
      <c r="C1294" s="516"/>
      <c r="D1294" s="631"/>
      <c r="E1294" s="631"/>
      <c r="F1294" s="631"/>
      <c r="G1294" s="631"/>
      <c r="H1294" s="631"/>
      <c r="I1294" s="631"/>
      <c r="J1294" s="631"/>
      <c r="M1294" s="458"/>
      <c r="N1294" s="458"/>
      <c r="O1294" s="458"/>
    </row>
    <row r="1295" spans="2:24" ht="36" customHeight="1" x14ac:dyDescent="0.5">
      <c r="B1295" s="501"/>
      <c r="C1295" s="516"/>
      <c r="D1295" s="631"/>
      <c r="E1295" s="631"/>
      <c r="F1295" s="631"/>
      <c r="G1295" s="631"/>
      <c r="H1295" s="631"/>
      <c r="I1295" s="631"/>
      <c r="J1295" s="631"/>
      <c r="M1295" s="458"/>
      <c r="N1295" s="458"/>
      <c r="O1295" s="458" t="s">
        <v>112</v>
      </c>
      <c r="Q1295" s="450">
        <f>MAX($Q$103:Q1294)+1</f>
        <v>35</v>
      </c>
      <c r="R1295" s="490" t="str">
        <f>R$1321</f>
        <v>DELETE</v>
      </c>
    </row>
    <row r="1296" spans="2:24" ht="36" customHeight="1" x14ac:dyDescent="0.5">
      <c r="B1296" s="502"/>
      <c r="C1296" s="515"/>
      <c r="D1296" s="630" t="str">
        <f>Criteria!E9</f>
        <v>ABC COMPANY (PROPRIETARY) LIMITED</v>
      </c>
      <c r="E1296" s="631"/>
      <c r="F1296" s="631"/>
      <c r="G1296" s="631"/>
      <c r="H1296" s="631"/>
      <c r="I1296" s="631"/>
      <c r="J1296" s="631"/>
      <c r="M1296" s="541"/>
      <c r="N1296" s="541"/>
      <c r="O1296" s="451"/>
      <c r="P1296" s="451"/>
      <c r="Q1296" s="451"/>
      <c r="R1296" s="490" t="str">
        <f>R$1321</f>
        <v>DELETE</v>
      </c>
    </row>
    <row r="1297" spans="2:18" ht="36" customHeight="1" x14ac:dyDescent="0.5">
      <c r="B1297" s="502"/>
      <c r="C1297" s="515"/>
      <c r="D1297" s="630" t="str">
        <f>Criteria!E10</f>
        <v>T/A SEAFRONT HOTEL, ABC RESTAURANT AND RENTAL PROPERTIES</v>
      </c>
      <c r="E1297" s="631"/>
      <c r="F1297" s="631"/>
      <c r="G1297" s="631"/>
      <c r="H1297" s="631"/>
      <c r="I1297" s="631"/>
      <c r="J1297" s="631"/>
      <c r="M1297" s="541"/>
      <c r="N1297" s="541"/>
      <c r="O1297" s="541"/>
      <c r="R1297" s="490" t="str">
        <f>IF(R$1321="DELETE","DELETE",IF(D1297=0,"DELETE"," "))</f>
        <v>DELETE</v>
      </c>
    </row>
    <row r="1298" spans="2:18" ht="36" customHeight="1" x14ac:dyDescent="0.5">
      <c r="B1298" s="502"/>
      <c r="C1298" s="515"/>
      <c r="D1298" s="631"/>
      <c r="E1298" s="631"/>
      <c r="F1298" s="631"/>
      <c r="G1298" s="631"/>
      <c r="H1298" s="631"/>
      <c r="I1298" s="631"/>
      <c r="J1298" s="631"/>
      <c r="M1298" s="541"/>
      <c r="N1298" s="541"/>
      <c r="O1298" s="541"/>
      <c r="R1298" s="490" t="str">
        <f t="shared" ref="R1298:R1306" si="28">R$1321</f>
        <v>DELETE</v>
      </c>
    </row>
    <row r="1299" spans="2:18" ht="36" customHeight="1" x14ac:dyDescent="0.5">
      <c r="B1299" s="502"/>
      <c r="C1299" s="515"/>
      <c r="D1299" s="630" t="s">
        <v>415</v>
      </c>
      <c r="E1299" s="631"/>
      <c r="F1299" s="631"/>
      <c r="G1299" s="631"/>
      <c r="H1299" s="631"/>
      <c r="I1299" s="631"/>
      <c r="J1299" s="631"/>
      <c r="M1299" s="541"/>
      <c r="N1299" s="541"/>
      <c r="O1299" s="541"/>
      <c r="R1299" s="490" t="str">
        <f t="shared" si="28"/>
        <v>DELETE</v>
      </c>
    </row>
    <row r="1300" spans="2:18" ht="36" customHeight="1" x14ac:dyDescent="0.5">
      <c r="B1300" s="502"/>
      <c r="C1300" s="515"/>
      <c r="D1300" s="630" t="str">
        <f>Criteria!E20</f>
        <v>28 FEBRUARY 2026</v>
      </c>
      <c r="E1300" s="631"/>
      <c r="F1300" s="631"/>
      <c r="G1300" s="631"/>
      <c r="H1300" s="631"/>
      <c r="I1300" s="631"/>
      <c r="J1300" s="631" t="s">
        <v>282</v>
      </c>
      <c r="M1300" s="541"/>
      <c r="N1300" s="541"/>
      <c r="O1300" s="541"/>
      <c r="R1300" s="490" t="str">
        <f t="shared" si="28"/>
        <v>DELETE</v>
      </c>
    </row>
    <row r="1301" spans="2:18" ht="36" customHeight="1" x14ac:dyDescent="0.5">
      <c r="B1301" s="502"/>
      <c r="C1301" s="515"/>
      <c r="D1301" s="630"/>
      <c r="E1301" s="631"/>
      <c r="F1301" s="631"/>
      <c r="G1301" s="631"/>
      <c r="H1301" s="631"/>
      <c r="I1301" s="631"/>
      <c r="J1301" s="631"/>
      <c r="M1301" s="541"/>
      <c r="N1301" s="541"/>
      <c r="O1301" s="541"/>
      <c r="R1301" s="490" t="str">
        <f t="shared" si="28"/>
        <v>DELETE</v>
      </c>
    </row>
    <row r="1302" spans="2:18" ht="36" customHeight="1" x14ac:dyDescent="0.5">
      <c r="B1302" s="640"/>
      <c r="C1302" s="517"/>
      <c r="D1302" s="649"/>
      <c r="E1302" s="649"/>
      <c r="F1302" s="649"/>
      <c r="G1302" s="649"/>
      <c r="H1302" s="649"/>
      <c r="I1302" s="649"/>
      <c r="J1302" s="649"/>
      <c r="K1302" s="457"/>
      <c r="L1302" s="457"/>
      <c r="M1302" s="459"/>
      <c r="N1302" s="459"/>
      <c r="O1302" s="459"/>
      <c r="P1302" s="551"/>
      <c r="Q1302" s="457"/>
      <c r="R1302" s="490" t="str">
        <f t="shared" si="28"/>
        <v>DELETE</v>
      </c>
    </row>
    <row r="1303" spans="2:18" ht="36" customHeight="1" x14ac:dyDescent="0.5">
      <c r="B1303" s="501"/>
      <c r="C1303" s="516"/>
      <c r="D1303" s="631"/>
      <c r="E1303" s="631"/>
      <c r="F1303" s="631"/>
      <c r="G1303" s="631"/>
      <c r="H1303" s="631"/>
      <c r="I1303" s="631"/>
      <c r="J1303" s="631"/>
      <c r="M1303" s="453">
        <f>Criteria!E22</f>
        <v>2026</v>
      </c>
      <c r="N1303" s="453"/>
      <c r="O1303" s="453">
        <f>Criteria!E27</f>
        <v>2025</v>
      </c>
      <c r="R1303" s="490" t="str">
        <f t="shared" si="28"/>
        <v>DELETE</v>
      </c>
    </row>
    <row r="1304" spans="2:18" ht="36" customHeight="1" x14ac:dyDescent="0.5">
      <c r="B1304" s="501"/>
      <c r="C1304" s="516"/>
      <c r="D1304" s="631"/>
      <c r="E1304" s="631"/>
      <c r="F1304" s="631"/>
      <c r="G1304" s="631"/>
      <c r="H1304" s="631"/>
      <c r="I1304" s="631"/>
      <c r="J1304" s="631"/>
      <c r="M1304" s="458"/>
      <c r="N1304" s="458"/>
      <c r="O1304" s="458"/>
      <c r="R1304" s="490" t="str">
        <f t="shared" si="28"/>
        <v>DELETE</v>
      </c>
    </row>
    <row r="1305" spans="2:18" ht="36" customHeight="1" x14ac:dyDescent="0.5">
      <c r="B1305" s="501"/>
      <c r="C1305" s="630" t="s">
        <v>547</v>
      </c>
      <c r="D1305" s="451"/>
      <c r="E1305" s="631"/>
      <c r="F1305" s="631"/>
      <c r="G1305" s="631"/>
      <c r="H1305" s="631"/>
      <c r="I1305" s="631"/>
      <c r="J1305" s="631"/>
      <c r="M1305" s="458"/>
      <c r="N1305" s="458"/>
      <c r="O1305" s="458"/>
      <c r="R1305" s="490" t="str">
        <f t="shared" si="28"/>
        <v>DELETE</v>
      </c>
    </row>
    <row r="1306" spans="2:18" ht="36" customHeight="1" x14ac:dyDescent="0.5">
      <c r="B1306" s="501"/>
      <c r="C1306" s="630"/>
      <c r="D1306" s="451"/>
      <c r="E1306" s="631"/>
      <c r="F1306" s="631"/>
      <c r="G1306" s="631"/>
      <c r="H1306" s="631"/>
      <c r="I1306" s="631"/>
      <c r="J1306" s="631"/>
      <c r="M1306" s="458"/>
      <c r="N1306" s="458"/>
      <c r="O1306" s="458"/>
      <c r="R1306" s="490" t="str">
        <f t="shared" si="28"/>
        <v>DELETE</v>
      </c>
    </row>
    <row r="1307" spans="2:18" ht="36" customHeight="1" x14ac:dyDescent="0.5">
      <c r="B1307" s="501"/>
      <c r="C1307" s="631" t="str">
        <f>TrialBalance!C61</f>
        <v>Premises</v>
      </c>
      <c r="D1307" s="451"/>
      <c r="E1307" s="631"/>
      <c r="F1307" s="631"/>
      <c r="G1307" s="631"/>
      <c r="H1307" s="631"/>
      <c r="I1307" s="631"/>
      <c r="J1307" s="631"/>
      <c r="M1307" s="458">
        <f>TrialBalance!L61</f>
        <v>0</v>
      </c>
      <c r="N1307" s="458"/>
      <c r="O1307" s="458">
        <f>TrialBalance!N61</f>
        <v>0</v>
      </c>
      <c r="R1307" s="490" t="str">
        <f>IF(M1307+O1307=0,"DELETE"," ")</f>
        <v>DELETE</v>
      </c>
    </row>
    <row r="1308" spans="2:18" ht="36" customHeight="1" x14ac:dyDescent="0.5">
      <c r="B1308" s="501"/>
      <c r="C1308" s="631">
        <f>TrialBalance!C62</f>
        <v>0</v>
      </c>
      <c r="D1308" s="451"/>
      <c r="E1308" s="631"/>
      <c r="F1308" s="631"/>
      <c r="G1308" s="631"/>
      <c r="H1308" s="631"/>
      <c r="I1308" s="631"/>
      <c r="J1308" s="631"/>
      <c r="M1308" s="458">
        <f>TrialBalance!L62</f>
        <v>0</v>
      </c>
      <c r="N1308" s="458"/>
      <c r="O1308" s="458">
        <f>TrialBalance!N62</f>
        <v>0</v>
      </c>
      <c r="R1308" s="490" t="str">
        <f>IF(M1308+O1308=0,"DELETE"," ")</f>
        <v>DELETE</v>
      </c>
    </row>
    <row r="1309" spans="2:18" ht="36" customHeight="1" x14ac:dyDescent="0.5">
      <c r="B1309" s="501"/>
      <c r="C1309" s="631">
        <f>TrialBalance!C63</f>
        <v>0</v>
      </c>
      <c r="D1309" s="451"/>
      <c r="E1309" s="631"/>
      <c r="F1309" s="631"/>
      <c r="G1309" s="631"/>
      <c r="H1309" s="631"/>
      <c r="I1309" s="631"/>
      <c r="J1309" s="631"/>
      <c r="M1309" s="458">
        <f>TrialBalance!L63</f>
        <v>0</v>
      </c>
      <c r="N1309" s="458"/>
      <c r="O1309" s="458">
        <f>TrialBalance!N63</f>
        <v>0</v>
      </c>
      <c r="R1309" s="490" t="str">
        <f>IF(M1309+O1309=0,"DELETE"," ")</f>
        <v>DELETE</v>
      </c>
    </row>
    <row r="1310" spans="2:18" ht="36" customHeight="1" x14ac:dyDescent="0.5">
      <c r="B1310" s="501"/>
      <c r="C1310" s="631">
        <f>TrialBalanceA!C61</f>
        <v>0</v>
      </c>
      <c r="D1310" s="451"/>
      <c r="E1310" s="631"/>
      <c r="F1310" s="631"/>
      <c r="G1310" s="631"/>
      <c r="H1310" s="631"/>
      <c r="I1310" s="631"/>
      <c r="J1310" s="631"/>
      <c r="M1310" s="458">
        <f>TrialBalanceA!I61</f>
        <v>0</v>
      </c>
      <c r="N1310" s="458"/>
      <c r="O1310" s="458">
        <f>TrialBalanceA!K61</f>
        <v>0</v>
      </c>
      <c r="R1310" s="490" t="str">
        <f t="shared" ref="R1310:R1313" si="29">IF(M1310+O1310=0,"DELETE"," ")</f>
        <v>DELETE</v>
      </c>
    </row>
    <row r="1311" spans="2:18" ht="36" customHeight="1" x14ac:dyDescent="0.5">
      <c r="B1311" s="501"/>
      <c r="C1311" s="631">
        <f>TrialBalanceA!C62</f>
        <v>0</v>
      </c>
      <c r="D1311" s="451"/>
      <c r="E1311" s="631"/>
      <c r="F1311" s="631"/>
      <c r="G1311" s="631"/>
      <c r="H1311" s="631"/>
      <c r="I1311" s="631"/>
      <c r="J1311" s="631"/>
      <c r="M1311" s="458">
        <f>TrialBalanceA!I62</f>
        <v>0</v>
      </c>
      <c r="N1311" s="458"/>
      <c r="O1311" s="458">
        <f>TrialBalanceA!K62</f>
        <v>0</v>
      </c>
      <c r="R1311" s="490" t="str">
        <f t="shared" si="29"/>
        <v>DELETE</v>
      </c>
    </row>
    <row r="1312" spans="2:18" ht="36" customHeight="1" x14ac:dyDescent="0.5">
      <c r="B1312" s="501"/>
      <c r="C1312" s="631">
        <f>TrialBalanceA!C63</f>
        <v>0</v>
      </c>
      <c r="D1312" s="451"/>
      <c r="E1312" s="631"/>
      <c r="F1312" s="631"/>
      <c r="G1312" s="631"/>
      <c r="H1312" s="631"/>
      <c r="I1312" s="631"/>
      <c r="J1312" s="631"/>
      <c r="M1312" s="458">
        <f>TrialBalanceA!I63</f>
        <v>0</v>
      </c>
      <c r="N1312" s="458"/>
      <c r="O1312" s="458">
        <f>TrialBalanceA!K63</f>
        <v>0</v>
      </c>
      <c r="R1312" s="490" t="str">
        <f t="shared" si="29"/>
        <v>DELETE</v>
      </c>
    </row>
    <row r="1313" spans="2:24" ht="36" customHeight="1" x14ac:dyDescent="0.5">
      <c r="B1313" s="501"/>
      <c r="C1313" s="631">
        <f>TrialBalanceB!C61</f>
        <v>0</v>
      </c>
      <c r="D1313" s="451"/>
      <c r="E1313" s="631"/>
      <c r="F1313" s="631"/>
      <c r="G1313" s="631"/>
      <c r="H1313" s="631"/>
      <c r="I1313" s="631"/>
      <c r="J1313" s="631"/>
      <c r="M1313" s="458">
        <f>TrialBalanceB!I61</f>
        <v>0</v>
      </c>
      <c r="N1313" s="458"/>
      <c r="O1313" s="458">
        <f>TrialBalanceB!K61</f>
        <v>0</v>
      </c>
      <c r="R1313" s="490" t="str">
        <f t="shared" si="29"/>
        <v>DELETE</v>
      </c>
    </row>
    <row r="1314" spans="2:24" ht="36" customHeight="1" x14ac:dyDescent="0.5">
      <c r="B1314" s="501"/>
      <c r="C1314" s="631">
        <f>TrialBalanceB!C62</f>
        <v>0</v>
      </c>
      <c r="D1314" s="451"/>
      <c r="E1314" s="631"/>
      <c r="F1314" s="631"/>
      <c r="G1314" s="631"/>
      <c r="H1314" s="631"/>
      <c r="I1314" s="631"/>
      <c r="J1314" s="631"/>
      <c r="M1314" s="458">
        <f>TrialBalanceB!I62</f>
        <v>0</v>
      </c>
      <c r="N1314" s="458"/>
      <c r="O1314" s="458">
        <f>TrialBalanceB!K62</f>
        <v>0</v>
      </c>
      <c r="R1314" s="490" t="str">
        <f t="shared" ref="R1314:R1316" si="30">IF(M1314+O1314=0,"DELETE"," ")</f>
        <v>DELETE</v>
      </c>
    </row>
    <row r="1315" spans="2:24" ht="36" customHeight="1" x14ac:dyDescent="0.5">
      <c r="B1315" s="501"/>
      <c r="C1315" s="631">
        <f>TrialBalanceB!C63</f>
        <v>0</v>
      </c>
      <c r="D1315" s="451"/>
      <c r="E1315" s="631"/>
      <c r="F1315" s="631"/>
      <c r="G1315" s="631"/>
      <c r="H1315" s="631"/>
      <c r="I1315" s="631"/>
      <c r="J1315" s="631"/>
      <c r="M1315" s="458">
        <f>TrialBalanceB!I63</f>
        <v>0</v>
      </c>
      <c r="N1315" s="458"/>
      <c r="O1315" s="458">
        <f>TrialBalanceB!K63</f>
        <v>0</v>
      </c>
      <c r="R1315" s="490" t="str">
        <f t="shared" si="30"/>
        <v>DELETE</v>
      </c>
    </row>
    <row r="1316" spans="2:24" ht="36" customHeight="1" x14ac:dyDescent="0.5">
      <c r="B1316" s="501"/>
      <c r="C1316" s="631">
        <f>TrialBalanceC!C61</f>
        <v>0</v>
      </c>
      <c r="D1316" s="451"/>
      <c r="E1316" s="631"/>
      <c r="F1316" s="631"/>
      <c r="G1316" s="631"/>
      <c r="H1316" s="631"/>
      <c r="I1316" s="631"/>
      <c r="J1316" s="631"/>
      <c r="M1316" s="458">
        <f>TrialBalanceC!I61</f>
        <v>0</v>
      </c>
      <c r="N1316" s="458"/>
      <c r="O1316" s="458">
        <f>TrialBalanceC!K61</f>
        <v>0</v>
      </c>
      <c r="R1316" s="490" t="str">
        <f t="shared" si="30"/>
        <v>DELETE</v>
      </c>
    </row>
    <row r="1317" spans="2:24" ht="36" customHeight="1" x14ac:dyDescent="0.5">
      <c r="B1317" s="501"/>
      <c r="C1317" s="631">
        <f>TrialBalanceC!C62</f>
        <v>0</v>
      </c>
      <c r="D1317" s="451"/>
      <c r="E1317" s="631"/>
      <c r="F1317" s="631"/>
      <c r="G1317" s="631"/>
      <c r="H1317" s="631"/>
      <c r="I1317" s="631"/>
      <c r="J1317" s="631"/>
      <c r="M1317" s="458">
        <f>TrialBalanceC!I62</f>
        <v>0</v>
      </c>
      <c r="N1317" s="458"/>
      <c r="O1317" s="458">
        <f>TrialBalanceC!K62</f>
        <v>0</v>
      </c>
      <c r="R1317" s="490" t="str">
        <f t="shared" ref="R1317:R1318" si="31">IF(M1317+O1317=0,"DELETE"," ")</f>
        <v>DELETE</v>
      </c>
    </row>
    <row r="1318" spans="2:24" ht="36" customHeight="1" x14ac:dyDescent="0.5">
      <c r="B1318" s="501"/>
      <c r="C1318" s="631">
        <f>TrialBalanceC!C63</f>
        <v>0</v>
      </c>
      <c r="D1318" s="451"/>
      <c r="E1318" s="631"/>
      <c r="F1318" s="631"/>
      <c r="G1318" s="631"/>
      <c r="H1318" s="631"/>
      <c r="I1318" s="631"/>
      <c r="J1318" s="631"/>
      <c r="M1318" s="458">
        <f>TrialBalanceC!I63</f>
        <v>0</v>
      </c>
      <c r="N1318" s="458"/>
      <c r="O1318" s="458">
        <f>TrialBalanceC!K63</f>
        <v>0</v>
      </c>
      <c r="R1318" s="490" t="str">
        <f t="shared" si="31"/>
        <v>DELETE</v>
      </c>
    </row>
    <row r="1319" spans="2:24" ht="9" customHeight="1" x14ac:dyDescent="0.5">
      <c r="B1319" s="501"/>
      <c r="C1319" s="518"/>
      <c r="D1319" s="631"/>
      <c r="E1319" s="631"/>
      <c r="F1319" s="631"/>
      <c r="G1319" s="631"/>
      <c r="H1319" s="631"/>
      <c r="I1319" s="631"/>
      <c r="J1319" s="631"/>
      <c r="M1319" s="461"/>
      <c r="N1319" s="461"/>
      <c r="O1319" s="461"/>
      <c r="R1319" s="490" t="str">
        <f>R$1321</f>
        <v>DELETE</v>
      </c>
    </row>
    <row r="1320" spans="2:24" ht="9" customHeight="1" x14ac:dyDescent="0.5">
      <c r="B1320" s="501"/>
      <c r="C1320" s="518"/>
      <c r="D1320" s="631"/>
      <c r="E1320" s="631"/>
      <c r="F1320" s="631"/>
      <c r="G1320" s="631"/>
      <c r="H1320" s="631"/>
      <c r="I1320" s="631"/>
      <c r="J1320" s="631"/>
      <c r="M1320" s="458"/>
      <c r="N1320" s="458"/>
      <c r="O1320" s="458"/>
      <c r="R1320" s="490" t="str">
        <f>R$1321</f>
        <v>DELETE</v>
      </c>
    </row>
    <row r="1321" spans="2:24" ht="36.75" customHeight="1" x14ac:dyDescent="0.5">
      <c r="B1321" s="501"/>
      <c r="C1321" s="518"/>
      <c r="D1321" s="631"/>
      <c r="E1321" s="631"/>
      <c r="F1321" s="631"/>
      <c r="G1321" s="631"/>
      <c r="H1321" s="631"/>
      <c r="I1321" s="631"/>
      <c r="J1321" s="631"/>
      <c r="M1321" s="458">
        <f>SUM(M1307:M1320)</f>
        <v>0</v>
      </c>
      <c r="N1321" s="458"/>
      <c r="O1321" s="458">
        <f>SUM(O1307:O1320)</f>
        <v>0</v>
      </c>
      <c r="R1321" s="490" t="str">
        <f>IF(M1321+O1321=0,"DELETE"," ")</f>
        <v>DELETE</v>
      </c>
      <c r="V1321" s="491" t="b">
        <f>M1321=SUM(TrialBalance!L61:L63)+SUM(TrialBalanceA!I61:I63)+SUM(TrialBalanceB!I61:I63)+SUM(TrialBalanceC!I61:I63)</f>
        <v>1</v>
      </c>
      <c r="X1321" s="491" t="b">
        <f>O1321=SUM(TrialBalance!N61:N63)+SUM(TrialBalanceA!K61:K63)+SUM(TrialBalanceB!K61:K63)+SUM(TrialBalanceC!K61:K63)</f>
        <v>1</v>
      </c>
    </row>
    <row r="1322" spans="2:24" ht="9" customHeight="1" thickBot="1" x14ac:dyDescent="0.55000000000000004">
      <c r="B1322" s="501"/>
      <c r="C1322" s="518"/>
      <c r="D1322" s="631"/>
      <c r="E1322" s="631"/>
      <c r="F1322" s="631"/>
      <c r="G1322" s="631"/>
      <c r="H1322" s="631"/>
      <c r="I1322" s="631"/>
      <c r="J1322" s="631"/>
      <c r="M1322" s="462"/>
      <c r="N1322" s="462"/>
      <c r="O1322" s="462"/>
      <c r="R1322" s="490" t="str">
        <f t="shared" ref="R1322:R1327" si="32">R$1321</f>
        <v>DELETE</v>
      </c>
    </row>
    <row r="1323" spans="2:24" ht="9" customHeight="1" thickTop="1" x14ac:dyDescent="0.5">
      <c r="B1323" s="501"/>
      <c r="C1323" s="518"/>
      <c r="D1323" s="631"/>
      <c r="E1323" s="631"/>
      <c r="F1323" s="631"/>
      <c r="G1323" s="631"/>
      <c r="H1323" s="631"/>
      <c r="I1323" s="631"/>
      <c r="J1323" s="631"/>
      <c r="M1323" s="475"/>
      <c r="N1323" s="475"/>
      <c r="O1323" s="475"/>
      <c r="R1323" s="490" t="str">
        <f t="shared" si="32"/>
        <v>DELETE</v>
      </c>
    </row>
    <row r="1324" spans="2:24" ht="36" customHeight="1" x14ac:dyDescent="0.5">
      <c r="B1324" s="501"/>
      <c r="C1324" s="518"/>
      <c r="D1324" s="631"/>
      <c r="E1324" s="631"/>
      <c r="F1324" s="631"/>
      <c r="G1324" s="631"/>
      <c r="H1324" s="631"/>
      <c r="I1324" s="631"/>
      <c r="J1324" s="631"/>
      <c r="M1324" s="458"/>
      <c r="N1324" s="458"/>
      <c r="O1324" s="458"/>
      <c r="R1324" s="490" t="str">
        <f t="shared" si="32"/>
        <v>DELETE</v>
      </c>
    </row>
    <row r="1325" spans="2:24" ht="36" customHeight="1" x14ac:dyDescent="0.5">
      <c r="B1325" s="501"/>
      <c r="C1325" s="518"/>
      <c r="D1325" s="631"/>
      <c r="E1325" s="631"/>
      <c r="F1325" s="631"/>
      <c r="G1325" s="631"/>
      <c r="H1325" s="631"/>
      <c r="I1325" s="631"/>
      <c r="J1325" s="631"/>
      <c r="M1325" s="458"/>
      <c r="N1325" s="458"/>
      <c r="O1325" s="458"/>
      <c r="R1325" s="490" t="str">
        <f t="shared" si="32"/>
        <v>DELETE</v>
      </c>
    </row>
    <row r="1326" spans="2:24" ht="36" customHeight="1" x14ac:dyDescent="0.5">
      <c r="B1326" s="501"/>
      <c r="C1326" s="518"/>
      <c r="D1326" s="631"/>
      <c r="E1326" s="631"/>
      <c r="F1326" s="631"/>
      <c r="G1326" s="631"/>
      <c r="H1326" s="631"/>
      <c r="I1326" s="631"/>
      <c r="J1326" s="631"/>
      <c r="M1326" s="475"/>
      <c r="N1326" s="475"/>
      <c r="O1326" s="475"/>
      <c r="P1326" s="545"/>
      <c r="R1326" s="490" t="str">
        <f t="shared" si="32"/>
        <v>DELETE</v>
      </c>
    </row>
    <row r="1327" spans="2:24" ht="36" customHeight="1" x14ac:dyDescent="0.5">
      <c r="B1327" s="501"/>
      <c r="C1327" s="518"/>
      <c r="D1327" s="631"/>
      <c r="E1327" s="631"/>
      <c r="F1327" s="631"/>
      <c r="G1327" s="631"/>
      <c r="H1327" s="631"/>
      <c r="I1327" s="631"/>
      <c r="J1327" s="631"/>
      <c r="M1327" s="458"/>
      <c r="N1327" s="458"/>
      <c r="O1327" s="458"/>
      <c r="R1327" s="490" t="str">
        <f t="shared" si="32"/>
        <v>DELETE</v>
      </c>
    </row>
    <row r="1328" spans="2:24" ht="36" customHeight="1" x14ac:dyDescent="0.5">
      <c r="B1328" s="501"/>
      <c r="C1328" s="518"/>
      <c r="D1328" s="631"/>
      <c r="E1328" s="631"/>
      <c r="F1328" s="631"/>
      <c r="G1328" s="631"/>
      <c r="H1328" s="631"/>
      <c r="I1328" s="631"/>
      <c r="J1328" s="631"/>
      <c r="M1328" s="458"/>
      <c r="N1328" s="458"/>
      <c r="O1328" s="458" t="s">
        <v>112</v>
      </c>
      <c r="Q1328" s="450">
        <f>MAX($Q$103:Q1327)+1</f>
        <v>36</v>
      </c>
      <c r="R1328" s="490" t="str">
        <f>R$1347</f>
        <v>DELETE</v>
      </c>
    </row>
    <row r="1329" spans="2:18" ht="36" customHeight="1" x14ac:dyDescent="0.5">
      <c r="B1329" s="502"/>
      <c r="C1329" s="515"/>
      <c r="D1329" s="630" t="str">
        <f>Criteria!E9</f>
        <v>ABC COMPANY (PROPRIETARY) LIMITED</v>
      </c>
      <c r="E1329" s="631"/>
      <c r="F1329" s="631"/>
      <c r="G1329" s="631"/>
      <c r="H1329" s="631"/>
      <c r="I1329" s="631"/>
      <c r="J1329" s="631"/>
      <c r="M1329" s="541"/>
      <c r="N1329" s="541"/>
      <c r="O1329" s="451"/>
      <c r="P1329" s="451"/>
      <c r="Q1329" s="451"/>
      <c r="R1329" s="490" t="str">
        <f>R$1347</f>
        <v>DELETE</v>
      </c>
    </row>
    <row r="1330" spans="2:18" ht="36" customHeight="1" x14ac:dyDescent="0.5">
      <c r="B1330" s="502"/>
      <c r="C1330" s="515"/>
      <c r="D1330" s="630" t="str">
        <f>Criteria!E10</f>
        <v>T/A SEAFRONT HOTEL, ABC RESTAURANT AND RENTAL PROPERTIES</v>
      </c>
      <c r="E1330" s="631"/>
      <c r="F1330" s="631"/>
      <c r="G1330" s="631"/>
      <c r="H1330" s="631"/>
      <c r="I1330" s="631"/>
      <c r="J1330" s="631"/>
      <c r="M1330" s="541"/>
      <c r="N1330" s="541"/>
      <c r="O1330" s="541"/>
      <c r="R1330" s="490" t="str">
        <f>IF(R$1347="DELETE","DELETE",IF(D1330=0,"DELETE"," "))</f>
        <v>DELETE</v>
      </c>
    </row>
    <row r="1331" spans="2:18" ht="36" customHeight="1" x14ac:dyDescent="0.5">
      <c r="B1331" s="502"/>
      <c r="C1331" s="515"/>
      <c r="D1331" s="631"/>
      <c r="E1331" s="631"/>
      <c r="F1331" s="631"/>
      <c r="G1331" s="631"/>
      <c r="H1331" s="631"/>
      <c r="I1331" s="631"/>
      <c r="J1331" s="631"/>
      <c r="M1331" s="541"/>
      <c r="N1331" s="541"/>
      <c r="O1331" s="541"/>
      <c r="R1331" s="490" t="str">
        <f t="shared" ref="R1331:R1339" si="33">R$1347</f>
        <v>DELETE</v>
      </c>
    </row>
    <row r="1332" spans="2:18" ht="36" customHeight="1" x14ac:dyDescent="0.5">
      <c r="B1332" s="502"/>
      <c r="C1332" s="515"/>
      <c r="D1332" s="630" t="s">
        <v>415</v>
      </c>
      <c r="E1332" s="631"/>
      <c r="F1332" s="631"/>
      <c r="G1332" s="631"/>
      <c r="H1332" s="631"/>
      <c r="I1332" s="631"/>
      <c r="J1332" s="631"/>
      <c r="M1332" s="541"/>
      <c r="N1332" s="541"/>
      <c r="O1332" s="541"/>
      <c r="R1332" s="490" t="str">
        <f t="shared" si="33"/>
        <v>DELETE</v>
      </c>
    </row>
    <row r="1333" spans="2:18" ht="36" customHeight="1" x14ac:dyDescent="0.5">
      <c r="B1333" s="502"/>
      <c r="C1333" s="515"/>
      <c r="D1333" s="630" t="str">
        <f>Criteria!E20</f>
        <v>28 FEBRUARY 2026</v>
      </c>
      <c r="E1333" s="631"/>
      <c r="F1333" s="631"/>
      <c r="G1333" s="631"/>
      <c r="H1333" s="631"/>
      <c r="I1333" s="631"/>
      <c r="J1333" s="631" t="s">
        <v>282</v>
      </c>
      <c r="M1333" s="541"/>
      <c r="N1333" s="541"/>
      <c r="O1333" s="541"/>
      <c r="R1333" s="490" t="str">
        <f t="shared" si="33"/>
        <v>DELETE</v>
      </c>
    </row>
    <row r="1334" spans="2:18" ht="36" customHeight="1" x14ac:dyDescent="0.5">
      <c r="B1334" s="502"/>
      <c r="C1334" s="515"/>
      <c r="D1334" s="630"/>
      <c r="E1334" s="631"/>
      <c r="F1334" s="631"/>
      <c r="G1334" s="631"/>
      <c r="H1334" s="631"/>
      <c r="I1334" s="631"/>
      <c r="J1334" s="631"/>
      <c r="M1334" s="541"/>
      <c r="N1334" s="541"/>
      <c r="O1334" s="541"/>
      <c r="R1334" s="490" t="str">
        <f t="shared" si="33"/>
        <v>DELETE</v>
      </c>
    </row>
    <row r="1335" spans="2:18" ht="36" customHeight="1" x14ac:dyDescent="0.5">
      <c r="B1335" s="640"/>
      <c r="C1335" s="519"/>
      <c r="D1335" s="649"/>
      <c r="E1335" s="649"/>
      <c r="F1335" s="649"/>
      <c r="G1335" s="649"/>
      <c r="H1335" s="649"/>
      <c r="I1335" s="649"/>
      <c r="J1335" s="649"/>
      <c r="K1335" s="457"/>
      <c r="L1335" s="457"/>
      <c r="M1335" s="459"/>
      <c r="N1335" s="459"/>
      <c r="O1335" s="459"/>
      <c r="P1335" s="551"/>
      <c r="Q1335" s="457"/>
      <c r="R1335" s="490" t="str">
        <f t="shared" si="33"/>
        <v>DELETE</v>
      </c>
    </row>
    <row r="1336" spans="2:18" ht="36" customHeight="1" x14ac:dyDescent="0.5">
      <c r="B1336" s="501"/>
      <c r="C1336" s="518"/>
      <c r="D1336" s="631"/>
      <c r="E1336" s="631"/>
      <c r="F1336" s="631"/>
      <c r="G1336" s="631"/>
      <c r="H1336" s="631"/>
      <c r="I1336" s="631"/>
      <c r="J1336" s="631"/>
      <c r="M1336" s="453">
        <f>Criteria!E22</f>
        <v>2026</v>
      </c>
      <c r="N1336" s="453"/>
      <c r="O1336" s="453">
        <f>Criteria!E27</f>
        <v>2025</v>
      </c>
      <c r="R1336" s="490" t="str">
        <f t="shared" si="33"/>
        <v>DELETE</v>
      </c>
    </row>
    <row r="1337" spans="2:18" ht="36" customHeight="1" x14ac:dyDescent="0.5">
      <c r="B1337" s="501"/>
      <c r="C1337" s="518"/>
      <c r="D1337" s="631"/>
      <c r="E1337" s="631"/>
      <c r="F1337" s="631"/>
      <c r="G1337" s="631"/>
      <c r="H1337" s="631"/>
      <c r="I1337" s="631"/>
      <c r="J1337" s="631"/>
      <c r="M1337" s="458"/>
      <c r="N1337" s="458"/>
      <c r="O1337" s="458"/>
      <c r="R1337" s="490" t="str">
        <f t="shared" si="33"/>
        <v>DELETE</v>
      </c>
    </row>
    <row r="1338" spans="2:18" ht="36" customHeight="1" x14ac:dyDescent="0.5">
      <c r="B1338" s="501"/>
      <c r="C1338" s="630" t="s">
        <v>304</v>
      </c>
      <c r="D1338" s="451"/>
      <c r="E1338" s="631"/>
      <c r="F1338" s="631"/>
      <c r="G1338" s="631"/>
      <c r="H1338" s="631"/>
      <c r="I1338" s="631"/>
      <c r="J1338" s="631"/>
      <c r="M1338" s="458"/>
      <c r="N1338" s="458"/>
      <c r="O1338" s="458"/>
      <c r="R1338" s="490" t="str">
        <f t="shared" si="33"/>
        <v>DELETE</v>
      </c>
    </row>
    <row r="1339" spans="2:18" ht="36" customHeight="1" x14ac:dyDescent="0.5">
      <c r="B1339" s="501"/>
      <c r="C1339" s="630"/>
      <c r="D1339" s="451"/>
      <c r="E1339" s="631"/>
      <c r="F1339" s="631"/>
      <c r="G1339" s="631"/>
      <c r="H1339" s="631"/>
      <c r="I1339" s="631"/>
      <c r="J1339" s="631"/>
      <c r="M1339" s="458"/>
      <c r="N1339" s="458"/>
      <c r="O1339" s="458"/>
      <c r="R1339" s="490" t="str">
        <f t="shared" si="33"/>
        <v>DELETE</v>
      </c>
    </row>
    <row r="1340" spans="2:18" ht="36" customHeight="1" x14ac:dyDescent="0.5">
      <c r="B1340" s="501"/>
      <c r="C1340" s="631" t="s">
        <v>1224</v>
      </c>
      <c r="D1340" s="451"/>
      <c r="E1340" s="631"/>
      <c r="F1340" s="631"/>
      <c r="G1340" s="631"/>
      <c r="H1340" s="631"/>
      <c r="I1340" s="631"/>
      <c r="J1340" s="631"/>
      <c r="M1340" s="458">
        <f>TrialBalance!L44+TrialBalanceA!I44+TrialBalanceB!I44+TrialBalanceC!I44</f>
        <v>0</v>
      </c>
      <c r="N1340" s="458"/>
      <c r="O1340" s="458">
        <f>TrialBalance!N44+TrialBalanceA!K44+TrialBalanceB!K44+TrialBalanceC!K44</f>
        <v>0</v>
      </c>
      <c r="R1340" s="490" t="str">
        <f>IF(M1340+O1340=0,"DELETE"," ")</f>
        <v>DELETE</v>
      </c>
    </row>
    <row r="1341" spans="2:18" ht="36" customHeight="1" x14ac:dyDescent="0.5">
      <c r="B1341" s="501"/>
      <c r="C1341" s="631" t="s">
        <v>877</v>
      </c>
      <c r="D1341" s="451"/>
      <c r="E1341" s="631"/>
      <c r="F1341" s="631"/>
      <c r="G1341" s="631"/>
      <c r="H1341" s="631"/>
      <c r="I1341" s="631"/>
      <c r="J1341" s="631"/>
      <c r="M1341" s="458">
        <f>TrialBalance!L45+TrialBalanceA!I45+TrialBalanceB!I45+TrialBalanceC!I45</f>
        <v>0</v>
      </c>
      <c r="N1341" s="458"/>
      <c r="O1341" s="458">
        <f>TrialBalance!N45+TrialBalanceA!K45+TrialBalanceB!K45+TrialBalanceC!K45</f>
        <v>0</v>
      </c>
      <c r="R1341" s="490" t="str">
        <f>IF(M1341+O1341=0,"DELETE"," ")</f>
        <v>DELETE</v>
      </c>
    </row>
    <row r="1342" spans="2:18" ht="36" customHeight="1" x14ac:dyDescent="0.5">
      <c r="B1342" s="501"/>
      <c r="C1342" s="631" t="s">
        <v>613</v>
      </c>
      <c r="D1342" s="451"/>
      <c r="E1342" s="631"/>
      <c r="F1342" s="631"/>
      <c r="G1342" s="631"/>
      <c r="H1342" s="631"/>
      <c r="I1342" s="631"/>
      <c r="J1342" s="631"/>
      <c r="M1342" s="458">
        <f>TrialBalance!L46+TrialBalanceA!I46+TrialBalanceB!I46+TrialBalanceC!I46</f>
        <v>0</v>
      </c>
      <c r="N1342" s="458"/>
      <c r="O1342" s="458">
        <f>TrialBalance!N46+TrialBalanceA!K46+TrialBalanceB!K46+TrialBalanceC!K46</f>
        <v>0</v>
      </c>
      <c r="R1342" s="490" t="str">
        <f>IF(M1342+O1342=0,"DELETE"," ")</f>
        <v>DELETE</v>
      </c>
    </row>
    <row r="1343" spans="2:18" ht="36" customHeight="1" x14ac:dyDescent="0.5">
      <c r="B1343" s="501"/>
      <c r="C1343" s="631" t="s">
        <v>614</v>
      </c>
      <c r="D1343" s="451"/>
      <c r="E1343" s="631"/>
      <c r="F1343" s="631"/>
      <c r="G1343" s="631"/>
      <c r="H1343" s="631"/>
      <c r="I1343" s="631"/>
      <c r="J1343" s="631"/>
      <c r="M1343" s="458">
        <f>TrialBalance!L110+TrialBalanceA!I110+TrialBalanceB!I110+TrialBalanceC!I110</f>
        <v>0</v>
      </c>
      <c r="N1343" s="458"/>
      <c r="O1343" s="458">
        <f>TrialBalance!N110+TrialBalanceA!K110+TrialBalanceB!K110+TrialBalanceC!K110</f>
        <v>0</v>
      </c>
      <c r="R1343" s="490" t="str">
        <f>IF(M1343+O1343=0,"DELETE"," ")</f>
        <v>DELETE</v>
      </c>
    </row>
    <row r="1344" spans="2:18" ht="36" customHeight="1" x14ac:dyDescent="0.5">
      <c r="B1344" s="501"/>
      <c r="C1344" s="631" t="s">
        <v>881</v>
      </c>
      <c r="D1344" s="451"/>
      <c r="E1344" s="631"/>
      <c r="F1344" s="631"/>
      <c r="G1344" s="631"/>
      <c r="H1344" s="631"/>
      <c r="I1344" s="631"/>
      <c r="J1344" s="631"/>
      <c r="M1344" s="458">
        <f>TrialBalance!L111+TrialBalanceA!I111+TrialBalanceB!I111+TrialBalanceC!I111</f>
        <v>0</v>
      </c>
      <c r="N1344" s="458"/>
      <c r="O1344" s="458">
        <f>TrialBalance!N111+TrialBalanceA!K111+TrialBalanceB!K111+TrialBalanceC!K111</f>
        <v>0</v>
      </c>
      <c r="R1344" s="490" t="str">
        <f>IF(M1344+O1344=0,"DELETE"," ")</f>
        <v>DELETE</v>
      </c>
    </row>
    <row r="1345" spans="2:24" ht="9" customHeight="1" x14ac:dyDescent="0.5">
      <c r="B1345" s="501"/>
      <c r="C1345" s="518"/>
      <c r="D1345" s="631"/>
      <c r="E1345" s="631"/>
      <c r="F1345" s="631"/>
      <c r="G1345" s="631"/>
      <c r="H1345" s="631"/>
      <c r="I1345" s="631"/>
      <c r="J1345" s="631"/>
      <c r="M1345" s="461"/>
      <c r="N1345" s="461"/>
      <c r="O1345" s="461"/>
      <c r="R1345" s="490" t="str">
        <f>R$1347</f>
        <v>DELETE</v>
      </c>
    </row>
    <row r="1346" spans="2:24" ht="9" customHeight="1" x14ac:dyDescent="0.5">
      <c r="B1346" s="501"/>
      <c r="C1346" s="518"/>
      <c r="D1346" s="631"/>
      <c r="E1346" s="631"/>
      <c r="F1346" s="631"/>
      <c r="G1346" s="631"/>
      <c r="H1346" s="631"/>
      <c r="I1346" s="631"/>
      <c r="J1346" s="631"/>
      <c r="M1346" s="458"/>
      <c r="N1346" s="458"/>
      <c r="O1346" s="458"/>
      <c r="R1346" s="490" t="str">
        <f>R$1347</f>
        <v>DELETE</v>
      </c>
    </row>
    <row r="1347" spans="2:24" ht="36.75" customHeight="1" x14ac:dyDescent="0.5">
      <c r="B1347" s="501"/>
      <c r="C1347" s="518"/>
      <c r="D1347" s="631"/>
      <c r="E1347" s="631"/>
      <c r="F1347" s="631"/>
      <c r="G1347" s="631"/>
      <c r="H1347" s="631"/>
      <c r="I1347" s="631"/>
      <c r="J1347" s="631"/>
      <c r="M1347" s="458">
        <f>SUM(M1340:M1346)</f>
        <v>0</v>
      </c>
      <c r="N1347" s="458"/>
      <c r="O1347" s="458">
        <f>SUM(O1340:O1346)</f>
        <v>0</v>
      </c>
      <c r="R1347" s="490" t="str">
        <f>IF(M1347+O1347=0,"DELETE"," ")</f>
        <v>DELETE</v>
      </c>
      <c r="V1347" s="491" t="b">
        <f>M1347=SUM(TrialBalance!L44:L46)+SUM(TrialBalance!L110:L111)+SUM(TrialBalanceA!I44:I46)+SUM(TrialBalanceA!I110:I111)+SUM(TrialBalanceB!I44:I46)+SUM(TrialBalanceB!I110:I111)+SUM(TrialBalanceC!I44:I46)+SUM(TrialBalanceC!I110:I111)</f>
        <v>1</v>
      </c>
      <c r="X1347" s="491" t="b">
        <f>O1347=SUM(TrialBalance!N44:N46)+SUM(TrialBalance!N110:N111)+SUM(TrialBalanceA!K44:K46)+SUM(TrialBalanceA!K110:K111)+SUM(TrialBalanceB!K44:K46)+SUM(TrialBalanceB!K110:K111)+SUM(TrialBalanceC!K44:K46)+SUM(TrialBalanceC!K110:K111)</f>
        <v>1</v>
      </c>
    </row>
    <row r="1348" spans="2:24" ht="9" customHeight="1" thickBot="1" x14ac:dyDescent="0.55000000000000004">
      <c r="B1348" s="501"/>
      <c r="C1348" s="518"/>
      <c r="D1348" s="631"/>
      <c r="E1348" s="631"/>
      <c r="F1348" s="631"/>
      <c r="G1348" s="631"/>
      <c r="H1348" s="631"/>
      <c r="I1348" s="631"/>
      <c r="J1348" s="631"/>
      <c r="M1348" s="462"/>
      <c r="N1348" s="462"/>
      <c r="O1348" s="462"/>
      <c r="R1348" s="490" t="str">
        <f t="shared" ref="R1348:R1353" si="34">R$1347</f>
        <v>DELETE</v>
      </c>
    </row>
    <row r="1349" spans="2:24" ht="9" customHeight="1" thickTop="1" x14ac:dyDescent="0.5">
      <c r="B1349" s="501"/>
      <c r="C1349" s="518"/>
      <c r="D1349" s="631"/>
      <c r="E1349" s="631"/>
      <c r="F1349" s="631"/>
      <c r="G1349" s="631"/>
      <c r="H1349" s="631"/>
      <c r="I1349" s="631"/>
      <c r="J1349" s="631"/>
      <c r="M1349" s="475"/>
      <c r="N1349" s="475"/>
      <c r="O1349" s="475"/>
      <c r="R1349" s="490" t="str">
        <f t="shared" si="34"/>
        <v>DELETE</v>
      </c>
    </row>
    <row r="1350" spans="2:24" ht="36" customHeight="1" x14ac:dyDescent="0.5">
      <c r="B1350" s="501"/>
      <c r="C1350" s="516"/>
      <c r="D1350" s="631"/>
      <c r="E1350" s="631"/>
      <c r="F1350" s="631"/>
      <c r="G1350" s="631"/>
      <c r="H1350" s="631"/>
      <c r="I1350" s="631"/>
      <c r="J1350" s="631"/>
      <c r="M1350" s="458"/>
      <c r="N1350" s="458"/>
      <c r="O1350" s="458"/>
      <c r="R1350" s="490" t="str">
        <f t="shared" si="34"/>
        <v>DELETE</v>
      </c>
    </row>
    <row r="1351" spans="2:24" ht="36" customHeight="1" x14ac:dyDescent="0.5">
      <c r="B1351" s="501"/>
      <c r="C1351" s="516"/>
      <c r="D1351" s="631"/>
      <c r="E1351" s="631"/>
      <c r="F1351" s="631"/>
      <c r="G1351" s="631"/>
      <c r="H1351" s="631"/>
      <c r="I1351" s="631"/>
      <c r="J1351" s="631"/>
      <c r="M1351" s="458"/>
      <c r="N1351" s="458"/>
      <c r="O1351" s="458"/>
      <c r="R1351" s="490" t="str">
        <f t="shared" si="34"/>
        <v>DELETE</v>
      </c>
    </row>
    <row r="1352" spans="2:24" ht="36" customHeight="1" x14ac:dyDescent="0.5">
      <c r="B1352" s="501"/>
      <c r="C1352" s="516"/>
      <c r="D1352" s="631"/>
      <c r="E1352" s="631"/>
      <c r="F1352" s="631"/>
      <c r="G1352" s="631"/>
      <c r="H1352" s="631"/>
      <c r="I1352" s="631"/>
      <c r="J1352" s="631"/>
      <c r="M1352" s="475"/>
      <c r="N1352" s="475"/>
      <c r="O1352" s="475"/>
      <c r="P1352" s="545"/>
      <c r="R1352" s="490" t="str">
        <f t="shared" si="34"/>
        <v>DELETE</v>
      </c>
    </row>
    <row r="1353" spans="2:24" ht="36" customHeight="1" x14ac:dyDescent="0.5">
      <c r="B1353" s="501"/>
      <c r="C1353" s="449"/>
      <c r="D1353" s="631"/>
      <c r="E1353" s="631"/>
      <c r="F1353" s="631"/>
      <c r="G1353" s="631"/>
      <c r="H1353" s="631"/>
      <c r="I1353" s="631"/>
      <c r="J1353" s="631"/>
      <c r="M1353" s="458"/>
      <c r="N1353" s="458"/>
      <c r="O1353" s="458"/>
      <c r="R1353" s="490" t="str">
        <f t="shared" si="34"/>
        <v>DELETE</v>
      </c>
    </row>
    <row r="1354" spans="2:24" ht="36" customHeight="1" x14ac:dyDescent="0.5">
      <c r="B1354" s="501"/>
      <c r="C1354" s="449"/>
      <c r="D1354" s="631"/>
      <c r="E1354" s="631"/>
      <c r="F1354" s="631"/>
      <c r="G1354" s="631"/>
      <c r="H1354" s="631"/>
      <c r="I1354" s="631"/>
      <c r="J1354" s="631"/>
      <c r="M1354" s="458"/>
      <c r="N1354" s="458"/>
      <c r="O1354" s="458" t="s">
        <v>112</v>
      </c>
      <c r="Q1354" s="450">
        <f>MAX($Q$103:Q1353)+1</f>
        <v>37</v>
      </c>
      <c r="R1354" s="490" t="str">
        <f>R$1406</f>
        <v>DELETE</v>
      </c>
    </row>
    <row r="1355" spans="2:24" ht="36" customHeight="1" x14ac:dyDescent="0.5">
      <c r="B1355" s="502"/>
      <c r="D1355" s="630" t="str">
        <f>Criteria!E9</f>
        <v>ABC COMPANY (PROPRIETARY) LIMITED</v>
      </c>
      <c r="E1355" s="631"/>
      <c r="F1355" s="631"/>
      <c r="G1355" s="631"/>
      <c r="H1355" s="631"/>
      <c r="I1355" s="631"/>
      <c r="J1355" s="631"/>
      <c r="M1355" s="541"/>
      <c r="N1355" s="541"/>
      <c r="O1355" s="451"/>
      <c r="P1355" s="451"/>
      <c r="Q1355" s="451"/>
      <c r="R1355" s="490" t="str">
        <f>R$1406</f>
        <v>DELETE</v>
      </c>
    </row>
    <row r="1356" spans="2:24" ht="36" customHeight="1" x14ac:dyDescent="0.5">
      <c r="B1356" s="502"/>
      <c r="D1356" s="630" t="str">
        <f>Criteria!E10</f>
        <v>T/A SEAFRONT HOTEL, ABC RESTAURANT AND RENTAL PROPERTIES</v>
      </c>
      <c r="E1356" s="631"/>
      <c r="F1356" s="631"/>
      <c r="G1356" s="631"/>
      <c r="H1356" s="631"/>
      <c r="I1356" s="631"/>
      <c r="J1356" s="631"/>
      <c r="M1356" s="541"/>
      <c r="N1356" s="541"/>
      <c r="O1356" s="541"/>
      <c r="R1356" s="490" t="str">
        <f>IF(R$1406="DELETE","DELETE",IF(D1356=0,"DELETE"," "))</f>
        <v>DELETE</v>
      </c>
    </row>
    <row r="1357" spans="2:24" ht="36" customHeight="1" x14ac:dyDescent="0.5">
      <c r="B1357" s="502"/>
      <c r="D1357" s="631"/>
      <c r="E1357" s="631"/>
      <c r="F1357" s="631"/>
      <c r="G1357" s="631"/>
      <c r="H1357" s="631"/>
      <c r="I1357" s="631"/>
      <c r="J1357" s="631"/>
      <c r="M1357" s="541"/>
      <c r="N1357" s="541"/>
      <c r="O1357" s="541"/>
      <c r="R1357" s="490" t="str">
        <f t="shared" ref="R1357:R1366" si="35">R$1406</f>
        <v>DELETE</v>
      </c>
    </row>
    <row r="1358" spans="2:24" ht="36" customHeight="1" x14ac:dyDescent="0.5">
      <c r="B1358" s="502"/>
      <c r="D1358" s="630" t="s">
        <v>415</v>
      </c>
      <c r="E1358" s="631"/>
      <c r="F1358" s="631"/>
      <c r="G1358" s="631"/>
      <c r="H1358" s="631"/>
      <c r="I1358" s="631"/>
      <c r="J1358" s="631"/>
      <c r="M1358" s="541"/>
      <c r="N1358" s="541"/>
      <c r="O1358" s="541"/>
      <c r="R1358" s="490" t="str">
        <f t="shared" si="35"/>
        <v>DELETE</v>
      </c>
    </row>
    <row r="1359" spans="2:24" ht="36" customHeight="1" x14ac:dyDescent="0.5">
      <c r="B1359" s="502"/>
      <c r="D1359" s="630" t="str">
        <f>Criteria!E20</f>
        <v>28 FEBRUARY 2026</v>
      </c>
      <c r="E1359" s="631"/>
      <c r="F1359" s="631"/>
      <c r="G1359" s="631"/>
      <c r="H1359" s="631"/>
      <c r="I1359" s="631"/>
      <c r="J1359" s="631" t="s">
        <v>282</v>
      </c>
      <c r="M1359" s="541"/>
      <c r="N1359" s="541"/>
      <c r="O1359" s="541"/>
      <c r="R1359" s="490" t="str">
        <f t="shared" si="35"/>
        <v>DELETE</v>
      </c>
    </row>
    <row r="1360" spans="2:24" ht="36" customHeight="1" x14ac:dyDescent="0.5">
      <c r="B1360" s="502"/>
      <c r="D1360" s="630"/>
      <c r="E1360" s="631"/>
      <c r="F1360" s="631"/>
      <c r="G1360" s="631"/>
      <c r="H1360" s="631"/>
      <c r="I1360" s="631"/>
      <c r="J1360" s="631"/>
      <c r="M1360" s="541"/>
      <c r="N1360" s="541"/>
      <c r="O1360" s="541"/>
      <c r="R1360" s="490" t="str">
        <f t="shared" si="35"/>
        <v>DELETE</v>
      </c>
    </row>
    <row r="1361" spans="2:24" ht="36" customHeight="1" x14ac:dyDescent="0.5">
      <c r="B1361" s="640"/>
      <c r="C1361" s="484"/>
      <c r="D1361" s="649"/>
      <c r="E1361" s="649"/>
      <c r="F1361" s="649"/>
      <c r="G1361" s="649"/>
      <c r="H1361" s="649"/>
      <c r="I1361" s="649"/>
      <c r="J1361" s="649"/>
      <c r="K1361" s="457"/>
      <c r="L1361" s="457"/>
      <c r="M1361" s="459"/>
      <c r="N1361" s="459"/>
      <c r="O1361" s="459"/>
      <c r="P1361" s="551"/>
      <c r="Q1361" s="457"/>
      <c r="R1361" s="490" t="str">
        <f t="shared" si="35"/>
        <v>DELETE</v>
      </c>
    </row>
    <row r="1362" spans="2:24" ht="36" customHeight="1" x14ac:dyDescent="0.5">
      <c r="B1362" s="501"/>
      <c r="C1362" s="449"/>
      <c r="D1362" s="631"/>
      <c r="E1362" s="631"/>
      <c r="F1362" s="631"/>
      <c r="G1362" s="631"/>
      <c r="H1362" s="631"/>
      <c r="I1362" s="631"/>
      <c r="J1362" s="631"/>
      <c r="M1362" s="453">
        <f>Criteria!E22</f>
        <v>2026</v>
      </c>
      <c r="N1362" s="453"/>
      <c r="O1362" s="453">
        <f>Criteria!E27</f>
        <v>2025</v>
      </c>
      <c r="R1362" s="490" t="str">
        <f t="shared" si="35"/>
        <v>DELETE</v>
      </c>
    </row>
    <row r="1363" spans="2:24" ht="36" customHeight="1" x14ac:dyDescent="0.5">
      <c r="B1363" s="501"/>
      <c r="C1363" s="449"/>
      <c r="D1363" s="631"/>
      <c r="E1363" s="631"/>
      <c r="F1363" s="631"/>
      <c r="G1363" s="631"/>
      <c r="H1363" s="631"/>
      <c r="I1363" s="631"/>
      <c r="J1363" s="631"/>
      <c r="M1363" s="458"/>
      <c r="N1363" s="458"/>
      <c r="O1363" s="458"/>
      <c r="R1363" s="490" t="str">
        <f t="shared" si="35"/>
        <v>DELETE</v>
      </c>
    </row>
    <row r="1364" spans="2:24" ht="34.5" customHeight="1" x14ac:dyDescent="0.5">
      <c r="B1364" s="501">
        <f>MAX(B$871:B1363)+1</f>
        <v>6</v>
      </c>
      <c r="C1364" s="630" t="s">
        <v>225</v>
      </c>
      <c r="D1364" s="631"/>
      <c r="E1364" s="631"/>
      <c r="F1364" s="631"/>
      <c r="G1364" s="631"/>
      <c r="H1364" s="631"/>
      <c r="I1364" s="631"/>
      <c r="J1364" s="631"/>
      <c r="M1364" s="458"/>
      <c r="N1364" s="458"/>
      <c r="O1364" s="458"/>
      <c r="R1364" s="490" t="str">
        <f t="shared" si="35"/>
        <v>DELETE</v>
      </c>
    </row>
    <row r="1365" spans="2:24" ht="36" hidden="1" customHeight="1" x14ac:dyDescent="0.45">
      <c r="B1365" s="501"/>
      <c r="C1365" s="449">
        <f>B1364</f>
        <v>6</v>
      </c>
      <c r="M1365" s="458"/>
      <c r="N1365" s="458"/>
      <c r="O1365" s="458"/>
      <c r="R1365" s="490" t="str">
        <f>R1364</f>
        <v>DELETE</v>
      </c>
    </row>
    <row r="1366" spans="2:24" ht="36" customHeight="1" x14ac:dyDescent="0.5">
      <c r="B1366" s="501"/>
      <c r="C1366" s="449"/>
      <c r="D1366" s="631"/>
      <c r="E1366" s="631"/>
      <c r="F1366" s="631"/>
      <c r="G1366" s="631"/>
      <c r="H1366" s="631"/>
      <c r="I1366" s="631"/>
      <c r="J1366" s="631"/>
      <c r="M1366" s="458"/>
      <c r="N1366" s="458"/>
      <c r="O1366" s="458"/>
      <c r="R1366" s="490" t="str">
        <f t="shared" si="35"/>
        <v>DELETE</v>
      </c>
    </row>
    <row r="1367" spans="2:24" ht="36" customHeight="1" x14ac:dyDescent="0.5">
      <c r="B1367" s="501"/>
      <c r="C1367" s="501">
        <f>MAX(C$1364:C1365)+0.1</f>
        <v>6.1</v>
      </c>
      <c r="D1367" s="631" t="s">
        <v>567</v>
      </c>
      <c r="E1367" s="631"/>
      <c r="F1367" s="631"/>
      <c r="G1367" s="631"/>
      <c r="H1367" s="631"/>
      <c r="I1367" s="631"/>
      <c r="J1367" s="631"/>
      <c r="M1367" s="458">
        <f>SUM(M1370:M1372)</f>
        <v>0</v>
      </c>
      <c r="N1367" s="458"/>
      <c r="O1367" s="458">
        <f>SUM(O1370:O1372)</f>
        <v>0</v>
      </c>
      <c r="R1367" s="490" t="str">
        <f>IF(M1367+O1367=0,"DELETE"," ")</f>
        <v>DELETE</v>
      </c>
      <c r="S1367" s="496">
        <f>M1367</f>
        <v>0</v>
      </c>
      <c r="T1367" s="496"/>
      <c r="U1367" s="496">
        <f>O1367</f>
        <v>0</v>
      </c>
      <c r="V1367" s="496"/>
      <c r="W1367" s="496"/>
      <c r="X1367" s="496"/>
    </row>
    <row r="1368" spans="2:24" ht="9" customHeight="1" x14ac:dyDescent="0.5">
      <c r="B1368" s="501"/>
      <c r="C1368" s="516"/>
      <c r="D1368" s="631"/>
      <c r="E1368" s="631"/>
      <c r="F1368" s="631"/>
      <c r="G1368" s="631"/>
      <c r="H1368" s="631"/>
      <c r="I1368" s="631"/>
      <c r="J1368" s="631"/>
      <c r="M1368" s="458"/>
      <c r="N1368" s="458"/>
      <c r="O1368" s="458"/>
      <c r="R1368" s="490" t="str">
        <f>R1367</f>
        <v>DELETE</v>
      </c>
    </row>
    <row r="1369" spans="2:24" ht="9" customHeight="1" x14ac:dyDescent="0.5">
      <c r="B1369" s="501"/>
      <c r="C1369" s="516"/>
      <c r="D1369" s="631"/>
      <c r="E1369" s="631"/>
      <c r="F1369" s="631"/>
      <c r="G1369" s="631"/>
      <c r="H1369" s="631"/>
      <c r="I1369" s="631"/>
      <c r="J1369" s="631"/>
      <c r="M1369" s="578"/>
      <c r="N1369" s="459"/>
      <c r="O1369" s="579"/>
      <c r="R1369" s="490" t="str">
        <f>R1367</f>
        <v>DELETE</v>
      </c>
    </row>
    <row r="1370" spans="2:24" ht="36" customHeight="1" x14ac:dyDescent="0.5">
      <c r="B1370" s="501"/>
      <c r="C1370" s="516"/>
      <c r="D1370" s="631" t="s">
        <v>296</v>
      </c>
      <c r="E1370" s="631"/>
      <c r="F1370" s="631"/>
      <c r="G1370" s="631"/>
      <c r="H1370" s="631"/>
      <c r="I1370" s="631"/>
      <c r="J1370" s="631"/>
      <c r="M1370" s="580">
        <f>-TrialBalance!L91-TrialBalanceA!I91-TrialBalanceB!I91-TrialBalanceC!I91</f>
        <v>0</v>
      </c>
      <c r="N1370" s="458"/>
      <c r="O1370" s="581">
        <f>-TrialBalance!N91-TrialBalanceA!K91-TrialBalanceB!K91-TrialBalanceC!K91</f>
        <v>0</v>
      </c>
      <c r="R1370" s="490" t="str">
        <f>IF(M1370+O1370=0,"DELETE"," ")</f>
        <v>DELETE</v>
      </c>
    </row>
    <row r="1371" spans="2:24" ht="36" customHeight="1" x14ac:dyDescent="0.5">
      <c r="B1371" s="501"/>
      <c r="C1371" s="516"/>
      <c r="D1371" s="631" t="s">
        <v>1208</v>
      </c>
      <c r="E1371" s="631"/>
      <c r="F1371" s="631"/>
      <c r="G1371" s="631"/>
      <c r="H1371" s="631"/>
      <c r="I1371" s="631"/>
      <c r="J1371" s="631"/>
      <c r="M1371" s="580">
        <f>-TrialBalance!L92-TrialBalanceA!I92-TrialBalanceB!I92-TrialBalanceC!I92</f>
        <v>0</v>
      </c>
      <c r="N1371" s="458"/>
      <c r="O1371" s="581">
        <f>-TrialBalance!N92-TrialBalanceA!K92-TrialBalanceB!K92-TrialBalanceC!K92</f>
        <v>0</v>
      </c>
      <c r="R1371" s="490" t="str">
        <f>IF(M1371+O1371=0,"DELETE"," ")</f>
        <v>DELETE</v>
      </c>
    </row>
    <row r="1372" spans="2:24" ht="36" customHeight="1" x14ac:dyDescent="0.5">
      <c r="B1372" s="501"/>
      <c r="C1372" s="516"/>
      <c r="D1372" s="631" t="s">
        <v>615</v>
      </c>
      <c r="E1372" s="631"/>
      <c r="F1372" s="631"/>
      <c r="G1372" s="631"/>
      <c r="H1372" s="631"/>
      <c r="I1372" s="631"/>
      <c r="J1372" s="631"/>
      <c r="M1372" s="580">
        <f>-TrialBalance!L93-TrialBalanceA!I93-TrialBalanceB!I93-TrialBalanceC!I93</f>
        <v>0</v>
      </c>
      <c r="N1372" s="458"/>
      <c r="O1372" s="581">
        <f>-TrialBalance!N93-TrialBalanceA!K93-TrialBalanceB!K93-TrialBalanceC!K93</f>
        <v>0</v>
      </c>
      <c r="R1372" s="490" t="str">
        <f>IF(M1372+O1372=0,"DELETE"," ")</f>
        <v>DELETE</v>
      </c>
    </row>
    <row r="1373" spans="2:24" ht="9" customHeight="1" x14ac:dyDescent="0.5">
      <c r="B1373" s="501"/>
      <c r="C1373" s="516"/>
      <c r="D1373" s="631"/>
      <c r="E1373" s="631"/>
      <c r="F1373" s="631"/>
      <c r="G1373" s="631"/>
      <c r="H1373" s="631"/>
      <c r="I1373" s="631"/>
      <c r="J1373" s="631"/>
      <c r="M1373" s="460"/>
      <c r="N1373" s="461"/>
      <c r="O1373" s="582"/>
      <c r="R1373" s="490" t="str">
        <f>R1367</f>
        <v>DELETE</v>
      </c>
    </row>
    <row r="1374" spans="2:24" ht="9" customHeight="1" x14ac:dyDescent="0.5">
      <c r="B1374" s="501"/>
      <c r="C1374" s="516"/>
      <c r="D1374" s="631"/>
      <c r="E1374" s="631"/>
      <c r="F1374" s="631"/>
      <c r="G1374" s="631"/>
      <c r="H1374" s="631"/>
      <c r="I1374" s="631"/>
      <c r="J1374" s="631"/>
      <c r="M1374" s="458"/>
      <c r="N1374" s="458"/>
      <c r="O1374" s="458"/>
      <c r="R1374" s="490" t="str">
        <f>R1367</f>
        <v>DELETE</v>
      </c>
    </row>
    <row r="1375" spans="2:24" ht="36.75" customHeight="1" x14ac:dyDescent="0.5">
      <c r="B1375" s="501"/>
      <c r="C1375" s="501">
        <f>MAX(C$1364:C1374)+0.1</f>
        <v>6.1999999999999993</v>
      </c>
      <c r="D1375" s="631" t="s">
        <v>767</v>
      </c>
      <c r="E1375" s="631"/>
      <c r="F1375" s="631"/>
      <c r="G1375" s="631"/>
      <c r="H1375" s="631"/>
      <c r="I1375" s="631"/>
      <c r="J1375" s="631"/>
      <c r="M1375" s="458">
        <f>SUM(M1377:M1394)</f>
        <v>0</v>
      </c>
      <c r="N1375" s="458"/>
      <c r="O1375" s="458">
        <f>SUM(O1377:O1394)</f>
        <v>0</v>
      </c>
      <c r="R1375" s="490" t="str">
        <f>IF(M1375+O1375=0,"DELETE"," ")</f>
        <v>DELETE</v>
      </c>
      <c r="S1375" s="496">
        <f>M1375</f>
        <v>0</v>
      </c>
      <c r="T1375" s="496"/>
      <c r="U1375" s="496">
        <f>O1375</f>
        <v>0</v>
      </c>
      <c r="V1375" s="496"/>
      <c r="W1375" s="496"/>
      <c r="X1375" s="496"/>
    </row>
    <row r="1376" spans="2:24" ht="9" customHeight="1" x14ac:dyDescent="0.5">
      <c r="B1376" s="501"/>
      <c r="C1376" s="516"/>
      <c r="D1376" s="631"/>
      <c r="E1376" s="631"/>
      <c r="F1376" s="631"/>
      <c r="G1376" s="631"/>
      <c r="H1376" s="631"/>
      <c r="I1376" s="631"/>
      <c r="J1376" s="631"/>
      <c r="M1376" s="458"/>
      <c r="N1376" s="458"/>
      <c r="O1376" s="458"/>
      <c r="R1376" s="490" t="str">
        <f>R1375</f>
        <v>DELETE</v>
      </c>
    </row>
    <row r="1377" spans="2:18" ht="9" customHeight="1" x14ac:dyDescent="0.5">
      <c r="B1377" s="501"/>
      <c r="C1377" s="516"/>
      <c r="D1377" s="631"/>
      <c r="E1377" s="631"/>
      <c r="F1377" s="631"/>
      <c r="G1377" s="631"/>
      <c r="H1377" s="631"/>
      <c r="I1377" s="631"/>
      <c r="J1377" s="631"/>
      <c r="M1377" s="578"/>
      <c r="N1377" s="459"/>
      <c r="O1377" s="579"/>
      <c r="R1377" s="490" t="str">
        <f>R1375</f>
        <v>DELETE</v>
      </c>
    </row>
    <row r="1378" spans="2:18" ht="36" customHeight="1" x14ac:dyDescent="0.5">
      <c r="B1378" s="501"/>
      <c r="C1378" s="516"/>
      <c r="D1378" s="655">
        <f>TrialBalance!C86</f>
        <v>0</v>
      </c>
      <c r="E1378" s="631"/>
      <c r="F1378" s="631"/>
      <c r="G1378" s="631"/>
      <c r="H1378" s="631"/>
      <c r="I1378" s="631"/>
      <c r="J1378" s="631"/>
      <c r="M1378" s="580">
        <f>-TrialBalance!L86</f>
        <v>0</v>
      </c>
      <c r="N1378" s="458"/>
      <c r="O1378" s="581">
        <f>-TrialBalance!N86</f>
        <v>0</v>
      </c>
      <c r="R1378" s="490" t="str">
        <f>IF(M1378+O1378=0,"DELETE"," ")</f>
        <v>DELETE</v>
      </c>
    </row>
    <row r="1379" spans="2:18" ht="36" customHeight="1" x14ac:dyDescent="0.5">
      <c r="B1379" s="501"/>
      <c r="C1379" s="516"/>
      <c r="D1379" s="655">
        <f>TrialBalance!C87</f>
        <v>0</v>
      </c>
      <c r="E1379" s="631"/>
      <c r="F1379" s="631"/>
      <c r="G1379" s="631"/>
      <c r="H1379" s="631"/>
      <c r="I1379" s="631"/>
      <c r="J1379" s="631"/>
      <c r="M1379" s="580">
        <f>-TrialBalance!L87</f>
        <v>0</v>
      </c>
      <c r="N1379" s="458"/>
      <c r="O1379" s="581">
        <f>-TrialBalance!N87</f>
        <v>0</v>
      </c>
      <c r="R1379" s="490" t="str">
        <f>IF(M1379+O1379=0,"DELETE"," ")</f>
        <v>DELETE</v>
      </c>
    </row>
    <row r="1380" spans="2:18" ht="36" customHeight="1" x14ac:dyDescent="0.5">
      <c r="B1380" s="501"/>
      <c r="C1380" s="516"/>
      <c r="D1380" s="655">
        <f>TrialBalance!C88</f>
        <v>0</v>
      </c>
      <c r="E1380" s="631"/>
      <c r="F1380" s="631"/>
      <c r="G1380" s="631"/>
      <c r="H1380" s="631"/>
      <c r="I1380" s="631"/>
      <c r="J1380" s="631"/>
      <c r="M1380" s="580">
        <f>-TrialBalance!L88</f>
        <v>0</v>
      </c>
      <c r="N1380" s="458"/>
      <c r="O1380" s="581">
        <f>-TrialBalance!N88</f>
        <v>0</v>
      </c>
      <c r="R1380" s="490" t="str">
        <f>IF(M1380+O1380=0,"DELETE"," ")</f>
        <v>DELETE</v>
      </c>
    </row>
    <row r="1381" spans="2:18" ht="36" customHeight="1" x14ac:dyDescent="0.5">
      <c r="B1381" s="501"/>
      <c r="C1381" s="516"/>
      <c r="D1381" s="655">
        <f>TrialBalance!C89</f>
        <v>0</v>
      </c>
      <c r="E1381" s="631"/>
      <c r="F1381" s="631"/>
      <c r="G1381" s="631"/>
      <c r="H1381" s="631"/>
      <c r="I1381" s="631"/>
      <c r="J1381" s="631"/>
      <c r="M1381" s="580">
        <f>-TrialBalance!L89</f>
        <v>0</v>
      </c>
      <c r="N1381" s="458"/>
      <c r="O1381" s="581">
        <f>-TrialBalance!N89</f>
        <v>0</v>
      </c>
      <c r="R1381" s="490" t="str">
        <f>IF(M1381+O1381=0,"DELETE"," ")</f>
        <v>DELETE</v>
      </c>
    </row>
    <row r="1382" spans="2:18" ht="36" customHeight="1" x14ac:dyDescent="0.5">
      <c r="B1382" s="501"/>
      <c r="C1382" s="516"/>
      <c r="D1382" s="655">
        <f>TrialBalanceA!C86</f>
        <v>0</v>
      </c>
      <c r="E1382" s="631"/>
      <c r="F1382" s="631"/>
      <c r="G1382" s="631"/>
      <c r="H1382" s="631"/>
      <c r="I1382" s="631"/>
      <c r="J1382" s="631"/>
      <c r="M1382" s="580">
        <f>-TrialBalanceA!I86</f>
        <v>0</v>
      </c>
      <c r="N1382" s="458"/>
      <c r="O1382" s="581">
        <f>-TrialBalanceA!K86</f>
        <v>0</v>
      </c>
      <c r="R1382" s="490" t="str">
        <f t="shared" ref="R1382:R1386" si="36">IF(M1382+O1382=0,"DELETE"," ")</f>
        <v>DELETE</v>
      </c>
    </row>
    <row r="1383" spans="2:18" ht="36" customHeight="1" x14ac:dyDescent="0.5">
      <c r="B1383" s="501"/>
      <c r="C1383" s="516"/>
      <c r="D1383" s="655">
        <f>TrialBalanceA!C87</f>
        <v>0</v>
      </c>
      <c r="E1383" s="631"/>
      <c r="F1383" s="631"/>
      <c r="G1383" s="631"/>
      <c r="H1383" s="631"/>
      <c r="I1383" s="631"/>
      <c r="J1383" s="631"/>
      <c r="M1383" s="580">
        <f>-TrialBalanceA!I87</f>
        <v>0</v>
      </c>
      <c r="N1383" s="458"/>
      <c r="O1383" s="581">
        <f>-TrialBalanceA!K87</f>
        <v>0</v>
      </c>
      <c r="R1383" s="490" t="str">
        <f t="shared" si="36"/>
        <v>DELETE</v>
      </c>
    </row>
    <row r="1384" spans="2:18" ht="36" customHeight="1" x14ac:dyDescent="0.5">
      <c r="B1384" s="501"/>
      <c r="C1384" s="516"/>
      <c r="D1384" s="655">
        <f>TrialBalanceA!C88</f>
        <v>0</v>
      </c>
      <c r="E1384" s="631"/>
      <c r="F1384" s="631"/>
      <c r="G1384" s="631"/>
      <c r="H1384" s="631"/>
      <c r="I1384" s="631"/>
      <c r="J1384" s="631"/>
      <c r="M1384" s="580">
        <f>-TrialBalanceA!I88</f>
        <v>0</v>
      </c>
      <c r="N1384" s="458"/>
      <c r="O1384" s="581">
        <f>-TrialBalanceA!K88</f>
        <v>0</v>
      </c>
      <c r="R1384" s="490" t="str">
        <f t="shared" si="36"/>
        <v>DELETE</v>
      </c>
    </row>
    <row r="1385" spans="2:18" ht="36" customHeight="1" x14ac:dyDescent="0.5">
      <c r="B1385" s="501"/>
      <c r="C1385" s="516"/>
      <c r="D1385" s="655">
        <f>TrialBalanceA!C89</f>
        <v>0</v>
      </c>
      <c r="E1385" s="631"/>
      <c r="F1385" s="631"/>
      <c r="G1385" s="631"/>
      <c r="H1385" s="631"/>
      <c r="I1385" s="631"/>
      <c r="J1385" s="631"/>
      <c r="M1385" s="580">
        <f>-TrialBalanceA!I89</f>
        <v>0</v>
      </c>
      <c r="N1385" s="458"/>
      <c r="O1385" s="581">
        <f>-TrialBalanceA!K89</f>
        <v>0</v>
      </c>
      <c r="R1385" s="490" t="str">
        <f t="shared" si="36"/>
        <v>DELETE</v>
      </c>
    </row>
    <row r="1386" spans="2:18" ht="36" customHeight="1" x14ac:dyDescent="0.5">
      <c r="B1386" s="501"/>
      <c r="C1386" s="516"/>
      <c r="D1386" s="655">
        <f>TrialBalanceB!C86</f>
        <v>0</v>
      </c>
      <c r="E1386" s="631"/>
      <c r="F1386" s="631"/>
      <c r="G1386" s="631"/>
      <c r="H1386" s="631"/>
      <c r="I1386" s="631"/>
      <c r="J1386" s="631"/>
      <c r="M1386" s="580">
        <f>-TrialBalanceB!I86</f>
        <v>0</v>
      </c>
      <c r="N1386" s="458"/>
      <c r="O1386" s="581">
        <f>-TrialBalanceB!K86</f>
        <v>0</v>
      </c>
      <c r="R1386" s="490" t="str">
        <f t="shared" si="36"/>
        <v>DELETE</v>
      </c>
    </row>
    <row r="1387" spans="2:18" ht="36" customHeight="1" x14ac:dyDescent="0.5">
      <c r="B1387" s="501"/>
      <c r="C1387" s="516"/>
      <c r="D1387" s="655">
        <f>TrialBalanceB!C87</f>
        <v>0</v>
      </c>
      <c r="E1387" s="631"/>
      <c r="F1387" s="631"/>
      <c r="G1387" s="631"/>
      <c r="H1387" s="631"/>
      <c r="I1387" s="631"/>
      <c r="J1387" s="631"/>
      <c r="M1387" s="580">
        <f>-TrialBalanceB!I87</f>
        <v>0</v>
      </c>
      <c r="N1387" s="458"/>
      <c r="O1387" s="581">
        <f>-TrialBalanceB!K87</f>
        <v>0</v>
      </c>
      <c r="R1387" s="490" t="str">
        <f t="shared" ref="R1387:R1390" si="37">IF(M1387+O1387=0,"DELETE"," ")</f>
        <v>DELETE</v>
      </c>
    </row>
    <row r="1388" spans="2:18" ht="36" customHeight="1" x14ac:dyDescent="0.5">
      <c r="B1388" s="501"/>
      <c r="C1388" s="516"/>
      <c r="D1388" s="655">
        <f>TrialBalanceB!C88</f>
        <v>0</v>
      </c>
      <c r="E1388" s="631"/>
      <c r="F1388" s="631"/>
      <c r="G1388" s="631"/>
      <c r="H1388" s="631"/>
      <c r="I1388" s="631"/>
      <c r="J1388" s="631"/>
      <c r="M1388" s="580">
        <f>-TrialBalanceB!I88</f>
        <v>0</v>
      </c>
      <c r="N1388" s="458"/>
      <c r="O1388" s="581">
        <f>-TrialBalanceB!K88</f>
        <v>0</v>
      </c>
      <c r="R1388" s="490" t="str">
        <f t="shared" si="37"/>
        <v>DELETE</v>
      </c>
    </row>
    <row r="1389" spans="2:18" ht="36" customHeight="1" x14ac:dyDescent="0.5">
      <c r="B1389" s="501"/>
      <c r="C1389" s="516"/>
      <c r="D1389" s="655">
        <f>TrialBalanceB!C89</f>
        <v>0</v>
      </c>
      <c r="E1389" s="631"/>
      <c r="F1389" s="631"/>
      <c r="G1389" s="631"/>
      <c r="H1389" s="631"/>
      <c r="I1389" s="631"/>
      <c r="J1389" s="631"/>
      <c r="M1389" s="580">
        <f>-TrialBalanceB!I89</f>
        <v>0</v>
      </c>
      <c r="N1389" s="458"/>
      <c r="O1389" s="581">
        <f>-TrialBalanceB!K89</f>
        <v>0</v>
      </c>
      <c r="R1389" s="490" t="str">
        <f t="shared" si="37"/>
        <v>DELETE</v>
      </c>
    </row>
    <row r="1390" spans="2:18" ht="36" customHeight="1" x14ac:dyDescent="0.5">
      <c r="B1390" s="501"/>
      <c r="C1390" s="516"/>
      <c r="D1390" s="655">
        <f>TrialBalanceC!C86</f>
        <v>0</v>
      </c>
      <c r="E1390" s="631"/>
      <c r="F1390" s="631"/>
      <c r="G1390" s="631"/>
      <c r="H1390" s="631"/>
      <c r="I1390" s="631"/>
      <c r="J1390" s="631"/>
      <c r="M1390" s="580">
        <f>-TrialBalanceC!I86</f>
        <v>0</v>
      </c>
      <c r="N1390" s="458"/>
      <c r="O1390" s="581">
        <f>-TrialBalanceC!K86</f>
        <v>0</v>
      </c>
      <c r="R1390" s="490" t="str">
        <f t="shared" si="37"/>
        <v>DELETE</v>
      </c>
    </row>
    <row r="1391" spans="2:18" ht="36" customHeight="1" x14ac:dyDescent="0.5">
      <c r="B1391" s="501"/>
      <c r="C1391" s="516"/>
      <c r="D1391" s="655">
        <f>TrialBalanceC!C87</f>
        <v>0</v>
      </c>
      <c r="E1391" s="631"/>
      <c r="F1391" s="631"/>
      <c r="G1391" s="631"/>
      <c r="H1391" s="631"/>
      <c r="I1391" s="631"/>
      <c r="J1391" s="631"/>
      <c r="M1391" s="580">
        <f>-TrialBalanceC!I87</f>
        <v>0</v>
      </c>
      <c r="N1391" s="458"/>
      <c r="O1391" s="581">
        <f>-TrialBalanceC!K87</f>
        <v>0</v>
      </c>
      <c r="R1391" s="490" t="str">
        <f t="shared" ref="R1391:R1393" si="38">IF(M1391+O1391=0,"DELETE"," ")</f>
        <v>DELETE</v>
      </c>
    </row>
    <row r="1392" spans="2:18" ht="36" customHeight="1" x14ac:dyDescent="0.5">
      <c r="B1392" s="501"/>
      <c r="C1392" s="516"/>
      <c r="D1392" s="655">
        <f>TrialBalanceC!C88</f>
        <v>0</v>
      </c>
      <c r="E1392" s="631"/>
      <c r="F1392" s="631"/>
      <c r="G1392" s="631"/>
      <c r="H1392" s="631"/>
      <c r="I1392" s="631"/>
      <c r="J1392" s="631"/>
      <c r="M1392" s="580">
        <f>-TrialBalanceC!I88</f>
        <v>0</v>
      </c>
      <c r="N1392" s="458"/>
      <c r="O1392" s="581">
        <f>-TrialBalanceC!K88</f>
        <v>0</v>
      </c>
      <c r="R1392" s="490" t="str">
        <f t="shared" si="38"/>
        <v>DELETE</v>
      </c>
    </row>
    <row r="1393" spans="2:24" ht="36" customHeight="1" x14ac:dyDescent="0.5">
      <c r="B1393" s="501"/>
      <c r="C1393" s="516"/>
      <c r="D1393" s="655">
        <f>TrialBalanceC!C89</f>
        <v>0</v>
      </c>
      <c r="E1393" s="631"/>
      <c r="F1393" s="631"/>
      <c r="G1393" s="631"/>
      <c r="H1393" s="631"/>
      <c r="I1393" s="631"/>
      <c r="J1393" s="631"/>
      <c r="M1393" s="580">
        <f>-TrialBalanceC!I89</f>
        <v>0</v>
      </c>
      <c r="N1393" s="458"/>
      <c r="O1393" s="581">
        <f>-TrialBalanceC!K89</f>
        <v>0</v>
      </c>
      <c r="R1393" s="490" t="str">
        <f t="shared" si="38"/>
        <v>DELETE</v>
      </c>
    </row>
    <row r="1394" spans="2:24" ht="9" customHeight="1" x14ac:dyDescent="0.5">
      <c r="B1394" s="501"/>
      <c r="C1394" s="516"/>
      <c r="D1394" s="631"/>
      <c r="E1394" s="631"/>
      <c r="F1394" s="631"/>
      <c r="G1394" s="631"/>
      <c r="H1394" s="631"/>
      <c r="I1394" s="631"/>
      <c r="J1394" s="631"/>
      <c r="M1394" s="460"/>
      <c r="N1394" s="461"/>
      <c r="O1394" s="582"/>
      <c r="R1394" s="490" t="str">
        <f>R1375</f>
        <v>DELETE</v>
      </c>
    </row>
    <row r="1395" spans="2:24" ht="9" customHeight="1" x14ac:dyDescent="0.5">
      <c r="B1395" s="501"/>
      <c r="C1395" s="516"/>
      <c r="D1395" s="631"/>
      <c r="E1395" s="631"/>
      <c r="F1395" s="631"/>
      <c r="G1395" s="631"/>
      <c r="H1395" s="631"/>
      <c r="I1395" s="631"/>
      <c r="J1395" s="631"/>
      <c r="M1395" s="458"/>
      <c r="N1395" s="458"/>
      <c r="O1395" s="458"/>
      <c r="R1395" s="490" t="str">
        <f>R1375</f>
        <v>DELETE</v>
      </c>
    </row>
    <row r="1396" spans="2:24" ht="36.75" customHeight="1" x14ac:dyDescent="0.5">
      <c r="B1396" s="501"/>
      <c r="C1396" s="501">
        <f>MAX(C$1364:C1395)+0.1</f>
        <v>6.2999999999999989</v>
      </c>
      <c r="D1396" s="631" t="s">
        <v>460</v>
      </c>
      <c r="E1396" s="631"/>
      <c r="F1396" s="631"/>
      <c r="G1396" s="631"/>
      <c r="H1396" s="631"/>
      <c r="I1396" s="631"/>
      <c r="J1396" s="631"/>
      <c r="M1396" s="458">
        <f>SUM(M1398:M1403)</f>
        <v>0</v>
      </c>
      <c r="N1396" s="458"/>
      <c r="O1396" s="458">
        <f>SUM(O1398:O1403)</f>
        <v>0</v>
      </c>
      <c r="R1396" s="490" t="str">
        <f>IF(SUM(M1399:M1402)+SUM(O1399:O1402)=0,"DELETE"," ")</f>
        <v>DELETE</v>
      </c>
      <c r="S1396" s="495">
        <f>M1396</f>
        <v>0</v>
      </c>
      <c r="U1396" s="495">
        <f>O1396</f>
        <v>0</v>
      </c>
    </row>
    <row r="1397" spans="2:24" ht="9" customHeight="1" x14ac:dyDescent="0.5">
      <c r="B1397" s="501"/>
      <c r="C1397" s="518"/>
      <c r="D1397" s="631"/>
      <c r="E1397" s="631"/>
      <c r="F1397" s="631"/>
      <c r="G1397" s="631"/>
      <c r="H1397" s="631"/>
      <c r="I1397" s="631"/>
      <c r="J1397" s="631"/>
      <c r="M1397" s="458"/>
      <c r="N1397" s="458"/>
      <c r="O1397" s="458"/>
      <c r="R1397" s="490" t="str">
        <f>R1396</f>
        <v>DELETE</v>
      </c>
    </row>
    <row r="1398" spans="2:24" ht="9" customHeight="1" x14ac:dyDescent="0.5">
      <c r="B1398" s="501"/>
      <c r="C1398" s="518"/>
      <c r="D1398" s="631"/>
      <c r="E1398" s="631"/>
      <c r="F1398" s="631"/>
      <c r="G1398" s="631"/>
      <c r="H1398" s="631"/>
      <c r="I1398" s="631"/>
      <c r="J1398" s="631"/>
      <c r="M1398" s="578"/>
      <c r="N1398" s="459"/>
      <c r="O1398" s="579"/>
      <c r="R1398" s="490" t="str">
        <f>R1396</f>
        <v>DELETE</v>
      </c>
    </row>
    <row r="1399" spans="2:24" ht="36" customHeight="1" x14ac:dyDescent="0.5">
      <c r="B1399" s="501"/>
      <c r="C1399" s="516"/>
      <c r="D1399" s="631" t="s">
        <v>589</v>
      </c>
      <c r="E1399" s="631"/>
      <c r="F1399" s="631"/>
      <c r="G1399" s="631"/>
      <c r="H1399" s="631"/>
      <c r="I1399" s="631"/>
      <c r="J1399" s="631"/>
      <c r="M1399" s="580">
        <f>IF(TrialBalance!L94&lt;0,-TrialBalance!L94,0)+IF(TrialBalanceA!I94&lt;0,-TrialBalanceA!I94,0)+IF(TrialBalanceB!I94&lt;0,-TrialBalanceB!I94,0)+IF(TrialBalanceC!I94&lt;0,-TrialBalanceC!I94,0)</f>
        <v>0</v>
      </c>
      <c r="N1399" s="475"/>
      <c r="O1399" s="581">
        <f>IF(TrialBalance!N94&lt;0,-TrialBalance!N94,0)+IF(TrialBalanceA!K94&lt;0,-TrialBalanceA!K94,0)+IF(TrialBalanceB!K94&lt;0,-TrialBalanceB!K94,0)+IF(TrialBalanceC!K94&lt;0,-TrialBalanceC!K94,0)</f>
        <v>0</v>
      </c>
      <c r="R1399" s="490" t="str">
        <f>IF(M1399+O1399=0,"DELETE"," ")</f>
        <v>DELETE</v>
      </c>
      <c r="S1399" s="496"/>
      <c r="T1399" s="496"/>
      <c r="U1399" s="496"/>
      <c r="V1399" s="496"/>
      <c r="W1399" s="496"/>
      <c r="X1399" s="496"/>
    </row>
    <row r="1400" spans="2:24" ht="36" customHeight="1" x14ac:dyDescent="0.5">
      <c r="B1400" s="501"/>
      <c r="C1400" s="516"/>
      <c r="D1400" s="631" t="s">
        <v>398</v>
      </c>
      <c r="E1400" s="631"/>
      <c r="F1400" s="631"/>
      <c r="G1400" s="631"/>
      <c r="H1400" s="631"/>
      <c r="I1400" s="631"/>
      <c r="J1400" s="631"/>
      <c r="M1400" s="580">
        <f>-TrialBalance!L84-TrialBalanceA!I84-TrialBalanceB!I84-TrialBalanceC!I84</f>
        <v>0</v>
      </c>
      <c r="N1400" s="475"/>
      <c r="O1400" s="581">
        <f>-TrialBalance!N84-TrialBalanceA!K84-TrialBalanceB!K84-TrialBalanceC!K84</f>
        <v>0</v>
      </c>
      <c r="R1400" s="490" t="str">
        <f>IF(M1400+O1400=0,"DELETE"," ")</f>
        <v>DELETE</v>
      </c>
      <c r="S1400" s="496"/>
      <c r="T1400" s="496"/>
      <c r="U1400" s="496"/>
      <c r="V1400" s="496"/>
      <c r="W1400" s="496"/>
      <c r="X1400" s="496"/>
    </row>
    <row r="1401" spans="2:24" ht="36" customHeight="1" x14ac:dyDescent="0.5">
      <c r="B1401" s="501"/>
      <c r="C1401" s="516"/>
      <c r="D1401" s="631" t="s">
        <v>223</v>
      </c>
      <c r="E1401" s="631"/>
      <c r="F1401" s="631"/>
      <c r="G1401" s="631"/>
      <c r="H1401" s="631"/>
      <c r="I1401" s="631"/>
      <c r="J1401" s="631"/>
      <c r="M1401" s="580">
        <f>-TrialBalance!L95-TrialBalanceA!I95-TrialBalanceB!I95-TrialBalanceC!I95</f>
        <v>0</v>
      </c>
      <c r="N1401" s="475"/>
      <c r="O1401" s="581">
        <f>-TrialBalance!N95-TrialBalanceA!K95-TrialBalanceB!K95-TrialBalanceC!K95</f>
        <v>0</v>
      </c>
      <c r="R1401" s="490" t="str">
        <f>IF(M1401+O1401=0,"DELETE"," ")</f>
        <v>DELETE</v>
      </c>
      <c r="S1401" s="496"/>
      <c r="T1401" s="496"/>
      <c r="U1401" s="496"/>
      <c r="V1401" s="496"/>
      <c r="W1401" s="496"/>
      <c r="X1401" s="496"/>
    </row>
    <row r="1402" spans="2:24" ht="36" customHeight="1" x14ac:dyDescent="0.5">
      <c r="B1402" s="501"/>
      <c r="C1402" s="516"/>
      <c r="D1402" s="631" t="s">
        <v>460</v>
      </c>
      <c r="E1402" s="631"/>
      <c r="F1402" s="631"/>
      <c r="G1402" s="631"/>
      <c r="H1402" s="631"/>
      <c r="I1402" s="631"/>
      <c r="J1402" s="631"/>
      <c r="M1402" s="580">
        <f>-TrialBalance!L96-TrialBalanceA!I96-TrialBalanceB!I96-TrialBalanceC!I96</f>
        <v>0</v>
      </c>
      <c r="N1402" s="475"/>
      <c r="O1402" s="581">
        <f>-TrialBalance!N96-TrialBalanceA!K96-TrialBalanceB!K96-TrialBalanceC!K96</f>
        <v>0</v>
      </c>
      <c r="R1402" s="490" t="str">
        <f>IF(M1402+O1402=0,"DELETE"," ")</f>
        <v>DELETE</v>
      </c>
      <c r="S1402" s="496"/>
      <c r="T1402" s="496"/>
      <c r="U1402" s="496"/>
      <c r="V1402" s="496"/>
      <c r="W1402" s="496"/>
      <c r="X1402" s="496"/>
    </row>
    <row r="1403" spans="2:24" ht="9" customHeight="1" x14ac:dyDescent="0.5">
      <c r="B1403" s="501"/>
      <c r="C1403" s="516"/>
      <c r="D1403" s="631"/>
      <c r="E1403" s="631"/>
      <c r="F1403" s="631"/>
      <c r="G1403" s="631"/>
      <c r="H1403" s="631"/>
      <c r="I1403" s="631"/>
      <c r="J1403" s="631"/>
      <c r="M1403" s="460"/>
      <c r="N1403" s="461"/>
      <c r="O1403" s="582"/>
      <c r="R1403" s="490" t="str">
        <f>R1396</f>
        <v>DELETE</v>
      </c>
      <c r="S1403" s="496"/>
      <c r="T1403" s="496"/>
      <c r="U1403" s="496"/>
      <c r="V1403" s="496"/>
      <c r="W1403" s="496"/>
      <c r="X1403" s="496"/>
    </row>
    <row r="1404" spans="2:24" ht="9" customHeight="1" x14ac:dyDescent="0.5">
      <c r="B1404" s="501"/>
      <c r="C1404" s="516"/>
      <c r="D1404" s="631"/>
      <c r="E1404" s="631"/>
      <c r="F1404" s="631"/>
      <c r="G1404" s="631"/>
      <c r="H1404" s="631"/>
      <c r="I1404" s="631"/>
      <c r="J1404" s="631"/>
      <c r="M1404" s="461"/>
      <c r="N1404" s="461"/>
      <c r="O1404" s="461"/>
      <c r="R1404" s="490" t="str">
        <f>R1406</f>
        <v>DELETE</v>
      </c>
    </row>
    <row r="1405" spans="2:24" ht="9" customHeight="1" x14ac:dyDescent="0.5">
      <c r="B1405" s="501"/>
      <c r="C1405" s="516"/>
      <c r="D1405" s="631"/>
      <c r="E1405" s="631"/>
      <c r="F1405" s="631"/>
      <c r="G1405" s="631"/>
      <c r="H1405" s="631"/>
      <c r="I1405" s="631"/>
      <c r="J1405" s="631"/>
      <c r="M1405" s="458"/>
      <c r="N1405" s="458"/>
      <c r="O1405" s="458"/>
      <c r="R1405" s="490" t="str">
        <f>R1406</f>
        <v>DELETE</v>
      </c>
    </row>
    <row r="1406" spans="2:24" ht="36.75" customHeight="1" x14ac:dyDescent="0.5">
      <c r="B1406" s="501"/>
      <c r="C1406" s="516"/>
      <c r="D1406" s="631" t="s">
        <v>616</v>
      </c>
      <c r="E1406" s="631"/>
      <c r="F1406" s="631"/>
      <c r="G1406" s="631"/>
      <c r="H1406" s="631"/>
      <c r="I1406" s="631"/>
      <c r="J1406" s="631"/>
      <c r="M1406" s="458">
        <f>SUM(S1367:S1404)</f>
        <v>0</v>
      </c>
      <c r="N1406" s="458"/>
      <c r="O1406" s="458">
        <f>SUM(U1367:U1404)</f>
        <v>0</v>
      </c>
      <c r="R1406" s="490" t="str">
        <f>IF(M1406+O1406=0,"DELETE"," ")</f>
        <v>DELETE</v>
      </c>
      <c r="V1406" s="499"/>
      <c r="W1406" s="499"/>
      <c r="X1406" s="499"/>
    </row>
    <row r="1407" spans="2:24" ht="9" customHeight="1" thickBot="1" x14ac:dyDescent="0.55000000000000004">
      <c r="B1407" s="501"/>
      <c r="C1407" s="516"/>
      <c r="D1407" s="631"/>
      <c r="E1407" s="631"/>
      <c r="F1407" s="631"/>
      <c r="G1407" s="631"/>
      <c r="H1407" s="631"/>
      <c r="I1407" s="631"/>
      <c r="J1407" s="631"/>
      <c r="M1407" s="462"/>
      <c r="N1407" s="462"/>
      <c r="O1407" s="462"/>
      <c r="R1407" s="490" t="str">
        <f t="shared" ref="R1407:R1412" si="39">R$1406</f>
        <v>DELETE</v>
      </c>
    </row>
    <row r="1408" spans="2:24" ht="9" customHeight="1" thickTop="1" x14ac:dyDescent="0.5">
      <c r="B1408" s="501"/>
      <c r="C1408" s="516"/>
      <c r="D1408" s="631"/>
      <c r="E1408" s="631"/>
      <c r="F1408" s="631"/>
      <c r="G1408" s="631"/>
      <c r="H1408" s="631"/>
      <c r="I1408" s="631"/>
      <c r="J1408" s="631"/>
      <c r="M1408" s="475"/>
      <c r="N1408" s="475"/>
      <c r="O1408" s="475"/>
      <c r="R1408" s="490" t="str">
        <f t="shared" si="39"/>
        <v>DELETE</v>
      </c>
    </row>
    <row r="1409" spans="2:18" ht="36" customHeight="1" x14ac:dyDescent="0.5">
      <c r="B1409" s="501"/>
      <c r="C1409" s="516"/>
      <c r="D1409" s="631"/>
      <c r="E1409" s="631"/>
      <c r="F1409" s="631"/>
      <c r="G1409" s="631"/>
      <c r="H1409" s="631"/>
      <c r="I1409" s="631"/>
      <c r="J1409" s="631"/>
      <c r="M1409" s="458"/>
      <c r="N1409" s="458"/>
      <c r="O1409" s="458"/>
      <c r="R1409" s="490" t="str">
        <f t="shared" si="39"/>
        <v>DELETE</v>
      </c>
    </row>
    <row r="1410" spans="2:18" ht="36" customHeight="1" x14ac:dyDescent="0.5">
      <c r="B1410" s="501"/>
      <c r="C1410" s="516"/>
      <c r="D1410" s="631"/>
      <c r="E1410" s="631"/>
      <c r="F1410" s="631"/>
      <c r="G1410" s="631"/>
      <c r="H1410" s="631"/>
      <c r="I1410" s="631"/>
      <c r="J1410" s="631"/>
      <c r="M1410" s="458"/>
      <c r="N1410" s="458"/>
      <c r="O1410" s="458"/>
      <c r="R1410" s="490" t="str">
        <f t="shared" si="39"/>
        <v>DELETE</v>
      </c>
    </row>
    <row r="1411" spans="2:18" ht="36" customHeight="1" x14ac:dyDescent="0.5">
      <c r="B1411" s="501"/>
      <c r="C1411" s="516"/>
      <c r="D1411" s="631"/>
      <c r="E1411" s="631"/>
      <c r="F1411" s="631"/>
      <c r="G1411" s="631"/>
      <c r="H1411" s="631"/>
      <c r="I1411" s="631"/>
      <c r="J1411" s="631"/>
      <c r="M1411" s="475"/>
      <c r="N1411" s="475"/>
      <c r="O1411" s="475"/>
      <c r="P1411" s="545"/>
      <c r="R1411" s="490" t="str">
        <f t="shared" si="39"/>
        <v>DELETE</v>
      </c>
    </row>
    <row r="1412" spans="2:18" ht="36" customHeight="1" x14ac:dyDescent="0.5">
      <c r="B1412" s="501"/>
      <c r="C1412" s="449"/>
      <c r="D1412" s="631"/>
      <c r="E1412" s="631"/>
      <c r="F1412" s="631"/>
      <c r="G1412" s="631"/>
      <c r="H1412" s="631"/>
      <c r="I1412" s="631"/>
      <c r="J1412" s="631"/>
      <c r="M1412" s="458"/>
      <c r="N1412" s="458"/>
      <c r="O1412" s="458"/>
      <c r="R1412" s="490" t="str">
        <f t="shared" si="39"/>
        <v>DELETE</v>
      </c>
    </row>
    <row r="1413" spans="2:18" ht="36" customHeight="1" x14ac:dyDescent="0.5">
      <c r="B1413" s="502"/>
      <c r="D1413" s="631"/>
      <c r="E1413" s="631"/>
      <c r="F1413" s="631"/>
      <c r="G1413" s="631"/>
      <c r="H1413" s="631"/>
      <c r="I1413" s="631"/>
      <c r="J1413" s="631"/>
      <c r="M1413" s="541"/>
      <c r="N1413" s="541"/>
      <c r="O1413" s="458" t="s">
        <v>112</v>
      </c>
      <c r="Q1413" s="450">
        <f>MAX($Q$103:Q1412)+1</f>
        <v>38</v>
      </c>
      <c r="R1413" s="490" t="str">
        <f>R$1471</f>
        <v>DELETE</v>
      </c>
    </row>
    <row r="1414" spans="2:18" ht="36" customHeight="1" x14ac:dyDescent="0.5">
      <c r="B1414" s="502"/>
      <c r="D1414" s="630" t="str">
        <f>Criteria!E9</f>
        <v>ABC COMPANY (PROPRIETARY) LIMITED</v>
      </c>
      <c r="E1414" s="631"/>
      <c r="F1414" s="631"/>
      <c r="G1414" s="631"/>
      <c r="H1414" s="631"/>
      <c r="I1414" s="631"/>
      <c r="J1414" s="631"/>
      <c r="M1414" s="541"/>
      <c r="N1414" s="541"/>
      <c r="O1414" s="451"/>
      <c r="P1414" s="451"/>
      <c r="Q1414" s="451"/>
      <c r="R1414" s="490" t="str">
        <f>R$1471</f>
        <v>DELETE</v>
      </c>
    </row>
    <row r="1415" spans="2:18" ht="36" customHeight="1" x14ac:dyDescent="0.5">
      <c r="B1415" s="502"/>
      <c r="D1415" s="630" t="str">
        <f>Criteria!E10</f>
        <v>T/A SEAFRONT HOTEL, ABC RESTAURANT AND RENTAL PROPERTIES</v>
      </c>
      <c r="E1415" s="631"/>
      <c r="F1415" s="631"/>
      <c r="G1415" s="631"/>
      <c r="H1415" s="631"/>
      <c r="I1415" s="631"/>
      <c r="J1415" s="631"/>
      <c r="M1415" s="541"/>
      <c r="N1415" s="541"/>
      <c r="O1415" s="541"/>
      <c r="R1415" s="490" t="str">
        <f>IF(R$1471="DELETE","DELETE",IF(D1415=0,"DELETE"," "))</f>
        <v>DELETE</v>
      </c>
    </row>
    <row r="1416" spans="2:18" ht="36" customHeight="1" x14ac:dyDescent="0.5">
      <c r="B1416" s="502"/>
      <c r="D1416" s="631"/>
      <c r="E1416" s="631"/>
      <c r="F1416" s="631"/>
      <c r="G1416" s="631"/>
      <c r="H1416" s="631"/>
      <c r="I1416" s="631"/>
      <c r="J1416" s="631"/>
      <c r="M1416" s="541"/>
      <c r="N1416" s="541"/>
      <c r="O1416" s="541"/>
      <c r="R1416" s="490" t="str">
        <f t="shared" ref="R1416:R1424" si="40">R$1471</f>
        <v>DELETE</v>
      </c>
    </row>
    <row r="1417" spans="2:18" ht="36" customHeight="1" x14ac:dyDescent="0.5">
      <c r="B1417" s="502"/>
      <c r="D1417" s="630" t="s">
        <v>415</v>
      </c>
      <c r="E1417" s="631"/>
      <c r="F1417" s="631"/>
      <c r="G1417" s="631"/>
      <c r="H1417" s="631"/>
      <c r="I1417" s="631"/>
      <c r="J1417" s="631"/>
      <c r="M1417" s="541"/>
      <c r="N1417" s="541"/>
      <c r="O1417" s="541"/>
      <c r="R1417" s="490" t="str">
        <f t="shared" si="40"/>
        <v>DELETE</v>
      </c>
    </row>
    <row r="1418" spans="2:18" ht="36" customHeight="1" x14ac:dyDescent="0.5">
      <c r="B1418" s="502"/>
      <c r="D1418" s="630" t="str">
        <f>Criteria!E20</f>
        <v>28 FEBRUARY 2026</v>
      </c>
      <c r="E1418" s="631"/>
      <c r="F1418" s="631"/>
      <c r="G1418" s="631"/>
      <c r="H1418" s="631"/>
      <c r="I1418" s="631"/>
      <c r="J1418" s="631" t="s">
        <v>282</v>
      </c>
      <c r="M1418" s="541"/>
      <c r="N1418" s="541"/>
      <c r="O1418" s="541"/>
      <c r="R1418" s="490" t="str">
        <f t="shared" si="40"/>
        <v>DELETE</v>
      </c>
    </row>
    <row r="1419" spans="2:18" ht="36" customHeight="1" x14ac:dyDescent="0.5">
      <c r="B1419" s="502"/>
      <c r="D1419" s="631"/>
      <c r="E1419" s="631"/>
      <c r="F1419" s="631"/>
      <c r="G1419" s="631"/>
      <c r="H1419" s="631"/>
      <c r="I1419" s="631"/>
      <c r="J1419" s="631"/>
      <c r="M1419" s="554"/>
      <c r="N1419" s="554"/>
      <c r="O1419" s="554"/>
      <c r="R1419" s="490" t="str">
        <f t="shared" si="40"/>
        <v>DELETE</v>
      </c>
    </row>
    <row r="1420" spans="2:18" ht="36" customHeight="1" x14ac:dyDescent="0.5">
      <c r="B1420" s="641"/>
      <c r="C1420" s="457"/>
      <c r="D1420" s="649"/>
      <c r="E1420" s="649"/>
      <c r="F1420" s="649"/>
      <c r="G1420" s="649"/>
      <c r="H1420" s="649"/>
      <c r="I1420" s="649"/>
      <c r="J1420" s="649"/>
      <c r="K1420" s="457"/>
      <c r="L1420" s="457"/>
      <c r="M1420" s="557"/>
      <c r="N1420" s="557"/>
      <c r="O1420" s="557"/>
      <c r="P1420" s="551"/>
      <c r="Q1420" s="457"/>
      <c r="R1420" s="490" t="str">
        <f t="shared" si="40"/>
        <v>DELETE</v>
      </c>
    </row>
    <row r="1421" spans="2:18" ht="36" customHeight="1" x14ac:dyDescent="0.5">
      <c r="B1421" s="502"/>
      <c r="D1421" s="631"/>
      <c r="E1421" s="631"/>
      <c r="F1421" s="631"/>
      <c r="G1421" s="631"/>
      <c r="H1421" s="631"/>
      <c r="I1421" s="631"/>
      <c r="J1421" s="631"/>
      <c r="M1421" s="453">
        <f>Criteria!E22</f>
        <v>2026</v>
      </c>
      <c r="N1421" s="453"/>
      <c r="O1421" s="453">
        <f>Criteria!E27</f>
        <v>2025</v>
      </c>
      <c r="R1421" s="490" t="str">
        <f t="shared" si="40"/>
        <v>DELETE</v>
      </c>
    </row>
    <row r="1422" spans="2:18" ht="36" customHeight="1" x14ac:dyDescent="0.5">
      <c r="B1422" s="501"/>
      <c r="C1422" s="449"/>
      <c r="D1422" s="631"/>
      <c r="E1422" s="631"/>
      <c r="F1422" s="631"/>
      <c r="G1422" s="631"/>
      <c r="H1422" s="631"/>
      <c r="I1422" s="631"/>
      <c r="J1422" s="631"/>
      <c r="M1422" s="458"/>
      <c r="N1422" s="458"/>
      <c r="O1422" s="458"/>
      <c r="R1422" s="490" t="str">
        <f t="shared" si="40"/>
        <v>DELETE</v>
      </c>
    </row>
    <row r="1423" spans="2:18" ht="36" customHeight="1" x14ac:dyDescent="0.5">
      <c r="B1423" s="501">
        <f>MAX(B$871:B1422)+1</f>
        <v>7</v>
      </c>
      <c r="C1423" s="630" t="s">
        <v>1493</v>
      </c>
      <c r="D1423" s="631"/>
      <c r="E1423" s="631"/>
      <c r="F1423" s="631"/>
      <c r="G1423" s="631"/>
      <c r="H1423" s="631"/>
      <c r="I1423" s="631"/>
      <c r="J1423" s="631"/>
      <c r="M1423" s="458"/>
      <c r="N1423" s="458"/>
      <c r="O1423" s="458"/>
      <c r="R1423" s="490" t="str">
        <f t="shared" si="40"/>
        <v>DELETE</v>
      </c>
    </row>
    <row r="1424" spans="2:18" ht="36" customHeight="1" x14ac:dyDescent="0.5">
      <c r="B1424" s="501"/>
      <c r="C1424" s="630"/>
      <c r="D1424" s="631"/>
      <c r="E1424" s="631"/>
      <c r="F1424" s="631"/>
      <c r="G1424" s="631"/>
      <c r="H1424" s="631"/>
      <c r="I1424" s="631"/>
      <c r="J1424" s="631"/>
      <c r="M1424" s="458"/>
      <c r="N1424" s="458"/>
      <c r="O1424" s="458"/>
      <c r="R1424" s="490" t="str">
        <f t="shared" si="40"/>
        <v>DELETE</v>
      </c>
    </row>
    <row r="1425" spans="2:18" ht="36" customHeight="1" x14ac:dyDescent="0.5">
      <c r="B1425" s="501"/>
      <c r="C1425" s="631">
        <f>TrialBalance!C144</f>
        <v>0</v>
      </c>
      <c r="D1425" s="648"/>
      <c r="E1425" s="631"/>
      <c r="F1425" s="631"/>
      <c r="G1425" s="631"/>
      <c r="H1425" s="631"/>
      <c r="I1425" s="631"/>
      <c r="J1425" s="631"/>
      <c r="M1425" s="458">
        <f>TrialBalance!L144</f>
        <v>0</v>
      </c>
      <c r="N1425" s="458"/>
      <c r="O1425" s="458">
        <f>TrialBalance!N144</f>
        <v>0</v>
      </c>
      <c r="R1425" s="490" t="str">
        <f t="shared" ref="R1425:R1436" si="41">IF(M1425+O1425=0,"DELETE"," ")</f>
        <v>DELETE</v>
      </c>
    </row>
    <row r="1426" spans="2:18" ht="36" customHeight="1" x14ac:dyDescent="0.5">
      <c r="B1426" s="501"/>
      <c r="C1426" s="631">
        <f>TrialBalance!C145</f>
        <v>0</v>
      </c>
      <c r="D1426" s="648"/>
      <c r="E1426" s="631"/>
      <c r="F1426" s="631"/>
      <c r="G1426" s="631"/>
      <c r="H1426" s="631"/>
      <c r="I1426" s="631"/>
      <c r="J1426" s="631"/>
      <c r="M1426" s="458">
        <f>TrialBalance!L145</f>
        <v>0</v>
      </c>
      <c r="N1426" s="458"/>
      <c r="O1426" s="458">
        <f>TrialBalance!N145</f>
        <v>0</v>
      </c>
      <c r="R1426" s="490" t="str">
        <f t="shared" si="41"/>
        <v>DELETE</v>
      </c>
    </row>
    <row r="1427" spans="2:18" ht="36" customHeight="1" x14ac:dyDescent="0.5">
      <c r="B1427" s="501"/>
      <c r="C1427" s="631">
        <f>TrialBalance!C146</f>
        <v>0</v>
      </c>
      <c r="D1427" s="648"/>
      <c r="E1427" s="631"/>
      <c r="F1427" s="631"/>
      <c r="G1427" s="631"/>
      <c r="H1427" s="631"/>
      <c r="I1427" s="631"/>
      <c r="J1427" s="631"/>
      <c r="M1427" s="458">
        <f>TrialBalance!L146</f>
        <v>0</v>
      </c>
      <c r="N1427" s="458"/>
      <c r="O1427" s="458">
        <f>TrialBalance!N146</f>
        <v>0</v>
      </c>
      <c r="R1427" s="490" t="str">
        <f t="shared" si="41"/>
        <v>DELETE</v>
      </c>
    </row>
    <row r="1428" spans="2:18" ht="36" customHeight="1" x14ac:dyDescent="0.5">
      <c r="B1428" s="501"/>
      <c r="C1428" s="631">
        <f>TrialBalance!C147</f>
        <v>0</v>
      </c>
      <c r="D1428" s="648"/>
      <c r="E1428" s="631"/>
      <c r="F1428" s="631"/>
      <c r="G1428" s="631"/>
      <c r="H1428" s="631"/>
      <c r="I1428" s="631"/>
      <c r="J1428" s="631"/>
      <c r="M1428" s="458">
        <f>TrialBalance!L147</f>
        <v>0</v>
      </c>
      <c r="N1428" s="458"/>
      <c r="O1428" s="458">
        <f>TrialBalance!N147</f>
        <v>0</v>
      </c>
      <c r="R1428" s="490" t="str">
        <f t="shared" ref="R1428:R1430" si="42">IF(M1428+O1428=0,"DELETE"," ")</f>
        <v>DELETE</v>
      </c>
    </row>
    <row r="1429" spans="2:18" ht="36" customHeight="1" x14ac:dyDescent="0.5">
      <c r="B1429" s="501"/>
      <c r="C1429" s="631">
        <f>TrialBalance!C148</f>
        <v>0</v>
      </c>
      <c r="D1429" s="648"/>
      <c r="E1429" s="631"/>
      <c r="F1429" s="631"/>
      <c r="G1429" s="631"/>
      <c r="H1429" s="631"/>
      <c r="I1429" s="631"/>
      <c r="J1429" s="631"/>
      <c r="M1429" s="458">
        <f>TrialBalance!L148</f>
        <v>0</v>
      </c>
      <c r="N1429" s="458"/>
      <c r="O1429" s="458">
        <f>TrialBalance!N148</f>
        <v>0</v>
      </c>
      <c r="R1429" s="490" t="str">
        <f t="shared" si="42"/>
        <v>DELETE</v>
      </c>
    </row>
    <row r="1430" spans="2:18" ht="36" customHeight="1" x14ac:dyDescent="0.5">
      <c r="B1430" s="501"/>
      <c r="C1430" s="631">
        <f>TrialBalance!C149</f>
        <v>0</v>
      </c>
      <c r="D1430" s="648"/>
      <c r="E1430" s="631"/>
      <c r="F1430" s="631"/>
      <c r="G1430" s="631"/>
      <c r="H1430" s="631"/>
      <c r="I1430" s="631"/>
      <c r="J1430" s="631"/>
      <c r="M1430" s="458">
        <f>TrialBalance!L149</f>
        <v>0</v>
      </c>
      <c r="N1430" s="458"/>
      <c r="O1430" s="458">
        <f>TrialBalance!N149</f>
        <v>0</v>
      </c>
      <c r="R1430" s="490" t="str">
        <f t="shared" si="42"/>
        <v>DELETE</v>
      </c>
    </row>
    <row r="1431" spans="2:18" ht="36" customHeight="1" x14ac:dyDescent="0.5">
      <c r="B1431" s="501"/>
      <c r="C1431" s="631">
        <f>TrialBalance!C150</f>
        <v>0</v>
      </c>
      <c r="D1431" s="648"/>
      <c r="E1431" s="631"/>
      <c r="F1431" s="631"/>
      <c r="G1431" s="631"/>
      <c r="H1431" s="631"/>
      <c r="I1431" s="631"/>
      <c r="J1431" s="631"/>
      <c r="M1431" s="458">
        <f>TrialBalance!L150</f>
        <v>0</v>
      </c>
      <c r="N1431" s="458"/>
      <c r="O1431" s="458">
        <f>TrialBalance!N150</f>
        <v>0</v>
      </c>
      <c r="R1431" s="490" t="str">
        <f t="shared" si="41"/>
        <v>DELETE</v>
      </c>
    </row>
    <row r="1432" spans="2:18" ht="36" customHeight="1" x14ac:dyDescent="0.5">
      <c r="B1432" s="501"/>
      <c r="C1432" s="631">
        <f>TrialBalance!C151</f>
        <v>0</v>
      </c>
      <c r="D1432" s="648"/>
      <c r="E1432" s="631"/>
      <c r="F1432" s="631"/>
      <c r="G1432" s="631"/>
      <c r="H1432" s="631"/>
      <c r="I1432" s="631"/>
      <c r="J1432" s="631"/>
      <c r="M1432" s="458">
        <f>TrialBalance!L151</f>
        <v>0</v>
      </c>
      <c r="N1432" s="458"/>
      <c r="O1432" s="458">
        <f>TrialBalance!N151</f>
        <v>0</v>
      </c>
      <c r="R1432" s="490" t="str">
        <f t="shared" si="41"/>
        <v>DELETE</v>
      </c>
    </row>
    <row r="1433" spans="2:18" ht="36" customHeight="1" x14ac:dyDescent="0.5">
      <c r="B1433" s="501"/>
      <c r="C1433" s="631">
        <f>TrialBalance!C152</f>
        <v>0</v>
      </c>
      <c r="D1433" s="648"/>
      <c r="E1433" s="631"/>
      <c r="F1433" s="631"/>
      <c r="G1433" s="631"/>
      <c r="H1433" s="631"/>
      <c r="I1433" s="631"/>
      <c r="J1433" s="631"/>
      <c r="M1433" s="458">
        <f>TrialBalance!L152</f>
        <v>0</v>
      </c>
      <c r="N1433" s="458"/>
      <c r="O1433" s="458">
        <f>TrialBalance!N152</f>
        <v>0</v>
      </c>
      <c r="R1433" s="490" t="str">
        <f>IF(M1433+O1433=0,"DELETE"," ")</f>
        <v>DELETE</v>
      </c>
    </row>
    <row r="1434" spans="2:18" ht="36" customHeight="1" x14ac:dyDescent="0.5">
      <c r="B1434" s="501"/>
      <c r="C1434" s="631">
        <f>TrialBalance!C153</f>
        <v>0</v>
      </c>
      <c r="D1434" s="648"/>
      <c r="E1434" s="631"/>
      <c r="F1434" s="631"/>
      <c r="G1434" s="631"/>
      <c r="H1434" s="631"/>
      <c r="I1434" s="631"/>
      <c r="J1434" s="631"/>
      <c r="M1434" s="458">
        <f>TrialBalance!L153</f>
        <v>0</v>
      </c>
      <c r="N1434" s="458"/>
      <c r="O1434" s="458">
        <f>TrialBalance!N153</f>
        <v>0</v>
      </c>
      <c r="R1434" s="490" t="str">
        <f>IF(M1434+O1434=0,"DELETE"," ")</f>
        <v>DELETE</v>
      </c>
    </row>
    <row r="1435" spans="2:18" ht="36" customHeight="1" x14ac:dyDescent="0.5">
      <c r="B1435" s="501"/>
      <c r="C1435" s="631" t="str">
        <f>TrialBalance!C154</f>
        <v>Finance leases - Seafront Hotel</v>
      </c>
      <c r="D1435" s="648"/>
      <c r="E1435" s="631"/>
      <c r="F1435" s="631"/>
      <c r="G1435" s="631"/>
      <c r="H1435" s="631"/>
      <c r="I1435" s="631"/>
      <c r="J1435" s="631"/>
      <c r="M1435" s="458">
        <f>TrialBalance!L154</f>
        <v>0</v>
      </c>
      <c r="N1435" s="458"/>
      <c r="O1435" s="458">
        <f>TrialBalance!N154</f>
        <v>0</v>
      </c>
      <c r="R1435" s="490" t="str">
        <f t="shared" si="41"/>
        <v>DELETE</v>
      </c>
    </row>
    <row r="1436" spans="2:18" ht="36" customHeight="1" x14ac:dyDescent="0.5">
      <c r="B1436" s="501"/>
      <c r="C1436" s="631">
        <f>TrialBalanceA!C144</f>
        <v>0</v>
      </c>
      <c r="D1436" s="648"/>
      <c r="E1436" s="631"/>
      <c r="F1436" s="631"/>
      <c r="G1436" s="631"/>
      <c r="H1436" s="631"/>
      <c r="I1436" s="631"/>
      <c r="J1436" s="631"/>
      <c r="M1436" s="458">
        <f>TrialBalanceA!I144</f>
        <v>0</v>
      </c>
      <c r="N1436" s="458"/>
      <c r="O1436" s="458">
        <f>TrialBalanceA!K144</f>
        <v>0</v>
      </c>
      <c r="R1436" s="490" t="str">
        <f t="shared" si="41"/>
        <v>DELETE</v>
      </c>
    </row>
    <row r="1437" spans="2:18" ht="36" customHeight="1" x14ac:dyDescent="0.5">
      <c r="B1437" s="501"/>
      <c r="C1437" s="631">
        <f>TrialBalanceA!C145</f>
        <v>0</v>
      </c>
      <c r="D1437" s="648"/>
      <c r="E1437" s="631"/>
      <c r="F1437" s="631"/>
      <c r="G1437" s="631"/>
      <c r="H1437" s="631"/>
      <c r="I1437" s="631"/>
      <c r="J1437" s="631"/>
      <c r="M1437" s="458">
        <f>TrialBalanceA!I145</f>
        <v>0</v>
      </c>
      <c r="N1437" s="458"/>
      <c r="O1437" s="458">
        <f>TrialBalanceA!K145</f>
        <v>0</v>
      </c>
      <c r="R1437" s="490" t="str">
        <f t="shared" ref="R1437:R1447" si="43">IF(M1437+O1437=0,"DELETE"," ")</f>
        <v>DELETE</v>
      </c>
    </row>
    <row r="1438" spans="2:18" ht="36" customHeight="1" x14ac:dyDescent="0.5">
      <c r="B1438" s="501"/>
      <c r="C1438" s="631">
        <f>TrialBalanceA!C146</f>
        <v>0</v>
      </c>
      <c r="D1438" s="648"/>
      <c r="E1438" s="631"/>
      <c r="F1438" s="631"/>
      <c r="G1438" s="631"/>
      <c r="H1438" s="631"/>
      <c r="I1438" s="631"/>
      <c r="J1438" s="631"/>
      <c r="M1438" s="458">
        <f>TrialBalanceA!I146</f>
        <v>0</v>
      </c>
      <c r="N1438" s="458"/>
      <c r="O1438" s="458">
        <f>TrialBalanceA!K146</f>
        <v>0</v>
      </c>
      <c r="R1438" s="490" t="str">
        <f t="shared" si="43"/>
        <v>DELETE</v>
      </c>
    </row>
    <row r="1439" spans="2:18" ht="36" customHeight="1" x14ac:dyDescent="0.5">
      <c r="B1439" s="501"/>
      <c r="C1439" s="631">
        <f>TrialBalanceA!C147</f>
        <v>0</v>
      </c>
      <c r="D1439" s="648"/>
      <c r="E1439" s="631"/>
      <c r="F1439" s="631"/>
      <c r="G1439" s="631"/>
      <c r="H1439" s="631"/>
      <c r="I1439" s="631"/>
      <c r="J1439" s="631"/>
      <c r="M1439" s="458">
        <f>TrialBalanceA!I147</f>
        <v>0</v>
      </c>
      <c r="N1439" s="458"/>
      <c r="O1439" s="458">
        <f>TrialBalanceA!K147</f>
        <v>0</v>
      </c>
      <c r="R1439" s="490" t="str">
        <f t="shared" si="43"/>
        <v>DELETE</v>
      </c>
    </row>
    <row r="1440" spans="2:18" ht="36" customHeight="1" x14ac:dyDescent="0.5">
      <c r="B1440" s="501"/>
      <c r="C1440" s="631">
        <f>TrialBalanceA!C148</f>
        <v>0</v>
      </c>
      <c r="D1440" s="648"/>
      <c r="E1440" s="631"/>
      <c r="F1440" s="631"/>
      <c r="G1440" s="631"/>
      <c r="H1440" s="631"/>
      <c r="I1440" s="631"/>
      <c r="J1440" s="631"/>
      <c r="M1440" s="458">
        <f>TrialBalanceA!I148</f>
        <v>0</v>
      </c>
      <c r="N1440" s="458"/>
      <c r="O1440" s="458">
        <f>TrialBalanceA!K148</f>
        <v>0</v>
      </c>
      <c r="R1440" s="490" t="str">
        <f t="shared" si="43"/>
        <v>DELETE</v>
      </c>
    </row>
    <row r="1441" spans="2:18" ht="36" customHeight="1" x14ac:dyDescent="0.5">
      <c r="B1441" s="501"/>
      <c r="C1441" s="631">
        <f>TrialBalanceA!C149</f>
        <v>0</v>
      </c>
      <c r="D1441" s="648"/>
      <c r="E1441" s="631"/>
      <c r="F1441" s="631"/>
      <c r="G1441" s="631"/>
      <c r="H1441" s="631"/>
      <c r="I1441" s="631"/>
      <c r="J1441" s="631"/>
      <c r="M1441" s="458">
        <f>TrialBalanceA!I149</f>
        <v>0</v>
      </c>
      <c r="N1441" s="458"/>
      <c r="O1441" s="458">
        <f>TrialBalanceA!K149</f>
        <v>0</v>
      </c>
      <c r="R1441" s="490" t="str">
        <f t="shared" si="43"/>
        <v>DELETE</v>
      </c>
    </row>
    <row r="1442" spans="2:18" ht="36" customHeight="1" x14ac:dyDescent="0.5">
      <c r="B1442" s="501"/>
      <c r="C1442" s="631">
        <f>TrialBalanceA!C150</f>
        <v>0</v>
      </c>
      <c r="D1442" s="648"/>
      <c r="E1442" s="631"/>
      <c r="F1442" s="631"/>
      <c r="G1442" s="631"/>
      <c r="H1442" s="631"/>
      <c r="I1442" s="631"/>
      <c r="J1442" s="631"/>
      <c r="M1442" s="458">
        <f>TrialBalanceA!I150</f>
        <v>0</v>
      </c>
      <c r="N1442" s="458"/>
      <c r="O1442" s="458">
        <f>TrialBalanceA!K150</f>
        <v>0</v>
      </c>
      <c r="R1442" s="490" t="str">
        <f t="shared" ref="R1442:R1444" si="44">IF(M1442+O1442=0,"DELETE"," ")</f>
        <v>DELETE</v>
      </c>
    </row>
    <row r="1443" spans="2:18" ht="36" customHeight="1" x14ac:dyDescent="0.5">
      <c r="B1443" s="501"/>
      <c r="C1443" s="631">
        <f>TrialBalanceA!C151</f>
        <v>0</v>
      </c>
      <c r="D1443" s="648"/>
      <c r="E1443" s="631"/>
      <c r="F1443" s="631"/>
      <c r="G1443" s="631"/>
      <c r="H1443" s="631"/>
      <c r="I1443" s="631"/>
      <c r="J1443" s="631"/>
      <c r="M1443" s="458">
        <f>TrialBalanceA!I151</f>
        <v>0</v>
      </c>
      <c r="N1443" s="458"/>
      <c r="O1443" s="458">
        <f>TrialBalanceA!K151</f>
        <v>0</v>
      </c>
      <c r="R1443" s="490" t="str">
        <f t="shared" si="44"/>
        <v>DELETE</v>
      </c>
    </row>
    <row r="1444" spans="2:18" ht="36" customHeight="1" x14ac:dyDescent="0.5">
      <c r="B1444" s="501"/>
      <c r="C1444" s="631">
        <f>TrialBalanceA!C152</f>
        <v>0</v>
      </c>
      <c r="D1444" s="648"/>
      <c r="E1444" s="631"/>
      <c r="F1444" s="631"/>
      <c r="G1444" s="631"/>
      <c r="H1444" s="631"/>
      <c r="I1444" s="631"/>
      <c r="J1444" s="631"/>
      <c r="M1444" s="458">
        <f>TrialBalanceA!I152</f>
        <v>0</v>
      </c>
      <c r="N1444" s="458"/>
      <c r="O1444" s="458">
        <f>TrialBalanceA!K152</f>
        <v>0</v>
      </c>
      <c r="R1444" s="490" t="str">
        <f t="shared" si="44"/>
        <v>DELETE</v>
      </c>
    </row>
    <row r="1445" spans="2:18" ht="36" customHeight="1" x14ac:dyDescent="0.5">
      <c r="B1445" s="501"/>
      <c r="C1445" s="631">
        <f>TrialBalanceA!C153</f>
        <v>0</v>
      </c>
      <c r="D1445" s="648"/>
      <c r="E1445" s="631"/>
      <c r="F1445" s="631"/>
      <c r="G1445" s="631"/>
      <c r="H1445" s="631"/>
      <c r="I1445" s="631"/>
      <c r="J1445" s="631"/>
      <c r="M1445" s="458">
        <f>TrialBalanceA!I153</f>
        <v>0</v>
      </c>
      <c r="N1445" s="458"/>
      <c r="O1445" s="458">
        <f>TrialBalanceA!K153</f>
        <v>0</v>
      </c>
      <c r="R1445" s="490" t="str">
        <f t="shared" si="43"/>
        <v>DELETE</v>
      </c>
    </row>
    <row r="1446" spans="2:18" ht="36" customHeight="1" x14ac:dyDescent="0.5">
      <c r="B1446" s="501"/>
      <c r="C1446" s="631" t="str">
        <f>TrialBalanceA!C154</f>
        <v>Finance leases - ABC Restaurant</v>
      </c>
      <c r="D1446" s="648"/>
      <c r="E1446" s="631"/>
      <c r="F1446" s="631"/>
      <c r="G1446" s="631"/>
      <c r="H1446" s="631"/>
      <c r="I1446" s="631"/>
      <c r="J1446" s="631"/>
      <c r="M1446" s="458">
        <f>TrialBalanceA!I154</f>
        <v>0</v>
      </c>
      <c r="N1446" s="458"/>
      <c r="O1446" s="458">
        <f>TrialBalanceA!K154</f>
        <v>0</v>
      </c>
      <c r="R1446" s="490" t="str">
        <f t="shared" si="43"/>
        <v>DELETE</v>
      </c>
    </row>
    <row r="1447" spans="2:18" ht="36" customHeight="1" x14ac:dyDescent="0.5">
      <c r="B1447" s="501"/>
      <c r="C1447" s="631">
        <f>TrialBalanceB!C144</f>
        <v>0</v>
      </c>
      <c r="D1447" s="648"/>
      <c r="E1447" s="631"/>
      <c r="F1447" s="631"/>
      <c r="G1447" s="631"/>
      <c r="H1447" s="631"/>
      <c r="I1447" s="631"/>
      <c r="J1447" s="631"/>
      <c r="M1447" s="458">
        <f>TrialBalanceB!I144</f>
        <v>0</v>
      </c>
      <c r="N1447" s="458"/>
      <c r="O1447" s="458">
        <f>TrialBalanceB!K144</f>
        <v>0</v>
      </c>
      <c r="R1447" s="490" t="str">
        <f t="shared" si="43"/>
        <v>DELETE</v>
      </c>
    </row>
    <row r="1448" spans="2:18" ht="36" customHeight="1" x14ac:dyDescent="0.5">
      <c r="B1448" s="501"/>
      <c r="C1448" s="631">
        <f>TrialBalanceB!C145</f>
        <v>0</v>
      </c>
      <c r="D1448" s="648"/>
      <c r="E1448" s="631"/>
      <c r="F1448" s="631"/>
      <c r="G1448" s="631"/>
      <c r="H1448" s="631"/>
      <c r="I1448" s="631"/>
      <c r="J1448" s="631"/>
      <c r="M1448" s="458">
        <f>TrialBalanceB!I145</f>
        <v>0</v>
      </c>
      <c r="N1448" s="458"/>
      <c r="O1448" s="458">
        <f>TrialBalanceB!K145</f>
        <v>0</v>
      </c>
      <c r="R1448" s="490" t="str">
        <f t="shared" ref="R1448:R1458" si="45">IF(M1448+O1448=0,"DELETE"," ")</f>
        <v>DELETE</v>
      </c>
    </row>
    <row r="1449" spans="2:18" ht="36" customHeight="1" x14ac:dyDescent="0.5">
      <c r="B1449" s="501"/>
      <c r="C1449" s="631">
        <f>TrialBalanceB!C146</f>
        <v>0</v>
      </c>
      <c r="D1449" s="648"/>
      <c r="E1449" s="631"/>
      <c r="F1449" s="631"/>
      <c r="G1449" s="631"/>
      <c r="H1449" s="631"/>
      <c r="I1449" s="631"/>
      <c r="J1449" s="631"/>
      <c r="M1449" s="458">
        <f>TrialBalanceB!I146</f>
        <v>0</v>
      </c>
      <c r="N1449" s="458"/>
      <c r="O1449" s="458">
        <f>TrialBalanceB!K146</f>
        <v>0</v>
      </c>
      <c r="R1449" s="490" t="str">
        <f t="shared" si="45"/>
        <v>DELETE</v>
      </c>
    </row>
    <row r="1450" spans="2:18" ht="36" customHeight="1" x14ac:dyDescent="0.5">
      <c r="B1450" s="501"/>
      <c r="C1450" s="631">
        <f>TrialBalanceB!C147</f>
        <v>0</v>
      </c>
      <c r="D1450" s="648"/>
      <c r="E1450" s="631"/>
      <c r="F1450" s="631"/>
      <c r="G1450" s="631"/>
      <c r="H1450" s="631"/>
      <c r="I1450" s="631"/>
      <c r="J1450" s="631"/>
      <c r="M1450" s="458">
        <f>TrialBalanceB!I147</f>
        <v>0</v>
      </c>
      <c r="N1450" s="458"/>
      <c r="O1450" s="458">
        <f>TrialBalanceB!K147</f>
        <v>0</v>
      </c>
      <c r="R1450" s="490" t="str">
        <f t="shared" si="45"/>
        <v>DELETE</v>
      </c>
    </row>
    <row r="1451" spans="2:18" ht="36" customHeight="1" x14ac:dyDescent="0.5">
      <c r="B1451" s="501"/>
      <c r="C1451" s="631">
        <f>TrialBalanceB!C148</f>
        <v>0</v>
      </c>
      <c r="D1451" s="648"/>
      <c r="E1451" s="631"/>
      <c r="F1451" s="631"/>
      <c r="G1451" s="631"/>
      <c r="H1451" s="631"/>
      <c r="I1451" s="631"/>
      <c r="J1451" s="631"/>
      <c r="M1451" s="458">
        <f>TrialBalanceB!I148</f>
        <v>0</v>
      </c>
      <c r="N1451" s="458"/>
      <c r="O1451" s="458">
        <f>TrialBalanceB!K148</f>
        <v>0</v>
      </c>
      <c r="R1451" s="490" t="str">
        <f t="shared" si="45"/>
        <v>DELETE</v>
      </c>
    </row>
    <row r="1452" spans="2:18" ht="36" customHeight="1" x14ac:dyDescent="0.5">
      <c r="B1452" s="501"/>
      <c r="C1452" s="631">
        <f>TrialBalanceB!C149</f>
        <v>0</v>
      </c>
      <c r="D1452" s="648"/>
      <c r="E1452" s="631"/>
      <c r="F1452" s="631"/>
      <c r="G1452" s="631"/>
      <c r="H1452" s="631"/>
      <c r="I1452" s="631"/>
      <c r="J1452" s="631"/>
      <c r="M1452" s="458">
        <f>TrialBalanceB!I149</f>
        <v>0</v>
      </c>
      <c r="N1452" s="458"/>
      <c r="O1452" s="458">
        <f>TrialBalanceB!K149</f>
        <v>0</v>
      </c>
      <c r="R1452" s="490" t="str">
        <f t="shared" si="45"/>
        <v>DELETE</v>
      </c>
    </row>
    <row r="1453" spans="2:18" ht="36" customHeight="1" x14ac:dyDescent="0.5">
      <c r="B1453" s="501"/>
      <c r="C1453" s="631">
        <f>TrialBalanceB!C150</f>
        <v>0</v>
      </c>
      <c r="D1453" s="648"/>
      <c r="E1453" s="631"/>
      <c r="F1453" s="631"/>
      <c r="G1453" s="631"/>
      <c r="H1453" s="631"/>
      <c r="I1453" s="631"/>
      <c r="J1453" s="631"/>
      <c r="M1453" s="458">
        <f>TrialBalanceB!I150</f>
        <v>0</v>
      </c>
      <c r="N1453" s="458"/>
      <c r="O1453" s="458">
        <f>TrialBalanceB!K150</f>
        <v>0</v>
      </c>
      <c r="R1453" s="490" t="str">
        <f t="shared" ref="R1453:R1455" si="46">IF(M1453+O1453=0,"DELETE"," ")</f>
        <v>DELETE</v>
      </c>
    </row>
    <row r="1454" spans="2:18" ht="36" customHeight="1" x14ac:dyDescent="0.5">
      <c r="B1454" s="501"/>
      <c r="C1454" s="631">
        <f>TrialBalanceB!C151</f>
        <v>0</v>
      </c>
      <c r="D1454" s="648"/>
      <c r="E1454" s="631"/>
      <c r="F1454" s="631"/>
      <c r="G1454" s="631"/>
      <c r="H1454" s="631"/>
      <c r="I1454" s="631"/>
      <c r="J1454" s="631"/>
      <c r="M1454" s="458">
        <f>TrialBalanceB!I151</f>
        <v>0</v>
      </c>
      <c r="N1454" s="458"/>
      <c r="O1454" s="458">
        <f>TrialBalanceB!K151</f>
        <v>0</v>
      </c>
      <c r="R1454" s="490" t="str">
        <f t="shared" si="46"/>
        <v>DELETE</v>
      </c>
    </row>
    <row r="1455" spans="2:18" ht="36" customHeight="1" x14ac:dyDescent="0.5">
      <c r="B1455" s="501"/>
      <c r="C1455" s="631">
        <f>TrialBalanceB!C152</f>
        <v>0</v>
      </c>
      <c r="D1455" s="648"/>
      <c r="E1455" s="631"/>
      <c r="F1455" s="631"/>
      <c r="G1455" s="631"/>
      <c r="H1455" s="631"/>
      <c r="I1455" s="631"/>
      <c r="J1455" s="631"/>
      <c r="M1455" s="458">
        <f>TrialBalanceB!I152</f>
        <v>0</v>
      </c>
      <c r="N1455" s="458"/>
      <c r="O1455" s="458">
        <f>TrialBalanceB!K152</f>
        <v>0</v>
      </c>
      <c r="R1455" s="490" t="str">
        <f t="shared" si="46"/>
        <v>DELETE</v>
      </c>
    </row>
    <row r="1456" spans="2:18" ht="36" customHeight="1" x14ac:dyDescent="0.5">
      <c r="B1456" s="501"/>
      <c r="C1456" s="631">
        <f>TrialBalanceB!C153</f>
        <v>0</v>
      </c>
      <c r="D1456" s="648"/>
      <c r="E1456" s="631"/>
      <c r="F1456" s="631"/>
      <c r="G1456" s="631"/>
      <c r="H1456" s="631"/>
      <c r="I1456" s="631"/>
      <c r="J1456" s="631"/>
      <c r="M1456" s="458">
        <f>TrialBalanceB!I153</f>
        <v>0</v>
      </c>
      <c r="N1456" s="458"/>
      <c r="O1456" s="458">
        <f>TrialBalanceB!K153</f>
        <v>0</v>
      </c>
      <c r="R1456" s="490" t="str">
        <f t="shared" si="45"/>
        <v>DELETE</v>
      </c>
    </row>
    <row r="1457" spans="2:18" ht="36" customHeight="1" x14ac:dyDescent="0.5">
      <c r="B1457" s="501"/>
      <c r="C1457" s="631" t="str">
        <f>TrialBalanceB!C154</f>
        <v>Finance leases - Rental Properties</v>
      </c>
      <c r="D1457" s="648"/>
      <c r="E1457" s="631"/>
      <c r="F1457" s="631"/>
      <c r="G1457" s="631"/>
      <c r="H1457" s="631"/>
      <c r="I1457" s="631"/>
      <c r="J1457" s="631"/>
      <c r="M1457" s="458">
        <f>TrialBalanceB!I154</f>
        <v>0</v>
      </c>
      <c r="N1457" s="458"/>
      <c r="O1457" s="458">
        <f>TrialBalanceB!K154</f>
        <v>0</v>
      </c>
      <c r="R1457" s="490" t="str">
        <f t="shared" si="45"/>
        <v>DELETE</v>
      </c>
    </row>
    <row r="1458" spans="2:18" ht="36" customHeight="1" x14ac:dyDescent="0.5">
      <c r="B1458" s="501"/>
      <c r="C1458" s="631">
        <f>TrialBalanceC!C144</f>
        <v>0</v>
      </c>
      <c r="D1458" s="648"/>
      <c r="E1458" s="631"/>
      <c r="F1458" s="631"/>
      <c r="G1458" s="631"/>
      <c r="H1458" s="631"/>
      <c r="I1458" s="631"/>
      <c r="J1458" s="631"/>
      <c r="M1458" s="458">
        <f>TrialBalanceC!I144</f>
        <v>0</v>
      </c>
      <c r="N1458" s="458"/>
      <c r="O1458" s="458">
        <f>TrialBalanceC!K144</f>
        <v>0</v>
      </c>
      <c r="R1458" s="490" t="str">
        <f t="shared" si="45"/>
        <v>DELETE</v>
      </c>
    </row>
    <row r="1459" spans="2:18" ht="36" customHeight="1" x14ac:dyDescent="0.5">
      <c r="B1459" s="501"/>
      <c r="C1459" s="631">
        <f>TrialBalanceC!C145</f>
        <v>0</v>
      </c>
      <c r="D1459" s="648"/>
      <c r="E1459" s="631"/>
      <c r="F1459" s="631"/>
      <c r="G1459" s="631"/>
      <c r="H1459" s="631"/>
      <c r="I1459" s="631"/>
      <c r="J1459" s="631"/>
      <c r="M1459" s="458">
        <f>TrialBalanceC!I145</f>
        <v>0</v>
      </c>
      <c r="N1459" s="458"/>
      <c r="O1459" s="458">
        <f>TrialBalanceC!K145</f>
        <v>0</v>
      </c>
      <c r="R1459" s="490" t="str">
        <f t="shared" ref="R1459:R1468" si="47">IF(M1459+O1459=0,"DELETE"," ")</f>
        <v>DELETE</v>
      </c>
    </row>
    <row r="1460" spans="2:18" ht="36" customHeight="1" x14ac:dyDescent="0.5">
      <c r="B1460" s="501"/>
      <c r="C1460" s="631">
        <f>TrialBalanceC!C146</f>
        <v>0</v>
      </c>
      <c r="D1460" s="648"/>
      <c r="E1460" s="631"/>
      <c r="F1460" s="631"/>
      <c r="G1460" s="631"/>
      <c r="H1460" s="631"/>
      <c r="I1460" s="631"/>
      <c r="J1460" s="631"/>
      <c r="M1460" s="458">
        <f>TrialBalanceC!I146</f>
        <v>0</v>
      </c>
      <c r="N1460" s="458"/>
      <c r="O1460" s="458">
        <f>TrialBalanceC!K146</f>
        <v>0</v>
      </c>
      <c r="R1460" s="490" t="str">
        <f t="shared" si="47"/>
        <v>DELETE</v>
      </c>
    </row>
    <row r="1461" spans="2:18" ht="36" customHeight="1" x14ac:dyDescent="0.5">
      <c r="B1461" s="501"/>
      <c r="C1461" s="631">
        <f>TrialBalanceC!C147</f>
        <v>0</v>
      </c>
      <c r="D1461" s="648"/>
      <c r="E1461" s="631"/>
      <c r="F1461" s="631"/>
      <c r="G1461" s="631"/>
      <c r="H1461" s="631"/>
      <c r="I1461" s="631"/>
      <c r="J1461" s="631"/>
      <c r="M1461" s="458">
        <f>TrialBalanceC!I147</f>
        <v>0</v>
      </c>
      <c r="N1461" s="458"/>
      <c r="O1461" s="458">
        <f>TrialBalanceC!K147</f>
        <v>0</v>
      </c>
      <c r="R1461" s="490" t="str">
        <f t="shared" si="47"/>
        <v>DELETE</v>
      </c>
    </row>
    <row r="1462" spans="2:18" ht="36" customHeight="1" x14ac:dyDescent="0.5">
      <c r="B1462" s="501"/>
      <c r="C1462" s="631">
        <f>TrialBalanceC!C148</f>
        <v>0</v>
      </c>
      <c r="D1462" s="648"/>
      <c r="E1462" s="631"/>
      <c r="F1462" s="631"/>
      <c r="G1462" s="631"/>
      <c r="H1462" s="631"/>
      <c r="I1462" s="631"/>
      <c r="J1462" s="631"/>
      <c r="M1462" s="458">
        <f>TrialBalanceC!I148</f>
        <v>0</v>
      </c>
      <c r="N1462" s="458"/>
      <c r="O1462" s="458">
        <f>TrialBalanceC!K148</f>
        <v>0</v>
      </c>
      <c r="R1462" s="490" t="str">
        <f t="shared" si="47"/>
        <v>DELETE</v>
      </c>
    </row>
    <row r="1463" spans="2:18" ht="36" customHeight="1" x14ac:dyDescent="0.5">
      <c r="B1463" s="501"/>
      <c r="C1463" s="631">
        <f>TrialBalanceC!C149</f>
        <v>0</v>
      </c>
      <c r="D1463" s="648"/>
      <c r="E1463" s="631"/>
      <c r="F1463" s="631"/>
      <c r="G1463" s="631"/>
      <c r="H1463" s="631"/>
      <c r="I1463" s="631"/>
      <c r="J1463" s="631"/>
      <c r="M1463" s="458">
        <f>TrialBalanceC!I149</f>
        <v>0</v>
      </c>
      <c r="N1463" s="458"/>
      <c r="O1463" s="458">
        <f>TrialBalanceC!K149</f>
        <v>0</v>
      </c>
      <c r="R1463" s="490" t="str">
        <f t="shared" si="47"/>
        <v>DELETE</v>
      </c>
    </row>
    <row r="1464" spans="2:18" ht="36" customHeight="1" x14ac:dyDescent="0.5">
      <c r="B1464" s="501"/>
      <c r="C1464" s="631">
        <f>TrialBalanceC!C150</f>
        <v>0</v>
      </c>
      <c r="D1464" s="648"/>
      <c r="E1464" s="631"/>
      <c r="F1464" s="631"/>
      <c r="G1464" s="631"/>
      <c r="H1464" s="631"/>
      <c r="I1464" s="631"/>
      <c r="J1464" s="631"/>
      <c r="M1464" s="458">
        <f>TrialBalanceC!I150</f>
        <v>0</v>
      </c>
      <c r="N1464" s="458"/>
      <c r="O1464" s="458">
        <f>TrialBalanceC!K150</f>
        <v>0</v>
      </c>
      <c r="R1464" s="490" t="str">
        <f t="shared" ref="R1464:R1466" si="48">IF(M1464+O1464=0,"DELETE"," ")</f>
        <v>DELETE</v>
      </c>
    </row>
    <row r="1465" spans="2:18" ht="36" customHeight="1" x14ac:dyDescent="0.5">
      <c r="B1465" s="501"/>
      <c r="C1465" s="631">
        <f>TrialBalanceC!C151</f>
        <v>0</v>
      </c>
      <c r="D1465" s="648"/>
      <c r="E1465" s="631"/>
      <c r="F1465" s="631"/>
      <c r="G1465" s="631"/>
      <c r="H1465" s="631"/>
      <c r="I1465" s="631"/>
      <c r="J1465" s="631"/>
      <c r="M1465" s="458">
        <f>TrialBalanceC!I151</f>
        <v>0</v>
      </c>
      <c r="N1465" s="458"/>
      <c r="O1465" s="458">
        <f>TrialBalanceC!K151</f>
        <v>0</v>
      </c>
      <c r="R1465" s="490" t="str">
        <f t="shared" si="48"/>
        <v>DELETE</v>
      </c>
    </row>
    <row r="1466" spans="2:18" ht="36" customHeight="1" x14ac:dyDescent="0.5">
      <c r="B1466" s="501"/>
      <c r="C1466" s="631">
        <f>TrialBalanceC!C152</f>
        <v>0</v>
      </c>
      <c r="D1466" s="648"/>
      <c r="E1466" s="631"/>
      <c r="F1466" s="631"/>
      <c r="G1466" s="631"/>
      <c r="H1466" s="631"/>
      <c r="I1466" s="631"/>
      <c r="J1466" s="631"/>
      <c r="M1466" s="458">
        <f>TrialBalanceC!I152</f>
        <v>0</v>
      </c>
      <c r="N1466" s="458"/>
      <c r="O1466" s="458">
        <f>TrialBalanceC!K152</f>
        <v>0</v>
      </c>
      <c r="R1466" s="490" t="str">
        <f t="shared" si="48"/>
        <v>DELETE</v>
      </c>
    </row>
    <row r="1467" spans="2:18" ht="36" customHeight="1" x14ac:dyDescent="0.5">
      <c r="B1467" s="501"/>
      <c r="C1467" s="631">
        <f>TrialBalanceC!C153</f>
        <v>0</v>
      </c>
      <c r="D1467" s="648"/>
      <c r="E1467" s="631"/>
      <c r="F1467" s="631"/>
      <c r="G1467" s="631"/>
      <c r="H1467" s="631"/>
      <c r="I1467" s="631"/>
      <c r="J1467" s="631"/>
      <c r="M1467" s="458">
        <f>TrialBalanceC!I153</f>
        <v>0</v>
      </c>
      <c r="N1467" s="458"/>
      <c r="O1467" s="458">
        <f>TrialBalanceC!K153</f>
        <v>0</v>
      </c>
      <c r="R1467" s="490" t="str">
        <f t="shared" si="47"/>
        <v>DELETE</v>
      </c>
    </row>
    <row r="1468" spans="2:18" ht="36" customHeight="1" x14ac:dyDescent="0.5">
      <c r="B1468" s="501"/>
      <c r="C1468" s="631" t="str">
        <f>TrialBalanceC!C154</f>
        <v xml:space="preserve">Finance leases - </v>
      </c>
      <c r="D1468" s="648"/>
      <c r="E1468" s="631"/>
      <c r="F1468" s="631"/>
      <c r="G1468" s="631"/>
      <c r="H1468" s="631"/>
      <c r="I1468" s="631"/>
      <c r="J1468" s="631"/>
      <c r="M1468" s="458">
        <f>TrialBalanceC!I154</f>
        <v>0</v>
      </c>
      <c r="N1468" s="458"/>
      <c r="O1468" s="458">
        <f>TrialBalanceC!K154</f>
        <v>0</v>
      </c>
      <c r="R1468" s="490" t="str">
        <f t="shared" si="47"/>
        <v>DELETE</v>
      </c>
    </row>
    <row r="1469" spans="2:18" ht="9" customHeight="1" x14ac:dyDescent="0.5">
      <c r="B1469" s="501"/>
      <c r="C1469" s="630"/>
      <c r="D1469" s="631"/>
      <c r="E1469" s="631"/>
      <c r="F1469" s="631"/>
      <c r="G1469" s="631"/>
      <c r="H1469" s="631"/>
      <c r="I1469" s="631"/>
      <c r="J1469" s="631"/>
      <c r="M1469" s="461"/>
      <c r="N1469" s="461"/>
      <c r="O1469" s="461"/>
      <c r="R1469" s="490" t="str">
        <f>R$1471</f>
        <v>DELETE</v>
      </c>
    </row>
    <row r="1470" spans="2:18" ht="9" customHeight="1" x14ac:dyDescent="0.5">
      <c r="B1470" s="501"/>
      <c r="C1470" s="630"/>
      <c r="D1470" s="631"/>
      <c r="E1470" s="631"/>
      <c r="F1470" s="631"/>
      <c r="G1470" s="631"/>
      <c r="H1470" s="631"/>
      <c r="I1470" s="631"/>
      <c r="J1470" s="631"/>
      <c r="M1470" s="458"/>
      <c r="N1470" s="458"/>
      <c r="O1470" s="458"/>
      <c r="R1470" s="490" t="str">
        <f>R$1471</f>
        <v>DELETE</v>
      </c>
    </row>
    <row r="1471" spans="2:18" ht="36.75" customHeight="1" x14ac:dyDescent="0.5">
      <c r="B1471" s="501"/>
      <c r="C1471" s="630"/>
      <c r="D1471" s="631"/>
      <c r="E1471" s="631"/>
      <c r="F1471" s="631"/>
      <c r="G1471" s="631"/>
      <c r="H1471" s="631"/>
      <c r="I1471" s="631"/>
      <c r="J1471" s="631"/>
      <c r="M1471" s="458">
        <f>SUM(M1425:M1470)</f>
        <v>0</v>
      </c>
      <c r="N1471" s="458"/>
      <c r="O1471" s="458">
        <f>SUM(O1425:O1470)</f>
        <v>0</v>
      </c>
      <c r="R1471" s="490" t="str">
        <f>IF(M1471+O1471=0,"DELETE"," ")</f>
        <v>DELETE</v>
      </c>
    </row>
    <row r="1472" spans="2:18" ht="9" customHeight="1" thickBot="1" x14ac:dyDescent="0.55000000000000004">
      <c r="B1472" s="501"/>
      <c r="C1472" s="630"/>
      <c r="D1472" s="631"/>
      <c r="E1472" s="631"/>
      <c r="F1472" s="631"/>
      <c r="G1472" s="631"/>
      <c r="H1472" s="631"/>
      <c r="I1472" s="631"/>
      <c r="J1472" s="631"/>
      <c r="M1472" s="462"/>
      <c r="N1472" s="462"/>
      <c r="O1472" s="462"/>
      <c r="R1472" s="490" t="str">
        <f t="shared" ref="R1472:R1476" si="49">R$1471</f>
        <v>DELETE</v>
      </c>
    </row>
    <row r="1473" spans="2:18" ht="9" customHeight="1" thickTop="1" x14ac:dyDescent="0.5">
      <c r="B1473" s="501"/>
      <c r="C1473" s="630"/>
      <c r="D1473" s="631"/>
      <c r="E1473" s="631"/>
      <c r="F1473" s="631"/>
      <c r="G1473" s="631"/>
      <c r="H1473" s="631"/>
      <c r="I1473" s="631"/>
      <c r="J1473" s="631"/>
      <c r="M1473" s="475"/>
      <c r="N1473" s="475"/>
      <c r="O1473" s="475"/>
      <c r="R1473" s="490" t="str">
        <f t="shared" si="49"/>
        <v>DELETE</v>
      </c>
    </row>
    <row r="1474" spans="2:18" ht="36" customHeight="1" x14ac:dyDescent="0.5">
      <c r="B1474" s="501"/>
      <c r="C1474" s="630"/>
      <c r="D1474" s="631"/>
      <c r="E1474" s="631"/>
      <c r="F1474" s="631"/>
      <c r="G1474" s="631"/>
      <c r="H1474" s="631"/>
      <c r="I1474" s="631"/>
      <c r="J1474" s="631"/>
      <c r="M1474" s="475"/>
      <c r="N1474" s="475"/>
      <c r="O1474" s="475"/>
      <c r="R1474" s="490" t="str">
        <f t="shared" si="49"/>
        <v>DELETE</v>
      </c>
    </row>
    <row r="1475" spans="2:18" ht="36" customHeight="1" x14ac:dyDescent="0.5">
      <c r="B1475" s="501"/>
      <c r="C1475" s="630"/>
      <c r="D1475" s="631"/>
      <c r="E1475" s="631"/>
      <c r="F1475" s="631"/>
      <c r="G1475" s="631"/>
      <c r="H1475" s="631"/>
      <c r="I1475" s="631"/>
      <c r="J1475" s="631"/>
      <c r="M1475" s="475"/>
      <c r="N1475" s="475"/>
      <c r="O1475" s="475"/>
      <c r="R1475" s="490" t="str">
        <f t="shared" si="49"/>
        <v>DELETE</v>
      </c>
    </row>
    <row r="1476" spans="2:18" ht="36" customHeight="1" x14ac:dyDescent="0.5">
      <c r="B1476" s="501"/>
      <c r="C1476" s="630"/>
      <c r="D1476" s="631"/>
      <c r="E1476" s="631"/>
      <c r="F1476" s="631"/>
      <c r="G1476" s="631"/>
      <c r="H1476" s="631"/>
      <c r="I1476" s="631"/>
      <c r="J1476" s="631"/>
      <c r="M1476" s="475"/>
      <c r="N1476" s="475"/>
      <c r="O1476" s="475"/>
      <c r="P1476" s="545"/>
      <c r="R1476" s="490" t="str">
        <f t="shared" si="49"/>
        <v>DELETE</v>
      </c>
    </row>
    <row r="1477" spans="2:18" ht="36" customHeight="1" x14ac:dyDescent="0.5">
      <c r="B1477" s="502"/>
      <c r="D1477" s="631"/>
      <c r="E1477" s="631"/>
      <c r="F1477" s="631"/>
      <c r="G1477" s="631"/>
      <c r="H1477" s="631"/>
      <c r="I1477" s="631"/>
      <c r="J1477" s="631"/>
      <c r="M1477" s="541"/>
      <c r="N1477" s="541"/>
      <c r="O1477" s="458" t="s">
        <v>112</v>
      </c>
      <c r="Q1477" s="450">
        <f>MAX($Q$103:Q1476)+1</f>
        <v>39</v>
      </c>
      <c r="R1477" s="490" t="str">
        <f>R$1492</f>
        <v>DELETE</v>
      </c>
    </row>
    <row r="1478" spans="2:18" ht="36" customHeight="1" x14ac:dyDescent="0.5">
      <c r="B1478" s="502"/>
      <c r="D1478" s="630" t="str">
        <f>Criteria!E9</f>
        <v>ABC COMPANY (PROPRIETARY) LIMITED</v>
      </c>
      <c r="E1478" s="631"/>
      <c r="F1478" s="631"/>
      <c r="G1478" s="631"/>
      <c r="H1478" s="631"/>
      <c r="I1478" s="631"/>
      <c r="J1478" s="631"/>
      <c r="M1478" s="541"/>
      <c r="N1478" s="541"/>
      <c r="O1478" s="451"/>
      <c r="P1478" s="451"/>
      <c r="Q1478" s="451"/>
      <c r="R1478" s="490" t="str">
        <f>R$1492</f>
        <v>DELETE</v>
      </c>
    </row>
    <row r="1479" spans="2:18" ht="36" customHeight="1" x14ac:dyDescent="0.5">
      <c r="B1479" s="502"/>
      <c r="D1479" s="630" t="str">
        <f>Criteria!E10</f>
        <v>T/A SEAFRONT HOTEL, ABC RESTAURANT AND RENTAL PROPERTIES</v>
      </c>
      <c r="E1479" s="631"/>
      <c r="F1479" s="631"/>
      <c r="G1479" s="631"/>
      <c r="H1479" s="631"/>
      <c r="I1479" s="631"/>
      <c r="J1479" s="631"/>
      <c r="M1479" s="541"/>
      <c r="N1479" s="541"/>
      <c r="O1479" s="541"/>
      <c r="R1479" s="490" t="str">
        <f>IF(R$1492="DELETE","DELETE",IF(D1479=0,"DELETE"," "))</f>
        <v>DELETE</v>
      </c>
    </row>
    <row r="1480" spans="2:18" ht="36" customHeight="1" x14ac:dyDescent="0.5">
      <c r="B1480" s="502"/>
      <c r="D1480" s="631"/>
      <c r="E1480" s="631"/>
      <c r="F1480" s="631"/>
      <c r="G1480" s="631"/>
      <c r="H1480" s="631"/>
      <c r="I1480" s="631"/>
      <c r="J1480" s="631"/>
      <c r="M1480" s="541"/>
      <c r="N1480" s="541"/>
      <c r="O1480" s="541"/>
      <c r="R1480" s="490" t="str">
        <f t="shared" ref="R1480:R1497" si="50">R$1492</f>
        <v>DELETE</v>
      </c>
    </row>
    <row r="1481" spans="2:18" ht="36" customHeight="1" x14ac:dyDescent="0.5">
      <c r="B1481" s="502"/>
      <c r="D1481" s="630" t="s">
        <v>415</v>
      </c>
      <c r="E1481" s="631"/>
      <c r="F1481" s="631"/>
      <c r="G1481" s="631"/>
      <c r="H1481" s="631"/>
      <c r="I1481" s="631"/>
      <c r="J1481" s="631"/>
      <c r="M1481" s="541"/>
      <c r="N1481" s="541"/>
      <c r="O1481" s="541"/>
      <c r="R1481" s="490" t="str">
        <f t="shared" si="50"/>
        <v>DELETE</v>
      </c>
    </row>
    <row r="1482" spans="2:18" ht="36" customHeight="1" x14ac:dyDescent="0.5">
      <c r="B1482" s="502"/>
      <c r="D1482" s="630" t="str">
        <f>Criteria!E20</f>
        <v>28 FEBRUARY 2026</v>
      </c>
      <c r="E1482" s="631"/>
      <c r="F1482" s="631"/>
      <c r="G1482" s="631"/>
      <c r="H1482" s="631"/>
      <c r="I1482" s="631"/>
      <c r="J1482" s="631" t="s">
        <v>282</v>
      </c>
      <c r="M1482" s="541"/>
      <c r="N1482" s="541"/>
      <c r="O1482" s="541"/>
      <c r="R1482" s="490" t="str">
        <f t="shared" si="50"/>
        <v>DELETE</v>
      </c>
    </row>
    <row r="1483" spans="2:18" ht="36" customHeight="1" x14ac:dyDescent="0.5">
      <c r="B1483" s="502"/>
      <c r="D1483" s="631"/>
      <c r="E1483" s="631"/>
      <c r="F1483" s="631"/>
      <c r="G1483" s="631"/>
      <c r="H1483" s="631"/>
      <c r="I1483" s="631"/>
      <c r="J1483" s="631"/>
      <c r="M1483" s="554"/>
      <c r="N1483" s="554"/>
      <c r="O1483" s="554"/>
      <c r="R1483" s="490" t="str">
        <f t="shared" si="50"/>
        <v>DELETE</v>
      </c>
    </row>
    <row r="1484" spans="2:18" ht="36" customHeight="1" x14ac:dyDescent="0.5">
      <c r="B1484" s="641"/>
      <c r="C1484" s="457"/>
      <c r="D1484" s="649"/>
      <c r="E1484" s="649"/>
      <c r="F1484" s="649"/>
      <c r="G1484" s="649"/>
      <c r="H1484" s="649"/>
      <c r="I1484" s="649"/>
      <c r="J1484" s="649"/>
      <c r="K1484" s="457"/>
      <c r="L1484" s="457"/>
      <c r="M1484" s="557"/>
      <c r="N1484" s="557"/>
      <c r="O1484" s="557"/>
      <c r="P1484" s="551"/>
      <c r="Q1484" s="457"/>
      <c r="R1484" s="490" t="str">
        <f t="shared" si="50"/>
        <v>DELETE</v>
      </c>
    </row>
    <row r="1485" spans="2:18" ht="36" customHeight="1" x14ac:dyDescent="0.5">
      <c r="B1485" s="502"/>
      <c r="D1485" s="631"/>
      <c r="E1485" s="631"/>
      <c r="F1485" s="631"/>
      <c r="G1485" s="631"/>
      <c r="H1485" s="631"/>
      <c r="I1485" s="631"/>
      <c r="J1485" s="631"/>
      <c r="M1485" s="453">
        <f>Criteria!E22</f>
        <v>2026</v>
      </c>
      <c r="N1485" s="453"/>
      <c r="O1485" s="453">
        <f>Criteria!E27</f>
        <v>2025</v>
      </c>
      <c r="R1485" s="490" t="str">
        <f t="shared" si="50"/>
        <v>DELETE</v>
      </c>
    </row>
    <row r="1486" spans="2:18" ht="36" customHeight="1" x14ac:dyDescent="0.5">
      <c r="B1486" s="501"/>
      <c r="C1486" s="630"/>
      <c r="D1486" s="631"/>
      <c r="E1486" s="631"/>
      <c r="F1486" s="631"/>
      <c r="G1486" s="631"/>
      <c r="H1486" s="631"/>
      <c r="I1486" s="631"/>
      <c r="J1486" s="631"/>
      <c r="M1486" s="475"/>
      <c r="N1486" s="475"/>
      <c r="O1486" s="475"/>
      <c r="P1486" s="545"/>
      <c r="R1486" s="490" t="str">
        <f t="shared" si="50"/>
        <v>DELETE</v>
      </c>
    </row>
    <row r="1487" spans="2:18" ht="36" customHeight="1" x14ac:dyDescent="0.5">
      <c r="B1487" s="501">
        <f>MAX(B$871:B1486)+1</f>
        <v>8</v>
      </c>
      <c r="C1487" s="630" t="s">
        <v>1745</v>
      </c>
      <c r="D1487" s="631"/>
      <c r="E1487" s="631"/>
      <c r="F1487" s="631"/>
      <c r="G1487" s="631"/>
      <c r="H1487" s="631"/>
      <c r="I1487" s="631"/>
      <c r="J1487" s="631"/>
      <c r="M1487" s="475"/>
      <c r="N1487" s="475"/>
      <c r="O1487" s="475"/>
      <c r="P1487" s="545"/>
      <c r="R1487" s="490" t="str">
        <f t="shared" si="50"/>
        <v>DELETE</v>
      </c>
    </row>
    <row r="1488" spans="2:18" ht="36" customHeight="1" x14ac:dyDescent="0.5">
      <c r="B1488" s="501"/>
      <c r="C1488" s="630"/>
      <c r="D1488" s="631"/>
      <c r="E1488" s="631"/>
      <c r="F1488" s="631"/>
      <c r="G1488" s="631"/>
      <c r="H1488" s="631"/>
      <c r="I1488" s="631"/>
      <c r="J1488" s="631"/>
      <c r="M1488" s="475"/>
      <c r="N1488" s="475"/>
      <c r="O1488" s="475"/>
      <c r="P1488" s="545"/>
      <c r="R1488" s="490" t="str">
        <f t="shared" si="50"/>
        <v>DELETE</v>
      </c>
    </row>
    <row r="1489" spans="2:18" ht="36" customHeight="1" x14ac:dyDescent="0.5">
      <c r="B1489" s="501"/>
      <c r="C1489" s="631" t="str">
        <f>TrialBalance!C97</f>
        <v>Revaluation of investment property</v>
      </c>
      <c r="D1489" s="631"/>
      <c r="E1489" s="631"/>
      <c r="F1489" s="631"/>
      <c r="G1489" s="631"/>
      <c r="H1489" s="631"/>
      <c r="I1489" s="631"/>
      <c r="J1489" s="631"/>
      <c r="M1489" s="475">
        <f>-TrialBalance!L97-TrialBalanceA!I97-TrialBalanceB!I97-TrialBalanceC!I97</f>
        <v>0</v>
      </c>
      <c r="N1489" s="475"/>
      <c r="O1489" s="475">
        <f>-TrialBalance!N97-TrialBalanceA!K97-TrialBalanceB!K97-TrialBalanceC!K97</f>
        <v>0</v>
      </c>
      <c r="P1489" s="545"/>
      <c r="R1489" s="490" t="str">
        <f t="shared" ref="R1489" si="51">IF(M1489+O1489=0,"DELETE"," ")</f>
        <v>DELETE</v>
      </c>
    </row>
    <row r="1490" spans="2:18" ht="8.25" customHeight="1" x14ac:dyDescent="0.5">
      <c r="B1490" s="501"/>
      <c r="C1490" s="630"/>
      <c r="D1490" s="631"/>
      <c r="E1490" s="631"/>
      <c r="F1490" s="631"/>
      <c r="G1490" s="631"/>
      <c r="H1490" s="631"/>
      <c r="I1490" s="631"/>
      <c r="J1490" s="631"/>
      <c r="M1490" s="461"/>
      <c r="N1490" s="461"/>
      <c r="O1490" s="461"/>
      <c r="P1490" s="545"/>
      <c r="R1490" s="490" t="str">
        <f t="shared" si="50"/>
        <v>DELETE</v>
      </c>
    </row>
    <row r="1491" spans="2:18" ht="8.25" customHeight="1" x14ac:dyDescent="0.5">
      <c r="B1491" s="501"/>
      <c r="C1491" s="630"/>
      <c r="D1491" s="631"/>
      <c r="E1491" s="631"/>
      <c r="F1491" s="631"/>
      <c r="G1491" s="631"/>
      <c r="H1491" s="631"/>
      <c r="I1491" s="631"/>
      <c r="J1491" s="631"/>
      <c r="M1491" s="475"/>
      <c r="N1491" s="475"/>
      <c r="O1491" s="475"/>
      <c r="P1491" s="545"/>
      <c r="R1491" s="490" t="str">
        <f t="shared" si="50"/>
        <v>DELETE</v>
      </c>
    </row>
    <row r="1492" spans="2:18" ht="36" customHeight="1" x14ac:dyDescent="0.5">
      <c r="B1492" s="501"/>
      <c r="C1492" s="630"/>
      <c r="D1492" s="631"/>
      <c r="E1492" s="631"/>
      <c r="F1492" s="631"/>
      <c r="G1492" s="631"/>
      <c r="H1492" s="631"/>
      <c r="I1492" s="631"/>
      <c r="J1492" s="631"/>
      <c r="M1492" s="475">
        <f>SUM(M1489:M1491)</f>
        <v>0</v>
      </c>
      <c r="N1492" s="475"/>
      <c r="O1492" s="475">
        <f>SUM(O1489:O1491)</f>
        <v>0</v>
      </c>
      <c r="P1492" s="545"/>
      <c r="R1492" s="490" t="str">
        <f t="shared" ref="R1492" si="52">IF(M1492+O1492=0,"DELETE"," ")</f>
        <v>DELETE</v>
      </c>
    </row>
    <row r="1493" spans="2:18" ht="8.25" customHeight="1" thickBot="1" x14ac:dyDescent="0.55000000000000004">
      <c r="B1493" s="501"/>
      <c r="C1493" s="630"/>
      <c r="D1493" s="631"/>
      <c r="E1493" s="631"/>
      <c r="F1493" s="631"/>
      <c r="G1493" s="631"/>
      <c r="H1493" s="631"/>
      <c r="I1493" s="631"/>
      <c r="J1493" s="631"/>
      <c r="M1493" s="462"/>
      <c r="N1493" s="462"/>
      <c r="O1493" s="462"/>
      <c r="P1493" s="545"/>
      <c r="R1493" s="490" t="str">
        <f t="shared" si="50"/>
        <v>DELETE</v>
      </c>
    </row>
    <row r="1494" spans="2:18" ht="8.25" customHeight="1" thickTop="1" x14ac:dyDescent="0.5">
      <c r="B1494" s="501"/>
      <c r="C1494" s="630"/>
      <c r="D1494" s="631"/>
      <c r="E1494" s="631"/>
      <c r="F1494" s="631"/>
      <c r="G1494" s="631"/>
      <c r="H1494" s="631"/>
      <c r="I1494" s="631"/>
      <c r="J1494" s="631"/>
      <c r="M1494" s="475"/>
      <c r="N1494" s="475"/>
      <c r="O1494" s="475"/>
      <c r="P1494" s="545"/>
      <c r="R1494" s="490" t="str">
        <f t="shared" si="50"/>
        <v>DELETE</v>
      </c>
    </row>
    <row r="1495" spans="2:18" ht="36" customHeight="1" x14ac:dyDescent="0.5">
      <c r="B1495" s="501"/>
      <c r="C1495" s="630"/>
      <c r="D1495" s="631"/>
      <c r="E1495" s="631"/>
      <c r="F1495" s="631"/>
      <c r="G1495" s="631"/>
      <c r="H1495" s="631"/>
      <c r="I1495" s="631"/>
      <c r="J1495" s="631"/>
      <c r="M1495" s="475"/>
      <c r="N1495" s="475"/>
      <c r="O1495" s="475"/>
      <c r="P1495" s="545"/>
      <c r="R1495" s="490" t="str">
        <f t="shared" si="50"/>
        <v>DELETE</v>
      </c>
    </row>
    <row r="1496" spans="2:18" ht="36" customHeight="1" x14ac:dyDescent="0.5">
      <c r="B1496" s="501"/>
      <c r="C1496" s="630"/>
      <c r="D1496" s="631"/>
      <c r="E1496" s="631"/>
      <c r="F1496" s="631"/>
      <c r="G1496" s="631"/>
      <c r="H1496" s="631"/>
      <c r="I1496" s="631"/>
      <c r="J1496" s="631"/>
      <c r="M1496" s="475"/>
      <c r="N1496" s="475"/>
      <c r="O1496" s="475"/>
      <c r="P1496" s="545"/>
      <c r="R1496" s="490" t="str">
        <f t="shared" si="50"/>
        <v>DELETE</v>
      </c>
    </row>
    <row r="1497" spans="2:18" ht="36" customHeight="1" x14ac:dyDescent="0.5">
      <c r="B1497" s="501"/>
      <c r="C1497" s="630"/>
      <c r="D1497" s="631"/>
      <c r="E1497" s="631"/>
      <c r="F1497" s="631"/>
      <c r="G1497" s="631"/>
      <c r="H1497" s="631"/>
      <c r="I1497" s="631"/>
      <c r="J1497" s="631"/>
      <c r="M1497" s="458"/>
      <c r="N1497" s="458"/>
      <c r="O1497" s="458"/>
      <c r="R1497" s="490" t="str">
        <f t="shared" si="50"/>
        <v>DELETE</v>
      </c>
    </row>
    <row r="1498" spans="2:18" ht="36" customHeight="1" x14ac:dyDescent="0.5">
      <c r="B1498" s="501"/>
      <c r="C1498" s="630"/>
      <c r="D1498" s="631"/>
      <c r="E1498" s="631"/>
      <c r="F1498" s="631"/>
      <c r="G1498" s="631"/>
      <c r="H1498" s="631"/>
      <c r="I1498" s="631"/>
      <c r="J1498" s="631"/>
      <c r="M1498" s="458"/>
      <c r="N1498" s="458"/>
      <c r="O1498" s="458" t="s">
        <v>112</v>
      </c>
      <c r="Q1498" s="450">
        <f>MAX($Q$103:Q1497)+1</f>
        <v>40</v>
      </c>
    </row>
    <row r="1499" spans="2:18" ht="36" customHeight="1" x14ac:dyDescent="0.5">
      <c r="B1499" s="502"/>
      <c r="C1499" s="631"/>
      <c r="D1499" s="630" t="str">
        <f>Criteria!E9</f>
        <v>ABC COMPANY (PROPRIETARY) LIMITED</v>
      </c>
      <c r="E1499" s="631"/>
      <c r="F1499" s="631"/>
      <c r="G1499" s="631"/>
      <c r="H1499" s="631"/>
      <c r="I1499" s="631"/>
      <c r="J1499" s="631"/>
      <c r="M1499" s="541"/>
      <c r="N1499" s="541"/>
      <c r="O1499" s="451"/>
      <c r="P1499" s="451"/>
      <c r="Q1499" s="451"/>
    </row>
    <row r="1500" spans="2:18" ht="36" customHeight="1" x14ac:dyDescent="0.5">
      <c r="B1500" s="502"/>
      <c r="C1500" s="631"/>
      <c r="D1500" s="630" t="str">
        <f>Criteria!E10</f>
        <v>T/A SEAFRONT HOTEL, ABC RESTAURANT AND RENTAL PROPERTIES</v>
      </c>
      <c r="E1500" s="631"/>
      <c r="F1500" s="631"/>
      <c r="G1500" s="631"/>
      <c r="H1500" s="631"/>
      <c r="I1500" s="631"/>
      <c r="J1500" s="631"/>
      <c r="M1500" s="541"/>
      <c r="N1500" s="541"/>
      <c r="O1500" s="541"/>
      <c r="R1500" s="490" t="str">
        <f>IF(D1500=0,"DELETE"," ")</f>
        <v xml:space="preserve"> </v>
      </c>
    </row>
    <row r="1501" spans="2:18" ht="36" customHeight="1" x14ac:dyDescent="0.5">
      <c r="B1501" s="502"/>
      <c r="C1501" s="631"/>
      <c r="D1501" s="631"/>
      <c r="E1501" s="631"/>
      <c r="F1501" s="631"/>
      <c r="G1501" s="631"/>
      <c r="H1501" s="631"/>
      <c r="I1501" s="631"/>
      <c r="J1501" s="631"/>
      <c r="M1501" s="541"/>
      <c r="N1501" s="541"/>
      <c r="O1501" s="541"/>
    </row>
    <row r="1502" spans="2:18" ht="36" customHeight="1" x14ac:dyDescent="0.5">
      <c r="B1502" s="502"/>
      <c r="C1502" s="631"/>
      <c r="D1502" s="630" t="s">
        <v>415</v>
      </c>
      <c r="E1502" s="631"/>
      <c r="F1502" s="631"/>
      <c r="G1502" s="631"/>
      <c r="H1502" s="631"/>
      <c r="I1502" s="631"/>
      <c r="J1502" s="631"/>
      <c r="M1502" s="541"/>
      <c r="N1502" s="541"/>
      <c r="O1502" s="541"/>
    </row>
    <row r="1503" spans="2:18" ht="36" customHeight="1" x14ac:dyDescent="0.5">
      <c r="B1503" s="502"/>
      <c r="C1503" s="631"/>
      <c r="D1503" s="630" t="str">
        <f>Criteria!E20</f>
        <v>28 FEBRUARY 2026</v>
      </c>
      <c r="E1503" s="631"/>
      <c r="F1503" s="631"/>
      <c r="G1503" s="631"/>
      <c r="H1503" s="631"/>
      <c r="I1503" s="631"/>
      <c r="J1503" s="631" t="s">
        <v>282</v>
      </c>
      <c r="M1503" s="541"/>
      <c r="N1503" s="541"/>
      <c r="O1503" s="541"/>
    </row>
    <row r="1504" spans="2:18" ht="36" customHeight="1" x14ac:dyDescent="0.5">
      <c r="B1504" s="502"/>
      <c r="C1504" s="631"/>
      <c r="D1504" s="630"/>
      <c r="E1504" s="631"/>
      <c r="F1504" s="631"/>
      <c r="G1504" s="631"/>
      <c r="H1504" s="631"/>
      <c r="I1504" s="631"/>
      <c r="J1504" s="631"/>
      <c r="M1504" s="541"/>
      <c r="N1504" s="541"/>
      <c r="O1504" s="541"/>
    </row>
    <row r="1505" spans="2:24" ht="36" customHeight="1" x14ac:dyDescent="0.5">
      <c r="B1505" s="640"/>
      <c r="C1505" s="652"/>
      <c r="D1505" s="649"/>
      <c r="E1505" s="649"/>
      <c r="F1505" s="649"/>
      <c r="G1505" s="649"/>
      <c r="H1505" s="649"/>
      <c r="I1505" s="649"/>
      <c r="J1505" s="649"/>
      <c r="K1505" s="457"/>
      <c r="L1505" s="457"/>
      <c r="M1505" s="459"/>
      <c r="N1505" s="459"/>
      <c r="O1505" s="459"/>
      <c r="P1505" s="551"/>
      <c r="Q1505" s="457"/>
    </row>
    <row r="1506" spans="2:24" ht="36" customHeight="1" x14ac:dyDescent="0.5">
      <c r="B1506" s="501"/>
      <c r="C1506" s="630"/>
      <c r="D1506" s="631"/>
      <c r="E1506" s="631"/>
      <c r="F1506" s="631"/>
      <c r="G1506" s="631"/>
      <c r="H1506" s="631"/>
      <c r="I1506" s="631"/>
      <c r="J1506" s="631"/>
      <c r="M1506" s="453">
        <f>Criteria!E22</f>
        <v>2026</v>
      </c>
      <c r="N1506" s="453"/>
      <c r="O1506" s="453">
        <f>Criteria!E27</f>
        <v>2025</v>
      </c>
    </row>
    <row r="1507" spans="2:24" ht="36" customHeight="1" x14ac:dyDescent="0.5">
      <c r="B1507" s="501"/>
      <c r="C1507" s="630"/>
      <c r="D1507" s="631"/>
      <c r="E1507" s="631"/>
      <c r="F1507" s="631"/>
      <c r="G1507" s="631"/>
      <c r="H1507" s="631"/>
      <c r="I1507" s="631"/>
      <c r="J1507" s="631"/>
      <c r="M1507" s="458"/>
      <c r="N1507" s="458"/>
      <c r="O1507" s="458"/>
    </row>
    <row r="1508" spans="2:24" ht="36" customHeight="1" x14ac:dyDescent="0.5">
      <c r="B1508" s="501">
        <f>MAX(B$871:B1507)+1</f>
        <v>9</v>
      </c>
      <c r="C1508" s="630" t="s">
        <v>978</v>
      </c>
      <c r="D1508" s="631"/>
      <c r="E1508" s="631"/>
      <c r="F1508" s="631"/>
      <c r="G1508" s="631"/>
      <c r="H1508" s="631"/>
      <c r="I1508" s="631"/>
      <c r="J1508" s="631"/>
      <c r="M1508" s="458"/>
      <c r="N1508" s="458"/>
      <c r="O1508" s="458"/>
    </row>
    <row r="1509" spans="2:24" ht="36" customHeight="1" x14ac:dyDescent="0.5">
      <c r="B1509" s="501"/>
      <c r="C1509" s="630"/>
      <c r="D1509" s="631"/>
      <c r="E1509" s="631"/>
      <c r="F1509" s="631"/>
      <c r="G1509" s="631"/>
      <c r="H1509" s="631"/>
      <c r="I1509" s="631"/>
      <c r="J1509" s="631"/>
      <c r="M1509" s="458"/>
      <c r="N1509" s="458"/>
      <c r="O1509" s="458"/>
    </row>
    <row r="1510" spans="2:24" ht="36" customHeight="1" x14ac:dyDescent="0.5">
      <c r="B1510" s="501"/>
      <c r="C1510" s="502">
        <f>B1508+0.1</f>
        <v>9.1</v>
      </c>
      <c r="D1510" s="630" t="s">
        <v>1521</v>
      </c>
      <c r="E1510" s="631"/>
      <c r="F1510" s="631"/>
      <c r="G1510" s="631"/>
      <c r="H1510" s="631"/>
      <c r="I1510" s="631"/>
      <c r="J1510" s="520"/>
      <c r="M1510" s="458"/>
      <c r="N1510" s="458"/>
      <c r="O1510" s="458"/>
    </row>
    <row r="1511" spans="2:24" ht="36" customHeight="1" x14ac:dyDescent="0.5">
      <c r="B1511" s="501"/>
      <c r="C1511" s="515"/>
      <c r="D1511" s="630"/>
      <c r="E1511" s="631"/>
      <c r="F1511" s="631"/>
      <c r="G1511" s="631"/>
      <c r="H1511" s="631"/>
      <c r="I1511" s="631"/>
      <c r="J1511" s="520"/>
      <c r="M1511" s="458"/>
      <c r="N1511" s="458"/>
      <c r="O1511" s="458"/>
    </row>
    <row r="1512" spans="2:24" ht="36" customHeight="1" x14ac:dyDescent="0.5">
      <c r="B1512" s="501"/>
      <c r="C1512" s="516"/>
      <c r="D1512" s="631" t="s">
        <v>883</v>
      </c>
      <c r="E1512" s="631"/>
      <c r="F1512" s="631"/>
      <c r="G1512" s="631"/>
      <c r="H1512" s="631"/>
      <c r="I1512" s="631"/>
      <c r="J1512" s="520"/>
      <c r="M1512" s="458">
        <f>SUM(M1515:M1516)</f>
        <v>0</v>
      </c>
      <c r="N1512" s="458"/>
      <c r="O1512" s="458">
        <f>SUM(O1515:O1516)</f>
        <v>0</v>
      </c>
      <c r="S1512" s="495">
        <f>M1512</f>
        <v>0</v>
      </c>
      <c r="T1512" s="495"/>
      <c r="U1512" s="495">
        <f>O1512</f>
        <v>0</v>
      </c>
      <c r="V1512" s="495"/>
      <c r="W1512" s="495"/>
      <c r="X1512" s="495"/>
    </row>
    <row r="1513" spans="2:24" ht="9" customHeight="1" x14ac:dyDescent="0.5">
      <c r="B1513" s="501"/>
      <c r="C1513" s="516"/>
      <c r="D1513" s="631"/>
      <c r="E1513" s="631"/>
      <c r="F1513" s="631"/>
      <c r="G1513" s="631"/>
      <c r="H1513" s="631"/>
      <c r="I1513" s="631"/>
      <c r="J1513" s="520"/>
      <c r="M1513" s="458"/>
      <c r="N1513" s="458"/>
      <c r="O1513" s="458"/>
    </row>
    <row r="1514" spans="2:24" ht="9" customHeight="1" x14ac:dyDescent="0.5">
      <c r="B1514" s="501"/>
      <c r="C1514" s="516"/>
      <c r="D1514" s="631"/>
      <c r="E1514" s="631"/>
      <c r="F1514" s="631"/>
      <c r="G1514" s="631"/>
      <c r="H1514" s="631"/>
      <c r="I1514" s="631"/>
      <c r="J1514" s="520"/>
      <c r="M1514" s="578"/>
      <c r="N1514" s="459"/>
      <c r="O1514" s="579"/>
    </row>
    <row r="1515" spans="2:24" ht="36" customHeight="1" x14ac:dyDescent="0.5">
      <c r="B1515" s="501"/>
      <c r="C1515" s="516"/>
      <c r="D1515" s="631" t="s">
        <v>1589</v>
      </c>
      <c r="E1515" s="631"/>
      <c r="F1515" s="631"/>
      <c r="G1515" s="631"/>
      <c r="H1515" s="631"/>
      <c r="I1515" s="631"/>
      <c r="J1515" s="520"/>
      <c r="M1515" s="580">
        <f>TrialBalance!L158</f>
        <v>0</v>
      </c>
      <c r="N1515" s="458"/>
      <c r="O1515" s="581">
        <f>TrialBalance!N158</f>
        <v>0</v>
      </c>
    </row>
    <row r="1516" spans="2:24" ht="36" customHeight="1" x14ac:dyDescent="0.5">
      <c r="B1516" s="501"/>
      <c r="C1516" s="516"/>
      <c r="D1516" s="631" t="s">
        <v>1590</v>
      </c>
      <c r="E1516" s="631"/>
      <c r="F1516" s="631"/>
      <c r="G1516" s="631"/>
      <c r="H1516" s="631"/>
      <c r="I1516" s="631"/>
      <c r="J1516" s="520"/>
      <c r="M1516" s="580">
        <f>TrialBalance!L159</f>
        <v>0</v>
      </c>
      <c r="N1516" s="458"/>
      <c r="O1516" s="581">
        <f>TrialBalance!N159</f>
        <v>0</v>
      </c>
      <c r="R1516" s="490" t="str">
        <f>IF(M1516+O1516=0,"DELETE"," ")</f>
        <v>DELETE</v>
      </c>
    </row>
    <row r="1517" spans="2:24" ht="9" customHeight="1" x14ac:dyDescent="0.5">
      <c r="B1517" s="501"/>
      <c r="C1517" s="516"/>
      <c r="D1517" s="631"/>
      <c r="E1517" s="631"/>
      <c r="F1517" s="631"/>
      <c r="G1517" s="631"/>
      <c r="H1517" s="631"/>
      <c r="I1517" s="631"/>
      <c r="J1517" s="520"/>
      <c r="M1517" s="460"/>
      <c r="N1517" s="461"/>
      <c r="O1517" s="582"/>
    </row>
    <row r="1518" spans="2:24" ht="9" customHeight="1" x14ac:dyDescent="0.5">
      <c r="B1518" s="501"/>
      <c r="C1518" s="516"/>
      <c r="D1518" s="631"/>
      <c r="E1518" s="631"/>
      <c r="F1518" s="631"/>
      <c r="G1518" s="631"/>
      <c r="H1518" s="631"/>
      <c r="I1518" s="631"/>
      <c r="J1518" s="520"/>
      <c r="M1518" s="458"/>
      <c r="N1518" s="458"/>
      <c r="O1518" s="458"/>
    </row>
    <row r="1519" spans="2:24" ht="36.75" customHeight="1" x14ac:dyDescent="0.5">
      <c r="B1519" s="501"/>
      <c r="C1519" s="516"/>
      <c r="D1519" s="631" t="s">
        <v>612</v>
      </c>
      <c r="E1519" s="631"/>
      <c r="F1519" s="631"/>
      <c r="G1519" s="631"/>
      <c r="H1519" s="631"/>
      <c r="I1519" s="631"/>
      <c r="J1519" s="520"/>
      <c r="M1519" s="458">
        <f>SUM(M1522:M1524)</f>
        <v>0</v>
      </c>
      <c r="N1519" s="458"/>
      <c r="O1519" s="458">
        <f>SUM(O1522:O1524)</f>
        <v>0</v>
      </c>
      <c r="R1519" s="490" t="str">
        <f>IF(R1522=" "," ",IF(R1524=" "," ",IF(R1523=" "," ","DELETE")))</f>
        <v>DELETE</v>
      </c>
      <c r="S1519" s="495">
        <f>M1519</f>
        <v>0</v>
      </c>
      <c r="T1519" s="495"/>
      <c r="U1519" s="495">
        <f>O1519</f>
        <v>0</v>
      </c>
      <c r="V1519" s="495"/>
      <c r="W1519" s="495"/>
      <c r="X1519" s="495"/>
    </row>
    <row r="1520" spans="2:24" ht="9" customHeight="1" x14ac:dyDescent="0.5">
      <c r="B1520" s="501"/>
      <c r="C1520" s="516"/>
      <c r="D1520" s="631"/>
      <c r="E1520" s="631"/>
      <c r="F1520" s="631"/>
      <c r="G1520" s="631"/>
      <c r="H1520" s="631"/>
      <c r="I1520" s="631"/>
      <c r="J1520" s="520"/>
      <c r="M1520" s="458"/>
      <c r="N1520" s="458"/>
      <c r="O1520" s="458"/>
      <c r="R1520" s="490" t="str">
        <f>R1519</f>
        <v>DELETE</v>
      </c>
    </row>
    <row r="1521" spans="2:18" ht="9" customHeight="1" x14ac:dyDescent="0.5">
      <c r="B1521" s="501"/>
      <c r="C1521" s="516"/>
      <c r="D1521" s="631"/>
      <c r="E1521" s="631"/>
      <c r="F1521" s="631"/>
      <c r="G1521" s="631"/>
      <c r="H1521" s="631"/>
      <c r="I1521" s="631"/>
      <c r="J1521" s="520"/>
      <c r="M1521" s="578"/>
      <c r="N1521" s="459"/>
      <c r="O1521" s="579"/>
      <c r="R1521" s="490" t="str">
        <f>R1519</f>
        <v>DELETE</v>
      </c>
    </row>
    <row r="1522" spans="2:18" ht="36" customHeight="1" x14ac:dyDescent="0.5">
      <c r="B1522" s="501"/>
      <c r="C1522" s="516"/>
      <c r="D1522" s="631" t="s">
        <v>1589</v>
      </c>
      <c r="E1522" s="631"/>
      <c r="F1522" s="631"/>
      <c r="G1522" s="631"/>
      <c r="H1522" s="631"/>
      <c r="I1522" s="631"/>
      <c r="J1522" s="520"/>
      <c r="M1522" s="580">
        <f>TrialBalance!L161</f>
        <v>0</v>
      </c>
      <c r="N1522" s="458"/>
      <c r="O1522" s="581">
        <f>TrialBalance!N161</f>
        <v>0</v>
      </c>
      <c r="R1522" s="490" t="str">
        <f>IF(M1522=0,IF(O1522=0,"DELETE"," ")," ")</f>
        <v>DELETE</v>
      </c>
    </row>
    <row r="1523" spans="2:18" ht="36" customHeight="1" x14ac:dyDescent="0.5">
      <c r="B1523" s="501"/>
      <c r="C1523" s="516"/>
      <c r="D1523" s="631" t="s">
        <v>1591</v>
      </c>
      <c r="E1523" s="631"/>
      <c r="F1523" s="631"/>
      <c r="G1523" s="631"/>
      <c r="H1523" s="631"/>
      <c r="I1523" s="631"/>
      <c r="J1523" s="520"/>
      <c r="M1523" s="580">
        <f>TrialBalance!L162</f>
        <v>0</v>
      </c>
      <c r="N1523" s="458"/>
      <c r="O1523" s="581">
        <f>TrialBalance!N162</f>
        <v>0</v>
      </c>
      <c r="R1523" s="490" t="str">
        <f>IF(M1523=0,IF(O1523=0,"DELETE"," ")," ")</f>
        <v>DELETE</v>
      </c>
    </row>
    <row r="1524" spans="2:18" ht="36" customHeight="1" x14ac:dyDescent="0.5">
      <c r="B1524" s="501"/>
      <c r="C1524" s="516"/>
      <c r="D1524" s="631" t="s">
        <v>1590</v>
      </c>
      <c r="E1524" s="631"/>
      <c r="F1524" s="631"/>
      <c r="G1524" s="631"/>
      <c r="H1524" s="631"/>
      <c r="I1524" s="631"/>
      <c r="J1524" s="520"/>
      <c r="M1524" s="580">
        <f>TrialBalance!L163</f>
        <v>0</v>
      </c>
      <c r="N1524" s="458"/>
      <c r="O1524" s="581">
        <f>TrialBalance!N163</f>
        <v>0</v>
      </c>
      <c r="R1524" s="490" t="str">
        <f>IF(M1524=0,IF(O1524=0,"DELETE"," ")," ")</f>
        <v>DELETE</v>
      </c>
    </row>
    <row r="1525" spans="2:18" ht="9" customHeight="1" x14ac:dyDescent="0.5">
      <c r="B1525" s="501"/>
      <c r="C1525" s="516"/>
      <c r="D1525" s="631"/>
      <c r="E1525" s="631"/>
      <c r="F1525" s="631"/>
      <c r="G1525" s="631"/>
      <c r="H1525" s="631"/>
      <c r="I1525" s="631"/>
      <c r="J1525" s="520"/>
      <c r="M1525" s="460"/>
      <c r="N1525" s="461"/>
      <c r="O1525" s="582"/>
      <c r="R1525" s="490" t="str">
        <f>R1519</f>
        <v>DELETE</v>
      </c>
    </row>
    <row r="1526" spans="2:18" ht="9" customHeight="1" x14ac:dyDescent="0.5">
      <c r="B1526" s="501"/>
      <c r="C1526" s="516"/>
      <c r="D1526" s="631"/>
      <c r="E1526" s="631"/>
      <c r="F1526" s="631"/>
      <c r="G1526" s="631"/>
      <c r="H1526" s="631"/>
      <c r="I1526" s="631"/>
      <c r="J1526" s="520"/>
      <c r="M1526" s="458"/>
      <c r="N1526" s="458"/>
      <c r="O1526" s="458"/>
      <c r="R1526" s="490" t="str">
        <f>R1519</f>
        <v>DELETE</v>
      </c>
    </row>
    <row r="1527" spans="2:18" ht="9" customHeight="1" x14ac:dyDescent="0.5">
      <c r="B1527" s="501"/>
      <c r="C1527" s="516"/>
      <c r="D1527" s="631"/>
      <c r="E1527" s="631"/>
      <c r="F1527" s="631"/>
      <c r="G1527" s="631"/>
      <c r="H1527" s="631"/>
      <c r="I1527" s="631"/>
      <c r="J1527" s="520"/>
      <c r="M1527" s="461"/>
      <c r="N1527" s="461"/>
      <c r="O1527" s="461"/>
    </row>
    <row r="1528" spans="2:18" ht="9" customHeight="1" x14ac:dyDescent="0.5">
      <c r="B1528" s="501"/>
      <c r="C1528" s="516"/>
      <c r="D1528" s="631"/>
      <c r="E1528" s="631"/>
      <c r="F1528" s="631"/>
      <c r="G1528" s="631"/>
      <c r="H1528" s="631"/>
      <c r="I1528" s="631"/>
      <c r="J1528" s="520"/>
      <c r="M1528" s="458"/>
      <c r="N1528" s="458"/>
      <c r="O1528" s="458"/>
    </row>
    <row r="1529" spans="2:18" ht="36.75" customHeight="1" x14ac:dyDescent="0.5">
      <c r="B1529" s="501"/>
      <c r="C1529" s="516"/>
      <c r="D1529" s="631" t="s">
        <v>884</v>
      </c>
      <c r="E1529" s="631"/>
      <c r="F1529" s="631"/>
      <c r="G1529" s="631"/>
      <c r="H1529" s="631"/>
      <c r="I1529" s="631"/>
      <c r="J1529" s="520"/>
      <c r="M1529" s="458">
        <f>SUM(S1512:S1526)</f>
        <v>0</v>
      </c>
      <c r="N1529" s="458"/>
      <c r="O1529" s="458">
        <f>SUM(U1512:U1526)</f>
        <v>0</v>
      </c>
    </row>
    <row r="1530" spans="2:18" ht="9" customHeight="1" thickBot="1" x14ac:dyDescent="0.55000000000000004">
      <c r="B1530" s="501"/>
      <c r="C1530" s="516"/>
      <c r="D1530" s="631"/>
      <c r="E1530" s="631"/>
      <c r="F1530" s="631"/>
      <c r="G1530" s="631"/>
      <c r="H1530" s="631"/>
      <c r="I1530" s="631"/>
      <c r="J1530" s="520"/>
      <c r="M1530" s="462"/>
      <c r="N1530" s="462"/>
      <c r="O1530" s="462"/>
    </row>
    <row r="1531" spans="2:18" ht="9" customHeight="1" thickTop="1" x14ac:dyDescent="0.5">
      <c r="B1531" s="501"/>
      <c r="C1531" s="516"/>
      <c r="D1531" s="631"/>
      <c r="E1531" s="631"/>
      <c r="F1531" s="631"/>
      <c r="G1531" s="631"/>
      <c r="H1531" s="631"/>
      <c r="I1531" s="631"/>
      <c r="J1531" s="520"/>
      <c r="M1531" s="475"/>
      <c r="N1531" s="475"/>
      <c r="O1531" s="475"/>
    </row>
    <row r="1532" spans="2:18" ht="36" customHeight="1" x14ac:dyDescent="0.5">
      <c r="B1532" s="501"/>
      <c r="C1532" s="516"/>
      <c r="D1532" s="631"/>
      <c r="E1532" s="631"/>
      <c r="F1532" s="631"/>
      <c r="G1532" s="631"/>
      <c r="H1532" s="631"/>
      <c r="I1532" s="631"/>
      <c r="J1532" s="520"/>
      <c r="M1532" s="458"/>
      <c r="N1532" s="458"/>
      <c r="O1532" s="458"/>
    </row>
    <row r="1533" spans="2:18" ht="36" customHeight="1" x14ac:dyDescent="0.5">
      <c r="B1533" s="501"/>
      <c r="C1533" s="516"/>
      <c r="D1533" s="631" t="str">
        <f>IF(TrialBalance!L158=0,"No provision has been made for normal taxation as the company had no taxable"," ")</f>
        <v>No provision has been made for normal taxation as the company had no taxable</v>
      </c>
      <c r="E1533" s="631"/>
      <c r="F1533" s="631"/>
      <c r="G1533" s="631"/>
      <c r="H1533" s="631"/>
      <c r="I1533" s="631"/>
      <c r="J1533" s="520"/>
      <c r="M1533" s="458"/>
      <c r="N1533" s="458"/>
      <c r="O1533" s="458"/>
      <c r="R1533" s="490" t="str">
        <f>IF(D1533=" ","DELETE"," ")</f>
        <v xml:space="preserve"> </v>
      </c>
    </row>
    <row r="1534" spans="2:18" ht="36" customHeight="1" x14ac:dyDescent="0.5">
      <c r="B1534" s="501"/>
      <c r="C1534" s="516"/>
      <c r="D1534" s="631" t="str">
        <f>IF(TrialBalance!L158=0,"income for the period under review."," ")</f>
        <v>income for the period under review.</v>
      </c>
      <c r="E1534" s="631"/>
      <c r="F1534" s="631"/>
      <c r="G1534" s="631"/>
      <c r="H1534" s="631"/>
      <c r="I1534" s="631"/>
      <c r="J1534" s="520"/>
      <c r="M1534" s="458"/>
      <c r="N1534" s="458"/>
      <c r="O1534" s="458"/>
      <c r="R1534" s="490" t="str">
        <f>IF(D1534=" ","DELETE"," ")</f>
        <v xml:space="preserve"> </v>
      </c>
    </row>
    <row r="1535" spans="2:18" ht="36" customHeight="1" x14ac:dyDescent="0.5">
      <c r="B1535" s="501"/>
      <c r="C1535" s="516"/>
      <c r="D1535" s="631"/>
      <c r="E1535" s="631"/>
      <c r="F1535" s="631"/>
      <c r="G1535" s="631"/>
      <c r="H1535" s="631"/>
      <c r="I1535" s="631"/>
      <c r="J1535" s="520"/>
      <c r="M1535" s="458"/>
      <c r="N1535" s="458"/>
      <c r="O1535" s="458"/>
    </row>
    <row r="1536" spans="2:18" ht="36" customHeight="1" x14ac:dyDescent="0.5">
      <c r="B1536" s="501"/>
      <c r="C1536" s="516"/>
      <c r="D1536" s="631"/>
      <c r="E1536" s="631"/>
      <c r="F1536" s="631"/>
      <c r="G1536" s="631"/>
      <c r="H1536" s="631"/>
      <c r="I1536" s="631"/>
      <c r="J1536" s="520"/>
      <c r="M1536" s="458"/>
      <c r="N1536" s="458"/>
      <c r="O1536" s="458"/>
    </row>
    <row r="1537" spans="2:18" ht="36" customHeight="1" x14ac:dyDescent="0.5">
      <c r="B1537" s="501"/>
      <c r="C1537" s="516"/>
      <c r="D1537" s="631"/>
      <c r="E1537" s="631"/>
      <c r="F1537" s="631"/>
      <c r="G1537" s="631"/>
      <c r="H1537" s="631"/>
      <c r="I1537" s="631"/>
      <c r="J1537" s="520"/>
      <c r="M1537" s="475"/>
      <c r="N1537" s="475"/>
      <c r="O1537" s="475"/>
      <c r="P1537" s="545"/>
    </row>
    <row r="1538" spans="2:18" ht="36" customHeight="1" x14ac:dyDescent="0.5">
      <c r="B1538" s="501"/>
      <c r="C1538" s="516"/>
      <c r="D1538" s="631"/>
      <c r="E1538" s="631"/>
      <c r="F1538" s="631"/>
      <c r="G1538" s="631"/>
      <c r="H1538" s="631"/>
      <c r="I1538" s="631"/>
      <c r="J1538" s="520"/>
      <c r="M1538" s="458"/>
      <c r="N1538" s="458"/>
      <c r="O1538" s="458"/>
    </row>
    <row r="1539" spans="2:18" ht="36" customHeight="1" x14ac:dyDescent="0.5">
      <c r="B1539" s="501"/>
      <c r="C1539" s="516"/>
      <c r="D1539" s="631"/>
      <c r="E1539" s="631"/>
      <c r="F1539" s="631"/>
      <c r="G1539" s="631"/>
      <c r="H1539" s="631"/>
      <c r="I1539" s="631"/>
      <c r="J1539" s="520"/>
      <c r="M1539" s="458"/>
      <c r="N1539" s="458"/>
      <c r="O1539" s="458" t="s">
        <v>112</v>
      </c>
      <c r="Q1539" s="450">
        <f>MAX($Q$103:Q1538)+1</f>
        <v>41</v>
      </c>
    </row>
    <row r="1540" spans="2:18" ht="36" customHeight="1" x14ac:dyDescent="0.5">
      <c r="B1540" s="502"/>
      <c r="C1540" s="515"/>
      <c r="D1540" s="630" t="str">
        <f>Criteria!E9</f>
        <v>ABC COMPANY (PROPRIETARY) LIMITED</v>
      </c>
      <c r="E1540" s="631"/>
      <c r="F1540" s="631"/>
      <c r="G1540" s="631"/>
      <c r="H1540" s="631"/>
      <c r="I1540" s="631"/>
      <c r="J1540" s="520"/>
      <c r="M1540" s="541"/>
      <c r="N1540" s="541"/>
      <c r="O1540" s="451"/>
      <c r="P1540" s="451"/>
      <c r="Q1540" s="451"/>
    </row>
    <row r="1541" spans="2:18" ht="36" customHeight="1" x14ac:dyDescent="0.5">
      <c r="B1541" s="502"/>
      <c r="C1541" s="515"/>
      <c r="D1541" s="630" t="str">
        <f>Criteria!E10</f>
        <v>T/A SEAFRONT HOTEL, ABC RESTAURANT AND RENTAL PROPERTIES</v>
      </c>
      <c r="E1541" s="631"/>
      <c r="F1541" s="631"/>
      <c r="G1541" s="631"/>
      <c r="H1541" s="631"/>
      <c r="I1541" s="631"/>
      <c r="J1541" s="520"/>
      <c r="M1541" s="541"/>
      <c r="N1541" s="541"/>
      <c r="O1541" s="541"/>
      <c r="R1541" s="490" t="str">
        <f>IF(D1541=0,"DELETE"," ")</f>
        <v xml:space="preserve"> </v>
      </c>
    </row>
    <row r="1542" spans="2:18" ht="36" customHeight="1" x14ac:dyDescent="0.5">
      <c r="B1542" s="502"/>
      <c r="C1542" s="515"/>
      <c r="D1542" s="631"/>
      <c r="E1542" s="631"/>
      <c r="F1542" s="631"/>
      <c r="G1542" s="631"/>
      <c r="H1542" s="631"/>
      <c r="I1542" s="631"/>
      <c r="J1542" s="520"/>
      <c r="M1542" s="541"/>
      <c r="N1542" s="541"/>
      <c r="O1542" s="541"/>
    </row>
    <row r="1543" spans="2:18" ht="36" customHeight="1" x14ac:dyDescent="0.5">
      <c r="B1543" s="502"/>
      <c r="C1543" s="515"/>
      <c r="D1543" s="630" t="s">
        <v>415</v>
      </c>
      <c r="E1543" s="631"/>
      <c r="F1543" s="631"/>
      <c r="G1543" s="631"/>
      <c r="H1543" s="631"/>
      <c r="I1543" s="631"/>
      <c r="J1543" s="520"/>
      <c r="M1543" s="541"/>
      <c r="N1543" s="541"/>
      <c r="O1543" s="541"/>
    </row>
    <row r="1544" spans="2:18" ht="36" customHeight="1" x14ac:dyDescent="0.5">
      <c r="B1544" s="502"/>
      <c r="C1544" s="515"/>
      <c r="D1544" s="630" t="str">
        <f>Criteria!E20</f>
        <v>28 FEBRUARY 2026</v>
      </c>
      <c r="E1544" s="631"/>
      <c r="F1544" s="631"/>
      <c r="G1544" s="631"/>
      <c r="H1544" s="631"/>
      <c r="I1544" s="631"/>
      <c r="J1544" s="520" t="s">
        <v>282</v>
      </c>
      <c r="M1544" s="541"/>
      <c r="N1544" s="541"/>
      <c r="O1544" s="541"/>
    </row>
    <row r="1545" spans="2:18" ht="36" customHeight="1" x14ac:dyDescent="0.5">
      <c r="B1545" s="502"/>
      <c r="C1545" s="515"/>
      <c r="D1545" s="630"/>
      <c r="E1545" s="631"/>
      <c r="F1545" s="631"/>
      <c r="G1545" s="631"/>
      <c r="H1545" s="631"/>
      <c r="I1545" s="631"/>
      <c r="J1545" s="520"/>
      <c r="M1545" s="541"/>
      <c r="N1545" s="541"/>
      <c r="O1545" s="541"/>
    </row>
    <row r="1546" spans="2:18" ht="36" customHeight="1" x14ac:dyDescent="0.5">
      <c r="B1546" s="640"/>
      <c r="C1546" s="517"/>
      <c r="D1546" s="649"/>
      <c r="E1546" s="649"/>
      <c r="F1546" s="649"/>
      <c r="G1546" s="649"/>
      <c r="H1546" s="649"/>
      <c r="I1546" s="649"/>
      <c r="J1546" s="591"/>
      <c r="K1546" s="457"/>
      <c r="L1546" s="457"/>
      <c r="M1546" s="459"/>
      <c r="N1546" s="459"/>
      <c r="O1546" s="459"/>
      <c r="P1546" s="551"/>
      <c r="Q1546" s="457"/>
    </row>
    <row r="1547" spans="2:18" ht="36" customHeight="1" x14ac:dyDescent="0.5">
      <c r="B1547" s="501"/>
      <c r="C1547" s="516"/>
      <c r="D1547" s="631"/>
      <c r="E1547" s="631"/>
      <c r="F1547" s="631"/>
      <c r="G1547" s="631"/>
      <c r="H1547" s="631"/>
      <c r="I1547" s="631"/>
      <c r="J1547" s="520"/>
      <c r="M1547" s="488">
        <f>Criteria!E22</f>
        <v>2026</v>
      </c>
      <c r="N1547" s="488"/>
      <c r="O1547" s="488">
        <f>Criteria!E27</f>
        <v>2025</v>
      </c>
      <c r="P1547" s="545"/>
    </row>
    <row r="1548" spans="2:18" ht="36" customHeight="1" x14ac:dyDescent="0.5">
      <c r="B1548" s="502"/>
      <c r="C1548" s="515"/>
      <c r="D1548" s="631"/>
      <c r="E1548" s="631"/>
      <c r="F1548" s="631"/>
      <c r="G1548" s="631"/>
      <c r="H1548" s="631"/>
      <c r="I1548" s="631"/>
      <c r="J1548" s="520"/>
      <c r="M1548" s="475"/>
      <c r="N1548" s="475"/>
      <c r="O1548" s="475"/>
      <c r="P1548" s="545"/>
    </row>
    <row r="1549" spans="2:18" ht="36" customHeight="1" x14ac:dyDescent="0.5">
      <c r="B1549" s="501"/>
      <c r="C1549" s="502">
        <f>MAX(C$1510:C1548)+0.1</f>
        <v>9.1999999999999993</v>
      </c>
      <c r="D1549" s="630" t="s">
        <v>1522</v>
      </c>
      <c r="E1549" s="631"/>
      <c r="F1549" s="631"/>
      <c r="G1549" s="631"/>
      <c r="H1549" s="631"/>
      <c r="I1549" s="631"/>
      <c r="J1549" s="520"/>
      <c r="M1549" s="475"/>
      <c r="N1549" s="475"/>
      <c r="O1549" s="475"/>
      <c r="P1549" s="545"/>
    </row>
    <row r="1550" spans="2:18" ht="36" customHeight="1" x14ac:dyDescent="0.5">
      <c r="B1550" s="501"/>
      <c r="C1550" s="515"/>
      <c r="D1550" s="630"/>
      <c r="E1550" s="631"/>
      <c r="F1550" s="631"/>
      <c r="G1550" s="631"/>
      <c r="H1550" s="631"/>
      <c r="I1550" s="631"/>
      <c r="J1550" s="520"/>
      <c r="M1550" s="475"/>
      <c r="N1550" s="475"/>
      <c r="O1550" s="475"/>
      <c r="P1550" s="545"/>
    </row>
    <row r="1551" spans="2:18" ht="36" customHeight="1" x14ac:dyDescent="0.5">
      <c r="B1551" s="501"/>
      <c r="C1551" s="516"/>
      <c r="D1551" s="631" t="s">
        <v>886</v>
      </c>
      <c r="E1551" s="631"/>
      <c r="F1551" s="631"/>
      <c r="G1551" s="631"/>
      <c r="H1551" s="631"/>
      <c r="I1551" s="631"/>
      <c r="J1551" s="520"/>
      <c r="M1551" s="475">
        <f>SUM(TrialBalance!L157:L159)</f>
        <v>0</v>
      </c>
      <c r="N1551" s="475"/>
      <c r="O1551" s="475">
        <f>SUM(TrialBalance!N157:N159)</f>
        <v>0</v>
      </c>
      <c r="P1551" s="545"/>
    </row>
    <row r="1552" spans="2:18" ht="36" customHeight="1" x14ac:dyDescent="0.5">
      <c r="B1552" s="501"/>
      <c r="C1552" s="516"/>
      <c r="D1552" s="631" t="s">
        <v>885</v>
      </c>
      <c r="E1552" s="631"/>
      <c r="F1552" s="631"/>
      <c r="G1552" s="631"/>
      <c r="H1552" s="631"/>
      <c r="I1552" s="631"/>
      <c r="J1552" s="520"/>
      <c r="M1552" s="475">
        <f>SUM(TrialBalance!L387:L392)</f>
        <v>0</v>
      </c>
      <c r="N1552" s="475"/>
      <c r="O1552" s="475">
        <f>SUM(TrialBalance!N387:N392)</f>
        <v>0</v>
      </c>
      <c r="P1552" s="545"/>
    </row>
    <row r="1553" spans="2:24" ht="9" customHeight="1" x14ac:dyDescent="0.5">
      <c r="B1553" s="501"/>
      <c r="C1553" s="516"/>
      <c r="D1553" s="631"/>
      <c r="E1553" s="631"/>
      <c r="F1553" s="631"/>
      <c r="G1553" s="631"/>
      <c r="H1553" s="631"/>
      <c r="I1553" s="631"/>
      <c r="J1553" s="520"/>
      <c r="M1553" s="461"/>
      <c r="N1553" s="461"/>
      <c r="O1553" s="461"/>
      <c r="P1553" s="545"/>
    </row>
    <row r="1554" spans="2:24" ht="9" customHeight="1" x14ac:dyDescent="0.5">
      <c r="B1554" s="501"/>
      <c r="C1554" s="516"/>
      <c r="D1554" s="631"/>
      <c r="E1554" s="631"/>
      <c r="F1554" s="631"/>
      <c r="G1554" s="631"/>
      <c r="H1554" s="631"/>
      <c r="I1554" s="631"/>
      <c r="J1554" s="520"/>
      <c r="M1554" s="475"/>
      <c r="N1554" s="475"/>
      <c r="O1554" s="475"/>
      <c r="P1554" s="545"/>
    </row>
    <row r="1555" spans="2:24" ht="36.75" customHeight="1" x14ac:dyDescent="0.5">
      <c r="B1555" s="501"/>
      <c r="C1555" s="516"/>
      <c r="D1555" s="631"/>
      <c r="E1555" s="631"/>
      <c r="F1555" s="631"/>
      <c r="G1555" s="631"/>
      <c r="H1555" s="631"/>
      <c r="I1555" s="631"/>
      <c r="J1555" s="520"/>
      <c r="M1555" s="475">
        <f>SUM(M1551:M1554)</f>
        <v>0</v>
      </c>
      <c r="N1555" s="475"/>
      <c r="O1555" s="475">
        <f>SUM(O1551:O1554)</f>
        <v>0</v>
      </c>
      <c r="P1555" s="545"/>
      <c r="V1555" s="491" t="b">
        <f>M1555=M823</f>
        <v>1</v>
      </c>
      <c r="X1555" s="491" t="b">
        <f>O1555=O823</f>
        <v>1</v>
      </c>
    </row>
    <row r="1556" spans="2:24" ht="9" customHeight="1" thickBot="1" x14ac:dyDescent="0.55000000000000004">
      <c r="B1556" s="501"/>
      <c r="C1556" s="516"/>
      <c r="D1556" s="631"/>
      <c r="E1556" s="631"/>
      <c r="F1556" s="631"/>
      <c r="G1556" s="631"/>
      <c r="H1556" s="631"/>
      <c r="I1556" s="631"/>
      <c r="J1556" s="520"/>
      <c r="M1556" s="462"/>
      <c r="N1556" s="462"/>
      <c r="O1556" s="462"/>
      <c r="P1556" s="545"/>
    </row>
    <row r="1557" spans="2:24" ht="9" customHeight="1" thickTop="1" x14ac:dyDescent="0.5">
      <c r="B1557" s="501"/>
      <c r="C1557" s="516"/>
      <c r="D1557" s="631"/>
      <c r="E1557" s="631"/>
      <c r="F1557" s="631"/>
      <c r="G1557" s="631"/>
      <c r="H1557" s="631"/>
      <c r="I1557" s="631"/>
      <c r="J1557" s="520"/>
      <c r="M1557" s="475"/>
      <c r="N1557" s="475"/>
      <c r="O1557" s="475"/>
      <c r="P1557" s="545"/>
    </row>
    <row r="1558" spans="2:24" ht="36" customHeight="1" x14ac:dyDescent="0.5">
      <c r="B1558" s="501"/>
      <c r="C1558" s="516"/>
      <c r="D1558" s="631"/>
      <c r="E1558" s="631"/>
      <c r="F1558" s="631"/>
      <c r="G1558" s="631"/>
      <c r="H1558" s="631"/>
      <c r="I1558" s="631"/>
      <c r="J1558" s="520"/>
      <c r="M1558" s="475"/>
      <c r="N1558" s="475"/>
      <c r="O1558" s="475"/>
      <c r="P1558" s="545"/>
    </row>
    <row r="1559" spans="2:24" ht="36" customHeight="1" x14ac:dyDescent="0.5">
      <c r="B1559" s="501"/>
      <c r="C1559" s="516"/>
      <c r="D1559" s="631"/>
      <c r="E1559" s="631"/>
      <c r="F1559" s="631"/>
      <c r="G1559" s="631"/>
      <c r="H1559" s="631"/>
      <c r="I1559" s="631"/>
      <c r="J1559" s="520"/>
      <c r="M1559" s="475"/>
      <c r="N1559" s="475"/>
      <c r="O1559" s="475"/>
      <c r="P1559" s="545"/>
    </row>
    <row r="1560" spans="2:24" ht="36" customHeight="1" x14ac:dyDescent="0.5">
      <c r="B1560" s="501"/>
      <c r="C1560" s="516"/>
      <c r="D1560" s="631"/>
      <c r="E1560" s="631"/>
      <c r="F1560" s="631"/>
      <c r="G1560" s="631"/>
      <c r="H1560" s="631"/>
      <c r="I1560" s="631"/>
      <c r="J1560" s="520"/>
      <c r="M1560" s="475"/>
      <c r="N1560" s="475"/>
      <c r="O1560" s="475"/>
      <c r="P1560" s="545"/>
    </row>
    <row r="1561" spans="2:24" ht="36" customHeight="1" x14ac:dyDescent="0.5">
      <c r="B1561" s="501"/>
      <c r="C1561" s="516"/>
      <c r="D1561" s="631"/>
      <c r="E1561" s="631"/>
      <c r="F1561" s="631"/>
      <c r="G1561" s="631"/>
      <c r="H1561" s="631"/>
      <c r="I1561" s="631"/>
      <c r="J1561" s="520"/>
      <c r="M1561" s="475"/>
      <c r="N1561" s="475"/>
      <c r="O1561" s="475" t="s">
        <v>112</v>
      </c>
      <c r="P1561" s="545"/>
      <c r="Q1561" s="450">
        <f>MAX($Q$103:Q1560)+1</f>
        <v>42</v>
      </c>
    </row>
    <row r="1562" spans="2:24" ht="36" customHeight="1" x14ac:dyDescent="0.5">
      <c r="B1562" s="501"/>
      <c r="C1562" s="516"/>
      <c r="D1562" s="630" t="str">
        <f>Criteria!E9</f>
        <v>ABC COMPANY (PROPRIETARY) LIMITED</v>
      </c>
      <c r="E1562" s="631"/>
      <c r="F1562" s="631"/>
      <c r="G1562" s="631"/>
      <c r="H1562" s="631"/>
      <c r="I1562" s="631"/>
      <c r="J1562" s="520"/>
      <c r="M1562" s="555"/>
      <c r="N1562" s="555"/>
      <c r="O1562" s="451"/>
      <c r="P1562" s="451"/>
      <c r="Q1562" s="451"/>
    </row>
    <row r="1563" spans="2:24" ht="36" customHeight="1" x14ac:dyDescent="0.5">
      <c r="B1563" s="501"/>
      <c r="C1563" s="516"/>
      <c r="D1563" s="630" t="str">
        <f>Criteria!E10</f>
        <v>T/A SEAFRONT HOTEL, ABC RESTAURANT AND RENTAL PROPERTIES</v>
      </c>
      <c r="E1563" s="631"/>
      <c r="F1563" s="631"/>
      <c r="G1563" s="631"/>
      <c r="H1563" s="631"/>
      <c r="I1563" s="631"/>
      <c r="J1563" s="520"/>
      <c r="M1563" s="555"/>
      <c r="N1563" s="555"/>
      <c r="O1563" s="555"/>
      <c r="P1563" s="545"/>
      <c r="R1563" s="490" t="str">
        <f>IF(D1563=0,"DELETE"," ")</f>
        <v xml:space="preserve"> </v>
      </c>
    </row>
    <row r="1564" spans="2:24" ht="36" customHeight="1" x14ac:dyDescent="0.5">
      <c r="B1564" s="501"/>
      <c r="C1564" s="516"/>
      <c r="D1564" s="631"/>
      <c r="E1564" s="631"/>
      <c r="F1564" s="631"/>
      <c r="G1564" s="631"/>
      <c r="H1564" s="631"/>
      <c r="I1564" s="631"/>
      <c r="J1564" s="520"/>
      <c r="M1564" s="555"/>
      <c r="N1564" s="555"/>
      <c r="O1564" s="555"/>
      <c r="P1564" s="545"/>
    </row>
    <row r="1565" spans="2:24" ht="36" customHeight="1" x14ac:dyDescent="0.5">
      <c r="B1565" s="501"/>
      <c r="C1565" s="516"/>
      <c r="D1565" s="630" t="s">
        <v>415</v>
      </c>
      <c r="E1565" s="631"/>
      <c r="F1565" s="631"/>
      <c r="G1565" s="631"/>
      <c r="H1565" s="631"/>
      <c r="I1565" s="631"/>
      <c r="J1565" s="520"/>
      <c r="M1565" s="555"/>
      <c r="N1565" s="555"/>
      <c r="O1565" s="555"/>
      <c r="P1565" s="545"/>
    </row>
    <row r="1566" spans="2:24" ht="36" customHeight="1" x14ac:dyDescent="0.5">
      <c r="B1566" s="501"/>
      <c r="C1566" s="516"/>
      <c r="D1566" s="630" t="str">
        <f>Criteria!E20</f>
        <v>28 FEBRUARY 2026</v>
      </c>
      <c r="E1566" s="631"/>
      <c r="F1566" s="631"/>
      <c r="G1566" s="631"/>
      <c r="H1566" s="631"/>
      <c r="I1566" s="631"/>
      <c r="J1566" s="520" t="s">
        <v>282</v>
      </c>
      <c r="M1566" s="555"/>
      <c r="N1566" s="555"/>
      <c r="O1566" s="555"/>
      <c r="P1566" s="545"/>
    </row>
    <row r="1567" spans="2:24" ht="36" customHeight="1" x14ac:dyDescent="0.5">
      <c r="B1567" s="501"/>
      <c r="C1567" s="516"/>
      <c r="D1567" s="631"/>
      <c r="E1567" s="631"/>
      <c r="F1567" s="631"/>
      <c r="G1567" s="631"/>
      <c r="H1567" s="631"/>
      <c r="I1567" s="631"/>
      <c r="J1567" s="520"/>
      <c r="M1567" s="475"/>
      <c r="N1567" s="475"/>
      <c r="O1567" s="475"/>
      <c r="P1567" s="545"/>
    </row>
    <row r="1568" spans="2:24" ht="36" customHeight="1" x14ac:dyDescent="0.5">
      <c r="B1568" s="640"/>
      <c r="C1568" s="517"/>
      <c r="D1568" s="649"/>
      <c r="E1568" s="649"/>
      <c r="F1568" s="649"/>
      <c r="G1568" s="649"/>
      <c r="H1568" s="649"/>
      <c r="I1568" s="649"/>
      <c r="J1568" s="591"/>
      <c r="K1568" s="457"/>
      <c r="L1568" s="457"/>
      <c r="M1568" s="459"/>
      <c r="N1568" s="459"/>
      <c r="O1568" s="459"/>
      <c r="P1568" s="551"/>
      <c r="Q1568" s="457"/>
    </row>
    <row r="1569" spans="2:26" ht="36" customHeight="1" x14ac:dyDescent="0.5">
      <c r="B1569" s="501"/>
      <c r="C1569" s="516"/>
      <c r="D1569" s="631"/>
      <c r="E1569" s="631"/>
      <c r="F1569" s="631"/>
      <c r="G1569" s="631"/>
      <c r="H1569" s="631"/>
      <c r="I1569" s="631"/>
      <c r="J1569" s="520"/>
      <c r="M1569" s="488">
        <f>Criteria!E22</f>
        <v>2026</v>
      </c>
      <c r="N1569" s="488"/>
      <c r="O1569" s="488">
        <f>Criteria!E27</f>
        <v>2025</v>
      </c>
      <c r="P1569" s="545"/>
    </row>
    <row r="1570" spans="2:26" ht="36" customHeight="1" x14ac:dyDescent="0.5">
      <c r="B1570" s="501"/>
      <c r="C1570" s="516"/>
      <c r="D1570" s="631"/>
      <c r="E1570" s="631"/>
      <c r="F1570" s="631"/>
      <c r="G1570" s="631"/>
      <c r="H1570" s="631"/>
      <c r="I1570" s="631"/>
      <c r="J1570" s="520"/>
      <c r="M1570" s="475"/>
      <c r="N1570" s="475"/>
      <c r="O1570" s="475"/>
      <c r="P1570" s="545"/>
    </row>
    <row r="1571" spans="2:26" ht="36" customHeight="1" x14ac:dyDescent="0.5">
      <c r="B1571" s="501"/>
      <c r="C1571" s="502">
        <f>MAX(C$1510:C1570)+0.1</f>
        <v>9.2999999999999989</v>
      </c>
      <c r="D1571" s="630" t="s">
        <v>991</v>
      </c>
      <c r="E1571" s="631"/>
      <c r="F1571" s="631"/>
      <c r="G1571" s="631"/>
      <c r="H1571" s="631"/>
      <c r="I1571" s="631"/>
      <c r="J1571" s="520"/>
      <c r="M1571" s="475"/>
      <c r="N1571" s="475"/>
      <c r="O1571" s="475"/>
      <c r="P1571" s="545"/>
    </row>
    <row r="1572" spans="2:26" ht="36" customHeight="1" x14ac:dyDescent="0.5">
      <c r="B1572" s="501"/>
      <c r="C1572" s="516"/>
      <c r="D1572" s="631"/>
      <c r="E1572" s="631"/>
      <c r="F1572" s="631"/>
      <c r="G1572" s="631"/>
      <c r="H1572" s="631"/>
      <c r="I1572" s="631"/>
      <c r="J1572" s="520"/>
      <c r="M1572" s="475"/>
      <c r="N1572" s="475"/>
      <c r="O1572" s="475"/>
      <c r="P1572" s="545"/>
    </row>
    <row r="1573" spans="2:26" ht="36" customHeight="1" x14ac:dyDescent="0.5">
      <c r="B1573" s="501"/>
      <c r="C1573" s="516"/>
      <c r="D1573" s="654" t="str">
        <f>IF((Y1573+Z1573)=3,"Net profit / (loss) before taxation",(IF((Y1573+Z1573=4),"Net profit before taxation","Net loss before taxation")))</f>
        <v>Net profit before taxation</v>
      </c>
      <c r="E1573" s="631"/>
      <c r="F1573" s="631"/>
      <c r="G1573" s="631"/>
      <c r="H1573" s="631"/>
      <c r="I1573" s="631"/>
      <c r="J1573" s="520"/>
      <c r="M1573" s="475">
        <f>M634</f>
        <v>0</v>
      </c>
      <c r="N1573" s="475"/>
      <c r="O1573" s="475">
        <f>O634</f>
        <v>0</v>
      </c>
      <c r="P1573" s="545"/>
      <c r="Y1573" s="491">
        <f>IF(M1573&lt;0,1,IF(M1573=0,IF(O1573&lt;0,1,2),2))</f>
        <v>2</v>
      </c>
      <c r="Z1573" s="491">
        <f>IF(O1573&lt;0,1,IF(O1573=0,IF(M1573&lt;0,1,2),2))</f>
        <v>2</v>
      </c>
    </row>
    <row r="1574" spans="2:26" ht="36" customHeight="1" x14ac:dyDescent="0.5">
      <c r="B1574" s="501"/>
      <c r="C1574" s="516"/>
      <c r="D1574" s="654" t="s">
        <v>1745</v>
      </c>
      <c r="E1574" s="631"/>
      <c r="F1574" s="631"/>
      <c r="G1574" s="631"/>
      <c r="H1574" s="631"/>
      <c r="I1574" s="631"/>
      <c r="J1574" s="520"/>
      <c r="M1574" s="475">
        <f>M641</f>
        <v>0</v>
      </c>
      <c r="N1574" s="475"/>
      <c r="O1574" s="475">
        <f>O641</f>
        <v>0</v>
      </c>
      <c r="P1574" s="545"/>
      <c r="R1574" s="490" t="str">
        <f>IF(M1574=0,IF(O1574=0,"DELETE"," ")," ")</f>
        <v>DELETE</v>
      </c>
    </row>
    <row r="1575" spans="2:26" ht="8.25" customHeight="1" x14ac:dyDescent="0.5">
      <c r="B1575" s="501"/>
      <c r="C1575" s="516"/>
      <c r="D1575" s="654"/>
      <c r="E1575" s="631"/>
      <c r="F1575" s="631"/>
      <c r="G1575" s="631"/>
      <c r="H1575" s="631"/>
      <c r="I1575" s="631"/>
      <c r="J1575" s="520"/>
      <c r="M1575" s="461"/>
      <c r="N1575" s="461"/>
      <c r="O1575" s="461"/>
      <c r="P1575" s="545"/>
    </row>
    <row r="1576" spans="2:26" ht="8.25" customHeight="1" x14ac:dyDescent="0.5">
      <c r="B1576" s="501"/>
      <c r="C1576" s="516"/>
      <c r="D1576" s="654"/>
      <c r="E1576" s="631"/>
      <c r="F1576" s="631"/>
      <c r="G1576" s="631"/>
      <c r="H1576" s="631"/>
      <c r="I1576" s="631"/>
      <c r="J1576" s="520"/>
      <c r="M1576" s="475"/>
      <c r="N1576" s="475"/>
      <c r="O1576" s="475"/>
      <c r="P1576" s="545"/>
    </row>
    <row r="1577" spans="2:26" ht="36" customHeight="1" x14ac:dyDescent="0.5">
      <c r="B1577" s="501"/>
      <c r="C1577" s="516"/>
      <c r="D1577" s="654"/>
      <c r="E1577" s="631"/>
      <c r="F1577" s="631"/>
      <c r="G1577" s="631"/>
      <c r="H1577" s="631"/>
      <c r="I1577" s="631"/>
      <c r="J1577" s="520"/>
      <c r="M1577" s="475">
        <f>SUM(M1573:M1576)</f>
        <v>0</v>
      </c>
      <c r="N1577" s="475"/>
      <c r="O1577" s="475">
        <f>SUM(O1573:O1576)</f>
        <v>0</v>
      </c>
      <c r="P1577" s="545"/>
    </row>
    <row r="1578" spans="2:26" ht="9" customHeight="1" thickBot="1" x14ac:dyDescent="0.55000000000000004">
      <c r="B1578" s="501"/>
      <c r="C1578" s="516"/>
      <c r="D1578" s="631"/>
      <c r="E1578" s="631"/>
      <c r="F1578" s="631"/>
      <c r="G1578" s="631"/>
      <c r="H1578" s="631"/>
      <c r="I1578" s="631"/>
      <c r="J1578" s="520"/>
      <c r="M1578" s="462"/>
      <c r="N1578" s="462"/>
      <c r="O1578" s="462"/>
      <c r="P1578" s="545"/>
    </row>
    <row r="1579" spans="2:26" ht="9" customHeight="1" thickTop="1" x14ac:dyDescent="0.5">
      <c r="B1579" s="501"/>
      <c r="C1579" s="516"/>
      <c r="D1579" s="631"/>
      <c r="E1579" s="631"/>
      <c r="F1579" s="631"/>
      <c r="G1579" s="631"/>
      <c r="H1579" s="631"/>
      <c r="I1579" s="631"/>
      <c r="J1579" s="520"/>
      <c r="M1579" s="475"/>
      <c r="N1579" s="475"/>
      <c r="O1579" s="475"/>
      <c r="P1579" s="545"/>
    </row>
    <row r="1580" spans="2:26" ht="36" customHeight="1" x14ac:dyDescent="0.5">
      <c r="B1580" s="501"/>
      <c r="C1580" s="516"/>
      <c r="D1580" s="631" t="s">
        <v>1337</v>
      </c>
      <c r="E1580" s="631"/>
      <c r="F1580" s="631"/>
      <c r="G1580" s="631"/>
      <c r="H1580" s="631"/>
      <c r="I1580" s="631"/>
      <c r="J1580" s="520"/>
      <c r="M1580" s="586">
        <f>Criteria!F478</f>
        <v>0.27</v>
      </c>
      <c r="N1580" s="475"/>
      <c r="O1580" s="586">
        <f>Criteria!G478</f>
        <v>0.27</v>
      </c>
      <c r="P1580" s="545"/>
    </row>
    <row r="1581" spans="2:26" ht="36" customHeight="1" x14ac:dyDescent="0.5">
      <c r="B1581" s="501"/>
      <c r="C1581" s="516"/>
      <c r="D1581" s="631"/>
      <c r="E1581" s="631"/>
      <c r="F1581" s="631"/>
      <c r="G1581" s="631"/>
      <c r="H1581" s="631"/>
      <c r="I1581" s="631"/>
      <c r="J1581" s="520"/>
      <c r="M1581" s="475"/>
      <c r="N1581" s="475"/>
      <c r="O1581" s="475"/>
      <c r="P1581" s="545"/>
    </row>
    <row r="1582" spans="2:26" ht="36" customHeight="1" x14ac:dyDescent="0.5">
      <c r="B1582" s="501"/>
      <c r="C1582" s="516"/>
      <c r="D1582" s="631" t="s">
        <v>1338</v>
      </c>
      <c r="E1582" s="631"/>
      <c r="F1582" s="631"/>
      <c r="G1582" s="631"/>
      <c r="H1582" s="631"/>
      <c r="I1582" s="631"/>
      <c r="J1582" s="520"/>
      <c r="M1582" s="475">
        <f>ROUND(M1577*Criteria!F478,0)+Criteria!G520</f>
        <v>0</v>
      </c>
      <c r="N1582" s="475"/>
      <c r="O1582" s="475">
        <f>ROUND(O1577*Criteria!G478,0)</f>
        <v>0</v>
      </c>
      <c r="P1582" s="545"/>
    </row>
    <row r="1583" spans="2:26" ht="36" customHeight="1" x14ac:dyDescent="0.5">
      <c r="B1583" s="501"/>
      <c r="C1583" s="516"/>
      <c r="D1583" s="631" t="s">
        <v>1735</v>
      </c>
      <c r="E1583" s="631"/>
      <c r="F1583" s="631"/>
      <c r="G1583" s="631"/>
      <c r="H1583" s="631"/>
      <c r="I1583" s="631"/>
      <c r="J1583" s="520"/>
      <c r="M1583" s="475"/>
      <c r="N1583" s="475"/>
      <c r="O1583" s="475"/>
      <c r="P1583" s="545"/>
      <c r="R1583" s="490" t="str">
        <f>R1584</f>
        <v>DELETE</v>
      </c>
    </row>
    <row r="1584" spans="2:26" ht="36" customHeight="1" x14ac:dyDescent="0.5">
      <c r="B1584" s="501"/>
      <c r="C1584" s="516"/>
      <c r="D1584" s="631" t="s">
        <v>1734</v>
      </c>
      <c r="E1584" s="631"/>
      <c r="F1584" s="631"/>
      <c r="G1584" s="631"/>
      <c r="H1584" s="631"/>
      <c r="I1584" s="631"/>
      <c r="J1584" s="520"/>
      <c r="M1584" s="475">
        <f>ROUND((O3020+Criteria!G493-FS!O2981+TrialBalance!L97)*Criteria!F478,0)-TrialBalance!L225</f>
        <v>0</v>
      </c>
      <c r="N1584" s="475"/>
      <c r="O1584" s="475">
        <f>Criteria!H514</f>
        <v>0</v>
      </c>
      <c r="P1584" s="545"/>
      <c r="R1584" s="490" t="str">
        <f>IF(M1584=0,IF(O1584=0,"DELETE"," ")," ")</f>
        <v>DELETE</v>
      </c>
    </row>
    <row r="1585" spans="2:24" ht="36" customHeight="1" x14ac:dyDescent="0.5">
      <c r="B1585" s="501"/>
      <c r="C1585" s="516"/>
      <c r="D1585" s="631" t="s">
        <v>1354</v>
      </c>
      <c r="E1585" s="631"/>
      <c r="F1585" s="631"/>
      <c r="G1585" s="631"/>
      <c r="H1585" s="631"/>
      <c r="I1585" s="631"/>
      <c r="J1585" s="520"/>
      <c r="M1585" s="475">
        <f>-SUM(TrialBalance!L223:L224)</f>
        <v>0</v>
      </c>
      <c r="N1585" s="475"/>
      <c r="O1585" s="475">
        <f>-SUM(TrialBalance!N223:N224)</f>
        <v>0</v>
      </c>
      <c r="P1585" s="545"/>
      <c r="R1585" s="490" t="str">
        <f>IF(M1585=0,IF(O1585=0,"DELETE"," ")," ")</f>
        <v>DELETE</v>
      </c>
    </row>
    <row r="1586" spans="2:24" ht="36" customHeight="1" x14ac:dyDescent="0.5">
      <c r="B1586" s="501"/>
      <c r="C1586" s="516"/>
      <c r="D1586" s="631" t="s">
        <v>1093</v>
      </c>
      <c r="E1586" s="631"/>
      <c r="F1586" s="631"/>
      <c r="G1586" s="631"/>
      <c r="H1586" s="631"/>
      <c r="I1586" s="631"/>
      <c r="J1586" s="520"/>
      <c r="M1586" s="475">
        <f>TrialBalance!L159</f>
        <v>0</v>
      </c>
      <c r="N1586" s="475"/>
      <c r="O1586" s="475">
        <f>TrialBalance!N159</f>
        <v>0</v>
      </c>
      <c r="P1586" s="545"/>
      <c r="R1586" s="490" t="str">
        <f>IF(M1586=0,IF(O1586=0,"DELETE"," ")," ")</f>
        <v>DELETE</v>
      </c>
    </row>
    <row r="1587" spans="2:24" ht="36" customHeight="1" x14ac:dyDescent="0.5">
      <c r="B1587" s="501"/>
      <c r="C1587" s="516"/>
      <c r="D1587" s="631" t="s">
        <v>1736</v>
      </c>
      <c r="E1587" s="631"/>
      <c r="F1587" s="631"/>
      <c r="G1587" s="631"/>
      <c r="H1587" s="631"/>
      <c r="I1587" s="631"/>
      <c r="J1587" s="520"/>
      <c r="M1587" s="475">
        <f>-TrialBalance!L227-TrialBalance!L228</f>
        <v>0</v>
      </c>
      <c r="N1587" s="475"/>
      <c r="O1587" s="475">
        <f>-TrialBalance!N227-TrialBalance!N228</f>
        <v>0</v>
      </c>
      <c r="P1587" s="545"/>
      <c r="R1587" s="490" t="str">
        <f>IF(M1587=0,IF(O1587=0,"DELETE"," ")," ")</f>
        <v>DELETE</v>
      </c>
    </row>
    <row r="1588" spans="2:24" ht="36" customHeight="1" x14ac:dyDescent="0.5">
      <c r="B1588" s="501"/>
      <c r="C1588" s="516"/>
      <c r="D1588" s="631" t="s">
        <v>994</v>
      </c>
      <c r="E1588" s="631"/>
      <c r="F1588" s="631"/>
      <c r="G1588" s="631"/>
      <c r="H1588" s="631"/>
      <c r="I1588" s="631"/>
      <c r="J1588" s="520"/>
      <c r="M1588" s="475">
        <f>IF(Criteria!F480="Yes",IF(O3020&lt;0,0,-(ROUND(O3020*Criteria!F478,2)-O3025)),0)</f>
        <v>0</v>
      </c>
      <c r="N1588" s="475"/>
      <c r="O1588" s="475">
        <f>Criteria!H517</f>
        <v>0</v>
      </c>
      <c r="P1588" s="545"/>
      <c r="R1588" s="490" t="str">
        <f>IF(M1588=0,IF(O1588=0,"DELETE"," ")," ")</f>
        <v>DELETE</v>
      </c>
    </row>
    <row r="1589" spans="2:24" ht="9" customHeight="1" x14ac:dyDescent="0.5">
      <c r="B1589" s="501"/>
      <c r="C1589" s="516"/>
      <c r="D1589" s="631"/>
      <c r="E1589" s="631"/>
      <c r="F1589" s="631"/>
      <c r="G1589" s="631"/>
      <c r="H1589" s="631"/>
      <c r="I1589" s="631"/>
      <c r="J1589" s="520"/>
      <c r="M1589" s="461"/>
      <c r="N1589" s="461"/>
      <c r="O1589" s="461"/>
      <c r="P1589" s="545"/>
    </row>
    <row r="1590" spans="2:24" ht="9" customHeight="1" x14ac:dyDescent="0.5">
      <c r="B1590" s="501"/>
      <c r="C1590" s="516"/>
      <c r="D1590" s="631"/>
      <c r="E1590" s="631"/>
      <c r="F1590" s="631"/>
      <c r="G1590" s="631"/>
      <c r="H1590" s="631"/>
      <c r="I1590" s="631"/>
      <c r="J1590" s="520"/>
      <c r="M1590" s="475"/>
      <c r="N1590" s="475"/>
      <c r="O1590" s="475"/>
      <c r="P1590" s="545"/>
    </row>
    <row r="1591" spans="2:24" ht="36.75" customHeight="1" x14ac:dyDescent="0.5">
      <c r="B1591" s="501"/>
      <c r="C1591" s="516"/>
      <c r="D1591" s="631" t="s">
        <v>989</v>
      </c>
      <c r="E1591" s="631"/>
      <c r="F1591" s="631"/>
      <c r="G1591" s="631"/>
      <c r="H1591" s="631"/>
      <c r="I1591" s="631"/>
      <c r="J1591" s="520"/>
      <c r="M1591" s="475">
        <f>ROUND(SUM(M1582:M1589),0)</f>
        <v>0</v>
      </c>
      <c r="N1591" s="475"/>
      <c r="O1591" s="475">
        <f>ROUND(SUM(O1582:O1589),0)</f>
        <v>0</v>
      </c>
      <c r="P1591" s="545"/>
      <c r="V1591" s="491" t="b">
        <f>M1591=M1529</f>
        <v>1</v>
      </c>
      <c r="X1591" s="491" t="b">
        <f>O1591=O1529</f>
        <v>1</v>
      </c>
    </row>
    <row r="1592" spans="2:24" ht="9" customHeight="1" thickBot="1" x14ac:dyDescent="0.55000000000000004">
      <c r="B1592" s="501"/>
      <c r="C1592" s="516"/>
      <c r="D1592" s="631"/>
      <c r="E1592" s="631"/>
      <c r="F1592" s="631"/>
      <c r="G1592" s="631"/>
      <c r="H1592" s="631"/>
      <c r="I1592" s="631"/>
      <c r="J1592" s="520"/>
      <c r="M1592" s="462"/>
      <c r="N1592" s="462"/>
      <c r="O1592" s="462"/>
      <c r="P1592" s="545"/>
    </row>
    <row r="1593" spans="2:24" ht="9" customHeight="1" thickTop="1" x14ac:dyDescent="0.5">
      <c r="B1593" s="501"/>
      <c r="C1593" s="516"/>
      <c r="D1593" s="631"/>
      <c r="E1593" s="631"/>
      <c r="F1593" s="631"/>
      <c r="G1593" s="631"/>
      <c r="H1593" s="631"/>
      <c r="I1593" s="631"/>
      <c r="J1593" s="520"/>
      <c r="M1593" s="475"/>
      <c r="N1593" s="475"/>
      <c r="O1593" s="475"/>
      <c r="P1593" s="545"/>
    </row>
    <row r="1594" spans="2:24" ht="36" customHeight="1" x14ac:dyDescent="0.5">
      <c r="B1594" s="501"/>
      <c r="C1594" s="516"/>
      <c r="D1594" s="631"/>
      <c r="E1594" s="631"/>
      <c r="F1594" s="631"/>
      <c r="G1594" s="631"/>
      <c r="H1594" s="631"/>
      <c r="I1594" s="631"/>
      <c r="J1594" s="520"/>
      <c r="M1594" s="475"/>
      <c r="N1594" s="475"/>
      <c r="O1594" s="475"/>
      <c r="P1594" s="545"/>
      <c r="V1594" s="495">
        <f>M1591-M1529</f>
        <v>0</v>
      </c>
      <c r="X1594" s="495">
        <f>O1591-O1529</f>
        <v>0</v>
      </c>
    </row>
    <row r="1595" spans="2:24" ht="36" customHeight="1" x14ac:dyDescent="0.5">
      <c r="B1595" s="501"/>
      <c r="C1595" s="516"/>
      <c r="D1595" s="631"/>
      <c r="E1595" s="631"/>
      <c r="F1595" s="631"/>
      <c r="G1595" s="631"/>
      <c r="H1595" s="631"/>
      <c r="I1595" s="631"/>
      <c r="J1595" s="520"/>
      <c r="M1595" s="475"/>
      <c r="N1595" s="475"/>
      <c r="O1595" s="475"/>
      <c r="P1595" s="545"/>
    </row>
    <row r="1596" spans="2:24" ht="36" customHeight="1" x14ac:dyDescent="0.5">
      <c r="B1596" s="501"/>
      <c r="C1596" s="516"/>
      <c r="D1596" s="631"/>
      <c r="E1596" s="631"/>
      <c r="F1596" s="631"/>
      <c r="G1596" s="631"/>
      <c r="H1596" s="631"/>
      <c r="I1596" s="631"/>
      <c r="J1596" s="520"/>
      <c r="M1596" s="475"/>
      <c r="N1596" s="475"/>
      <c r="O1596" s="475"/>
      <c r="P1596" s="545"/>
    </row>
    <row r="1597" spans="2:24" ht="36" customHeight="1" x14ac:dyDescent="0.5">
      <c r="B1597" s="501"/>
      <c r="C1597" s="516"/>
      <c r="D1597" s="631"/>
      <c r="E1597" s="631"/>
      <c r="F1597" s="631"/>
      <c r="G1597" s="631"/>
      <c r="H1597" s="631"/>
      <c r="I1597" s="631"/>
      <c r="J1597" s="520"/>
      <c r="M1597" s="475"/>
      <c r="N1597" s="475"/>
      <c r="O1597" s="475"/>
      <c r="P1597" s="545"/>
    </row>
    <row r="1598" spans="2:24" ht="36" customHeight="1" x14ac:dyDescent="0.5">
      <c r="B1598" s="501"/>
      <c r="C1598" s="449"/>
      <c r="D1598" s="631"/>
      <c r="E1598" s="631"/>
      <c r="F1598" s="631"/>
      <c r="G1598" s="631"/>
      <c r="H1598" s="631"/>
      <c r="I1598" s="631"/>
      <c r="J1598" s="520"/>
      <c r="M1598" s="458"/>
      <c r="N1598" s="458"/>
      <c r="O1598" s="458"/>
    </row>
    <row r="1599" spans="2:24" ht="36" customHeight="1" x14ac:dyDescent="0.5">
      <c r="B1599" s="501"/>
      <c r="C1599" s="449"/>
      <c r="D1599" s="631"/>
      <c r="E1599" s="631"/>
      <c r="F1599" s="631"/>
      <c r="G1599" s="631"/>
      <c r="H1599" s="631"/>
      <c r="I1599" s="631"/>
      <c r="J1599" s="520"/>
      <c r="M1599" s="458"/>
      <c r="N1599" s="458"/>
      <c r="O1599" s="475" t="s">
        <v>112</v>
      </c>
      <c r="P1599" s="545"/>
      <c r="Q1599" s="450">
        <f>MAX($Q$103:Q1598)+1</f>
        <v>43</v>
      </c>
      <c r="R1599" s="490" t="str">
        <f>R$1609</f>
        <v>DELETE</v>
      </c>
    </row>
    <row r="1600" spans="2:24" ht="36" customHeight="1" x14ac:dyDescent="0.5">
      <c r="B1600" s="501"/>
      <c r="C1600" s="449"/>
      <c r="D1600" s="630" t="str">
        <f>Criteria!E9</f>
        <v>ABC COMPANY (PROPRIETARY) LIMITED</v>
      </c>
      <c r="E1600" s="631"/>
      <c r="F1600" s="631"/>
      <c r="G1600" s="631"/>
      <c r="H1600" s="631"/>
      <c r="I1600" s="631"/>
      <c r="J1600" s="520"/>
      <c r="M1600" s="555"/>
      <c r="N1600" s="555"/>
      <c r="O1600" s="540"/>
      <c r="R1600" s="490" t="str">
        <f>R$1609</f>
        <v>DELETE</v>
      </c>
    </row>
    <row r="1601" spans="2:22" ht="36" customHeight="1" x14ac:dyDescent="0.5">
      <c r="B1601" s="501"/>
      <c r="C1601" s="449"/>
      <c r="D1601" s="630" t="str">
        <f>Criteria!E10</f>
        <v>T/A SEAFRONT HOTEL, ABC RESTAURANT AND RENTAL PROPERTIES</v>
      </c>
      <c r="E1601" s="631"/>
      <c r="F1601" s="631"/>
      <c r="G1601" s="631"/>
      <c r="H1601" s="631"/>
      <c r="I1601" s="631"/>
      <c r="J1601" s="520"/>
      <c r="M1601" s="555"/>
      <c r="N1601" s="555"/>
      <c r="O1601" s="555"/>
      <c r="P1601" s="545"/>
      <c r="R1601" s="490" t="str">
        <f>IF(R$1609="DELETE","DELETE",IF(D1601=0,"DELETE"," "))</f>
        <v>DELETE</v>
      </c>
    </row>
    <row r="1602" spans="2:22" ht="36" customHeight="1" x14ac:dyDescent="0.5">
      <c r="B1602" s="501"/>
      <c r="C1602" s="449"/>
      <c r="D1602" s="631"/>
      <c r="E1602" s="631"/>
      <c r="F1602" s="631"/>
      <c r="G1602" s="631"/>
      <c r="H1602" s="631"/>
      <c r="I1602" s="631"/>
      <c r="J1602" s="520"/>
      <c r="M1602" s="555"/>
      <c r="N1602" s="555"/>
      <c r="O1602" s="555"/>
      <c r="P1602" s="545"/>
      <c r="R1602" s="490" t="str">
        <f>R$1609</f>
        <v>DELETE</v>
      </c>
    </row>
    <row r="1603" spans="2:22" ht="36" customHeight="1" x14ac:dyDescent="0.5">
      <c r="B1603" s="501"/>
      <c r="C1603" s="449"/>
      <c r="D1603" s="630" t="s">
        <v>415</v>
      </c>
      <c r="E1603" s="631"/>
      <c r="F1603" s="631"/>
      <c r="G1603" s="631"/>
      <c r="H1603" s="631"/>
      <c r="I1603" s="631"/>
      <c r="J1603" s="520"/>
      <c r="M1603" s="555"/>
      <c r="N1603" s="555"/>
      <c r="O1603" s="555"/>
      <c r="P1603" s="545"/>
      <c r="R1603" s="490" t="str">
        <f>R$1609</f>
        <v>DELETE</v>
      </c>
    </row>
    <row r="1604" spans="2:22" ht="36" customHeight="1" x14ac:dyDescent="0.5">
      <c r="B1604" s="501"/>
      <c r="C1604" s="449"/>
      <c r="D1604" s="630" t="str">
        <f>Criteria!E20</f>
        <v>28 FEBRUARY 2026</v>
      </c>
      <c r="E1604" s="631"/>
      <c r="F1604" s="631"/>
      <c r="G1604" s="631"/>
      <c r="H1604" s="631"/>
      <c r="I1604" s="631"/>
      <c r="J1604" s="520" t="s">
        <v>282</v>
      </c>
      <c r="M1604" s="555"/>
      <c r="N1604" s="555"/>
      <c r="O1604" s="555"/>
      <c r="P1604" s="545"/>
      <c r="R1604" s="490" t="str">
        <f>R$1609</f>
        <v>DELETE</v>
      </c>
    </row>
    <row r="1605" spans="2:22" ht="36" customHeight="1" x14ac:dyDescent="0.5">
      <c r="D1605" s="631"/>
      <c r="E1605" s="631"/>
      <c r="F1605" s="631"/>
      <c r="G1605" s="631"/>
      <c r="H1605" s="631"/>
      <c r="I1605" s="631"/>
      <c r="J1605" s="520"/>
      <c r="M1605" s="540"/>
      <c r="O1605" s="540"/>
      <c r="R1605" s="490" t="str">
        <f>R$1609</f>
        <v>DELETE</v>
      </c>
    </row>
    <row r="1606" spans="2:22" ht="36" customHeight="1" x14ac:dyDescent="0.5">
      <c r="B1606" s="457"/>
      <c r="C1606" s="457"/>
      <c r="D1606" s="649"/>
      <c r="E1606" s="649"/>
      <c r="F1606" s="649"/>
      <c r="G1606" s="649"/>
      <c r="H1606" s="649"/>
      <c r="I1606" s="649"/>
      <c r="J1606" s="591"/>
      <c r="K1606" s="457"/>
      <c r="L1606" s="457"/>
      <c r="M1606" s="551"/>
      <c r="N1606" s="551"/>
      <c r="O1606" s="551"/>
      <c r="P1606" s="551"/>
      <c r="Q1606" s="457"/>
      <c r="R1606" s="490" t="str">
        <f>R$1609</f>
        <v>DELETE</v>
      </c>
    </row>
    <row r="1607" spans="2:22" ht="36" customHeight="1" x14ac:dyDescent="0.5">
      <c r="D1607" s="631"/>
      <c r="E1607" s="631"/>
      <c r="F1607" s="631"/>
      <c r="G1607" s="631"/>
      <c r="H1607" s="631"/>
      <c r="I1607" s="631"/>
      <c r="J1607" s="520"/>
      <c r="M1607" s="488">
        <f>Criteria!E22</f>
        <v>2026</v>
      </c>
      <c r="N1607" s="488"/>
      <c r="O1607" s="488">
        <f>Criteria!E27</f>
        <v>2025</v>
      </c>
      <c r="P1607" s="545"/>
      <c r="R1607" s="490" t="str">
        <f t="shared" ref="R1607:R1653" si="53">R$1609</f>
        <v>DELETE</v>
      </c>
    </row>
    <row r="1608" spans="2:22" ht="36" customHeight="1" x14ac:dyDescent="0.5">
      <c r="D1608" s="631"/>
      <c r="E1608" s="631"/>
      <c r="F1608" s="631"/>
      <c r="G1608" s="631"/>
      <c r="H1608" s="631"/>
      <c r="I1608" s="631"/>
      <c r="J1608" s="520"/>
      <c r="M1608" s="545"/>
      <c r="N1608" s="545"/>
      <c r="O1608" s="545"/>
      <c r="P1608" s="545"/>
      <c r="R1608" s="490" t="str">
        <f t="shared" si="53"/>
        <v>DELETE</v>
      </c>
    </row>
    <row r="1609" spans="2:22" ht="36" customHeight="1" x14ac:dyDescent="0.5">
      <c r="B1609" s="501">
        <f>MAX(B$871:B1608)+1</f>
        <v>10</v>
      </c>
      <c r="C1609" s="630" t="s">
        <v>1224</v>
      </c>
      <c r="D1609" s="631"/>
      <c r="E1609" s="631"/>
      <c r="F1609" s="631"/>
      <c r="G1609" s="631"/>
      <c r="H1609" s="631"/>
      <c r="I1609" s="631"/>
      <c r="J1609" s="631"/>
      <c r="M1609" s="540"/>
      <c r="O1609" s="540"/>
      <c r="R1609" s="490" t="str">
        <f>IF(SUM(TrialBalance!L230:L231)+SUM(TrialBalance!N230:N231)+TrialBalance!N234+TrialBalance!L234=0,"DELETE"," ")</f>
        <v>DELETE</v>
      </c>
    </row>
    <row r="1610" spans="2:22" ht="36" customHeight="1" x14ac:dyDescent="0.5">
      <c r="B1610" s="501"/>
      <c r="C1610" s="630"/>
      <c r="D1610" s="631"/>
      <c r="E1610" s="631"/>
      <c r="F1610" s="631"/>
      <c r="G1610" s="631"/>
      <c r="H1610" s="631"/>
      <c r="I1610" s="631"/>
      <c r="J1610" s="631"/>
      <c r="M1610" s="540"/>
      <c r="O1610" s="540"/>
      <c r="R1610" s="490" t="str">
        <f t="shared" si="53"/>
        <v>DELETE</v>
      </c>
    </row>
    <row r="1611" spans="2:22" ht="36" customHeight="1" x14ac:dyDescent="0.5">
      <c r="B1611" s="501"/>
      <c r="C1611" s="631" t="s">
        <v>1292</v>
      </c>
      <c r="D1611" s="631"/>
      <c r="E1611" s="631"/>
      <c r="F1611" s="631"/>
      <c r="G1611" s="648"/>
      <c r="H1611" s="631"/>
      <c r="I1611" s="648"/>
      <c r="J1611" s="648"/>
      <c r="K1611" s="526"/>
      <c r="M1611" s="458">
        <f>M1614-M1615</f>
        <v>0</v>
      </c>
      <c r="N1611" s="458"/>
      <c r="O1611" s="458">
        <f>O1614-O1615</f>
        <v>0</v>
      </c>
      <c r="R1611" s="490" t="str">
        <f t="shared" si="53"/>
        <v>DELETE</v>
      </c>
      <c r="V1611" s="491" t="b">
        <f>M1611=O1640</f>
        <v>1</v>
      </c>
    </row>
    <row r="1612" spans="2:22" ht="9" customHeight="1" x14ac:dyDescent="0.5">
      <c r="B1612" s="501"/>
      <c r="C1612" s="631"/>
      <c r="D1612" s="631"/>
      <c r="E1612" s="631"/>
      <c r="F1612" s="631"/>
      <c r="G1612" s="631"/>
      <c r="H1612" s="631"/>
      <c r="I1612" s="648"/>
      <c r="J1612" s="631"/>
      <c r="M1612" s="458"/>
      <c r="N1612" s="458"/>
      <c r="O1612" s="458"/>
      <c r="R1612" s="490" t="str">
        <f t="shared" si="53"/>
        <v>DELETE</v>
      </c>
    </row>
    <row r="1613" spans="2:22" ht="9" customHeight="1" x14ac:dyDescent="0.5">
      <c r="B1613" s="501"/>
      <c r="C1613" s="631"/>
      <c r="D1613" s="631"/>
      <c r="E1613" s="631"/>
      <c r="F1613" s="631"/>
      <c r="G1613" s="631"/>
      <c r="H1613" s="631"/>
      <c r="I1613" s="648"/>
      <c r="J1613" s="631"/>
      <c r="M1613" s="578"/>
      <c r="N1613" s="459"/>
      <c r="O1613" s="579"/>
      <c r="R1613" s="490" t="str">
        <f t="shared" si="53"/>
        <v>DELETE</v>
      </c>
    </row>
    <row r="1614" spans="2:22" ht="36" customHeight="1" x14ac:dyDescent="0.5">
      <c r="B1614" s="501"/>
      <c r="C1614" s="631" t="s">
        <v>416</v>
      </c>
      <c r="D1614" s="631"/>
      <c r="E1614" s="631"/>
      <c r="F1614" s="631"/>
      <c r="G1614" s="631"/>
      <c r="H1614" s="631"/>
      <c r="I1614" s="648"/>
      <c r="J1614" s="631"/>
      <c r="M1614" s="580">
        <f>TrialBalance!L230</f>
        <v>0</v>
      </c>
      <c r="N1614" s="475"/>
      <c r="O1614" s="581">
        <f>TrialBalance!N230</f>
        <v>0</v>
      </c>
      <c r="R1614" s="490" t="str">
        <f t="shared" si="53"/>
        <v>DELETE</v>
      </c>
      <c r="S1614" s="495">
        <f>M1614</f>
        <v>0</v>
      </c>
      <c r="U1614" s="495">
        <f>O1614</f>
        <v>0</v>
      </c>
      <c r="V1614" s="491" t="b">
        <f>M1614=O1644</f>
        <v>1</v>
      </c>
    </row>
    <row r="1615" spans="2:22" ht="36" customHeight="1" x14ac:dyDescent="0.5">
      <c r="B1615" s="501"/>
      <c r="C1615" s="631" t="s">
        <v>1592</v>
      </c>
      <c r="D1615" s="631"/>
      <c r="E1615" s="631"/>
      <c r="F1615" s="631"/>
      <c r="G1615" s="631"/>
      <c r="H1615" s="631"/>
      <c r="I1615" s="648"/>
      <c r="J1615" s="631"/>
      <c r="M1615" s="580">
        <f>-TrialBalance!L236</f>
        <v>0</v>
      </c>
      <c r="N1615" s="475"/>
      <c r="O1615" s="581">
        <f>-TrialBalance!N236</f>
        <v>0</v>
      </c>
      <c r="R1615" s="490" t="str">
        <f t="shared" si="53"/>
        <v>DELETE</v>
      </c>
      <c r="S1615" s="495">
        <f>-M1615</f>
        <v>0</v>
      </c>
      <c r="U1615" s="495">
        <f>-O1615</f>
        <v>0</v>
      </c>
      <c r="V1615" s="491" t="b">
        <f>M1615=O1645</f>
        <v>1</v>
      </c>
    </row>
    <row r="1616" spans="2:22" ht="9" customHeight="1" x14ac:dyDescent="0.5">
      <c r="B1616" s="501"/>
      <c r="C1616" s="631"/>
      <c r="D1616" s="631"/>
      <c r="E1616" s="631"/>
      <c r="F1616" s="631"/>
      <c r="G1616" s="631"/>
      <c r="H1616" s="631"/>
      <c r="I1616" s="648"/>
      <c r="J1616" s="631"/>
      <c r="M1616" s="460"/>
      <c r="N1616" s="461"/>
      <c r="O1616" s="582"/>
      <c r="R1616" s="490" t="str">
        <f t="shared" si="53"/>
        <v>DELETE</v>
      </c>
    </row>
    <row r="1617" spans="2:21" ht="9" customHeight="1" x14ac:dyDescent="0.5">
      <c r="B1617" s="501"/>
      <c r="C1617" s="631"/>
      <c r="D1617" s="631"/>
      <c r="E1617" s="631"/>
      <c r="F1617" s="631"/>
      <c r="G1617" s="631"/>
      <c r="H1617" s="631"/>
      <c r="I1617" s="648"/>
      <c r="J1617" s="631"/>
      <c r="M1617" s="458"/>
      <c r="N1617" s="458"/>
      <c r="O1617" s="458"/>
      <c r="R1617" s="490" t="str">
        <f t="shared" si="53"/>
        <v>DELETE</v>
      </c>
    </row>
    <row r="1618" spans="2:21" ht="36" customHeight="1" x14ac:dyDescent="0.5">
      <c r="B1618" s="501"/>
      <c r="C1618" s="631" t="s">
        <v>422</v>
      </c>
      <c r="D1618" s="631"/>
      <c r="E1618" s="631"/>
      <c r="F1618" s="631"/>
      <c r="G1618" s="631"/>
      <c r="H1618" s="631"/>
      <c r="I1618" s="648"/>
      <c r="J1618" s="631"/>
      <c r="M1618" s="458">
        <f>TrialBalance!L231</f>
        <v>0</v>
      </c>
      <c r="N1618" s="458"/>
      <c r="O1618" s="458">
        <f>TrialBalance!N231</f>
        <v>0</v>
      </c>
      <c r="R1618" s="490" t="str">
        <f t="shared" si="53"/>
        <v>DELETE</v>
      </c>
      <c r="S1618" s="495">
        <f>M1618</f>
        <v>0</v>
      </c>
      <c r="U1618" s="495">
        <f>O1618</f>
        <v>0</v>
      </c>
    </row>
    <row r="1619" spans="2:21" ht="36" customHeight="1" x14ac:dyDescent="0.5">
      <c r="B1619" s="501"/>
      <c r="C1619" s="631"/>
      <c r="D1619" s="631" t="s">
        <v>1593</v>
      </c>
      <c r="E1619" s="631"/>
      <c r="F1619" s="631"/>
      <c r="G1619" s="631"/>
      <c r="H1619" s="631"/>
      <c r="I1619" s="648"/>
      <c r="J1619" s="631"/>
      <c r="M1619" s="458">
        <f>TrialBalance!L234</f>
        <v>0</v>
      </c>
      <c r="N1619" s="458"/>
      <c r="O1619" s="458">
        <f>TrialBalance!N234</f>
        <v>0</v>
      </c>
      <c r="R1619" s="490" t="str">
        <f>IF(M1619+O1619=0,"DELETE"," ")</f>
        <v>DELETE</v>
      </c>
      <c r="S1619" s="495">
        <f>M1619</f>
        <v>0</v>
      </c>
      <c r="U1619" s="495">
        <f>O1619</f>
        <v>0</v>
      </c>
    </row>
    <row r="1620" spans="2:21" ht="9" customHeight="1" x14ac:dyDescent="0.5">
      <c r="B1620" s="501"/>
      <c r="C1620" s="631"/>
      <c r="D1620" s="631"/>
      <c r="E1620" s="631"/>
      <c r="F1620" s="631"/>
      <c r="G1620" s="631"/>
      <c r="H1620" s="631"/>
      <c r="I1620" s="648"/>
      <c r="J1620" s="631"/>
      <c r="M1620" s="461"/>
      <c r="N1620" s="461"/>
      <c r="O1620" s="461"/>
      <c r="R1620" s="490" t="str">
        <f t="shared" si="53"/>
        <v>DELETE</v>
      </c>
    </row>
    <row r="1621" spans="2:21" ht="9" customHeight="1" x14ac:dyDescent="0.5">
      <c r="B1621" s="501"/>
      <c r="C1621" s="631"/>
      <c r="D1621" s="631"/>
      <c r="E1621" s="631"/>
      <c r="F1621" s="631"/>
      <c r="G1621" s="631"/>
      <c r="H1621" s="631"/>
      <c r="I1621" s="648"/>
      <c r="J1621" s="631"/>
      <c r="M1621" s="458"/>
      <c r="N1621" s="458"/>
      <c r="O1621" s="458"/>
      <c r="R1621" s="490" t="str">
        <f t="shared" si="53"/>
        <v>DELETE</v>
      </c>
    </row>
    <row r="1622" spans="2:21" ht="36" customHeight="1" x14ac:dyDescent="0.5">
      <c r="B1622" s="501"/>
      <c r="C1622" s="631"/>
      <c r="D1622" s="631"/>
      <c r="E1622" s="631"/>
      <c r="F1622" s="631"/>
      <c r="G1622" s="631"/>
      <c r="H1622" s="631"/>
      <c r="I1622" s="648"/>
      <c r="J1622" s="631"/>
      <c r="M1622" s="458">
        <f>M1611+SUM(M1617:M1620)</f>
        <v>0</v>
      </c>
      <c r="N1622" s="458"/>
      <c r="O1622" s="458">
        <f>O1611+SUM(O1617:O1620)</f>
        <v>0</v>
      </c>
      <c r="R1622" s="490" t="str">
        <f t="shared" si="53"/>
        <v>DELETE</v>
      </c>
    </row>
    <row r="1623" spans="2:21" ht="36" customHeight="1" x14ac:dyDescent="0.5">
      <c r="B1623" s="501"/>
      <c r="C1623" s="631" t="s">
        <v>1314</v>
      </c>
      <c r="D1623" s="631"/>
      <c r="E1623" s="631"/>
      <c r="F1623" s="631"/>
      <c r="G1623" s="631"/>
      <c r="H1623" s="631"/>
      <c r="I1623" s="648"/>
      <c r="J1623" s="631"/>
      <c r="M1623" s="458">
        <f>-SUM(S1625:S1628)</f>
        <v>0</v>
      </c>
      <c r="N1623" s="458"/>
      <c r="O1623" s="458">
        <f>-SUM(U1625:U1628)</f>
        <v>0</v>
      </c>
      <c r="R1623" s="490" t="str">
        <f>IF(M1623+O1623=0,"DELETE"," ")</f>
        <v>DELETE</v>
      </c>
    </row>
    <row r="1624" spans="2:21" ht="9" customHeight="1" x14ac:dyDescent="0.5">
      <c r="B1624" s="501"/>
      <c r="C1624" s="631"/>
      <c r="D1624" s="631"/>
      <c r="E1624" s="631"/>
      <c r="F1624" s="631"/>
      <c r="G1624" s="631"/>
      <c r="H1624" s="631"/>
      <c r="I1624" s="648"/>
      <c r="J1624" s="631"/>
      <c r="M1624" s="458"/>
      <c r="N1624" s="458"/>
      <c r="O1624" s="458"/>
      <c r="R1624" s="490" t="str">
        <f>R$1623</f>
        <v>DELETE</v>
      </c>
    </row>
    <row r="1625" spans="2:21" ht="9" customHeight="1" x14ac:dyDescent="0.5">
      <c r="B1625" s="501"/>
      <c r="C1625" s="631"/>
      <c r="D1625" s="631"/>
      <c r="E1625" s="631"/>
      <c r="F1625" s="631"/>
      <c r="G1625" s="631"/>
      <c r="H1625" s="631"/>
      <c r="I1625" s="648"/>
      <c r="J1625" s="631"/>
      <c r="M1625" s="578"/>
      <c r="N1625" s="459"/>
      <c r="O1625" s="579"/>
      <c r="R1625" s="490" t="str">
        <f>R$1623</f>
        <v>DELETE</v>
      </c>
    </row>
    <row r="1626" spans="2:21" ht="36" customHeight="1" x14ac:dyDescent="0.5">
      <c r="B1626" s="501"/>
      <c r="C1626" s="631" t="s">
        <v>416</v>
      </c>
      <c r="D1626" s="631"/>
      <c r="E1626" s="631"/>
      <c r="F1626" s="631"/>
      <c r="G1626" s="631"/>
      <c r="H1626" s="631"/>
      <c r="I1626" s="648"/>
      <c r="J1626" s="631"/>
      <c r="M1626" s="580">
        <f>-TrialBalance!L233</f>
        <v>0</v>
      </c>
      <c r="N1626" s="475"/>
      <c r="O1626" s="581">
        <f>-TrialBalance!N233</f>
        <v>0</v>
      </c>
      <c r="R1626" s="490" t="str">
        <f t="shared" ref="R1626:R1627" si="54">IF(M1626+O1626=0,"DELETE"," ")</f>
        <v>DELETE</v>
      </c>
      <c r="S1626" s="495">
        <f>-M1626</f>
        <v>0</v>
      </c>
      <c r="U1626" s="495">
        <f>-O1626</f>
        <v>0</v>
      </c>
    </row>
    <row r="1627" spans="2:21" ht="36" customHeight="1" x14ac:dyDescent="0.5">
      <c r="B1627" s="501"/>
      <c r="C1627" s="631" t="s">
        <v>1592</v>
      </c>
      <c r="D1627" s="631"/>
      <c r="E1627" s="631"/>
      <c r="F1627" s="631"/>
      <c r="G1627" s="631"/>
      <c r="H1627" s="631"/>
      <c r="I1627" s="648"/>
      <c r="J1627" s="631"/>
      <c r="M1627" s="580">
        <f>TrialBalance!L239</f>
        <v>0</v>
      </c>
      <c r="N1627" s="475"/>
      <c r="O1627" s="581">
        <f>TrialBalance!N239</f>
        <v>0</v>
      </c>
      <c r="R1627" s="490" t="str">
        <f t="shared" si="54"/>
        <v>DELETE</v>
      </c>
      <c r="S1627" s="495">
        <f>+M1627</f>
        <v>0</v>
      </c>
      <c r="U1627" s="495">
        <f>+O1627</f>
        <v>0</v>
      </c>
    </row>
    <row r="1628" spans="2:21" ht="9" customHeight="1" x14ac:dyDescent="0.5">
      <c r="B1628" s="501"/>
      <c r="C1628" s="631"/>
      <c r="D1628" s="631"/>
      <c r="E1628" s="631"/>
      <c r="F1628" s="631"/>
      <c r="G1628" s="631"/>
      <c r="H1628" s="631"/>
      <c r="I1628" s="648"/>
      <c r="J1628" s="631"/>
      <c r="M1628" s="460"/>
      <c r="N1628" s="461"/>
      <c r="O1628" s="582"/>
      <c r="R1628" s="490" t="str">
        <f>R$1623</f>
        <v>DELETE</v>
      </c>
    </row>
    <row r="1629" spans="2:21" ht="9" customHeight="1" x14ac:dyDescent="0.5">
      <c r="B1629" s="501"/>
      <c r="C1629" s="631"/>
      <c r="D1629" s="631"/>
      <c r="E1629" s="631"/>
      <c r="F1629" s="631"/>
      <c r="G1629" s="631"/>
      <c r="H1629" s="631"/>
      <c r="I1629" s="648"/>
      <c r="J1629" s="631"/>
      <c r="M1629" s="458"/>
      <c r="N1629" s="458"/>
      <c r="O1629" s="458"/>
      <c r="R1629" s="490" t="str">
        <f>R$1623</f>
        <v>DELETE</v>
      </c>
    </row>
    <row r="1630" spans="2:21" ht="36.75" customHeight="1" x14ac:dyDescent="0.5">
      <c r="B1630" s="501"/>
      <c r="C1630" s="631" t="s">
        <v>179</v>
      </c>
      <c r="D1630" s="631"/>
      <c r="E1630" s="631"/>
      <c r="F1630" s="631"/>
      <c r="G1630" s="631"/>
      <c r="H1630" s="631"/>
      <c r="I1630" s="648"/>
      <c r="J1630" s="631"/>
      <c r="M1630" s="458">
        <f>-SUM(S1632:S1635)</f>
        <v>0</v>
      </c>
      <c r="N1630" s="458"/>
      <c r="O1630" s="458">
        <f>-SUM(U1632:U1635)</f>
        <v>0</v>
      </c>
      <c r="R1630" s="490" t="str">
        <f>IF(M1630+O1630=0,"DELETE"," ")</f>
        <v>DELETE</v>
      </c>
    </row>
    <row r="1631" spans="2:21" ht="9" customHeight="1" x14ac:dyDescent="0.5">
      <c r="B1631" s="501"/>
      <c r="C1631" s="631"/>
      <c r="D1631" s="631"/>
      <c r="E1631" s="631"/>
      <c r="F1631" s="631"/>
      <c r="G1631" s="631"/>
      <c r="H1631" s="631"/>
      <c r="I1631" s="648"/>
      <c r="J1631" s="631"/>
      <c r="M1631" s="458"/>
      <c r="N1631" s="458"/>
      <c r="O1631" s="458"/>
      <c r="R1631" s="490" t="str">
        <f>R$1630</f>
        <v>DELETE</v>
      </c>
    </row>
    <row r="1632" spans="2:21" ht="9" customHeight="1" x14ac:dyDescent="0.5">
      <c r="B1632" s="501"/>
      <c r="C1632" s="631"/>
      <c r="D1632" s="631"/>
      <c r="E1632" s="631"/>
      <c r="F1632" s="631"/>
      <c r="G1632" s="631"/>
      <c r="H1632" s="631"/>
      <c r="I1632" s="648"/>
      <c r="J1632" s="631"/>
      <c r="M1632" s="578"/>
      <c r="N1632" s="459"/>
      <c r="O1632" s="579"/>
      <c r="R1632" s="490" t="str">
        <f>R$1630</f>
        <v>DELETE</v>
      </c>
    </row>
    <row r="1633" spans="2:24" ht="36" customHeight="1" x14ac:dyDescent="0.5">
      <c r="B1633" s="501"/>
      <c r="C1633" s="631" t="s">
        <v>416</v>
      </c>
      <c r="D1633" s="631"/>
      <c r="E1633" s="631"/>
      <c r="F1633" s="631"/>
      <c r="G1633" s="631"/>
      <c r="H1633" s="631"/>
      <c r="I1633" s="648"/>
      <c r="J1633" s="631"/>
      <c r="M1633" s="580">
        <f>-TrialBalance!L232</f>
        <v>0</v>
      </c>
      <c r="N1633" s="475"/>
      <c r="O1633" s="581">
        <f>-TrialBalance!N232</f>
        <v>0</v>
      </c>
      <c r="R1633" s="490" t="str">
        <f t="shared" ref="R1633:R1634" si="55">IF(M1633+O1633=0,"DELETE"," ")</f>
        <v>DELETE</v>
      </c>
      <c r="S1633" s="495">
        <f>-M1633</f>
        <v>0</v>
      </c>
      <c r="U1633" s="495">
        <f>-O1633</f>
        <v>0</v>
      </c>
    </row>
    <row r="1634" spans="2:24" ht="36" customHeight="1" x14ac:dyDescent="0.5">
      <c r="B1634" s="501"/>
      <c r="C1634" s="631" t="s">
        <v>1592</v>
      </c>
      <c r="D1634" s="631"/>
      <c r="E1634" s="631"/>
      <c r="F1634" s="631"/>
      <c r="G1634" s="631"/>
      <c r="H1634" s="631"/>
      <c r="I1634" s="648"/>
      <c r="J1634" s="631"/>
      <c r="M1634" s="580">
        <f>TrialBalance!L238</f>
        <v>0</v>
      </c>
      <c r="N1634" s="475"/>
      <c r="O1634" s="581">
        <f>TrialBalance!N238</f>
        <v>0</v>
      </c>
      <c r="R1634" s="490" t="str">
        <f t="shared" si="55"/>
        <v>DELETE</v>
      </c>
      <c r="S1634" s="495">
        <f>M1634</f>
        <v>0</v>
      </c>
      <c r="U1634" s="495">
        <f>O1634</f>
        <v>0</v>
      </c>
    </row>
    <row r="1635" spans="2:24" ht="9" customHeight="1" x14ac:dyDescent="0.5">
      <c r="B1635" s="501"/>
      <c r="C1635" s="631"/>
      <c r="D1635" s="631"/>
      <c r="E1635" s="631"/>
      <c r="F1635" s="631"/>
      <c r="G1635" s="631"/>
      <c r="H1635" s="631"/>
      <c r="I1635" s="648"/>
      <c r="J1635" s="631"/>
      <c r="M1635" s="460"/>
      <c r="N1635" s="461"/>
      <c r="O1635" s="582"/>
      <c r="R1635" s="490" t="str">
        <f t="shared" ref="R1635:R1636" si="56">R$1630</f>
        <v>DELETE</v>
      </c>
    </row>
    <row r="1636" spans="2:24" ht="9" customHeight="1" x14ac:dyDescent="0.5">
      <c r="B1636" s="501"/>
      <c r="C1636" s="631"/>
      <c r="D1636" s="631"/>
      <c r="E1636" s="631"/>
      <c r="F1636" s="631"/>
      <c r="G1636" s="631"/>
      <c r="H1636" s="631"/>
      <c r="I1636" s="648"/>
      <c r="J1636" s="631"/>
      <c r="M1636" s="475"/>
      <c r="N1636" s="475"/>
      <c r="O1636" s="475"/>
      <c r="R1636" s="490" t="str">
        <f t="shared" si="56"/>
        <v>DELETE</v>
      </c>
    </row>
    <row r="1637" spans="2:24" ht="36.75" customHeight="1" x14ac:dyDescent="0.5">
      <c r="B1637" s="501"/>
      <c r="C1637" s="631" t="s">
        <v>304</v>
      </c>
      <c r="D1637" s="631"/>
      <c r="E1637" s="631"/>
      <c r="F1637" s="631"/>
      <c r="G1637" s="631"/>
      <c r="H1637" s="631"/>
      <c r="I1637" s="648"/>
      <c r="J1637" s="631"/>
      <c r="M1637" s="475">
        <f>TrialBalance!L237</f>
        <v>0</v>
      </c>
      <c r="N1637" s="475"/>
      <c r="O1637" s="475">
        <f>TrialBalance!N237</f>
        <v>0</v>
      </c>
      <c r="P1637" s="545"/>
      <c r="R1637" s="490" t="str">
        <f t="shared" si="53"/>
        <v>DELETE</v>
      </c>
      <c r="S1637" s="495">
        <f>M1637</f>
        <v>0</v>
      </c>
      <c r="U1637" s="495">
        <f>O1637</f>
        <v>0</v>
      </c>
    </row>
    <row r="1638" spans="2:24" ht="9" customHeight="1" x14ac:dyDescent="0.5">
      <c r="B1638" s="501"/>
      <c r="C1638" s="631"/>
      <c r="D1638" s="631"/>
      <c r="E1638" s="631"/>
      <c r="F1638" s="631"/>
      <c r="G1638" s="631"/>
      <c r="H1638" s="631"/>
      <c r="I1638" s="648"/>
      <c r="J1638" s="631"/>
      <c r="M1638" s="461"/>
      <c r="N1638" s="461"/>
      <c r="O1638" s="461"/>
      <c r="P1638" s="545"/>
      <c r="R1638" s="490" t="str">
        <f t="shared" si="53"/>
        <v>DELETE</v>
      </c>
    </row>
    <row r="1639" spans="2:24" ht="9" customHeight="1" x14ac:dyDescent="0.5">
      <c r="B1639" s="501"/>
      <c r="C1639" s="631"/>
      <c r="D1639" s="631"/>
      <c r="E1639" s="631"/>
      <c r="F1639" s="631"/>
      <c r="G1639" s="631"/>
      <c r="H1639" s="631"/>
      <c r="I1639" s="648"/>
      <c r="J1639" s="631"/>
      <c r="M1639" s="475"/>
      <c r="N1639" s="475"/>
      <c r="O1639" s="475"/>
      <c r="P1639" s="545"/>
      <c r="R1639" s="490" t="str">
        <f t="shared" si="53"/>
        <v>DELETE</v>
      </c>
    </row>
    <row r="1640" spans="2:24" ht="36.75" customHeight="1" x14ac:dyDescent="0.5">
      <c r="B1640" s="501"/>
      <c r="C1640" s="631" t="s">
        <v>1295</v>
      </c>
      <c r="D1640" s="631"/>
      <c r="E1640" s="631"/>
      <c r="F1640" s="631"/>
      <c r="G1640" s="631"/>
      <c r="H1640" s="631"/>
      <c r="I1640" s="648"/>
      <c r="J1640" s="631"/>
      <c r="K1640" s="456"/>
      <c r="M1640" s="458">
        <f>SUM(S1611:S1638)</f>
        <v>0</v>
      </c>
      <c r="N1640" s="458"/>
      <c r="O1640" s="458">
        <f>SUM(U1611:U1638)</f>
        <v>0</v>
      </c>
      <c r="R1640" s="490" t="str">
        <f t="shared" si="53"/>
        <v>DELETE</v>
      </c>
      <c r="V1640" s="491" t="b">
        <f>M1640=M1644-M1645</f>
        <v>1</v>
      </c>
      <c r="X1640" s="491" t="b">
        <f>O1640=O1644-O1645</f>
        <v>1</v>
      </c>
    </row>
    <row r="1641" spans="2:24" ht="9" customHeight="1" thickBot="1" x14ac:dyDescent="0.55000000000000004">
      <c r="B1641" s="501"/>
      <c r="C1641" s="631"/>
      <c r="D1641" s="631"/>
      <c r="E1641" s="631"/>
      <c r="F1641" s="631"/>
      <c r="G1641" s="631"/>
      <c r="H1641" s="631"/>
      <c r="I1641" s="648"/>
      <c r="J1641" s="631"/>
      <c r="M1641" s="462"/>
      <c r="N1641" s="462"/>
      <c r="O1641" s="462"/>
      <c r="R1641" s="490" t="str">
        <f t="shared" si="53"/>
        <v>DELETE</v>
      </c>
    </row>
    <row r="1642" spans="2:24" ht="9" customHeight="1" thickTop="1" x14ac:dyDescent="0.5">
      <c r="B1642" s="501"/>
      <c r="C1642" s="631"/>
      <c r="D1642" s="631"/>
      <c r="E1642" s="631"/>
      <c r="F1642" s="631"/>
      <c r="G1642" s="631"/>
      <c r="H1642" s="631"/>
      <c r="I1642" s="648"/>
      <c r="J1642" s="631"/>
      <c r="M1642" s="458"/>
      <c r="N1642" s="458"/>
      <c r="O1642" s="458"/>
      <c r="R1642" s="490" t="str">
        <f t="shared" si="53"/>
        <v>DELETE</v>
      </c>
    </row>
    <row r="1643" spans="2:24" ht="9" customHeight="1" x14ac:dyDescent="0.5">
      <c r="B1643" s="501"/>
      <c r="C1643" s="631"/>
      <c r="D1643" s="631"/>
      <c r="E1643" s="631"/>
      <c r="F1643" s="631"/>
      <c r="G1643" s="631"/>
      <c r="H1643" s="631"/>
      <c r="I1643" s="648"/>
      <c r="J1643" s="631"/>
      <c r="M1643" s="578"/>
      <c r="N1643" s="459"/>
      <c r="O1643" s="579"/>
      <c r="R1643" s="490" t="str">
        <f t="shared" si="53"/>
        <v>DELETE</v>
      </c>
    </row>
    <row r="1644" spans="2:24" ht="36" customHeight="1" x14ac:dyDescent="0.5">
      <c r="B1644" s="501"/>
      <c r="C1644" s="631" t="s">
        <v>416</v>
      </c>
      <c r="D1644" s="631"/>
      <c r="E1644" s="631"/>
      <c r="F1644" s="631"/>
      <c r="G1644" s="631"/>
      <c r="H1644" s="631"/>
      <c r="I1644" s="648"/>
      <c r="J1644" s="631"/>
      <c r="M1644" s="580">
        <f>SUM(TrialBalance!L230:L234)</f>
        <v>0</v>
      </c>
      <c r="N1644" s="475"/>
      <c r="O1644" s="581">
        <f>SUM(TrialBalance!N230:N234)</f>
        <v>0</v>
      </c>
      <c r="R1644" s="490" t="str">
        <f t="shared" si="53"/>
        <v>DELETE</v>
      </c>
    </row>
    <row r="1645" spans="2:24" ht="36" customHeight="1" x14ac:dyDescent="0.5">
      <c r="B1645" s="501"/>
      <c r="C1645" s="631" t="s">
        <v>1592</v>
      </c>
      <c r="D1645" s="631"/>
      <c r="E1645" s="631"/>
      <c r="F1645" s="631"/>
      <c r="G1645" s="631"/>
      <c r="H1645" s="631"/>
      <c r="I1645" s="648"/>
      <c r="J1645" s="631"/>
      <c r="M1645" s="580">
        <f>-SUM(TrialBalance!L236:L239)</f>
        <v>0</v>
      </c>
      <c r="N1645" s="475"/>
      <c r="O1645" s="581">
        <f>-SUM(TrialBalance!N236:N239)</f>
        <v>0</v>
      </c>
      <c r="R1645" s="490" t="str">
        <f t="shared" si="53"/>
        <v>DELETE</v>
      </c>
    </row>
    <row r="1646" spans="2:24" ht="9" customHeight="1" x14ac:dyDescent="0.5">
      <c r="B1646" s="501"/>
      <c r="C1646" s="631"/>
      <c r="D1646" s="631"/>
      <c r="E1646" s="631"/>
      <c r="F1646" s="631"/>
      <c r="G1646" s="631"/>
      <c r="H1646" s="631"/>
      <c r="I1646" s="631"/>
      <c r="J1646" s="631"/>
      <c r="M1646" s="460"/>
      <c r="N1646" s="461"/>
      <c r="O1646" s="582"/>
      <c r="R1646" s="490" t="str">
        <f t="shared" si="53"/>
        <v>DELETE</v>
      </c>
    </row>
    <row r="1647" spans="2:24" ht="9" customHeight="1" x14ac:dyDescent="0.5">
      <c r="B1647" s="501"/>
      <c r="C1647" s="631"/>
      <c r="D1647" s="631"/>
      <c r="E1647" s="631"/>
      <c r="F1647" s="631"/>
      <c r="G1647" s="631"/>
      <c r="H1647" s="631"/>
      <c r="I1647" s="631"/>
      <c r="J1647" s="631"/>
      <c r="M1647" s="458"/>
      <c r="N1647" s="458"/>
      <c r="O1647" s="458"/>
      <c r="R1647" s="490" t="str">
        <f t="shared" si="53"/>
        <v>DELETE</v>
      </c>
    </row>
    <row r="1648" spans="2:24" ht="36" customHeight="1" x14ac:dyDescent="0.5">
      <c r="B1648" s="501"/>
      <c r="C1648" s="631"/>
      <c r="D1648" s="631"/>
      <c r="E1648" s="631"/>
      <c r="F1648" s="631"/>
      <c r="G1648" s="631"/>
      <c r="H1648" s="631"/>
      <c r="I1648" s="631"/>
      <c r="J1648" s="631"/>
      <c r="M1648" s="540"/>
      <c r="O1648" s="540"/>
      <c r="R1648" s="490" t="str">
        <f t="shared" si="53"/>
        <v>DELETE</v>
      </c>
    </row>
    <row r="1649" spans="2:18" ht="36" customHeight="1" x14ac:dyDescent="0.5">
      <c r="B1649" s="501"/>
      <c r="C1649" s="631" t="str">
        <f>IF(SUM(TrialBalance!L230:L234)=0," ",IF(Criteria!F135="Yes",CONCATENATE("Property is pledged as security - See note ",FS!B2363)," "))</f>
        <v xml:space="preserve"> </v>
      </c>
      <c r="D1649" s="648"/>
      <c r="E1649" s="631"/>
      <c r="F1649" s="631"/>
      <c r="G1649" s="631"/>
      <c r="H1649" s="631"/>
      <c r="I1649" s="631"/>
      <c r="J1649" s="631"/>
      <c r="M1649" s="540"/>
      <c r="O1649" s="540"/>
      <c r="R1649" s="490" t="str">
        <f>IF(R$1609="DELETE","DELETE",IF(C1649=" ","DELETE"," "))</f>
        <v>DELETE</v>
      </c>
    </row>
    <row r="1650" spans="2:18" ht="36" customHeight="1" x14ac:dyDescent="0.5">
      <c r="B1650" s="501"/>
      <c r="C1650" s="631"/>
      <c r="D1650" s="631"/>
      <c r="E1650" s="631"/>
      <c r="F1650" s="631"/>
      <c r="G1650" s="631"/>
      <c r="H1650" s="631"/>
      <c r="I1650" s="631"/>
      <c r="J1650" s="631"/>
      <c r="M1650" s="540"/>
      <c r="O1650" s="540"/>
      <c r="R1650" s="490" t="str">
        <f t="shared" si="53"/>
        <v>DELETE</v>
      </c>
    </row>
    <row r="1651" spans="2:18" ht="36" customHeight="1" x14ac:dyDescent="0.5">
      <c r="B1651" s="501"/>
      <c r="C1651" s="631"/>
      <c r="D1651" s="631"/>
      <c r="E1651" s="631"/>
      <c r="F1651" s="631"/>
      <c r="G1651" s="631"/>
      <c r="H1651" s="631"/>
      <c r="I1651" s="631"/>
      <c r="J1651" s="631"/>
      <c r="M1651" s="540"/>
      <c r="O1651" s="540"/>
      <c r="R1651" s="490" t="str">
        <f t="shared" si="53"/>
        <v>DELETE</v>
      </c>
    </row>
    <row r="1652" spans="2:18" ht="36" customHeight="1" x14ac:dyDescent="0.5">
      <c r="B1652" s="501"/>
      <c r="C1652" s="630"/>
      <c r="D1652" s="631"/>
      <c r="E1652" s="631"/>
      <c r="F1652" s="631"/>
      <c r="G1652" s="631"/>
      <c r="H1652" s="631"/>
      <c r="I1652" s="631"/>
      <c r="J1652" s="631"/>
      <c r="M1652" s="475"/>
      <c r="N1652" s="475"/>
      <c r="O1652" s="475"/>
      <c r="P1652" s="545"/>
      <c r="R1652" s="490" t="str">
        <f t="shared" si="53"/>
        <v>DELETE</v>
      </c>
    </row>
    <row r="1653" spans="2:18" ht="36" customHeight="1" x14ac:dyDescent="0.5">
      <c r="B1653" s="501"/>
      <c r="C1653" s="630"/>
      <c r="D1653" s="631"/>
      <c r="E1653" s="631"/>
      <c r="F1653" s="631"/>
      <c r="G1653" s="631"/>
      <c r="H1653" s="631"/>
      <c r="I1653" s="631"/>
      <c r="J1653" s="631"/>
      <c r="M1653" s="458"/>
      <c r="N1653" s="458"/>
      <c r="O1653" s="458"/>
      <c r="R1653" s="490" t="str">
        <f t="shared" si="53"/>
        <v>DELETE</v>
      </c>
    </row>
    <row r="1654" spans="2:18" ht="36" customHeight="1" x14ac:dyDescent="0.5">
      <c r="B1654" s="501"/>
      <c r="C1654" s="630"/>
      <c r="D1654" s="631"/>
      <c r="E1654" s="631"/>
      <c r="F1654" s="631"/>
      <c r="G1654" s="631"/>
      <c r="H1654" s="631"/>
      <c r="I1654" s="631"/>
      <c r="J1654" s="631"/>
      <c r="M1654" s="458"/>
      <c r="N1654" s="458"/>
      <c r="O1654" s="475" t="s">
        <v>112</v>
      </c>
      <c r="P1654" s="545"/>
      <c r="Q1654" s="450">
        <f>MAX($Q$103:Q1653)+1</f>
        <v>44</v>
      </c>
      <c r="R1654" s="490" t="str">
        <f t="shared" ref="R1654:R1665" si="57">R$1706</f>
        <v>DELETE</v>
      </c>
    </row>
    <row r="1655" spans="2:18" ht="36" customHeight="1" x14ac:dyDescent="0.5">
      <c r="B1655" s="501"/>
      <c r="C1655" s="630"/>
      <c r="D1655" s="630" t="str">
        <f>Criteria!E9</f>
        <v>ABC COMPANY (PROPRIETARY) LIMITED</v>
      </c>
      <c r="E1655" s="631"/>
      <c r="F1655" s="631"/>
      <c r="G1655" s="631"/>
      <c r="H1655" s="631"/>
      <c r="I1655" s="631"/>
      <c r="J1655" s="631"/>
      <c r="M1655" s="555"/>
      <c r="N1655" s="555"/>
      <c r="O1655" s="540"/>
      <c r="R1655" s="490" t="str">
        <f t="shared" si="57"/>
        <v>DELETE</v>
      </c>
    </row>
    <row r="1656" spans="2:18" ht="36" customHeight="1" x14ac:dyDescent="0.5">
      <c r="B1656" s="501"/>
      <c r="C1656" s="630"/>
      <c r="D1656" s="630" t="str">
        <f>Criteria!E10</f>
        <v>T/A SEAFRONT HOTEL, ABC RESTAURANT AND RENTAL PROPERTIES</v>
      </c>
      <c r="E1656" s="631"/>
      <c r="F1656" s="631"/>
      <c r="G1656" s="631"/>
      <c r="H1656" s="631"/>
      <c r="I1656" s="631"/>
      <c r="J1656" s="631"/>
      <c r="M1656" s="555"/>
      <c r="N1656" s="555"/>
      <c r="O1656" s="555"/>
      <c r="P1656" s="545"/>
      <c r="R1656" s="490" t="str">
        <f>IF(R$1706="DELETE","DELETE",IF(D1656=0,"DELETE"," "))</f>
        <v>DELETE</v>
      </c>
    </row>
    <row r="1657" spans="2:18" ht="36" customHeight="1" x14ac:dyDescent="0.5">
      <c r="B1657" s="501"/>
      <c r="C1657" s="630"/>
      <c r="D1657" s="631"/>
      <c r="E1657" s="631"/>
      <c r="F1657" s="631"/>
      <c r="G1657" s="631"/>
      <c r="H1657" s="631"/>
      <c r="I1657" s="631"/>
      <c r="J1657" s="631"/>
      <c r="M1657" s="555"/>
      <c r="N1657" s="555"/>
      <c r="O1657" s="555"/>
      <c r="P1657" s="545"/>
      <c r="R1657" s="490" t="str">
        <f t="shared" si="57"/>
        <v>DELETE</v>
      </c>
    </row>
    <row r="1658" spans="2:18" ht="36" customHeight="1" x14ac:dyDescent="0.5">
      <c r="B1658" s="501"/>
      <c r="C1658" s="630"/>
      <c r="D1658" s="630" t="s">
        <v>415</v>
      </c>
      <c r="E1658" s="631"/>
      <c r="F1658" s="631"/>
      <c r="G1658" s="631"/>
      <c r="H1658" s="631"/>
      <c r="I1658" s="631"/>
      <c r="J1658" s="631"/>
      <c r="M1658" s="555"/>
      <c r="N1658" s="555"/>
      <c r="O1658" s="555"/>
      <c r="P1658" s="545"/>
      <c r="R1658" s="490" t="str">
        <f t="shared" si="57"/>
        <v>DELETE</v>
      </c>
    </row>
    <row r="1659" spans="2:18" ht="36" customHeight="1" x14ac:dyDescent="0.5">
      <c r="B1659" s="501"/>
      <c r="C1659" s="630"/>
      <c r="D1659" s="630" t="str">
        <f>Criteria!E20</f>
        <v>28 FEBRUARY 2026</v>
      </c>
      <c r="E1659" s="631"/>
      <c r="F1659" s="631"/>
      <c r="G1659" s="631"/>
      <c r="H1659" s="631"/>
      <c r="I1659" s="631"/>
      <c r="J1659" s="631" t="s">
        <v>282</v>
      </c>
      <c r="M1659" s="555"/>
      <c r="N1659" s="555"/>
      <c r="O1659" s="555"/>
      <c r="P1659" s="545"/>
      <c r="R1659" s="490" t="str">
        <f t="shared" si="57"/>
        <v>DELETE</v>
      </c>
    </row>
    <row r="1660" spans="2:18" ht="36" customHeight="1" x14ac:dyDescent="0.5">
      <c r="B1660" s="501"/>
      <c r="C1660" s="630"/>
      <c r="D1660" s="631"/>
      <c r="E1660" s="631"/>
      <c r="F1660" s="631"/>
      <c r="G1660" s="631"/>
      <c r="H1660" s="631"/>
      <c r="I1660" s="631"/>
      <c r="J1660" s="631"/>
      <c r="M1660" s="458"/>
      <c r="N1660" s="458"/>
      <c r="O1660" s="458"/>
      <c r="R1660" s="490" t="str">
        <f t="shared" si="57"/>
        <v>DELETE</v>
      </c>
    </row>
    <row r="1661" spans="2:18" ht="36" customHeight="1" x14ac:dyDescent="0.5">
      <c r="B1661" s="640"/>
      <c r="C1661" s="652"/>
      <c r="D1661" s="649"/>
      <c r="E1661" s="649"/>
      <c r="F1661" s="649"/>
      <c r="G1661" s="649"/>
      <c r="H1661" s="649"/>
      <c r="I1661" s="649"/>
      <c r="J1661" s="649"/>
      <c r="K1661" s="457"/>
      <c r="L1661" s="457"/>
      <c r="M1661" s="459"/>
      <c r="N1661" s="459"/>
      <c r="O1661" s="459"/>
      <c r="P1661" s="551"/>
      <c r="Q1661" s="457"/>
      <c r="R1661" s="490" t="str">
        <f t="shared" si="57"/>
        <v>DELETE</v>
      </c>
    </row>
    <row r="1662" spans="2:18" ht="36" customHeight="1" x14ac:dyDescent="0.5">
      <c r="B1662" s="501"/>
      <c r="C1662" s="630"/>
      <c r="D1662" s="631"/>
      <c r="E1662" s="631"/>
      <c r="F1662" s="631"/>
      <c r="G1662" s="631"/>
      <c r="H1662" s="631"/>
      <c r="I1662" s="631"/>
      <c r="J1662" s="631"/>
      <c r="M1662" s="488">
        <f>Criteria!E22</f>
        <v>2026</v>
      </c>
      <c r="N1662" s="488"/>
      <c r="O1662" s="488">
        <f>Criteria!E27</f>
        <v>2025</v>
      </c>
      <c r="P1662" s="545"/>
      <c r="R1662" s="490" t="str">
        <f t="shared" si="57"/>
        <v>DELETE</v>
      </c>
    </row>
    <row r="1663" spans="2:18" ht="36" customHeight="1" x14ac:dyDescent="0.5">
      <c r="B1663" s="501"/>
      <c r="C1663" s="630"/>
      <c r="D1663" s="631"/>
      <c r="E1663" s="631"/>
      <c r="F1663" s="631"/>
      <c r="G1663" s="631"/>
      <c r="H1663" s="631"/>
      <c r="I1663" s="631"/>
      <c r="J1663" s="631"/>
      <c r="M1663" s="475"/>
      <c r="N1663" s="475"/>
      <c r="O1663" s="475"/>
      <c r="P1663" s="545"/>
      <c r="R1663" s="490" t="str">
        <f t="shared" si="57"/>
        <v>DELETE</v>
      </c>
    </row>
    <row r="1664" spans="2:18" ht="36" customHeight="1" x14ac:dyDescent="0.5">
      <c r="B1664" s="501"/>
      <c r="C1664" s="631" t="s">
        <v>1440</v>
      </c>
      <c r="D1664" s="631"/>
      <c r="E1664" s="631"/>
      <c r="F1664" s="631"/>
      <c r="G1664" s="631"/>
      <c r="H1664" s="631"/>
      <c r="I1664" s="631"/>
      <c r="J1664" s="631"/>
      <c r="M1664" s="475"/>
      <c r="N1664" s="475"/>
      <c r="O1664" s="475"/>
      <c r="P1664" s="545"/>
      <c r="R1664" s="490" t="str">
        <f t="shared" si="57"/>
        <v>DELETE</v>
      </c>
    </row>
    <row r="1665" spans="2:18" ht="36" customHeight="1" x14ac:dyDescent="0.5">
      <c r="B1665" s="501"/>
      <c r="C1665" s="630"/>
      <c r="D1665" s="631"/>
      <c r="E1665" s="631"/>
      <c r="F1665" s="631"/>
      <c r="G1665" s="631"/>
      <c r="H1665" s="631"/>
      <c r="I1665" s="631"/>
      <c r="J1665" s="631"/>
      <c r="M1665" s="475"/>
      <c r="N1665" s="475"/>
      <c r="O1665" s="475"/>
      <c r="P1665" s="545"/>
      <c r="R1665" s="490" t="str">
        <f t="shared" si="57"/>
        <v>DELETE</v>
      </c>
    </row>
    <row r="1666" spans="2:18" ht="36" customHeight="1" x14ac:dyDescent="0.5">
      <c r="B1666" s="501"/>
      <c r="C1666" s="631">
        <f>Criteria!C140</f>
        <v>0</v>
      </c>
      <c r="D1666" s="631"/>
      <c r="E1666" s="631"/>
      <c r="F1666" s="631"/>
      <c r="G1666" s="631"/>
      <c r="H1666" s="631"/>
      <c r="I1666" s="631"/>
      <c r="J1666" s="631"/>
      <c r="M1666" s="475">
        <f>Criteria!F140</f>
        <v>0</v>
      </c>
      <c r="N1666" s="475"/>
      <c r="O1666" s="475">
        <f>Criteria!G140</f>
        <v>0</v>
      </c>
      <c r="P1666" s="545"/>
      <c r="R1666" s="490" t="str">
        <f>IF(M1666=0,IF(O1666=0,"DELETE"," ")," ")</f>
        <v>DELETE</v>
      </c>
    </row>
    <row r="1667" spans="2:18" ht="36" customHeight="1" x14ac:dyDescent="0.5">
      <c r="B1667" s="501"/>
      <c r="C1667" s="631">
        <f>Criteria!C141</f>
        <v>0</v>
      </c>
      <c r="D1667" s="631"/>
      <c r="E1667" s="631"/>
      <c r="F1667" s="631"/>
      <c r="G1667" s="631"/>
      <c r="H1667" s="631"/>
      <c r="I1667" s="631"/>
      <c r="J1667" s="631"/>
      <c r="M1667" s="475">
        <f>Criteria!F141</f>
        <v>0</v>
      </c>
      <c r="N1667" s="475"/>
      <c r="O1667" s="475">
        <f>Criteria!G141</f>
        <v>0</v>
      </c>
      <c r="P1667" s="545"/>
      <c r="R1667" s="490" t="str">
        <f t="shared" ref="R1667:R1703" si="58">IF(M1667=0,IF(O1667=0,"DELETE"," ")," ")</f>
        <v>DELETE</v>
      </c>
    </row>
    <row r="1668" spans="2:18" ht="36" customHeight="1" x14ac:dyDescent="0.5">
      <c r="B1668" s="501"/>
      <c r="C1668" s="631">
        <f>Criteria!C142</f>
        <v>0</v>
      </c>
      <c r="D1668" s="631"/>
      <c r="E1668" s="631"/>
      <c r="F1668" s="631"/>
      <c r="G1668" s="631"/>
      <c r="H1668" s="631"/>
      <c r="I1668" s="631"/>
      <c r="J1668" s="631"/>
      <c r="M1668" s="475">
        <f>Criteria!F142</f>
        <v>0</v>
      </c>
      <c r="N1668" s="475"/>
      <c r="O1668" s="475">
        <f>Criteria!G142</f>
        <v>0</v>
      </c>
      <c r="P1668" s="545"/>
      <c r="R1668" s="490" t="str">
        <f t="shared" si="58"/>
        <v>DELETE</v>
      </c>
    </row>
    <row r="1669" spans="2:18" ht="36" customHeight="1" x14ac:dyDescent="0.5">
      <c r="B1669" s="501"/>
      <c r="C1669" s="631">
        <f>Criteria!C143</f>
        <v>0</v>
      </c>
      <c r="D1669" s="631"/>
      <c r="E1669" s="631"/>
      <c r="F1669" s="631"/>
      <c r="G1669" s="631"/>
      <c r="H1669" s="631"/>
      <c r="I1669" s="631"/>
      <c r="J1669" s="631"/>
      <c r="M1669" s="475">
        <f>Criteria!F143</f>
        <v>0</v>
      </c>
      <c r="N1669" s="475"/>
      <c r="O1669" s="475">
        <f>Criteria!G143</f>
        <v>0</v>
      </c>
      <c r="P1669" s="545"/>
      <c r="R1669" s="490" t="str">
        <f t="shared" si="58"/>
        <v>DELETE</v>
      </c>
    </row>
    <row r="1670" spans="2:18" ht="36" customHeight="1" x14ac:dyDescent="0.5">
      <c r="B1670" s="501"/>
      <c r="C1670" s="631">
        <f>Criteria!C144</f>
        <v>0</v>
      </c>
      <c r="D1670" s="631"/>
      <c r="E1670" s="631"/>
      <c r="F1670" s="631"/>
      <c r="G1670" s="631"/>
      <c r="H1670" s="631"/>
      <c r="I1670" s="631"/>
      <c r="J1670" s="631"/>
      <c r="M1670" s="475">
        <f>Criteria!F144</f>
        <v>0</v>
      </c>
      <c r="N1670" s="475"/>
      <c r="O1670" s="475">
        <f>Criteria!G144</f>
        <v>0</v>
      </c>
      <c r="P1670" s="545"/>
      <c r="R1670" s="490" t="str">
        <f t="shared" si="58"/>
        <v>DELETE</v>
      </c>
    </row>
    <row r="1671" spans="2:18" ht="36" customHeight="1" x14ac:dyDescent="0.5">
      <c r="B1671" s="501"/>
      <c r="C1671" s="631">
        <f>Criteria!C145</f>
        <v>0</v>
      </c>
      <c r="D1671" s="631"/>
      <c r="E1671" s="631"/>
      <c r="F1671" s="631"/>
      <c r="G1671" s="631"/>
      <c r="H1671" s="631"/>
      <c r="I1671" s="631"/>
      <c r="J1671" s="631"/>
      <c r="M1671" s="475">
        <f>Criteria!F145</f>
        <v>0</v>
      </c>
      <c r="N1671" s="475"/>
      <c r="O1671" s="475">
        <f>Criteria!G145</f>
        <v>0</v>
      </c>
      <c r="P1671" s="545"/>
      <c r="R1671" s="490" t="str">
        <f t="shared" si="58"/>
        <v>DELETE</v>
      </c>
    </row>
    <row r="1672" spans="2:18" ht="36" customHeight="1" x14ac:dyDescent="0.5">
      <c r="B1672" s="501"/>
      <c r="C1672" s="631">
        <f>Criteria!C146</f>
        <v>0</v>
      </c>
      <c r="D1672" s="631"/>
      <c r="E1672" s="631"/>
      <c r="F1672" s="631"/>
      <c r="G1672" s="631"/>
      <c r="H1672" s="631"/>
      <c r="I1672" s="631"/>
      <c r="J1672" s="631"/>
      <c r="M1672" s="475">
        <f>Criteria!F146</f>
        <v>0</v>
      </c>
      <c r="N1672" s="475"/>
      <c r="O1672" s="475">
        <f>Criteria!G146</f>
        <v>0</v>
      </c>
      <c r="P1672" s="545"/>
      <c r="R1672" s="490" t="str">
        <f t="shared" si="58"/>
        <v>DELETE</v>
      </c>
    </row>
    <row r="1673" spans="2:18" ht="36" customHeight="1" x14ac:dyDescent="0.5">
      <c r="B1673" s="501"/>
      <c r="C1673" s="631">
        <f>Criteria!C147</f>
        <v>0</v>
      </c>
      <c r="D1673" s="631"/>
      <c r="E1673" s="631"/>
      <c r="F1673" s="631"/>
      <c r="G1673" s="631"/>
      <c r="H1673" s="631"/>
      <c r="I1673" s="631"/>
      <c r="J1673" s="631"/>
      <c r="M1673" s="475">
        <f>Criteria!F147</f>
        <v>0</v>
      </c>
      <c r="N1673" s="475"/>
      <c r="O1673" s="475">
        <f>Criteria!G147</f>
        <v>0</v>
      </c>
      <c r="P1673" s="545"/>
      <c r="R1673" s="490" t="str">
        <f t="shared" si="58"/>
        <v>DELETE</v>
      </c>
    </row>
    <row r="1674" spans="2:18" ht="36" customHeight="1" x14ac:dyDescent="0.5">
      <c r="B1674" s="501"/>
      <c r="C1674" s="631">
        <f>Criteria!C148</f>
        <v>0</v>
      </c>
      <c r="D1674" s="631"/>
      <c r="E1674" s="631"/>
      <c r="F1674" s="631"/>
      <c r="G1674" s="631"/>
      <c r="H1674" s="631"/>
      <c r="I1674" s="631"/>
      <c r="J1674" s="631"/>
      <c r="M1674" s="475">
        <f>Criteria!F148</f>
        <v>0</v>
      </c>
      <c r="N1674" s="475"/>
      <c r="O1674" s="475">
        <f>Criteria!G148</f>
        <v>0</v>
      </c>
      <c r="P1674" s="545"/>
      <c r="R1674" s="490" t="str">
        <f t="shared" si="58"/>
        <v>DELETE</v>
      </c>
    </row>
    <row r="1675" spans="2:18" ht="36" customHeight="1" x14ac:dyDescent="0.5">
      <c r="B1675" s="501"/>
      <c r="C1675" s="631">
        <f>Criteria!C149</f>
        <v>0</v>
      </c>
      <c r="D1675" s="631"/>
      <c r="E1675" s="631"/>
      <c r="F1675" s="631"/>
      <c r="G1675" s="631"/>
      <c r="H1675" s="631"/>
      <c r="I1675" s="631"/>
      <c r="J1675" s="631"/>
      <c r="M1675" s="475">
        <f>Criteria!F149</f>
        <v>0</v>
      </c>
      <c r="N1675" s="475"/>
      <c r="O1675" s="475">
        <f>Criteria!G149</f>
        <v>0</v>
      </c>
      <c r="P1675" s="545"/>
      <c r="R1675" s="490" t="str">
        <f t="shared" si="58"/>
        <v>DELETE</v>
      </c>
    </row>
    <row r="1676" spans="2:18" ht="36" customHeight="1" x14ac:dyDescent="0.5">
      <c r="B1676" s="501"/>
      <c r="C1676" s="631">
        <f>Criteria!C150</f>
        <v>0</v>
      </c>
      <c r="D1676" s="631"/>
      <c r="E1676" s="631"/>
      <c r="F1676" s="631"/>
      <c r="G1676" s="631"/>
      <c r="H1676" s="631"/>
      <c r="I1676" s="631"/>
      <c r="J1676" s="631"/>
      <c r="M1676" s="475">
        <f>Criteria!F150</f>
        <v>0</v>
      </c>
      <c r="N1676" s="475"/>
      <c r="O1676" s="475">
        <f>Criteria!G150</f>
        <v>0</v>
      </c>
      <c r="P1676" s="545"/>
      <c r="R1676" s="490" t="str">
        <f t="shared" si="58"/>
        <v>DELETE</v>
      </c>
    </row>
    <row r="1677" spans="2:18" ht="36" customHeight="1" x14ac:dyDescent="0.5">
      <c r="B1677" s="501"/>
      <c r="C1677" s="631">
        <f>Criteria!C151</f>
        <v>0</v>
      </c>
      <c r="D1677" s="631"/>
      <c r="E1677" s="631"/>
      <c r="F1677" s="631"/>
      <c r="G1677" s="631"/>
      <c r="H1677" s="631"/>
      <c r="I1677" s="631"/>
      <c r="J1677" s="631"/>
      <c r="M1677" s="475">
        <f>Criteria!F151</f>
        <v>0</v>
      </c>
      <c r="N1677" s="475"/>
      <c r="O1677" s="475">
        <f>Criteria!G151</f>
        <v>0</v>
      </c>
      <c r="P1677" s="545"/>
      <c r="R1677" s="490" t="str">
        <f t="shared" si="58"/>
        <v>DELETE</v>
      </c>
    </row>
    <row r="1678" spans="2:18" ht="36" customHeight="1" x14ac:dyDescent="0.5">
      <c r="B1678" s="501"/>
      <c r="C1678" s="631">
        <f>Criteria!C152</f>
        <v>0</v>
      </c>
      <c r="D1678" s="631"/>
      <c r="E1678" s="631"/>
      <c r="F1678" s="631"/>
      <c r="G1678" s="631"/>
      <c r="H1678" s="631"/>
      <c r="I1678" s="631"/>
      <c r="J1678" s="631"/>
      <c r="M1678" s="475">
        <f>Criteria!F152</f>
        <v>0</v>
      </c>
      <c r="N1678" s="475"/>
      <c r="O1678" s="475">
        <f>Criteria!G152</f>
        <v>0</v>
      </c>
      <c r="P1678" s="545"/>
      <c r="R1678" s="490" t="str">
        <f t="shared" si="58"/>
        <v>DELETE</v>
      </c>
    </row>
    <row r="1679" spans="2:18" ht="36" customHeight="1" x14ac:dyDescent="0.5">
      <c r="B1679" s="501"/>
      <c r="C1679" s="631">
        <f>Criteria!C153</f>
        <v>0</v>
      </c>
      <c r="D1679" s="631"/>
      <c r="E1679" s="631"/>
      <c r="F1679" s="631"/>
      <c r="G1679" s="631"/>
      <c r="H1679" s="631"/>
      <c r="I1679" s="631"/>
      <c r="J1679" s="631"/>
      <c r="M1679" s="475">
        <f>Criteria!F153</f>
        <v>0</v>
      </c>
      <c r="N1679" s="475"/>
      <c r="O1679" s="475">
        <f>Criteria!G153</f>
        <v>0</v>
      </c>
      <c r="P1679" s="545"/>
      <c r="R1679" s="490" t="str">
        <f t="shared" si="58"/>
        <v>DELETE</v>
      </c>
    </row>
    <row r="1680" spans="2:18" ht="36" customHeight="1" x14ac:dyDescent="0.5">
      <c r="B1680" s="501"/>
      <c r="C1680" s="631">
        <f>Criteria!C154</f>
        <v>0</v>
      </c>
      <c r="D1680" s="631"/>
      <c r="E1680" s="631"/>
      <c r="F1680" s="631"/>
      <c r="G1680" s="631"/>
      <c r="H1680" s="631"/>
      <c r="I1680" s="631"/>
      <c r="J1680" s="631"/>
      <c r="M1680" s="475">
        <f>Criteria!F154</f>
        <v>0</v>
      </c>
      <c r="N1680" s="475"/>
      <c r="O1680" s="475">
        <f>Criteria!G154</f>
        <v>0</v>
      </c>
      <c r="P1680" s="545"/>
      <c r="R1680" s="490" t="str">
        <f t="shared" si="58"/>
        <v>DELETE</v>
      </c>
    </row>
    <row r="1681" spans="2:18" ht="36" customHeight="1" x14ac:dyDescent="0.5">
      <c r="B1681" s="501"/>
      <c r="C1681" s="631">
        <f>Criteria!C155</f>
        <v>0</v>
      </c>
      <c r="D1681" s="631"/>
      <c r="E1681" s="631"/>
      <c r="F1681" s="631"/>
      <c r="G1681" s="631"/>
      <c r="H1681" s="631"/>
      <c r="I1681" s="631"/>
      <c r="J1681" s="631"/>
      <c r="M1681" s="475">
        <f>Criteria!F155</f>
        <v>0</v>
      </c>
      <c r="N1681" s="475"/>
      <c r="O1681" s="475">
        <f>Criteria!G155</f>
        <v>0</v>
      </c>
      <c r="P1681" s="545"/>
      <c r="R1681" s="490" t="str">
        <f t="shared" si="58"/>
        <v>DELETE</v>
      </c>
    </row>
    <row r="1682" spans="2:18" ht="36" customHeight="1" x14ac:dyDescent="0.5">
      <c r="B1682" s="501"/>
      <c r="C1682" s="631">
        <f>Criteria!C156</f>
        <v>0</v>
      </c>
      <c r="D1682" s="631"/>
      <c r="E1682" s="631"/>
      <c r="F1682" s="631"/>
      <c r="G1682" s="631"/>
      <c r="H1682" s="631"/>
      <c r="I1682" s="631"/>
      <c r="J1682" s="631"/>
      <c r="M1682" s="475">
        <f>Criteria!F156</f>
        <v>0</v>
      </c>
      <c r="N1682" s="475"/>
      <c r="O1682" s="475">
        <f>Criteria!G156</f>
        <v>0</v>
      </c>
      <c r="P1682" s="545"/>
      <c r="R1682" s="490" t="str">
        <f t="shared" si="58"/>
        <v>DELETE</v>
      </c>
    </row>
    <row r="1683" spans="2:18" ht="36" customHeight="1" x14ac:dyDescent="0.5">
      <c r="B1683" s="501"/>
      <c r="C1683" s="631">
        <f>Criteria!C157</f>
        <v>0</v>
      </c>
      <c r="D1683" s="631"/>
      <c r="E1683" s="631"/>
      <c r="F1683" s="631"/>
      <c r="G1683" s="631"/>
      <c r="H1683" s="631"/>
      <c r="I1683" s="631"/>
      <c r="J1683" s="631"/>
      <c r="M1683" s="475">
        <f>Criteria!F157</f>
        <v>0</v>
      </c>
      <c r="N1683" s="475"/>
      <c r="O1683" s="475">
        <f>Criteria!G157</f>
        <v>0</v>
      </c>
      <c r="P1683" s="545"/>
      <c r="R1683" s="490" t="str">
        <f t="shared" si="58"/>
        <v>DELETE</v>
      </c>
    </row>
    <row r="1684" spans="2:18" ht="36" customHeight="1" x14ac:dyDescent="0.5">
      <c r="B1684" s="501"/>
      <c r="C1684" s="631">
        <f>Criteria!C158</f>
        <v>0</v>
      </c>
      <c r="D1684" s="631"/>
      <c r="E1684" s="631"/>
      <c r="F1684" s="631"/>
      <c r="G1684" s="631"/>
      <c r="H1684" s="631"/>
      <c r="I1684" s="631"/>
      <c r="J1684" s="631"/>
      <c r="M1684" s="475">
        <f>Criteria!F158</f>
        <v>0</v>
      </c>
      <c r="N1684" s="475"/>
      <c r="O1684" s="475">
        <f>Criteria!G158</f>
        <v>0</v>
      </c>
      <c r="P1684" s="545"/>
      <c r="R1684" s="490" t="str">
        <f t="shared" si="58"/>
        <v>DELETE</v>
      </c>
    </row>
    <row r="1685" spans="2:18" ht="36" customHeight="1" x14ac:dyDescent="0.5">
      <c r="B1685" s="501"/>
      <c r="C1685" s="631">
        <f>Criteria!C159</f>
        <v>0</v>
      </c>
      <c r="D1685" s="631"/>
      <c r="E1685" s="631"/>
      <c r="F1685" s="631"/>
      <c r="G1685" s="631"/>
      <c r="H1685" s="631"/>
      <c r="I1685" s="631"/>
      <c r="J1685" s="631"/>
      <c r="M1685" s="475">
        <f>Criteria!F159</f>
        <v>0</v>
      </c>
      <c r="N1685" s="475"/>
      <c r="O1685" s="475">
        <f>Criteria!G159</f>
        <v>0</v>
      </c>
      <c r="P1685" s="545"/>
      <c r="R1685" s="490" t="str">
        <f t="shared" si="58"/>
        <v>DELETE</v>
      </c>
    </row>
    <row r="1686" spans="2:18" ht="36" customHeight="1" x14ac:dyDescent="0.5">
      <c r="B1686" s="501"/>
      <c r="C1686" s="631">
        <f>Criteria!C160</f>
        <v>0</v>
      </c>
      <c r="D1686" s="631"/>
      <c r="E1686" s="631"/>
      <c r="F1686" s="631"/>
      <c r="G1686" s="631"/>
      <c r="H1686" s="631"/>
      <c r="I1686" s="631"/>
      <c r="J1686" s="631"/>
      <c r="M1686" s="475">
        <f>Criteria!F160</f>
        <v>0</v>
      </c>
      <c r="N1686" s="475"/>
      <c r="O1686" s="475">
        <f>Criteria!G160</f>
        <v>0</v>
      </c>
      <c r="P1686" s="545"/>
      <c r="R1686" s="490" t="str">
        <f t="shared" si="58"/>
        <v>DELETE</v>
      </c>
    </row>
    <row r="1687" spans="2:18" ht="36" customHeight="1" x14ac:dyDescent="0.5">
      <c r="B1687" s="501"/>
      <c r="C1687" s="631">
        <f>Criteria!C161</f>
        <v>0</v>
      </c>
      <c r="D1687" s="631"/>
      <c r="E1687" s="631"/>
      <c r="F1687" s="631"/>
      <c r="G1687" s="631"/>
      <c r="H1687" s="631"/>
      <c r="I1687" s="631"/>
      <c r="J1687" s="631"/>
      <c r="M1687" s="475">
        <f>Criteria!F161</f>
        <v>0</v>
      </c>
      <c r="N1687" s="475"/>
      <c r="O1687" s="475">
        <f>Criteria!G161</f>
        <v>0</v>
      </c>
      <c r="P1687" s="545"/>
      <c r="R1687" s="490" t="str">
        <f t="shared" si="58"/>
        <v>DELETE</v>
      </c>
    </row>
    <row r="1688" spans="2:18" ht="36" customHeight="1" x14ac:dyDescent="0.5">
      <c r="B1688" s="501"/>
      <c r="C1688" s="631">
        <f>Criteria!C162</f>
        <v>0</v>
      </c>
      <c r="D1688" s="631"/>
      <c r="E1688" s="631"/>
      <c r="F1688" s="631"/>
      <c r="G1688" s="631"/>
      <c r="H1688" s="631"/>
      <c r="I1688" s="631"/>
      <c r="J1688" s="631"/>
      <c r="M1688" s="475">
        <f>Criteria!F162</f>
        <v>0</v>
      </c>
      <c r="N1688" s="475"/>
      <c r="O1688" s="475">
        <f>Criteria!G162</f>
        <v>0</v>
      </c>
      <c r="P1688" s="545"/>
      <c r="R1688" s="490" t="str">
        <f t="shared" si="58"/>
        <v>DELETE</v>
      </c>
    </row>
    <row r="1689" spans="2:18" ht="36" customHeight="1" x14ac:dyDescent="0.5">
      <c r="B1689" s="501"/>
      <c r="C1689" s="631">
        <f>Criteria!C163</f>
        <v>0</v>
      </c>
      <c r="D1689" s="631"/>
      <c r="E1689" s="631"/>
      <c r="F1689" s="631"/>
      <c r="G1689" s="631"/>
      <c r="H1689" s="631"/>
      <c r="I1689" s="631"/>
      <c r="J1689" s="631"/>
      <c r="M1689" s="475">
        <f>Criteria!F163</f>
        <v>0</v>
      </c>
      <c r="N1689" s="475"/>
      <c r="O1689" s="475">
        <f>Criteria!G163</f>
        <v>0</v>
      </c>
      <c r="P1689" s="545"/>
      <c r="R1689" s="490" t="str">
        <f t="shared" si="58"/>
        <v>DELETE</v>
      </c>
    </row>
    <row r="1690" spans="2:18" ht="36" customHeight="1" x14ac:dyDescent="0.5">
      <c r="B1690" s="501"/>
      <c r="C1690" s="631">
        <f>Criteria!C164</f>
        <v>0</v>
      </c>
      <c r="D1690" s="631"/>
      <c r="E1690" s="631"/>
      <c r="F1690" s="631"/>
      <c r="G1690" s="631"/>
      <c r="H1690" s="631"/>
      <c r="I1690" s="631"/>
      <c r="J1690" s="631"/>
      <c r="M1690" s="475">
        <f>Criteria!F164</f>
        <v>0</v>
      </c>
      <c r="N1690" s="475"/>
      <c r="O1690" s="475">
        <f>Criteria!G164</f>
        <v>0</v>
      </c>
      <c r="P1690" s="545"/>
      <c r="R1690" s="490" t="str">
        <f t="shared" si="58"/>
        <v>DELETE</v>
      </c>
    </row>
    <row r="1691" spans="2:18" ht="36" customHeight="1" x14ac:dyDescent="0.5">
      <c r="B1691" s="501"/>
      <c r="C1691" s="631">
        <f>Criteria!C165</f>
        <v>0</v>
      </c>
      <c r="D1691" s="631"/>
      <c r="E1691" s="631"/>
      <c r="F1691" s="631"/>
      <c r="G1691" s="631"/>
      <c r="H1691" s="631"/>
      <c r="I1691" s="631"/>
      <c r="J1691" s="631"/>
      <c r="M1691" s="475">
        <f>Criteria!F165</f>
        <v>0</v>
      </c>
      <c r="N1691" s="475"/>
      <c r="O1691" s="475">
        <f>Criteria!G165</f>
        <v>0</v>
      </c>
      <c r="P1691" s="545"/>
      <c r="R1691" s="490" t="str">
        <f t="shared" si="58"/>
        <v>DELETE</v>
      </c>
    </row>
    <row r="1692" spans="2:18" ht="36" customHeight="1" x14ac:dyDescent="0.5">
      <c r="B1692" s="501"/>
      <c r="C1692" s="631">
        <f>Criteria!C166</f>
        <v>0</v>
      </c>
      <c r="D1692" s="631"/>
      <c r="E1692" s="631"/>
      <c r="F1692" s="631"/>
      <c r="G1692" s="631"/>
      <c r="H1692" s="631"/>
      <c r="I1692" s="631"/>
      <c r="J1692" s="631"/>
      <c r="M1692" s="475">
        <f>Criteria!F166</f>
        <v>0</v>
      </c>
      <c r="N1692" s="475"/>
      <c r="O1692" s="475">
        <f>Criteria!G166</f>
        <v>0</v>
      </c>
      <c r="P1692" s="545"/>
      <c r="R1692" s="490" t="str">
        <f t="shared" si="58"/>
        <v>DELETE</v>
      </c>
    </row>
    <row r="1693" spans="2:18" ht="36" customHeight="1" x14ac:dyDescent="0.5">
      <c r="B1693" s="501"/>
      <c r="C1693" s="631">
        <f>Criteria!C167</f>
        <v>0</v>
      </c>
      <c r="D1693" s="631"/>
      <c r="E1693" s="631"/>
      <c r="F1693" s="631"/>
      <c r="G1693" s="631"/>
      <c r="H1693" s="631"/>
      <c r="I1693" s="631"/>
      <c r="J1693" s="631"/>
      <c r="M1693" s="475">
        <f>Criteria!F167</f>
        <v>0</v>
      </c>
      <c r="N1693" s="475"/>
      <c r="O1693" s="475">
        <f>Criteria!G167</f>
        <v>0</v>
      </c>
      <c r="P1693" s="545"/>
      <c r="R1693" s="490" t="str">
        <f t="shared" si="58"/>
        <v>DELETE</v>
      </c>
    </row>
    <row r="1694" spans="2:18" ht="36" customHeight="1" x14ac:dyDescent="0.5">
      <c r="B1694" s="501"/>
      <c r="C1694" s="631">
        <f>Criteria!C168</f>
        <v>0</v>
      </c>
      <c r="D1694" s="631"/>
      <c r="E1694" s="631"/>
      <c r="F1694" s="631"/>
      <c r="G1694" s="631"/>
      <c r="H1694" s="631"/>
      <c r="I1694" s="631"/>
      <c r="J1694" s="631"/>
      <c r="M1694" s="475">
        <f>Criteria!F168</f>
        <v>0</v>
      </c>
      <c r="N1694" s="475"/>
      <c r="O1694" s="475">
        <f>Criteria!G168</f>
        <v>0</v>
      </c>
      <c r="P1694" s="545"/>
      <c r="R1694" s="490" t="str">
        <f t="shared" si="58"/>
        <v>DELETE</v>
      </c>
    </row>
    <row r="1695" spans="2:18" ht="36" customHeight="1" x14ac:dyDescent="0.5">
      <c r="B1695" s="501"/>
      <c r="C1695" s="631">
        <f>Criteria!C169</f>
        <v>0</v>
      </c>
      <c r="D1695" s="631"/>
      <c r="E1695" s="631"/>
      <c r="F1695" s="631"/>
      <c r="G1695" s="631"/>
      <c r="H1695" s="631"/>
      <c r="I1695" s="631"/>
      <c r="J1695" s="631"/>
      <c r="M1695" s="475">
        <f>Criteria!F169</f>
        <v>0</v>
      </c>
      <c r="N1695" s="475"/>
      <c r="O1695" s="475">
        <f>Criteria!G169</f>
        <v>0</v>
      </c>
      <c r="P1695" s="545"/>
      <c r="R1695" s="490" t="str">
        <f t="shared" si="58"/>
        <v>DELETE</v>
      </c>
    </row>
    <row r="1696" spans="2:18" ht="36" customHeight="1" x14ac:dyDescent="0.5">
      <c r="B1696" s="501"/>
      <c r="C1696" s="631">
        <f>Criteria!C170</f>
        <v>0</v>
      </c>
      <c r="D1696" s="631"/>
      <c r="E1696" s="631"/>
      <c r="F1696" s="631"/>
      <c r="G1696" s="631"/>
      <c r="H1696" s="631"/>
      <c r="I1696" s="631"/>
      <c r="J1696" s="631"/>
      <c r="M1696" s="475">
        <f>Criteria!F170</f>
        <v>0</v>
      </c>
      <c r="N1696" s="475"/>
      <c r="O1696" s="475">
        <f>Criteria!G170</f>
        <v>0</v>
      </c>
      <c r="P1696" s="545"/>
      <c r="R1696" s="490" t="str">
        <f t="shared" si="58"/>
        <v>DELETE</v>
      </c>
    </row>
    <row r="1697" spans="2:24" ht="36" customHeight="1" x14ac:dyDescent="0.5">
      <c r="B1697" s="501"/>
      <c r="C1697" s="631">
        <f>Criteria!C171</f>
        <v>0</v>
      </c>
      <c r="D1697" s="631"/>
      <c r="E1697" s="631"/>
      <c r="F1697" s="631"/>
      <c r="G1697" s="631"/>
      <c r="H1697" s="631"/>
      <c r="I1697" s="631"/>
      <c r="J1697" s="631"/>
      <c r="M1697" s="475">
        <f>Criteria!F171</f>
        <v>0</v>
      </c>
      <c r="N1697" s="475"/>
      <c r="O1697" s="475">
        <f>Criteria!G171</f>
        <v>0</v>
      </c>
      <c r="P1697" s="545"/>
      <c r="R1697" s="490" t="str">
        <f t="shared" si="58"/>
        <v>DELETE</v>
      </c>
    </row>
    <row r="1698" spans="2:24" ht="36" customHeight="1" x14ac:dyDescent="0.5">
      <c r="B1698" s="501"/>
      <c r="C1698" s="631">
        <f>Criteria!C172</f>
        <v>0</v>
      </c>
      <c r="D1698" s="631"/>
      <c r="E1698" s="631"/>
      <c r="F1698" s="631"/>
      <c r="G1698" s="631"/>
      <c r="H1698" s="631"/>
      <c r="I1698" s="631"/>
      <c r="J1698" s="631"/>
      <c r="M1698" s="475">
        <f>Criteria!F172</f>
        <v>0</v>
      </c>
      <c r="N1698" s="475"/>
      <c r="O1698" s="475">
        <f>Criteria!G172</f>
        <v>0</v>
      </c>
      <c r="P1698" s="545"/>
      <c r="R1698" s="490" t="str">
        <f t="shared" si="58"/>
        <v>DELETE</v>
      </c>
    </row>
    <row r="1699" spans="2:24" ht="36" customHeight="1" x14ac:dyDescent="0.5">
      <c r="B1699" s="501"/>
      <c r="C1699" s="631">
        <f>Criteria!C173</f>
        <v>0</v>
      </c>
      <c r="D1699" s="631"/>
      <c r="E1699" s="631"/>
      <c r="F1699" s="631"/>
      <c r="G1699" s="631"/>
      <c r="H1699" s="631"/>
      <c r="I1699" s="631"/>
      <c r="J1699" s="631"/>
      <c r="M1699" s="475">
        <f>Criteria!F173</f>
        <v>0</v>
      </c>
      <c r="N1699" s="475"/>
      <c r="O1699" s="475">
        <f>Criteria!G173</f>
        <v>0</v>
      </c>
      <c r="P1699" s="545"/>
      <c r="R1699" s="490" t="str">
        <f t="shared" si="58"/>
        <v>DELETE</v>
      </c>
    </row>
    <row r="1700" spans="2:24" ht="36" customHeight="1" x14ac:dyDescent="0.5">
      <c r="B1700" s="501"/>
      <c r="C1700" s="631">
        <f>Criteria!C174</f>
        <v>0</v>
      </c>
      <c r="D1700" s="631"/>
      <c r="E1700" s="631"/>
      <c r="F1700" s="631"/>
      <c r="G1700" s="631"/>
      <c r="H1700" s="631"/>
      <c r="I1700" s="631"/>
      <c r="J1700" s="631"/>
      <c r="M1700" s="475">
        <f>Criteria!F174</f>
        <v>0</v>
      </c>
      <c r="N1700" s="475"/>
      <c r="O1700" s="475">
        <f>Criteria!G174</f>
        <v>0</v>
      </c>
      <c r="P1700" s="545"/>
      <c r="R1700" s="490" t="str">
        <f t="shared" si="58"/>
        <v>DELETE</v>
      </c>
    </row>
    <row r="1701" spans="2:24" ht="36" customHeight="1" x14ac:dyDescent="0.5">
      <c r="B1701" s="501"/>
      <c r="C1701" s="631">
        <f>Criteria!C175</f>
        <v>0</v>
      </c>
      <c r="D1701" s="631"/>
      <c r="E1701" s="631"/>
      <c r="F1701" s="631"/>
      <c r="G1701" s="631"/>
      <c r="H1701" s="631"/>
      <c r="I1701" s="631"/>
      <c r="J1701" s="631"/>
      <c r="M1701" s="475">
        <f>Criteria!F175</f>
        <v>0</v>
      </c>
      <c r="N1701" s="475"/>
      <c r="O1701" s="475">
        <f>Criteria!G175</f>
        <v>0</v>
      </c>
      <c r="P1701" s="545"/>
      <c r="R1701" s="490" t="str">
        <f t="shared" si="58"/>
        <v>DELETE</v>
      </c>
    </row>
    <row r="1702" spans="2:24" ht="36" customHeight="1" x14ac:dyDescent="0.5">
      <c r="B1702" s="501"/>
      <c r="C1702" s="631">
        <f>Criteria!C176</f>
        <v>0</v>
      </c>
      <c r="D1702" s="631"/>
      <c r="E1702" s="631"/>
      <c r="F1702" s="631"/>
      <c r="G1702" s="631"/>
      <c r="H1702" s="631"/>
      <c r="I1702" s="631"/>
      <c r="J1702" s="631"/>
      <c r="M1702" s="475">
        <f>Criteria!F176</f>
        <v>0</v>
      </c>
      <c r="N1702" s="475"/>
      <c r="O1702" s="475">
        <f>Criteria!G176</f>
        <v>0</v>
      </c>
      <c r="P1702" s="545"/>
      <c r="R1702" s="490" t="str">
        <f t="shared" si="58"/>
        <v>DELETE</v>
      </c>
    </row>
    <row r="1703" spans="2:24" ht="36" customHeight="1" x14ac:dyDescent="0.5">
      <c r="B1703" s="501"/>
      <c r="C1703" s="631">
        <f>Criteria!C177</f>
        <v>0</v>
      </c>
      <c r="D1703" s="631"/>
      <c r="E1703" s="631"/>
      <c r="F1703" s="631"/>
      <c r="G1703" s="631"/>
      <c r="H1703" s="631"/>
      <c r="I1703" s="631"/>
      <c r="J1703" s="631"/>
      <c r="M1703" s="475">
        <f>Criteria!F177</f>
        <v>0</v>
      </c>
      <c r="N1703" s="475"/>
      <c r="O1703" s="475">
        <f>Criteria!G177</f>
        <v>0</v>
      </c>
      <c r="P1703" s="545"/>
      <c r="R1703" s="490" t="str">
        <f t="shared" si="58"/>
        <v>DELETE</v>
      </c>
    </row>
    <row r="1704" spans="2:24" ht="9" customHeight="1" x14ac:dyDescent="0.5">
      <c r="B1704" s="501"/>
      <c r="C1704" s="630"/>
      <c r="D1704" s="631"/>
      <c r="E1704" s="631"/>
      <c r="F1704" s="631"/>
      <c r="G1704" s="631"/>
      <c r="H1704" s="631"/>
      <c r="I1704" s="631"/>
      <c r="J1704" s="631"/>
      <c r="M1704" s="461"/>
      <c r="N1704" s="461"/>
      <c r="O1704" s="461"/>
      <c r="P1704" s="545"/>
      <c r="R1704" s="490" t="str">
        <f>R$1706</f>
        <v>DELETE</v>
      </c>
    </row>
    <row r="1705" spans="2:24" ht="9" customHeight="1" x14ac:dyDescent="0.5">
      <c r="B1705" s="501"/>
      <c r="C1705" s="630"/>
      <c r="D1705" s="631"/>
      <c r="E1705" s="631"/>
      <c r="F1705" s="631"/>
      <c r="G1705" s="631"/>
      <c r="H1705" s="631"/>
      <c r="I1705" s="631"/>
      <c r="J1705" s="631"/>
      <c r="M1705" s="475"/>
      <c r="N1705" s="475"/>
      <c r="O1705" s="475"/>
      <c r="P1705" s="545"/>
      <c r="R1705" s="490" t="str">
        <f>R$1706</f>
        <v>DELETE</v>
      </c>
    </row>
    <row r="1706" spans="2:24" ht="36.75" customHeight="1" x14ac:dyDescent="0.5">
      <c r="B1706" s="501"/>
      <c r="C1706" s="630"/>
      <c r="D1706" s="631"/>
      <c r="E1706" s="631"/>
      <c r="F1706" s="631"/>
      <c r="G1706" s="631"/>
      <c r="H1706" s="631"/>
      <c r="I1706" s="631"/>
      <c r="J1706" s="631"/>
      <c r="M1706" s="475">
        <f>SUM(M1666:M1704)</f>
        <v>0</v>
      </c>
      <c r="N1706" s="475"/>
      <c r="O1706" s="475">
        <f>SUM(O1666:O1704)</f>
        <v>0</v>
      </c>
      <c r="P1706" s="545"/>
      <c r="R1706" s="490" t="str">
        <f>IF(M1706=0,IF(O1706=0,"DELETE"," ")," ")</f>
        <v>DELETE</v>
      </c>
      <c r="V1706" s="491" t="b">
        <f>M1706=M1644</f>
        <v>1</v>
      </c>
      <c r="X1706" s="491" t="b">
        <f>O1706=O1644</f>
        <v>1</v>
      </c>
    </row>
    <row r="1707" spans="2:24" ht="9" customHeight="1" thickBot="1" x14ac:dyDescent="0.55000000000000004">
      <c r="B1707" s="501"/>
      <c r="C1707" s="630"/>
      <c r="D1707" s="631"/>
      <c r="E1707" s="631"/>
      <c r="F1707" s="631"/>
      <c r="G1707" s="631"/>
      <c r="H1707" s="631"/>
      <c r="I1707" s="631"/>
      <c r="J1707" s="631"/>
      <c r="M1707" s="462"/>
      <c r="N1707" s="462"/>
      <c r="O1707" s="462"/>
      <c r="P1707" s="545"/>
      <c r="R1707" s="490" t="str">
        <f t="shared" ref="R1707:R1711" si="59">R$1706</f>
        <v>DELETE</v>
      </c>
    </row>
    <row r="1708" spans="2:24" ht="9" customHeight="1" thickTop="1" x14ac:dyDescent="0.5">
      <c r="B1708" s="501"/>
      <c r="C1708" s="630"/>
      <c r="D1708" s="631"/>
      <c r="E1708" s="631"/>
      <c r="F1708" s="631"/>
      <c r="G1708" s="631"/>
      <c r="H1708" s="631"/>
      <c r="I1708" s="631"/>
      <c r="J1708" s="631"/>
      <c r="M1708" s="475"/>
      <c r="N1708" s="475"/>
      <c r="O1708" s="475"/>
      <c r="P1708" s="545"/>
      <c r="R1708" s="490" t="str">
        <f t="shared" si="59"/>
        <v>DELETE</v>
      </c>
    </row>
    <row r="1709" spans="2:24" ht="36" customHeight="1" x14ac:dyDescent="0.5">
      <c r="B1709" s="501"/>
      <c r="C1709" s="630"/>
      <c r="D1709" s="631"/>
      <c r="E1709" s="631"/>
      <c r="F1709" s="631"/>
      <c r="G1709" s="631"/>
      <c r="H1709" s="631"/>
      <c r="I1709" s="631"/>
      <c r="J1709" s="631"/>
      <c r="M1709" s="475"/>
      <c r="N1709" s="475"/>
      <c r="O1709" s="475"/>
      <c r="P1709" s="545"/>
      <c r="R1709" s="490" t="str">
        <f t="shared" si="59"/>
        <v>DELETE</v>
      </c>
    </row>
    <row r="1710" spans="2:24" ht="36" customHeight="1" x14ac:dyDescent="0.5">
      <c r="B1710" s="501"/>
      <c r="C1710" s="630"/>
      <c r="D1710" s="631"/>
      <c r="E1710" s="631"/>
      <c r="F1710" s="631"/>
      <c r="G1710" s="631"/>
      <c r="H1710" s="631"/>
      <c r="I1710" s="631"/>
      <c r="J1710" s="631"/>
      <c r="M1710" s="475"/>
      <c r="N1710" s="475"/>
      <c r="O1710" s="475"/>
      <c r="P1710" s="545"/>
      <c r="R1710" s="490" t="str">
        <f t="shared" si="59"/>
        <v>DELETE</v>
      </c>
    </row>
    <row r="1711" spans="2:24" ht="36" customHeight="1" x14ac:dyDescent="0.5">
      <c r="B1711" s="501"/>
      <c r="C1711" s="630"/>
      <c r="D1711" s="631"/>
      <c r="E1711" s="631"/>
      <c r="F1711" s="631"/>
      <c r="G1711" s="631"/>
      <c r="H1711" s="631"/>
      <c r="I1711" s="631"/>
      <c r="J1711" s="631"/>
      <c r="M1711" s="458"/>
      <c r="N1711" s="458"/>
      <c r="O1711" s="458"/>
      <c r="R1711" s="490" t="str">
        <f t="shared" si="59"/>
        <v>DELETE</v>
      </c>
    </row>
    <row r="1712" spans="2:24" ht="36" customHeight="1" x14ac:dyDescent="0.5">
      <c r="B1712" s="501"/>
      <c r="C1712" s="630"/>
      <c r="D1712" s="631"/>
      <c r="E1712" s="631"/>
      <c r="F1712" s="631"/>
      <c r="G1712" s="631"/>
      <c r="H1712" s="631"/>
      <c r="I1712" s="631"/>
      <c r="J1712" s="631"/>
      <c r="M1712" s="458"/>
      <c r="N1712" s="458"/>
      <c r="O1712" s="475" t="s">
        <v>112</v>
      </c>
      <c r="P1712" s="545"/>
      <c r="Q1712" s="450">
        <f>MAX($Q$103:Q1711)+1</f>
        <v>45</v>
      </c>
      <c r="R1712" s="490" t="str">
        <f t="shared" ref="R1712:R1721" si="60">R$1720</f>
        <v>DELETE</v>
      </c>
    </row>
    <row r="1713" spans="2:24" ht="36" customHeight="1" x14ac:dyDescent="0.5">
      <c r="B1713" s="501"/>
      <c r="C1713" s="630"/>
      <c r="D1713" s="630" t="str">
        <f>Criteria!E9</f>
        <v>ABC COMPANY (PROPRIETARY) LIMITED</v>
      </c>
      <c r="E1713" s="631"/>
      <c r="F1713" s="631"/>
      <c r="G1713" s="631"/>
      <c r="H1713" s="631"/>
      <c r="I1713" s="631"/>
      <c r="J1713" s="631"/>
      <c r="M1713" s="548"/>
      <c r="N1713" s="555"/>
      <c r="R1713" s="490" t="str">
        <f t="shared" si="60"/>
        <v>DELETE</v>
      </c>
    </row>
    <row r="1714" spans="2:24" ht="36" customHeight="1" x14ac:dyDescent="0.5">
      <c r="B1714" s="501"/>
      <c r="C1714" s="630"/>
      <c r="D1714" s="630" t="str">
        <f>Criteria!E10</f>
        <v>T/A SEAFRONT HOTEL, ABC RESTAURANT AND RENTAL PROPERTIES</v>
      </c>
      <c r="E1714" s="631"/>
      <c r="F1714" s="631"/>
      <c r="G1714" s="631"/>
      <c r="H1714" s="631"/>
      <c r="I1714" s="631"/>
      <c r="J1714" s="631"/>
      <c r="M1714" s="548"/>
      <c r="N1714" s="555"/>
      <c r="O1714" s="548"/>
      <c r="P1714" s="545"/>
      <c r="R1714" s="490" t="str">
        <f>IF(R$1720="DELETE","DELETE",IF(D1714=0,"DELETE"," "))</f>
        <v>DELETE</v>
      </c>
    </row>
    <row r="1715" spans="2:24" ht="36" customHeight="1" x14ac:dyDescent="0.5">
      <c r="B1715" s="501"/>
      <c r="C1715" s="630"/>
      <c r="D1715" s="631"/>
      <c r="E1715" s="631"/>
      <c r="F1715" s="631"/>
      <c r="G1715" s="631"/>
      <c r="H1715" s="631"/>
      <c r="I1715" s="631"/>
      <c r="J1715" s="631"/>
      <c r="M1715" s="548"/>
      <c r="N1715" s="555"/>
      <c r="O1715" s="548"/>
      <c r="P1715" s="545"/>
      <c r="R1715" s="490" t="str">
        <f t="shared" si="60"/>
        <v>DELETE</v>
      </c>
    </row>
    <row r="1716" spans="2:24" ht="36" customHeight="1" x14ac:dyDescent="0.5">
      <c r="B1716" s="501"/>
      <c r="C1716" s="630"/>
      <c r="D1716" s="630" t="s">
        <v>415</v>
      </c>
      <c r="E1716" s="631"/>
      <c r="F1716" s="631"/>
      <c r="G1716" s="631"/>
      <c r="H1716" s="631"/>
      <c r="I1716" s="631"/>
      <c r="J1716" s="631"/>
      <c r="M1716" s="548"/>
      <c r="N1716" s="555"/>
      <c r="O1716" s="548"/>
      <c r="P1716" s="545"/>
      <c r="R1716" s="490" t="str">
        <f t="shared" si="60"/>
        <v>DELETE</v>
      </c>
    </row>
    <row r="1717" spans="2:24" ht="36" customHeight="1" x14ac:dyDescent="0.5">
      <c r="B1717" s="501"/>
      <c r="C1717" s="630"/>
      <c r="D1717" s="630" t="str">
        <f>Criteria!E20</f>
        <v>28 FEBRUARY 2026</v>
      </c>
      <c r="E1717" s="631"/>
      <c r="F1717" s="631"/>
      <c r="G1717" s="631"/>
      <c r="H1717" s="631"/>
      <c r="I1717" s="631"/>
      <c r="J1717" s="631" t="s">
        <v>282</v>
      </c>
      <c r="M1717" s="548"/>
      <c r="N1717" s="555"/>
      <c r="O1717" s="548"/>
      <c r="P1717" s="545"/>
      <c r="R1717" s="490" t="str">
        <f t="shared" si="60"/>
        <v>DELETE</v>
      </c>
    </row>
    <row r="1718" spans="2:24" ht="36" customHeight="1" x14ac:dyDescent="0.5">
      <c r="C1718" s="631"/>
      <c r="D1718" s="631"/>
      <c r="E1718" s="631"/>
      <c r="F1718" s="631"/>
      <c r="G1718" s="631"/>
      <c r="H1718" s="631"/>
      <c r="I1718" s="631"/>
      <c r="J1718" s="631"/>
      <c r="R1718" s="490" t="str">
        <f t="shared" si="60"/>
        <v>DELETE</v>
      </c>
    </row>
    <row r="1719" spans="2:24" ht="36" customHeight="1" x14ac:dyDescent="0.5">
      <c r="B1719" s="457"/>
      <c r="C1719" s="649"/>
      <c r="D1719" s="649"/>
      <c r="E1719" s="649"/>
      <c r="F1719" s="649"/>
      <c r="G1719" s="649"/>
      <c r="H1719" s="649"/>
      <c r="I1719" s="649"/>
      <c r="J1719" s="649"/>
      <c r="K1719" s="457"/>
      <c r="L1719" s="457"/>
      <c r="M1719" s="550"/>
      <c r="N1719" s="551"/>
      <c r="O1719" s="550"/>
      <c r="P1719" s="551"/>
      <c r="Q1719" s="457"/>
      <c r="R1719" s="490" t="str">
        <f t="shared" si="60"/>
        <v>DELETE</v>
      </c>
    </row>
    <row r="1720" spans="2:24" ht="36.75" customHeight="1" x14ac:dyDescent="0.5">
      <c r="B1720" s="501">
        <f>MAX(B$871:B1719)+1</f>
        <v>11</v>
      </c>
      <c r="C1720" s="630" t="s">
        <v>877</v>
      </c>
      <c r="D1720" s="631"/>
      <c r="E1720" s="631"/>
      <c r="F1720" s="631"/>
      <c r="G1720" s="631"/>
      <c r="H1720" s="631"/>
      <c r="I1720" s="631"/>
      <c r="J1720" s="631"/>
      <c r="R1720" s="490" t="str">
        <f>IF(O1728+O1732+O1750+O1754+O1772&gt;0," ","DELETE")</f>
        <v>DELETE</v>
      </c>
    </row>
    <row r="1721" spans="2:24" ht="31.5" customHeight="1" x14ac:dyDescent="0.5">
      <c r="B1721" s="501"/>
      <c r="C1721" s="630"/>
      <c r="D1721" s="631"/>
      <c r="E1721" s="631"/>
      <c r="F1721" s="631"/>
      <c r="G1721" s="631"/>
      <c r="H1721" s="631"/>
      <c r="I1721" s="631"/>
      <c r="J1721" s="631"/>
      <c r="R1721" s="490" t="str">
        <f t="shared" si="60"/>
        <v>DELETE</v>
      </c>
    </row>
    <row r="1722" spans="2:24" ht="31.5" customHeight="1" x14ac:dyDescent="0.45">
      <c r="B1722" s="501"/>
      <c r="C1722" s="515">
        <f>B1720+0.1</f>
        <v>11.1</v>
      </c>
      <c r="D1722" s="575" t="s">
        <v>219</v>
      </c>
      <c r="R1722" s="490" t="str">
        <f t="shared" ref="R1722:R1753" si="61">R$1720</f>
        <v>DELETE</v>
      </c>
    </row>
    <row r="1723" spans="2:24" ht="31.5" customHeight="1" x14ac:dyDescent="0.5">
      <c r="B1723" s="501"/>
      <c r="C1723" s="558"/>
      <c r="D1723" s="451"/>
      <c r="G1723" s="540"/>
      <c r="H1723" s="607" t="str">
        <f>Criteria!G222</f>
        <v>Plant and</v>
      </c>
      <c r="I1723" s="607"/>
      <c r="J1723" s="607" t="str">
        <f>Criteria!H222</f>
        <v>Motor</v>
      </c>
      <c r="K1723" s="607" t="str">
        <f>Criteria!I222</f>
        <v>Electronic</v>
      </c>
      <c r="L1723" s="607"/>
      <c r="M1723" s="607" t="str">
        <f>Criteria!J222</f>
        <v>Furniture and</v>
      </c>
      <c r="N1723" s="607"/>
      <c r="O1723" s="607" t="s">
        <v>420</v>
      </c>
      <c r="P1723" s="454"/>
      <c r="R1723" s="490" t="str">
        <f t="shared" si="61"/>
        <v>DELETE</v>
      </c>
    </row>
    <row r="1724" spans="2:24" ht="31.5" customHeight="1" x14ac:dyDescent="0.5">
      <c r="B1724" s="501"/>
      <c r="C1724" s="515"/>
      <c r="G1724" s="540"/>
      <c r="H1724" s="607" t="str">
        <f>Criteria!G223</f>
        <v>equipment</v>
      </c>
      <c r="I1724" s="607"/>
      <c r="J1724" s="607" t="str">
        <f>Criteria!H223</f>
        <v>vehicles</v>
      </c>
      <c r="K1724" s="607" t="str">
        <f>Criteria!I223</f>
        <v>equipment</v>
      </c>
      <c r="L1724" s="607"/>
      <c r="M1724" s="607" t="str">
        <f>Criteria!J223</f>
        <v>fittings</v>
      </c>
      <c r="N1724" s="607"/>
      <c r="O1724" s="607"/>
      <c r="P1724" s="454"/>
      <c r="R1724" s="490" t="str">
        <f t="shared" si="61"/>
        <v>DELETE</v>
      </c>
    </row>
    <row r="1725" spans="2:24" ht="31.5" customHeight="1" x14ac:dyDescent="0.5">
      <c r="B1725" s="501"/>
      <c r="C1725" s="515"/>
      <c r="D1725" s="520" t="s">
        <v>1581</v>
      </c>
      <c r="E1725" s="520"/>
      <c r="F1725" s="670">
        <f>Criteria!G22</f>
        <v>45351</v>
      </c>
      <c r="G1725" s="670"/>
      <c r="H1725" s="503">
        <f>H1728-H1729</f>
        <v>0</v>
      </c>
      <c r="I1725" s="503"/>
      <c r="J1725" s="503">
        <f>J1728-J1729</f>
        <v>0</v>
      </c>
      <c r="K1725" s="503">
        <f>K1728-K1729</f>
        <v>0</v>
      </c>
      <c r="L1725" s="503"/>
      <c r="M1725" s="503">
        <f>M1728-M1729</f>
        <v>0</v>
      </c>
      <c r="N1725" s="503"/>
      <c r="O1725" s="503">
        <f>O1728-O1729</f>
        <v>0</v>
      </c>
      <c r="P1725" s="454"/>
      <c r="R1725" s="490" t="str">
        <f t="shared" si="61"/>
        <v>DELETE</v>
      </c>
      <c r="X1725" s="491" t="b">
        <f>O1725=SUM(H1725:N1725)</f>
        <v>1</v>
      </c>
    </row>
    <row r="1726" spans="2:24" ht="9" customHeight="1" x14ac:dyDescent="0.5">
      <c r="B1726" s="501"/>
      <c r="C1726" s="515"/>
      <c r="D1726" s="520"/>
      <c r="E1726" s="520"/>
      <c r="F1726" s="520"/>
      <c r="G1726" s="559"/>
      <c r="H1726" s="503"/>
      <c r="I1726" s="503"/>
      <c r="J1726" s="503"/>
      <c r="K1726" s="503"/>
      <c r="L1726" s="503"/>
      <c r="M1726" s="503"/>
      <c r="N1726" s="503"/>
      <c r="O1726" s="503"/>
      <c r="P1726" s="454"/>
      <c r="R1726" s="490" t="str">
        <f t="shared" si="61"/>
        <v>DELETE</v>
      </c>
    </row>
    <row r="1727" spans="2:24" ht="9" customHeight="1" x14ac:dyDescent="0.5">
      <c r="B1727" s="501"/>
      <c r="C1727" s="515"/>
      <c r="D1727" s="520"/>
      <c r="E1727" s="520"/>
      <c r="F1727" s="520"/>
      <c r="G1727" s="559"/>
      <c r="H1727" s="504"/>
      <c r="I1727" s="509"/>
      <c r="J1727" s="509"/>
      <c r="K1727" s="509"/>
      <c r="L1727" s="509"/>
      <c r="M1727" s="509"/>
      <c r="N1727" s="509"/>
      <c r="O1727" s="512"/>
      <c r="P1727" s="454"/>
      <c r="R1727" s="490" t="str">
        <f t="shared" si="61"/>
        <v>DELETE</v>
      </c>
    </row>
    <row r="1728" spans="2:24" ht="31.5" customHeight="1" x14ac:dyDescent="0.5">
      <c r="B1728" s="501"/>
      <c r="C1728" s="515"/>
      <c r="D1728" s="520" t="s">
        <v>416</v>
      </c>
      <c r="E1728" s="520"/>
      <c r="F1728" s="520"/>
      <c r="G1728" s="540"/>
      <c r="H1728" s="505">
        <f>TrialBalance!N252</f>
        <v>0</v>
      </c>
      <c r="I1728" s="503"/>
      <c r="J1728" s="503">
        <f>TrialBalance!N260</f>
        <v>0</v>
      </c>
      <c r="K1728" s="503">
        <f>TrialBalance!N268</f>
        <v>0</v>
      </c>
      <c r="L1728" s="503"/>
      <c r="M1728" s="503">
        <f>TrialBalance!N276</f>
        <v>0</v>
      </c>
      <c r="N1728" s="503"/>
      <c r="O1728" s="513">
        <f>SUM(H1728:M1728)</f>
        <v>0</v>
      </c>
      <c r="P1728" s="454"/>
      <c r="R1728" s="490" t="str">
        <f t="shared" si="61"/>
        <v>DELETE</v>
      </c>
    </row>
    <row r="1729" spans="2:18" ht="31.5" customHeight="1" x14ac:dyDescent="0.5">
      <c r="B1729" s="501"/>
      <c r="C1729" s="515"/>
      <c r="D1729" s="520" t="s">
        <v>1594</v>
      </c>
      <c r="E1729" s="520"/>
      <c r="F1729" s="520"/>
      <c r="G1729" s="540"/>
      <c r="H1729" s="505">
        <f>-TrialBalance!N256</f>
        <v>0</v>
      </c>
      <c r="I1729" s="503"/>
      <c r="J1729" s="503">
        <f>-TrialBalance!N264</f>
        <v>0</v>
      </c>
      <c r="K1729" s="503">
        <f>-TrialBalance!N272</f>
        <v>0</v>
      </c>
      <c r="L1729" s="503"/>
      <c r="M1729" s="503">
        <f>-TrialBalance!N280</f>
        <v>0</v>
      </c>
      <c r="N1729" s="503"/>
      <c r="O1729" s="513">
        <f>SUM(H1729:M1729)</f>
        <v>0</v>
      </c>
      <c r="P1729" s="454"/>
      <c r="R1729" s="490" t="str">
        <f t="shared" si="61"/>
        <v>DELETE</v>
      </c>
    </row>
    <row r="1730" spans="2:18" ht="9" customHeight="1" x14ac:dyDescent="0.5">
      <c r="B1730" s="501"/>
      <c r="C1730" s="515"/>
      <c r="D1730" s="520"/>
      <c r="E1730" s="520"/>
      <c r="F1730" s="520"/>
      <c r="G1730" s="540"/>
      <c r="H1730" s="506"/>
      <c r="I1730" s="507"/>
      <c r="J1730" s="507"/>
      <c r="K1730" s="507"/>
      <c r="L1730" s="507"/>
      <c r="M1730" s="507"/>
      <c r="N1730" s="507"/>
      <c r="O1730" s="514"/>
      <c r="P1730" s="454"/>
      <c r="R1730" s="490" t="str">
        <f t="shared" si="61"/>
        <v>DELETE</v>
      </c>
    </row>
    <row r="1731" spans="2:18" ht="9" customHeight="1" x14ac:dyDescent="0.5">
      <c r="B1731" s="501"/>
      <c r="C1731" s="515"/>
      <c r="D1731" s="520"/>
      <c r="E1731" s="520"/>
      <c r="F1731" s="520"/>
      <c r="G1731" s="540"/>
      <c r="H1731" s="503"/>
      <c r="I1731" s="503"/>
      <c r="J1731" s="503"/>
      <c r="K1731" s="503"/>
      <c r="L1731" s="503"/>
      <c r="M1731" s="503"/>
      <c r="N1731" s="503"/>
      <c r="O1731" s="503"/>
      <c r="P1731" s="454"/>
      <c r="R1731" s="490" t="str">
        <f t="shared" si="61"/>
        <v>DELETE</v>
      </c>
    </row>
    <row r="1732" spans="2:18" ht="31.5" customHeight="1" x14ac:dyDescent="0.5">
      <c r="B1732" s="501"/>
      <c r="C1732" s="515"/>
      <c r="D1732" s="520" t="s">
        <v>422</v>
      </c>
      <c r="E1732" s="520"/>
      <c r="F1732" s="520"/>
      <c r="G1732" s="540"/>
      <c r="H1732" s="503">
        <f>TrialBalance!N253</f>
        <v>0</v>
      </c>
      <c r="I1732" s="503"/>
      <c r="J1732" s="503">
        <f>TrialBalance!N261</f>
        <v>0</v>
      </c>
      <c r="K1732" s="503">
        <f>TrialBalance!N269</f>
        <v>0</v>
      </c>
      <c r="L1732" s="503"/>
      <c r="M1732" s="503">
        <f>+TrialBalance!N277</f>
        <v>0</v>
      </c>
      <c r="N1732" s="503"/>
      <c r="O1732" s="503">
        <f>SUM(H1732:M1732)</f>
        <v>0</v>
      </c>
      <c r="P1732" s="454"/>
      <c r="R1732" s="490" t="str">
        <f t="shared" si="61"/>
        <v>DELETE</v>
      </c>
    </row>
    <row r="1733" spans="2:18" ht="9" customHeight="1" x14ac:dyDescent="0.5">
      <c r="B1733" s="501"/>
      <c r="C1733" s="515"/>
      <c r="D1733" s="520"/>
      <c r="E1733" s="520"/>
      <c r="F1733" s="520"/>
      <c r="G1733" s="540"/>
      <c r="H1733" s="507"/>
      <c r="I1733" s="507"/>
      <c r="J1733" s="507"/>
      <c r="K1733" s="507"/>
      <c r="L1733" s="507"/>
      <c r="M1733" s="507"/>
      <c r="N1733" s="507"/>
      <c r="O1733" s="507"/>
      <c r="P1733" s="454"/>
      <c r="R1733" s="490" t="str">
        <f t="shared" si="61"/>
        <v>DELETE</v>
      </c>
    </row>
    <row r="1734" spans="2:18" ht="9" customHeight="1" x14ac:dyDescent="0.5">
      <c r="B1734" s="501"/>
      <c r="C1734" s="515"/>
      <c r="D1734" s="520"/>
      <c r="E1734" s="520"/>
      <c r="F1734" s="520"/>
      <c r="G1734" s="540"/>
      <c r="H1734" s="503"/>
      <c r="I1734" s="503"/>
      <c r="J1734" s="503"/>
      <c r="K1734" s="503"/>
      <c r="L1734" s="503"/>
      <c r="M1734" s="503"/>
      <c r="N1734" s="503"/>
      <c r="O1734" s="503"/>
      <c r="P1734" s="454"/>
      <c r="R1734" s="490" t="str">
        <f t="shared" si="61"/>
        <v>DELETE</v>
      </c>
    </row>
    <row r="1735" spans="2:18" ht="31.5" customHeight="1" x14ac:dyDescent="0.5">
      <c r="B1735" s="501"/>
      <c r="C1735" s="515"/>
      <c r="D1735" s="520"/>
      <c r="E1735" s="520"/>
      <c r="F1735" s="520"/>
      <c r="G1735" s="540"/>
      <c r="H1735" s="503">
        <f>H1725+H1732</f>
        <v>0</v>
      </c>
      <c r="I1735" s="503"/>
      <c r="J1735" s="503">
        <f>J1725+J1732</f>
        <v>0</v>
      </c>
      <c r="K1735" s="503">
        <f>K1725+K1732</f>
        <v>0</v>
      </c>
      <c r="L1735" s="503"/>
      <c r="M1735" s="503">
        <f>M1725+M1732</f>
        <v>0</v>
      </c>
      <c r="N1735" s="503"/>
      <c r="O1735" s="503">
        <f>O1725+O1732</f>
        <v>0</v>
      </c>
      <c r="P1735" s="454"/>
      <c r="R1735" s="490" t="str">
        <f t="shared" si="61"/>
        <v>DELETE</v>
      </c>
    </row>
    <row r="1736" spans="2:18" ht="31.5" customHeight="1" x14ac:dyDescent="0.5">
      <c r="B1736" s="501"/>
      <c r="C1736" s="515"/>
      <c r="D1736" s="520" t="s">
        <v>179</v>
      </c>
      <c r="E1736" s="520"/>
      <c r="F1736" s="520"/>
      <c r="G1736" s="540"/>
      <c r="H1736" s="503">
        <f>H1739-H1740</f>
        <v>0</v>
      </c>
      <c r="I1736" s="503"/>
      <c r="J1736" s="503">
        <f>J1739-J1740</f>
        <v>0</v>
      </c>
      <c r="K1736" s="503">
        <f>K1739-K1740</f>
        <v>0</v>
      </c>
      <c r="L1736" s="503"/>
      <c r="M1736" s="503">
        <f>M1739-M1740</f>
        <v>0</v>
      </c>
      <c r="N1736" s="503"/>
      <c r="O1736" s="503">
        <f>O1739-O1740</f>
        <v>0</v>
      </c>
      <c r="P1736" s="454"/>
      <c r="R1736" s="490" t="str">
        <f t="shared" si="61"/>
        <v>DELETE</v>
      </c>
    </row>
    <row r="1737" spans="2:18" ht="9" customHeight="1" x14ac:dyDescent="0.5">
      <c r="B1737" s="501"/>
      <c r="C1737" s="515"/>
      <c r="D1737" s="520"/>
      <c r="E1737" s="520"/>
      <c r="F1737" s="520"/>
      <c r="G1737" s="540"/>
      <c r="H1737" s="503"/>
      <c r="I1737" s="503"/>
      <c r="J1737" s="503"/>
      <c r="K1737" s="503"/>
      <c r="L1737" s="503"/>
      <c r="M1737" s="503"/>
      <c r="N1737" s="503"/>
      <c r="O1737" s="503"/>
      <c r="P1737" s="454"/>
      <c r="R1737" s="490" t="str">
        <f t="shared" si="61"/>
        <v>DELETE</v>
      </c>
    </row>
    <row r="1738" spans="2:18" ht="9" customHeight="1" x14ac:dyDescent="0.5">
      <c r="B1738" s="501"/>
      <c r="C1738" s="515"/>
      <c r="D1738" s="520"/>
      <c r="E1738" s="520"/>
      <c r="F1738" s="520"/>
      <c r="G1738" s="540"/>
      <c r="H1738" s="504"/>
      <c r="I1738" s="509"/>
      <c r="J1738" s="509"/>
      <c r="K1738" s="509"/>
      <c r="L1738" s="509"/>
      <c r="M1738" s="509"/>
      <c r="N1738" s="509"/>
      <c r="O1738" s="512"/>
      <c r="P1738" s="454"/>
      <c r="R1738" s="490" t="str">
        <f t="shared" si="61"/>
        <v>DELETE</v>
      </c>
    </row>
    <row r="1739" spans="2:18" ht="31.5" customHeight="1" x14ac:dyDescent="0.5">
      <c r="B1739" s="501"/>
      <c r="C1739" s="515"/>
      <c r="D1739" s="520" t="s">
        <v>416</v>
      </c>
      <c r="E1739" s="520"/>
      <c r="F1739" s="520"/>
      <c r="G1739" s="540"/>
      <c r="H1739" s="505">
        <f>-TrialBalance!N254</f>
        <v>0</v>
      </c>
      <c r="I1739" s="503"/>
      <c r="J1739" s="503">
        <f>-TrialBalance!N262</f>
        <v>0</v>
      </c>
      <c r="K1739" s="503">
        <f>-TrialBalance!N270</f>
        <v>0</v>
      </c>
      <c r="L1739" s="503"/>
      <c r="M1739" s="503">
        <f>-TrialBalance!N278</f>
        <v>0</v>
      </c>
      <c r="N1739" s="503"/>
      <c r="O1739" s="513">
        <f>SUM(H1739:M1739)</f>
        <v>0</v>
      </c>
      <c r="P1739" s="454"/>
      <c r="R1739" s="490" t="str">
        <f t="shared" si="61"/>
        <v>DELETE</v>
      </c>
    </row>
    <row r="1740" spans="2:18" ht="31.5" customHeight="1" x14ac:dyDescent="0.5">
      <c r="B1740" s="501"/>
      <c r="C1740" s="515"/>
      <c r="D1740" s="520" t="s">
        <v>1594</v>
      </c>
      <c r="E1740" s="520"/>
      <c r="F1740" s="520"/>
      <c r="G1740" s="540"/>
      <c r="H1740" s="505">
        <f>TrialBalance!N258</f>
        <v>0</v>
      </c>
      <c r="I1740" s="503"/>
      <c r="J1740" s="503">
        <f>TrialBalance!N266</f>
        <v>0</v>
      </c>
      <c r="K1740" s="503">
        <f>TrialBalance!N274</f>
        <v>0</v>
      </c>
      <c r="L1740" s="503"/>
      <c r="M1740" s="503">
        <f>+TrialBalance!N282</f>
        <v>0</v>
      </c>
      <c r="N1740" s="503"/>
      <c r="O1740" s="513">
        <f>SUM(H1740:M1740)</f>
        <v>0</v>
      </c>
      <c r="P1740" s="454"/>
      <c r="R1740" s="490" t="str">
        <f t="shared" si="61"/>
        <v>DELETE</v>
      </c>
    </row>
    <row r="1741" spans="2:18" ht="9" customHeight="1" x14ac:dyDescent="0.5">
      <c r="B1741" s="501"/>
      <c r="C1741" s="515"/>
      <c r="D1741" s="520"/>
      <c r="E1741" s="520"/>
      <c r="F1741" s="520"/>
      <c r="G1741" s="540"/>
      <c r="H1741" s="506"/>
      <c r="I1741" s="507"/>
      <c r="J1741" s="507"/>
      <c r="K1741" s="507"/>
      <c r="L1741" s="507"/>
      <c r="M1741" s="507"/>
      <c r="N1741" s="507"/>
      <c r="O1741" s="514"/>
      <c r="P1741" s="454"/>
      <c r="R1741" s="490" t="str">
        <f t="shared" si="61"/>
        <v>DELETE</v>
      </c>
    </row>
    <row r="1742" spans="2:18" ht="9" customHeight="1" x14ac:dyDescent="0.5">
      <c r="B1742" s="501"/>
      <c r="C1742" s="515"/>
      <c r="D1742" s="520"/>
      <c r="E1742" s="520"/>
      <c r="F1742" s="520"/>
      <c r="G1742" s="540"/>
      <c r="H1742" s="503"/>
      <c r="I1742" s="503"/>
      <c r="J1742" s="503"/>
      <c r="K1742" s="503"/>
      <c r="L1742" s="503"/>
      <c r="M1742" s="503"/>
      <c r="N1742" s="503"/>
      <c r="O1742" s="503"/>
      <c r="P1742" s="454"/>
      <c r="R1742" s="490" t="str">
        <f t="shared" si="61"/>
        <v>DELETE</v>
      </c>
    </row>
    <row r="1743" spans="2:18" ht="31.5" customHeight="1" x14ac:dyDescent="0.5">
      <c r="B1743" s="501"/>
      <c r="C1743" s="515"/>
      <c r="D1743" s="520" t="s">
        <v>304</v>
      </c>
      <c r="E1743" s="520"/>
      <c r="F1743" s="520"/>
      <c r="G1743" s="540"/>
      <c r="H1743" s="503">
        <f>TrialBalance!N257</f>
        <v>0</v>
      </c>
      <c r="I1743" s="503"/>
      <c r="J1743" s="503">
        <f>TrialBalance!N265</f>
        <v>0</v>
      </c>
      <c r="K1743" s="503">
        <f>TrialBalance!N273</f>
        <v>0</v>
      </c>
      <c r="L1743" s="503"/>
      <c r="M1743" s="503">
        <f>+TrialBalance!N281</f>
        <v>0</v>
      </c>
      <c r="N1743" s="503"/>
      <c r="O1743" s="503">
        <f>SUM(H1743:M1743)</f>
        <v>0</v>
      </c>
      <c r="P1743" s="454"/>
      <c r="R1743" s="490" t="str">
        <f t="shared" si="61"/>
        <v>DELETE</v>
      </c>
    </row>
    <row r="1744" spans="2:18" ht="9" customHeight="1" x14ac:dyDescent="0.5">
      <c r="B1744" s="501"/>
      <c r="C1744" s="515"/>
      <c r="D1744" s="520"/>
      <c r="E1744" s="520"/>
      <c r="F1744" s="520"/>
      <c r="G1744" s="540"/>
      <c r="H1744" s="507"/>
      <c r="I1744" s="507"/>
      <c r="J1744" s="507"/>
      <c r="K1744" s="507"/>
      <c r="L1744" s="507"/>
      <c r="M1744" s="507"/>
      <c r="N1744" s="507"/>
      <c r="O1744" s="507"/>
      <c r="P1744" s="454"/>
      <c r="R1744" s="490" t="str">
        <f t="shared" si="61"/>
        <v>DELETE</v>
      </c>
    </row>
    <row r="1745" spans="2:24" ht="9" customHeight="1" x14ac:dyDescent="0.5">
      <c r="B1745" s="501"/>
      <c r="C1745" s="515"/>
      <c r="D1745" s="520"/>
      <c r="E1745" s="520"/>
      <c r="F1745" s="520"/>
      <c r="G1745" s="540"/>
      <c r="H1745" s="503"/>
      <c r="I1745" s="503"/>
      <c r="J1745" s="503"/>
      <c r="K1745" s="503"/>
      <c r="L1745" s="503"/>
      <c r="M1745" s="503"/>
      <c r="N1745" s="503"/>
      <c r="O1745" s="503"/>
      <c r="P1745" s="454"/>
      <c r="R1745" s="490" t="str">
        <f t="shared" si="61"/>
        <v>DELETE</v>
      </c>
    </row>
    <row r="1746" spans="2:24" ht="31.5" customHeight="1" x14ac:dyDescent="0.5">
      <c r="B1746" s="501"/>
      <c r="C1746" s="515"/>
      <c r="D1746" s="520" t="s">
        <v>1581</v>
      </c>
      <c r="E1746" s="520"/>
      <c r="F1746" s="670">
        <f>Criteria!G21</f>
        <v>45716</v>
      </c>
      <c r="G1746" s="670"/>
      <c r="H1746" s="503">
        <f>H1725+H1732-H1736+H1743</f>
        <v>0</v>
      </c>
      <c r="I1746" s="503"/>
      <c r="J1746" s="503">
        <f>J1725+J1732-J1736+J1743</f>
        <v>0</v>
      </c>
      <c r="K1746" s="503">
        <f>K1725+K1732-K1736+K1743</f>
        <v>0</v>
      </c>
      <c r="L1746" s="503"/>
      <c r="M1746" s="503">
        <f>M1725+M1732-M1736+M1743</f>
        <v>0</v>
      </c>
      <c r="N1746" s="503"/>
      <c r="O1746" s="503">
        <f>O1725+O1732-O1736+O1743</f>
        <v>0</v>
      </c>
      <c r="P1746" s="454"/>
      <c r="R1746" s="490" t="str">
        <f t="shared" si="61"/>
        <v>DELETE</v>
      </c>
      <c r="X1746" s="491" t="b">
        <f>O1746=SUM(H1746:N1746)</f>
        <v>1</v>
      </c>
    </row>
    <row r="1747" spans="2:24" ht="9" customHeight="1" thickBot="1" x14ac:dyDescent="0.55000000000000004">
      <c r="B1747" s="501"/>
      <c r="C1747" s="515"/>
      <c r="D1747" s="520"/>
      <c r="E1747" s="520"/>
      <c r="F1747" s="520"/>
      <c r="G1747" s="559"/>
      <c r="H1747" s="508"/>
      <c r="I1747" s="508"/>
      <c r="J1747" s="508"/>
      <c r="K1747" s="508"/>
      <c r="L1747" s="508"/>
      <c r="M1747" s="508"/>
      <c r="N1747" s="508"/>
      <c r="O1747" s="508"/>
      <c r="P1747" s="454"/>
      <c r="R1747" s="490" t="str">
        <f t="shared" si="61"/>
        <v>DELETE</v>
      </c>
    </row>
    <row r="1748" spans="2:24" ht="9" customHeight="1" thickTop="1" x14ac:dyDescent="0.5">
      <c r="B1748" s="501"/>
      <c r="C1748" s="515"/>
      <c r="D1748" s="520"/>
      <c r="E1748" s="520"/>
      <c r="F1748" s="520"/>
      <c r="G1748" s="559"/>
      <c r="H1748" s="503"/>
      <c r="I1748" s="503"/>
      <c r="J1748" s="503"/>
      <c r="K1748" s="503"/>
      <c r="L1748" s="503"/>
      <c r="M1748" s="503"/>
      <c r="N1748" s="503"/>
      <c r="O1748" s="503"/>
      <c r="P1748" s="454"/>
      <c r="R1748" s="490" t="str">
        <f t="shared" si="61"/>
        <v>DELETE</v>
      </c>
    </row>
    <row r="1749" spans="2:24" ht="9" customHeight="1" x14ac:dyDescent="0.5">
      <c r="B1749" s="501"/>
      <c r="C1749" s="515"/>
      <c r="D1749" s="520"/>
      <c r="E1749" s="520"/>
      <c r="F1749" s="520"/>
      <c r="G1749" s="559"/>
      <c r="H1749" s="504"/>
      <c r="I1749" s="509"/>
      <c r="J1749" s="509"/>
      <c r="K1749" s="509"/>
      <c r="L1749" s="509"/>
      <c r="M1749" s="509"/>
      <c r="N1749" s="509"/>
      <c r="O1749" s="512"/>
      <c r="P1749" s="454"/>
      <c r="R1749" s="490" t="str">
        <f t="shared" si="61"/>
        <v>DELETE</v>
      </c>
    </row>
    <row r="1750" spans="2:24" ht="31.5" customHeight="1" x14ac:dyDescent="0.5">
      <c r="B1750" s="501"/>
      <c r="C1750" s="515"/>
      <c r="D1750" s="520" t="s">
        <v>416</v>
      </c>
      <c r="E1750" s="520"/>
      <c r="F1750" s="520"/>
      <c r="G1750" s="540"/>
      <c r="H1750" s="505">
        <f>H1728+H1732-H1739</f>
        <v>0</v>
      </c>
      <c r="I1750" s="510"/>
      <c r="J1750" s="510">
        <f>J1728+J1732-J1739</f>
        <v>0</v>
      </c>
      <c r="K1750" s="510">
        <f>K1728+K1732-K1739</f>
        <v>0</v>
      </c>
      <c r="L1750" s="510"/>
      <c r="M1750" s="510">
        <f>M1728+M1732-M1739</f>
        <v>0</v>
      </c>
      <c r="N1750" s="510"/>
      <c r="O1750" s="513">
        <f>O1728+O1732-O1739</f>
        <v>0</v>
      </c>
      <c r="P1750" s="454"/>
      <c r="R1750" s="490" t="str">
        <f t="shared" si="61"/>
        <v>DELETE</v>
      </c>
      <c r="X1750" s="491" t="b">
        <f>O1750=SUM(H1750:N1750)</f>
        <v>1</v>
      </c>
    </row>
    <row r="1751" spans="2:24" ht="31.5" customHeight="1" x14ac:dyDescent="0.5">
      <c r="B1751" s="501"/>
      <c r="C1751" s="515"/>
      <c r="D1751" s="520" t="s">
        <v>1594</v>
      </c>
      <c r="E1751" s="520"/>
      <c r="F1751" s="520"/>
      <c r="G1751" s="540"/>
      <c r="H1751" s="505">
        <f>H1729-H1740-H1743</f>
        <v>0</v>
      </c>
      <c r="I1751" s="510"/>
      <c r="J1751" s="510">
        <f>J1729-J1740-J1743</f>
        <v>0</v>
      </c>
      <c r="K1751" s="510">
        <f>K1729-K1740-K1743</f>
        <v>0</v>
      </c>
      <c r="L1751" s="510"/>
      <c r="M1751" s="510">
        <f>M1729-M1740-M1743</f>
        <v>0</v>
      </c>
      <c r="N1751" s="510"/>
      <c r="O1751" s="513">
        <f>O1729-O1740-O1743</f>
        <v>0</v>
      </c>
      <c r="P1751" s="454"/>
      <c r="R1751" s="490" t="str">
        <f t="shared" si="61"/>
        <v>DELETE</v>
      </c>
      <c r="X1751" s="491" t="b">
        <f>O1751=SUM(H1751:N1751)</f>
        <v>1</v>
      </c>
    </row>
    <row r="1752" spans="2:24" ht="9" customHeight="1" x14ac:dyDescent="0.5">
      <c r="B1752" s="501"/>
      <c r="C1752" s="515"/>
      <c r="D1752" s="520"/>
      <c r="E1752" s="520"/>
      <c r="F1752" s="520"/>
      <c r="G1752" s="540"/>
      <c r="H1752" s="506"/>
      <c r="I1752" s="507"/>
      <c r="J1752" s="507"/>
      <c r="K1752" s="507"/>
      <c r="L1752" s="507"/>
      <c r="M1752" s="507"/>
      <c r="N1752" s="507"/>
      <c r="O1752" s="514"/>
      <c r="P1752" s="454"/>
      <c r="R1752" s="490" t="str">
        <f t="shared" si="61"/>
        <v>DELETE</v>
      </c>
    </row>
    <row r="1753" spans="2:24" ht="9" customHeight="1" x14ac:dyDescent="0.5">
      <c r="B1753" s="501"/>
      <c r="C1753" s="515"/>
      <c r="D1753" s="520"/>
      <c r="E1753" s="520"/>
      <c r="F1753" s="520"/>
      <c r="G1753" s="540"/>
      <c r="H1753" s="503"/>
      <c r="I1753" s="503"/>
      <c r="J1753" s="503"/>
      <c r="K1753" s="503"/>
      <c r="L1753" s="503"/>
      <c r="M1753" s="503"/>
      <c r="N1753" s="503"/>
      <c r="O1753" s="503"/>
      <c r="P1753" s="454"/>
      <c r="R1753" s="490" t="str">
        <f t="shared" si="61"/>
        <v>DELETE</v>
      </c>
    </row>
    <row r="1754" spans="2:24" ht="31.5" customHeight="1" x14ac:dyDescent="0.5">
      <c r="B1754" s="501"/>
      <c r="C1754" s="515"/>
      <c r="D1754" s="520" t="s">
        <v>422</v>
      </c>
      <c r="E1754" s="520"/>
      <c r="F1754" s="520"/>
      <c r="G1754" s="540"/>
      <c r="H1754" s="503">
        <f>TrialBalance!L253</f>
        <v>0</v>
      </c>
      <c r="I1754" s="503"/>
      <c r="J1754" s="503">
        <f>TrialBalance!L261</f>
        <v>0</v>
      </c>
      <c r="K1754" s="503">
        <f>TrialBalance!L269</f>
        <v>0</v>
      </c>
      <c r="L1754" s="503"/>
      <c r="M1754" s="503">
        <f>+TrialBalance!L277</f>
        <v>0</v>
      </c>
      <c r="N1754" s="503"/>
      <c r="O1754" s="503">
        <f>SUM(H1754:M1754)</f>
        <v>0</v>
      </c>
      <c r="P1754" s="454"/>
      <c r="R1754" s="490" t="str">
        <f t="shared" ref="R1754:R1774" si="62">R$1720</f>
        <v>DELETE</v>
      </c>
      <c r="X1754" s="491" t="b">
        <f>O1746=O1750-O1751</f>
        <v>1</v>
      </c>
    </row>
    <row r="1755" spans="2:24" ht="9" customHeight="1" x14ac:dyDescent="0.5">
      <c r="B1755" s="501"/>
      <c r="C1755" s="515"/>
      <c r="D1755" s="520"/>
      <c r="E1755" s="520"/>
      <c r="F1755" s="520"/>
      <c r="G1755" s="540"/>
      <c r="H1755" s="507"/>
      <c r="I1755" s="507"/>
      <c r="J1755" s="507"/>
      <c r="K1755" s="507"/>
      <c r="L1755" s="507"/>
      <c r="M1755" s="507"/>
      <c r="N1755" s="507"/>
      <c r="O1755" s="507"/>
      <c r="P1755" s="454"/>
      <c r="R1755" s="490" t="str">
        <f t="shared" si="62"/>
        <v>DELETE</v>
      </c>
    </row>
    <row r="1756" spans="2:24" ht="9" customHeight="1" x14ac:dyDescent="0.5">
      <c r="B1756" s="501"/>
      <c r="C1756" s="515"/>
      <c r="D1756" s="520"/>
      <c r="E1756" s="520"/>
      <c r="F1756" s="520"/>
      <c r="G1756" s="540"/>
      <c r="H1756" s="503"/>
      <c r="I1756" s="503"/>
      <c r="J1756" s="503"/>
      <c r="K1756" s="503"/>
      <c r="L1756" s="503"/>
      <c r="M1756" s="503"/>
      <c r="N1756" s="503"/>
      <c r="O1756" s="503"/>
      <c r="P1756" s="454"/>
      <c r="R1756" s="490" t="str">
        <f t="shared" si="62"/>
        <v>DELETE</v>
      </c>
    </row>
    <row r="1757" spans="2:24" ht="31.5" customHeight="1" x14ac:dyDescent="0.5">
      <c r="B1757" s="501"/>
      <c r="C1757" s="515"/>
      <c r="D1757" s="520"/>
      <c r="E1757" s="520"/>
      <c r="F1757" s="520"/>
      <c r="G1757" s="540"/>
      <c r="H1757" s="503">
        <f>+H1746+H1754</f>
        <v>0</v>
      </c>
      <c r="I1757" s="503"/>
      <c r="J1757" s="503">
        <f>+J1746+J1754</f>
        <v>0</v>
      </c>
      <c r="K1757" s="503">
        <f>+K1746+K1754</f>
        <v>0</v>
      </c>
      <c r="L1757" s="503"/>
      <c r="M1757" s="503">
        <f>+M1746+M1754</f>
        <v>0</v>
      </c>
      <c r="N1757" s="503"/>
      <c r="O1757" s="503">
        <f>+O1746+O1754</f>
        <v>0</v>
      </c>
      <c r="P1757" s="454"/>
      <c r="R1757" s="490" t="str">
        <f t="shared" si="62"/>
        <v>DELETE</v>
      </c>
    </row>
    <row r="1758" spans="2:24" ht="31.5" customHeight="1" x14ac:dyDescent="0.5">
      <c r="B1758" s="501"/>
      <c r="C1758" s="515"/>
      <c r="D1758" s="520" t="s">
        <v>179</v>
      </c>
      <c r="E1758" s="520"/>
      <c r="F1758" s="520"/>
      <c r="G1758" s="540"/>
      <c r="H1758" s="503">
        <f>H1761-H1762</f>
        <v>0</v>
      </c>
      <c r="I1758" s="503"/>
      <c r="J1758" s="503">
        <f>J1761-J1762</f>
        <v>0</v>
      </c>
      <c r="K1758" s="503">
        <f>K1761-K1762</f>
        <v>0</v>
      </c>
      <c r="L1758" s="503"/>
      <c r="M1758" s="503">
        <f>M1761-M1762</f>
        <v>0</v>
      </c>
      <c r="N1758" s="503"/>
      <c r="O1758" s="503">
        <f>O1761-O1762</f>
        <v>0</v>
      </c>
      <c r="P1758" s="454"/>
      <c r="R1758" s="490" t="str">
        <f t="shared" si="62"/>
        <v>DELETE</v>
      </c>
    </row>
    <row r="1759" spans="2:24" ht="9" customHeight="1" x14ac:dyDescent="0.5">
      <c r="B1759" s="501"/>
      <c r="C1759" s="515"/>
      <c r="D1759" s="520"/>
      <c r="E1759" s="520"/>
      <c r="F1759" s="520"/>
      <c r="G1759" s="540"/>
      <c r="H1759" s="503"/>
      <c r="I1759" s="503"/>
      <c r="J1759" s="503"/>
      <c r="K1759" s="503"/>
      <c r="L1759" s="503"/>
      <c r="M1759" s="503"/>
      <c r="N1759" s="503"/>
      <c r="O1759" s="503"/>
      <c r="P1759" s="454"/>
      <c r="R1759" s="490" t="str">
        <f t="shared" si="62"/>
        <v>DELETE</v>
      </c>
    </row>
    <row r="1760" spans="2:24" ht="9" customHeight="1" x14ac:dyDescent="0.5">
      <c r="B1760" s="501"/>
      <c r="C1760" s="515"/>
      <c r="D1760" s="520"/>
      <c r="E1760" s="520"/>
      <c r="F1760" s="520"/>
      <c r="G1760" s="540"/>
      <c r="H1760" s="504"/>
      <c r="I1760" s="509"/>
      <c r="J1760" s="509"/>
      <c r="K1760" s="509"/>
      <c r="L1760" s="509"/>
      <c r="M1760" s="509"/>
      <c r="N1760" s="509"/>
      <c r="O1760" s="512"/>
      <c r="P1760" s="454"/>
      <c r="R1760" s="490" t="str">
        <f t="shared" si="62"/>
        <v>DELETE</v>
      </c>
    </row>
    <row r="1761" spans="2:22" ht="31.5" customHeight="1" x14ac:dyDescent="0.5">
      <c r="B1761" s="501"/>
      <c r="C1761" s="515"/>
      <c r="D1761" s="520" t="s">
        <v>416</v>
      </c>
      <c r="E1761" s="520"/>
      <c r="F1761" s="520"/>
      <c r="G1761" s="540"/>
      <c r="H1761" s="505">
        <f>-TrialBalance!L254</f>
        <v>0</v>
      </c>
      <c r="I1761" s="503"/>
      <c r="J1761" s="503">
        <f>-TrialBalance!L262</f>
        <v>0</v>
      </c>
      <c r="K1761" s="503">
        <f>-TrialBalance!L270</f>
        <v>0</v>
      </c>
      <c r="L1761" s="503"/>
      <c r="M1761" s="503">
        <f>-TrialBalance!L278</f>
        <v>0</v>
      </c>
      <c r="N1761" s="503"/>
      <c r="O1761" s="513">
        <f>SUM(H1761:M1761)</f>
        <v>0</v>
      </c>
      <c r="P1761" s="454"/>
      <c r="R1761" s="490" t="str">
        <f t="shared" si="62"/>
        <v>DELETE</v>
      </c>
    </row>
    <row r="1762" spans="2:22" ht="31.5" customHeight="1" x14ac:dyDescent="0.5">
      <c r="B1762" s="501"/>
      <c r="C1762" s="515"/>
      <c r="D1762" s="520" t="s">
        <v>1594</v>
      </c>
      <c r="E1762" s="520"/>
      <c r="F1762" s="520"/>
      <c r="G1762" s="540"/>
      <c r="H1762" s="505">
        <f>TrialBalance!L258</f>
        <v>0</v>
      </c>
      <c r="I1762" s="503"/>
      <c r="J1762" s="503">
        <f>TrialBalance!L266</f>
        <v>0</v>
      </c>
      <c r="K1762" s="503">
        <f>TrialBalance!L274</f>
        <v>0</v>
      </c>
      <c r="L1762" s="503"/>
      <c r="M1762" s="503">
        <f>+TrialBalance!L282</f>
        <v>0</v>
      </c>
      <c r="N1762" s="503"/>
      <c r="O1762" s="513">
        <f>SUM(H1762:M1762)</f>
        <v>0</v>
      </c>
      <c r="P1762" s="454"/>
      <c r="R1762" s="490" t="str">
        <f t="shared" si="62"/>
        <v>DELETE</v>
      </c>
    </row>
    <row r="1763" spans="2:22" ht="9" customHeight="1" x14ac:dyDescent="0.5">
      <c r="B1763" s="501"/>
      <c r="C1763" s="515"/>
      <c r="D1763" s="520"/>
      <c r="E1763" s="520"/>
      <c r="F1763" s="520"/>
      <c r="G1763" s="540"/>
      <c r="H1763" s="506"/>
      <c r="I1763" s="507"/>
      <c r="J1763" s="507"/>
      <c r="K1763" s="507"/>
      <c r="L1763" s="507"/>
      <c r="M1763" s="507"/>
      <c r="N1763" s="507"/>
      <c r="O1763" s="514"/>
      <c r="P1763" s="454"/>
      <c r="R1763" s="490" t="str">
        <f t="shared" si="62"/>
        <v>DELETE</v>
      </c>
    </row>
    <row r="1764" spans="2:22" ht="9" customHeight="1" x14ac:dyDescent="0.5">
      <c r="B1764" s="501"/>
      <c r="C1764" s="515"/>
      <c r="D1764" s="520"/>
      <c r="E1764" s="520"/>
      <c r="F1764" s="520"/>
      <c r="G1764" s="540"/>
      <c r="H1764" s="503"/>
      <c r="I1764" s="503"/>
      <c r="J1764" s="503"/>
      <c r="K1764" s="503"/>
      <c r="L1764" s="503"/>
      <c r="M1764" s="503"/>
      <c r="N1764" s="503"/>
      <c r="O1764" s="503"/>
      <c r="P1764" s="454"/>
      <c r="R1764" s="490" t="str">
        <f t="shared" si="62"/>
        <v>DELETE</v>
      </c>
    </row>
    <row r="1765" spans="2:22" ht="31.5" customHeight="1" x14ac:dyDescent="0.5">
      <c r="B1765" s="501"/>
      <c r="C1765" s="515"/>
      <c r="D1765" s="520" t="s">
        <v>304</v>
      </c>
      <c r="E1765" s="520"/>
      <c r="F1765" s="520"/>
      <c r="G1765" s="540"/>
      <c r="H1765" s="503">
        <f>TrialBalance!L257</f>
        <v>0</v>
      </c>
      <c r="I1765" s="503"/>
      <c r="J1765" s="503">
        <f>TrialBalance!L265</f>
        <v>0</v>
      </c>
      <c r="K1765" s="503">
        <f>TrialBalance!L273</f>
        <v>0</v>
      </c>
      <c r="L1765" s="503"/>
      <c r="M1765" s="503">
        <f>+TrialBalance!L281</f>
        <v>0</v>
      </c>
      <c r="N1765" s="503"/>
      <c r="O1765" s="503">
        <f>SUM(H1765:M1765)</f>
        <v>0</v>
      </c>
      <c r="P1765" s="454"/>
      <c r="R1765" s="490" t="str">
        <f t="shared" si="62"/>
        <v>DELETE</v>
      </c>
    </row>
    <row r="1766" spans="2:22" ht="9" customHeight="1" x14ac:dyDescent="0.5">
      <c r="B1766" s="501"/>
      <c r="C1766" s="515"/>
      <c r="D1766" s="520"/>
      <c r="E1766" s="520"/>
      <c r="F1766" s="520"/>
      <c r="G1766" s="540"/>
      <c r="H1766" s="507"/>
      <c r="I1766" s="507"/>
      <c r="J1766" s="507"/>
      <c r="K1766" s="507"/>
      <c r="L1766" s="507"/>
      <c r="M1766" s="507"/>
      <c r="N1766" s="507"/>
      <c r="O1766" s="507"/>
      <c r="P1766" s="454"/>
      <c r="R1766" s="490" t="str">
        <f t="shared" si="62"/>
        <v>DELETE</v>
      </c>
    </row>
    <row r="1767" spans="2:22" ht="9" customHeight="1" x14ac:dyDescent="0.5">
      <c r="B1767" s="501"/>
      <c r="C1767" s="515"/>
      <c r="D1767" s="520"/>
      <c r="E1767" s="520"/>
      <c r="F1767" s="520"/>
      <c r="G1767" s="540"/>
      <c r="H1767" s="503"/>
      <c r="I1767" s="503"/>
      <c r="J1767" s="503"/>
      <c r="K1767" s="503"/>
      <c r="L1767" s="503"/>
      <c r="M1767" s="503"/>
      <c r="N1767" s="503"/>
      <c r="O1767" s="503"/>
      <c r="P1767" s="454"/>
      <c r="R1767" s="490" t="str">
        <f t="shared" si="62"/>
        <v>DELETE</v>
      </c>
    </row>
    <row r="1768" spans="2:22" ht="31.5" customHeight="1" x14ac:dyDescent="0.5">
      <c r="B1768" s="501"/>
      <c r="C1768" s="515"/>
      <c r="D1768" s="520" t="s">
        <v>1581</v>
      </c>
      <c r="E1768" s="520"/>
      <c r="F1768" s="670">
        <f>Criteria!G20</f>
        <v>46081</v>
      </c>
      <c r="G1768" s="670"/>
      <c r="H1768" s="503">
        <f>+H1746+H1754-H1758+H1765</f>
        <v>0</v>
      </c>
      <c r="I1768" s="503"/>
      <c r="J1768" s="503">
        <f>+J1746+J1754-J1758+J1765</f>
        <v>0</v>
      </c>
      <c r="K1768" s="503">
        <f>+K1746+K1754-K1758+K1765</f>
        <v>0</v>
      </c>
      <c r="L1768" s="503"/>
      <c r="M1768" s="503">
        <f>+M1746+M1754-M1758+M1765</f>
        <v>0</v>
      </c>
      <c r="N1768" s="503"/>
      <c r="O1768" s="503">
        <f>+O1746+O1754-O1758+O1765</f>
        <v>0</v>
      </c>
      <c r="P1768" s="452"/>
      <c r="R1768" s="490" t="str">
        <f t="shared" si="62"/>
        <v>DELETE</v>
      </c>
      <c r="V1768" s="491" t="b">
        <f>O1768=SUM(H1768:N1768)</f>
        <v>1</v>
      </c>
    </row>
    <row r="1769" spans="2:22" ht="9" customHeight="1" thickBot="1" x14ac:dyDescent="0.55000000000000004">
      <c r="B1769" s="501"/>
      <c r="C1769" s="515"/>
      <c r="D1769" s="520"/>
      <c r="E1769" s="520"/>
      <c r="F1769" s="520"/>
      <c r="G1769" s="559"/>
      <c r="H1769" s="508"/>
      <c r="I1769" s="508"/>
      <c r="J1769" s="508"/>
      <c r="K1769" s="508"/>
      <c r="L1769" s="508"/>
      <c r="M1769" s="508"/>
      <c r="N1769" s="508"/>
      <c r="O1769" s="508"/>
      <c r="P1769" s="454"/>
      <c r="R1769" s="490" t="str">
        <f t="shared" si="62"/>
        <v>DELETE</v>
      </c>
    </row>
    <row r="1770" spans="2:22" ht="9" customHeight="1" thickTop="1" x14ac:dyDescent="0.5">
      <c r="B1770" s="501"/>
      <c r="C1770" s="515"/>
      <c r="D1770" s="520"/>
      <c r="E1770" s="520"/>
      <c r="F1770" s="520"/>
      <c r="G1770" s="559"/>
      <c r="H1770" s="503"/>
      <c r="I1770" s="503"/>
      <c r="J1770" s="503"/>
      <c r="K1770" s="503"/>
      <c r="L1770" s="503"/>
      <c r="M1770" s="503"/>
      <c r="N1770" s="503"/>
      <c r="O1770" s="503"/>
      <c r="P1770" s="454"/>
      <c r="R1770" s="490" t="str">
        <f t="shared" si="62"/>
        <v>DELETE</v>
      </c>
    </row>
    <row r="1771" spans="2:22" ht="9" customHeight="1" x14ac:dyDescent="0.5">
      <c r="B1771" s="501"/>
      <c r="C1771" s="515"/>
      <c r="D1771" s="520"/>
      <c r="E1771" s="520"/>
      <c r="F1771" s="520"/>
      <c r="G1771" s="559"/>
      <c r="H1771" s="504"/>
      <c r="I1771" s="509"/>
      <c r="J1771" s="509"/>
      <c r="K1771" s="509"/>
      <c r="L1771" s="509"/>
      <c r="M1771" s="509"/>
      <c r="N1771" s="509"/>
      <c r="O1771" s="512"/>
      <c r="P1771" s="454"/>
      <c r="R1771" s="490" t="str">
        <f t="shared" si="62"/>
        <v>DELETE</v>
      </c>
    </row>
    <row r="1772" spans="2:22" ht="31.5" customHeight="1" x14ac:dyDescent="0.5">
      <c r="B1772" s="501"/>
      <c r="C1772" s="515"/>
      <c r="D1772" s="520" t="s">
        <v>416</v>
      </c>
      <c r="E1772" s="520"/>
      <c r="F1772" s="520"/>
      <c r="G1772" s="540"/>
      <c r="H1772" s="505">
        <f>H1750+H1754-H1761</f>
        <v>0</v>
      </c>
      <c r="I1772" s="510"/>
      <c r="J1772" s="510">
        <f>J1750+J1754-J1761</f>
        <v>0</v>
      </c>
      <c r="K1772" s="510">
        <f>K1750+K1754-K1761</f>
        <v>0</v>
      </c>
      <c r="L1772" s="510"/>
      <c r="M1772" s="510">
        <f>M1750+M1754-M1761</f>
        <v>0</v>
      </c>
      <c r="N1772" s="510"/>
      <c r="O1772" s="513">
        <f>O1750+O1754-O1761</f>
        <v>0</v>
      </c>
      <c r="P1772" s="454"/>
      <c r="R1772" s="490" t="str">
        <f t="shared" si="62"/>
        <v>DELETE</v>
      </c>
      <c r="V1772" s="491" t="b">
        <f>O1772=SUM(H1772:N1772)</f>
        <v>1</v>
      </c>
    </row>
    <row r="1773" spans="2:22" ht="31.5" customHeight="1" x14ac:dyDescent="0.5">
      <c r="B1773" s="501"/>
      <c r="C1773" s="515"/>
      <c r="D1773" s="520" t="s">
        <v>1594</v>
      </c>
      <c r="E1773" s="520"/>
      <c r="F1773" s="520"/>
      <c r="G1773" s="540"/>
      <c r="H1773" s="505">
        <f>H1751-H1762-H1765</f>
        <v>0</v>
      </c>
      <c r="I1773" s="510"/>
      <c r="J1773" s="510">
        <f>J1751-J1762-J1765</f>
        <v>0</v>
      </c>
      <c r="K1773" s="510">
        <f>K1751-K1762-K1765</f>
        <v>0</v>
      </c>
      <c r="L1773" s="510"/>
      <c r="M1773" s="510">
        <f>M1751-M1762-M1765</f>
        <v>0</v>
      </c>
      <c r="N1773" s="510"/>
      <c r="O1773" s="513">
        <f>O1751-O1762-O1765</f>
        <v>0</v>
      </c>
      <c r="P1773" s="454"/>
      <c r="R1773" s="490" t="str">
        <f t="shared" si="62"/>
        <v>DELETE</v>
      </c>
      <c r="V1773" s="491" t="b">
        <f>O1773=SUM(H1773:N1773)</f>
        <v>1</v>
      </c>
    </row>
    <row r="1774" spans="2:22" ht="9" customHeight="1" x14ac:dyDescent="0.5">
      <c r="B1774" s="501"/>
      <c r="C1774" s="515"/>
      <c r="D1774" s="520"/>
      <c r="E1774" s="520"/>
      <c r="F1774" s="520"/>
      <c r="G1774" s="540"/>
      <c r="H1774" s="506"/>
      <c r="I1774" s="507"/>
      <c r="J1774" s="507"/>
      <c r="K1774" s="507"/>
      <c r="L1774" s="507"/>
      <c r="M1774" s="507"/>
      <c r="N1774" s="507"/>
      <c r="O1774" s="514"/>
      <c r="P1774" s="454"/>
      <c r="R1774" s="490" t="str">
        <f t="shared" si="62"/>
        <v>DELETE</v>
      </c>
    </row>
    <row r="1775" spans="2:22" ht="31.5" customHeight="1" x14ac:dyDescent="0.5">
      <c r="B1775" s="501"/>
      <c r="C1775" s="515"/>
      <c r="D1775" s="520"/>
      <c r="E1775" s="520"/>
      <c r="F1775" s="520"/>
      <c r="G1775" s="540"/>
      <c r="H1775" s="503"/>
      <c r="I1775" s="503"/>
      <c r="J1775" s="503"/>
      <c r="K1775" s="503"/>
      <c r="L1775" s="503"/>
      <c r="M1775" s="503"/>
      <c r="N1775" s="503"/>
      <c r="O1775" s="503"/>
      <c r="P1775" s="454"/>
      <c r="R1775" s="490" t="str">
        <f t="shared" ref="R1775:R1778" si="63">R$1720</f>
        <v>DELETE</v>
      </c>
    </row>
    <row r="1776" spans="2:22" ht="31.5" customHeight="1" x14ac:dyDescent="0.45">
      <c r="B1776" s="501"/>
      <c r="C1776" s="515"/>
      <c r="G1776" s="540"/>
      <c r="H1776" s="458"/>
      <c r="I1776" s="458"/>
      <c r="J1776" s="458"/>
      <c r="K1776" s="458"/>
      <c r="L1776" s="458"/>
      <c r="M1776" s="503"/>
      <c r="N1776" s="458"/>
      <c r="O1776" s="503"/>
      <c r="P1776" s="454"/>
      <c r="R1776" s="490" t="str">
        <f t="shared" si="63"/>
        <v>DELETE</v>
      </c>
    </row>
    <row r="1777" spans="2:18" ht="31.5" customHeight="1" x14ac:dyDescent="0.45">
      <c r="B1777" s="501"/>
      <c r="C1777" s="515"/>
      <c r="H1777" s="456"/>
      <c r="I1777" s="456"/>
      <c r="J1777" s="456"/>
      <c r="K1777" s="456"/>
      <c r="L1777" s="456"/>
      <c r="M1777" s="548"/>
      <c r="N1777" s="555"/>
      <c r="O1777" s="548"/>
      <c r="P1777" s="545"/>
      <c r="R1777" s="490" t="str">
        <f t="shared" si="63"/>
        <v>DELETE</v>
      </c>
    </row>
    <row r="1778" spans="2:18" ht="31.5" customHeight="1" x14ac:dyDescent="0.45">
      <c r="B1778" s="501"/>
      <c r="C1778" s="515"/>
      <c r="R1778" s="490" t="str">
        <f t="shared" si="63"/>
        <v>DELETE</v>
      </c>
    </row>
    <row r="1779" spans="2:18" ht="36" customHeight="1" x14ac:dyDescent="0.5">
      <c r="B1779" s="502"/>
      <c r="C1779" s="515"/>
      <c r="D1779" s="631"/>
      <c r="E1779" s="631"/>
      <c r="F1779" s="631"/>
      <c r="G1779" s="631"/>
      <c r="H1779" s="631"/>
      <c r="I1779" s="631"/>
      <c r="J1779" s="631"/>
      <c r="O1779" s="454" t="s">
        <v>112</v>
      </c>
      <c r="Q1779" s="450">
        <f>MAX($Q$103:Q1778)+1</f>
        <v>46</v>
      </c>
      <c r="R1779" s="490" t="str">
        <f>R$1787</f>
        <v>DELETE</v>
      </c>
    </row>
    <row r="1780" spans="2:18" ht="36" customHeight="1" x14ac:dyDescent="0.5">
      <c r="B1780" s="502"/>
      <c r="C1780" s="515"/>
      <c r="D1780" s="630" t="str">
        <f>Criteria!E9</f>
        <v>ABC COMPANY (PROPRIETARY) LIMITED</v>
      </c>
      <c r="E1780" s="631"/>
      <c r="F1780" s="631"/>
      <c r="G1780" s="631"/>
      <c r="H1780" s="631"/>
      <c r="I1780" s="631"/>
      <c r="J1780" s="631"/>
      <c r="R1780" s="490" t="str">
        <f t="shared" ref="R1780:R1786" si="64">R$1787</f>
        <v>DELETE</v>
      </c>
    </row>
    <row r="1781" spans="2:18" ht="36" customHeight="1" x14ac:dyDescent="0.5">
      <c r="B1781" s="502"/>
      <c r="C1781" s="515"/>
      <c r="D1781" s="630" t="str">
        <f>Criteria!E10</f>
        <v>T/A SEAFRONT HOTEL, ABC RESTAURANT AND RENTAL PROPERTIES</v>
      </c>
      <c r="E1781" s="631"/>
      <c r="F1781" s="631"/>
      <c r="G1781" s="631"/>
      <c r="H1781" s="631"/>
      <c r="I1781" s="631"/>
      <c r="J1781" s="631"/>
      <c r="R1781" s="490" t="str">
        <f>IF(R$1787="DELETE","DELETE",IF(D1781=0,"DELETE"," "))</f>
        <v>DELETE</v>
      </c>
    </row>
    <row r="1782" spans="2:18" ht="36" customHeight="1" x14ac:dyDescent="0.5">
      <c r="B1782" s="502"/>
      <c r="C1782" s="515"/>
      <c r="D1782" s="631"/>
      <c r="E1782" s="631"/>
      <c r="F1782" s="631"/>
      <c r="G1782" s="631"/>
      <c r="H1782" s="631"/>
      <c r="I1782" s="631"/>
      <c r="J1782" s="631"/>
      <c r="R1782" s="490" t="str">
        <f t="shared" si="64"/>
        <v>DELETE</v>
      </c>
    </row>
    <row r="1783" spans="2:18" ht="36" customHeight="1" x14ac:dyDescent="0.5">
      <c r="B1783" s="502"/>
      <c r="C1783" s="515"/>
      <c r="D1783" s="630" t="s">
        <v>415</v>
      </c>
      <c r="E1783" s="631"/>
      <c r="F1783" s="631"/>
      <c r="G1783" s="631"/>
      <c r="H1783" s="631"/>
      <c r="I1783" s="631"/>
      <c r="J1783" s="631"/>
      <c r="R1783" s="490" t="str">
        <f t="shared" si="64"/>
        <v>DELETE</v>
      </c>
    </row>
    <row r="1784" spans="2:18" ht="36" customHeight="1" x14ac:dyDescent="0.5">
      <c r="B1784" s="502"/>
      <c r="C1784" s="515"/>
      <c r="D1784" s="630" t="str">
        <f>Criteria!E20</f>
        <v>28 FEBRUARY 2026</v>
      </c>
      <c r="E1784" s="631"/>
      <c r="F1784" s="631"/>
      <c r="G1784" s="631"/>
      <c r="H1784" s="631"/>
      <c r="I1784" s="631"/>
      <c r="J1784" s="631" t="s">
        <v>282</v>
      </c>
      <c r="R1784" s="490" t="str">
        <f t="shared" si="64"/>
        <v>DELETE</v>
      </c>
    </row>
    <row r="1785" spans="2:18" ht="36" customHeight="1" x14ac:dyDescent="0.5">
      <c r="B1785" s="502"/>
      <c r="C1785" s="515"/>
      <c r="D1785" s="631"/>
      <c r="E1785" s="631"/>
      <c r="F1785" s="631"/>
      <c r="G1785" s="631"/>
      <c r="H1785" s="631"/>
      <c r="I1785" s="631"/>
      <c r="J1785" s="631"/>
      <c r="R1785" s="490" t="str">
        <f t="shared" si="64"/>
        <v>DELETE</v>
      </c>
    </row>
    <row r="1786" spans="2:18" ht="36" customHeight="1" x14ac:dyDescent="0.5">
      <c r="B1786" s="641"/>
      <c r="C1786" s="656"/>
      <c r="D1786" s="649"/>
      <c r="E1786" s="649"/>
      <c r="F1786" s="649"/>
      <c r="G1786" s="649"/>
      <c r="H1786" s="649"/>
      <c r="I1786" s="649"/>
      <c r="J1786" s="649"/>
      <c r="K1786" s="457"/>
      <c r="L1786" s="457"/>
      <c r="M1786" s="550"/>
      <c r="N1786" s="551"/>
      <c r="O1786" s="550"/>
      <c r="P1786" s="551"/>
      <c r="Q1786" s="457"/>
      <c r="R1786" s="490" t="str">
        <f t="shared" si="64"/>
        <v>DELETE</v>
      </c>
    </row>
    <row r="1787" spans="2:18" ht="31.5" customHeight="1" x14ac:dyDescent="0.5">
      <c r="B1787" s="501"/>
      <c r="C1787" s="515">
        <f>MAX(C1722:C1786)+0.1</f>
        <v>11.2</v>
      </c>
      <c r="D1787" s="575" t="s">
        <v>1523</v>
      </c>
      <c r="E1787" s="520"/>
      <c r="F1787" s="520"/>
      <c r="G1787" s="520"/>
      <c r="H1787" s="520"/>
      <c r="I1787" s="520"/>
      <c r="J1787" s="520"/>
      <c r="R1787" s="490" t="str">
        <f>IF(Criteria!J230+Criteria!J237=0,"DELETE"," ")</f>
        <v>DELETE</v>
      </c>
    </row>
    <row r="1788" spans="2:18" ht="31.5" customHeight="1" x14ac:dyDescent="0.5">
      <c r="B1788" s="501"/>
      <c r="C1788" s="515"/>
      <c r="D1788" s="575"/>
      <c r="E1788" s="520"/>
      <c r="F1788" s="520"/>
      <c r="G1788" s="520"/>
      <c r="H1788" s="520"/>
      <c r="I1788" s="520"/>
      <c r="J1788" s="520"/>
      <c r="R1788" s="490" t="str">
        <f>R1787</f>
        <v>DELETE</v>
      </c>
    </row>
    <row r="1789" spans="2:18" ht="31.5" customHeight="1" x14ac:dyDescent="0.5">
      <c r="B1789" s="501"/>
      <c r="C1789" s="515"/>
      <c r="H1789" s="607" t="str">
        <f>Criteria!G222</f>
        <v>Plant and</v>
      </c>
      <c r="I1789" s="607"/>
      <c r="J1789" s="607" t="str">
        <f>Criteria!H222</f>
        <v>Motor</v>
      </c>
      <c r="K1789" s="607" t="str">
        <f>Criteria!I222</f>
        <v>Electronic</v>
      </c>
      <c r="L1789" s="607"/>
      <c r="M1789" s="607" t="str">
        <f>Criteria!J222</f>
        <v>Furniture and</v>
      </c>
      <c r="N1789" s="607"/>
      <c r="O1789" s="607" t="s">
        <v>420</v>
      </c>
      <c r="R1789" s="490" t="str">
        <f>R$1787</f>
        <v>DELETE</v>
      </c>
    </row>
    <row r="1790" spans="2:18" ht="31.5" customHeight="1" x14ac:dyDescent="0.5">
      <c r="B1790" s="501"/>
      <c r="C1790" s="515"/>
      <c r="H1790" s="607" t="str">
        <f>Criteria!G223</f>
        <v>equipment</v>
      </c>
      <c r="I1790" s="607"/>
      <c r="J1790" s="607" t="str">
        <f>Criteria!H223</f>
        <v>vehicles</v>
      </c>
      <c r="K1790" s="607" t="str">
        <f>Criteria!I223</f>
        <v>equipment</v>
      </c>
      <c r="L1790" s="607"/>
      <c r="M1790" s="607" t="str">
        <f>Criteria!J223</f>
        <v>fittings</v>
      </c>
      <c r="N1790" s="607"/>
      <c r="O1790" s="607"/>
      <c r="R1790" s="490" t="str">
        <f>R$1787</f>
        <v>DELETE</v>
      </c>
    </row>
    <row r="1791" spans="2:18" ht="31.5" customHeight="1" x14ac:dyDescent="0.5">
      <c r="B1791" s="501"/>
      <c r="C1791" s="515"/>
      <c r="D1791" s="520" t="s">
        <v>1581</v>
      </c>
      <c r="E1791" s="520"/>
      <c r="F1791" s="670">
        <f>Criteria!G21</f>
        <v>45716</v>
      </c>
      <c r="G1791" s="670"/>
      <c r="H1791" s="503">
        <f>H1794-H1795</f>
        <v>0</v>
      </c>
      <c r="I1791" s="503"/>
      <c r="J1791" s="503">
        <f>J1794-J1795</f>
        <v>0</v>
      </c>
      <c r="K1791" s="503">
        <f>K1794-K1795</f>
        <v>0</v>
      </c>
      <c r="L1791" s="503"/>
      <c r="M1791" s="503">
        <f>M1794-M1795</f>
        <v>0</v>
      </c>
      <c r="N1791" s="503"/>
      <c r="O1791" s="503">
        <f>O1794-O1795</f>
        <v>0</v>
      </c>
      <c r="P1791" s="541"/>
      <c r="R1791" s="490" t="str">
        <f t="shared" ref="R1791:R1808" si="65">R$1787</f>
        <v>DELETE</v>
      </c>
    </row>
    <row r="1792" spans="2:18" ht="9" customHeight="1" x14ac:dyDescent="0.5">
      <c r="B1792" s="501"/>
      <c r="C1792" s="515"/>
      <c r="D1792" s="520"/>
      <c r="E1792" s="520"/>
      <c r="F1792" s="520"/>
      <c r="G1792" s="485"/>
      <c r="H1792" s="503"/>
      <c r="I1792" s="503"/>
      <c r="J1792" s="503"/>
      <c r="K1792" s="503"/>
      <c r="L1792" s="503"/>
      <c r="M1792" s="503"/>
      <c r="N1792" s="503"/>
      <c r="O1792" s="503"/>
      <c r="P1792" s="541"/>
      <c r="R1792" s="490" t="str">
        <f t="shared" si="65"/>
        <v>DELETE</v>
      </c>
    </row>
    <row r="1793" spans="2:18" ht="9" customHeight="1" x14ac:dyDescent="0.5">
      <c r="B1793" s="501"/>
      <c r="C1793" s="515"/>
      <c r="D1793" s="520"/>
      <c r="E1793" s="520"/>
      <c r="F1793" s="520"/>
      <c r="G1793" s="485"/>
      <c r="H1793" s="504"/>
      <c r="I1793" s="509"/>
      <c r="J1793" s="509"/>
      <c r="K1793" s="509"/>
      <c r="L1793" s="509"/>
      <c r="M1793" s="509"/>
      <c r="N1793" s="509"/>
      <c r="O1793" s="512"/>
      <c r="P1793" s="541"/>
      <c r="R1793" s="490" t="str">
        <f t="shared" si="65"/>
        <v>DELETE</v>
      </c>
    </row>
    <row r="1794" spans="2:18" ht="31.5" customHeight="1" x14ac:dyDescent="0.5">
      <c r="B1794" s="501"/>
      <c r="C1794" s="515"/>
      <c r="D1794" s="520" t="s">
        <v>416</v>
      </c>
      <c r="E1794" s="520"/>
      <c r="F1794" s="520"/>
      <c r="G1794" s="454"/>
      <c r="H1794" s="505">
        <f>Criteria!F233</f>
        <v>0</v>
      </c>
      <c r="I1794" s="503"/>
      <c r="J1794" s="503">
        <f>Criteria!G233</f>
        <v>0</v>
      </c>
      <c r="K1794" s="503">
        <f>Criteria!H233</f>
        <v>0</v>
      </c>
      <c r="L1794" s="503"/>
      <c r="M1794" s="503">
        <f>Criteria!I233</f>
        <v>0</v>
      </c>
      <c r="N1794" s="503"/>
      <c r="O1794" s="513">
        <f>SUM(H1794:M1794)</f>
        <v>0</v>
      </c>
      <c r="P1794" s="541"/>
      <c r="R1794" s="490" t="str">
        <f t="shared" si="65"/>
        <v>DELETE</v>
      </c>
    </row>
    <row r="1795" spans="2:18" ht="31.5" customHeight="1" x14ac:dyDescent="0.5">
      <c r="B1795" s="501"/>
      <c r="C1795" s="515"/>
      <c r="D1795" s="520" t="s">
        <v>1594</v>
      </c>
      <c r="E1795" s="520"/>
      <c r="F1795" s="520"/>
      <c r="G1795" s="454"/>
      <c r="H1795" s="505">
        <f>Criteria!F234</f>
        <v>0</v>
      </c>
      <c r="I1795" s="503"/>
      <c r="J1795" s="503">
        <f>Criteria!G234</f>
        <v>0</v>
      </c>
      <c r="K1795" s="503">
        <f>Criteria!H234</f>
        <v>0</v>
      </c>
      <c r="L1795" s="503"/>
      <c r="M1795" s="503">
        <f>Criteria!I234</f>
        <v>0</v>
      </c>
      <c r="N1795" s="503"/>
      <c r="O1795" s="513">
        <f>SUM(H1795:M1795)</f>
        <v>0</v>
      </c>
      <c r="P1795" s="541"/>
      <c r="R1795" s="490" t="str">
        <f t="shared" si="65"/>
        <v>DELETE</v>
      </c>
    </row>
    <row r="1796" spans="2:18" ht="9" customHeight="1" x14ac:dyDescent="0.5">
      <c r="B1796" s="501"/>
      <c r="C1796" s="515"/>
      <c r="D1796" s="520"/>
      <c r="E1796" s="520"/>
      <c r="F1796" s="520"/>
      <c r="G1796" s="454"/>
      <c r="H1796" s="506"/>
      <c r="I1796" s="507"/>
      <c r="J1796" s="507"/>
      <c r="K1796" s="507"/>
      <c r="L1796" s="507"/>
      <c r="M1796" s="507"/>
      <c r="N1796" s="507"/>
      <c r="O1796" s="514"/>
      <c r="P1796" s="541"/>
      <c r="R1796" s="490" t="str">
        <f t="shared" si="65"/>
        <v>DELETE</v>
      </c>
    </row>
    <row r="1797" spans="2:18" ht="9" customHeight="1" x14ac:dyDescent="0.5">
      <c r="B1797" s="501"/>
      <c r="C1797" s="515"/>
      <c r="D1797" s="520"/>
      <c r="E1797" s="520"/>
      <c r="F1797" s="520"/>
      <c r="G1797" s="454"/>
      <c r="H1797" s="503"/>
      <c r="I1797" s="503"/>
      <c r="J1797" s="503"/>
      <c r="K1797" s="503"/>
      <c r="L1797" s="503"/>
      <c r="M1797" s="503"/>
      <c r="N1797" s="503"/>
      <c r="O1797" s="503"/>
      <c r="P1797" s="541"/>
      <c r="R1797" s="490" t="str">
        <f t="shared" si="65"/>
        <v>DELETE</v>
      </c>
    </row>
    <row r="1798" spans="2:18" ht="31.5" customHeight="1" x14ac:dyDescent="0.5">
      <c r="B1798" s="501"/>
      <c r="C1798" s="515"/>
      <c r="D1798" s="520" t="s">
        <v>1581</v>
      </c>
      <c r="E1798" s="520"/>
      <c r="F1798" s="670">
        <f>Criteria!G20</f>
        <v>46081</v>
      </c>
      <c r="G1798" s="670"/>
      <c r="H1798" s="503">
        <f>H1801-H1802</f>
        <v>0</v>
      </c>
      <c r="I1798" s="503"/>
      <c r="J1798" s="503">
        <f>J1801-J1802</f>
        <v>0</v>
      </c>
      <c r="K1798" s="503">
        <f>K1801-K1802</f>
        <v>0</v>
      </c>
      <c r="L1798" s="503"/>
      <c r="M1798" s="503">
        <f>M1801-M1802</f>
        <v>0</v>
      </c>
      <c r="N1798" s="503"/>
      <c r="O1798" s="503">
        <f>O1801-O1802</f>
        <v>0</v>
      </c>
      <c r="P1798" s="541"/>
      <c r="R1798" s="490" t="str">
        <f t="shared" si="65"/>
        <v>DELETE</v>
      </c>
    </row>
    <row r="1799" spans="2:18" ht="9" customHeight="1" x14ac:dyDescent="0.5">
      <c r="B1799" s="501"/>
      <c r="C1799" s="515"/>
      <c r="D1799" s="520"/>
      <c r="E1799" s="520"/>
      <c r="F1799" s="520"/>
      <c r="G1799" s="485"/>
      <c r="H1799" s="503"/>
      <c r="I1799" s="503"/>
      <c r="J1799" s="503"/>
      <c r="K1799" s="503"/>
      <c r="L1799" s="503"/>
      <c r="M1799" s="503"/>
      <c r="N1799" s="503"/>
      <c r="O1799" s="503"/>
      <c r="P1799" s="541"/>
      <c r="R1799" s="490" t="str">
        <f t="shared" si="65"/>
        <v>DELETE</v>
      </c>
    </row>
    <row r="1800" spans="2:18" ht="9" customHeight="1" x14ac:dyDescent="0.5">
      <c r="B1800" s="501"/>
      <c r="C1800" s="515"/>
      <c r="D1800" s="520"/>
      <c r="E1800" s="520"/>
      <c r="F1800" s="520"/>
      <c r="G1800" s="485"/>
      <c r="H1800" s="504"/>
      <c r="I1800" s="509"/>
      <c r="J1800" s="509"/>
      <c r="K1800" s="509"/>
      <c r="L1800" s="509"/>
      <c r="M1800" s="509"/>
      <c r="N1800" s="509"/>
      <c r="O1800" s="512"/>
      <c r="P1800" s="541"/>
      <c r="R1800" s="490" t="str">
        <f t="shared" si="65"/>
        <v>DELETE</v>
      </c>
    </row>
    <row r="1801" spans="2:18" ht="31.5" customHeight="1" x14ac:dyDescent="0.5">
      <c r="B1801" s="501"/>
      <c r="C1801" s="515"/>
      <c r="D1801" s="520" t="s">
        <v>416</v>
      </c>
      <c r="E1801" s="520"/>
      <c r="F1801" s="520"/>
      <c r="G1801" s="454"/>
      <c r="H1801" s="505">
        <f>Criteria!F240</f>
        <v>0</v>
      </c>
      <c r="I1801" s="503"/>
      <c r="J1801" s="503">
        <f>Criteria!G240</f>
        <v>0</v>
      </c>
      <c r="K1801" s="503">
        <f>Criteria!H240</f>
        <v>0</v>
      </c>
      <c r="L1801" s="503"/>
      <c r="M1801" s="503">
        <f>Criteria!I240</f>
        <v>0</v>
      </c>
      <c r="N1801" s="503"/>
      <c r="O1801" s="513">
        <f>SUM(H1801:M1801)</f>
        <v>0</v>
      </c>
      <c r="P1801" s="541"/>
      <c r="R1801" s="490" t="str">
        <f t="shared" si="65"/>
        <v>DELETE</v>
      </c>
    </row>
    <row r="1802" spans="2:18" ht="31.5" customHeight="1" x14ac:dyDescent="0.5">
      <c r="B1802" s="501"/>
      <c r="C1802" s="515"/>
      <c r="D1802" s="520" t="s">
        <v>1594</v>
      </c>
      <c r="E1802" s="520"/>
      <c r="F1802" s="520"/>
      <c r="G1802" s="454"/>
      <c r="H1802" s="505">
        <f>Criteria!F241</f>
        <v>0</v>
      </c>
      <c r="I1802" s="503"/>
      <c r="J1802" s="503">
        <f>Criteria!G241</f>
        <v>0</v>
      </c>
      <c r="K1802" s="503">
        <f>Criteria!H241</f>
        <v>0</v>
      </c>
      <c r="L1802" s="503"/>
      <c r="M1802" s="503">
        <f>Criteria!I241</f>
        <v>0</v>
      </c>
      <c r="N1802" s="503"/>
      <c r="O1802" s="513">
        <f>SUM(H1802:M1802)</f>
        <v>0</v>
      </c>
      <c r="P1802" s="541"/>
      <c r="R1802" s="490" t="str">
        <f t="shared" si="65"/>
        <v>DELETE</v>
      </c>
    </row>
    <row r="1803" spans="2:18" ht="9" customHeight="1" x14ac:dyDescent="0.5">
      <c r="B1803" s="501"/>
      <c r="C1803" s="515"/>
      <c r="D1803" s="520"/>
      <c r="E1803" s="520"/>
      <c r="F1803" s="520"/>
      <c r="G1803" s="454"/>
      <c r="H1803" s="506"/>
      <c r="I1803" s="507"/>
      <c r="J1803" s="507"/>
      <c r="K1803" s="507"/>
      <c r="L1803" s="507"/>
      <c r="M1803" s="507"/>
      <c r="N1803" s="507"/>
      <c r="O1803" s="514"/>
      <c r="P1803" s="541"/>
      <c r="R1803" s="490" t="str">
        <f t="shared" si="65"/>
        <v>DELETE</v>
      </c>
    </row>
    <row r="1804" spans="2:18" ht="9" customHeight="1" x14ac:dyDescent="0.5">
      <c r="B1804" s="501"/>
      <c r="C1804" s="515"/>
      <c r="D1804" s="520"/>
      <c r="E1804" s="520"/>
      <c r="F1804" s="520"/>
      <c r="H1804" s="502"/>
      <c r="I1804" s="502"/>
      <c r="J1804" s="502"/>
      <c r="K1804" s="502"/>
      <c r="L1804" s="502"/>
      <c r="N1804" s="539"/>
      <c r="R1804" s="490" t="str">
        <f t="shared" si="65"/>
        <v>DELETE</v>
      </c>
    </row>
    <row r="1805" spans="2:18" ht="31.5" customHeight="1" x14ac:dyDescent="0.45">
      <c r="B1805" s="501"/>
      <c r="C1805" s="515"/>
      <c r="D1805" s="592"/>
      <c r="E1805" s="592"/>
      <c r="F1805" s="592"/>
      <c r="R1805" s="490" t="str">
        <f t="shared" si="65"/>
        <v>DELETE</v>
      </c>
    </row>
    <row r="1806" spans="2:18" ht="31.5" customHeight="1" x14ac:dyDescent="0.45">
      <c r="B1806" s="501"/>
      <c r="C1806" s="515"/>
      <c r="R1806" s="490" t="str">
        <f t="shared" si="65"/>
        <v>DELETE</v>
      </c>
    </row>
    <row r="1807" spans="2:18" ht="31.5" customHeight="1" x14ac:dyDescent="0.45">
      <c r="B1807" s="501"/>
      <c r="C1807" s="515"/>
      <c r="M1807" s="544"/>
      <c r="N1807" s="545"/>
      <c r="O1807" s="544"/>
      <c r="P1807" s="545"/>
      <c r="R1807" s="490" t="str">
        <f t="shared" si="65"/>
        <v>DELETE</v>
      </c>
    </row>
    <row r="1808" spans="2:18" ht="31.5" customHeight="1" x14ac:dyDescent="0.45">
      <c r="B1808" s="502"/>
      <c r="C1808" s="515"/>
      <c r="R1808" s="490" t="str">
        <f t="shared" si="65"/>
        <v>DELETE</v>
      </c>
    </row>
    <row r="1809" spans="2:22" ht="36" customHeight="1" x14ac:dyDescent="0.5">
      <c r="B1809" s="502"/>
      <c r="C1809" s="520"/>
      <c r="D1809" s="520"/>
      <c r="E1809" s="520"/>
      <c r="F1809" s="520"/>
      <c r="G1809" s="520"/>
      <c r="H1809" s="520"/>
      <c r="I1809" s="520"/>
      <c r="J1809" s="520"/>
      <c r="M1809" s="540"/>
      <c r="O1809" s="454" t="s">
        <v>112</v>
      </c>
      <c r="Q1809" s="450">
        <f>MAX($Q$103:Q1808)+1</f>
        <v>47</v>
      </c>
      <c r="R1809" s="490" t="str">
        <f>R$1819</f>
        <v>DELETE</v>
      </c>
    </row>
    <row r="1810" spans="2:22" ht="36" customHeight="1" x14ac:dyDescent="0.5">
      <c r="B1810" s="502"/>
      <c r="C1810" s="631"/>
      <c r="D1810" s="630" t="str">
        <f>Criteria!E9</f>
        <v>ABC COMPANY (PROPRIETARY) LIMITED</v>
      </c>
      <c r="E1810" s="631"/>
      <c r="F1810" s="631"/>
      <c r="G1810" s="631"/>
      <c r="H1810" s="631"/>
      <c r="I1810" s="631"/>
      <c r="J1810" s="631"/>
      <c r="M1810" s="540"/>
      <c r="O1810" s="540"/>
      <c r="R1810" s="490" t="str">
        <f>R$1819</f>
        <v>DELETE</v>
      </c>
    </row>
    <row r="1811" spans="2:22" ht="36" customHeight="1" x14ac:dyDescent="0.5">
      <c r="B1811" s="502"/>
      <c r="C1811" s="631"/>
      <c r="D1811" s="630" t="str">
        <f>Criteria!E10</f>
        <v>T/A SEAFRONT HOTEL, ABC RESTAURANT AND RENTAL PROPERTIES</v>
      </c>
      <c r="E1811" s="631"/>
      <c r="F1811" s="631"/>
      <c r="G1811" s="631"/>
      <c r="H1811" s="631"/>
      <c r="I1811" s="631"/>
      <c r="J1811" s="631"/>
      <c r="M1811" s="540"/>
      <c r="O1811" s="540"/>
      <c r="R1811" s="490" t="str">
        <f>IF(R$1819="DELETE","DELETE",IF(D1811=0,"DELETE"," "))</f>
        <v>DELETE</v>
      </c>
    </row>
    <row r="1812" spans="2:22" ht="36" customHeight="1" x14ac:dyDescent="0.5">
      <c r="B1812" s="502"/>
      <c r="C1812" s="631"/>
      <c r="D1812" s="631"/>
      <c r="E1812" s="631"/>
      <c r="F1812" s="631"/>
      <c r="G1812" s="631"/>
      <c r="H1812" s="631"/>
      <c r="I1812" s="631"/>
      <c r="J1812" s="631"/>
      <c r="M1812" s="540"/>
      <c r="O1812" s="540"/>
      <c r="R1812" s="490" t="str">
        <f t="shared" ref="R1812:R1818" si="66">R$1819</f>
        <v>DELETE</v>
      </c>
    </row>
    <row r="1813" spans="2:22" ht="36" customHeight="1" x14ac:dyDescent="0.5">
      <c r="B1813" s="502"/>
      <c r="C1813" s="631"/>
      <c r="D1813" s="630" t="s">
        <v>415</v>
      </c>
      <c r="E1813" s="631"/>
      <c r="F1813" s="631"/>
      <c r="G1813" s="631"/>
      <c r="H1813" s="631"/>
      <c r="I1813" s="631"/>
      <c r="J1813" s="631"/>
      <c r="M1813" s="540"/>
      <c r="O1813" s="540"/>
      <c r="R1813" s="490" t="str">
        <f t="shared" si="66"/>
        <v>DELETE</v>
      </c>
    </row>
    <row r="1814" spans="2:22" ht="36" customHeight="1" x14ac:dyDescent="0.5">
      <c r="B1814" s="502"/>
      <c r="C1814" s="631"/>
      <c r="D1814" s="630" t="str">
        <f>Criteria!E20</f>
        <v>28 FEBRUARY 2026</v>
      </c>
      <c r="E1814" s="631"/>
      <c r="F1814" s="631"/>
      <c r="G1814" s="631"/>
      <c r="H1814" s="631"/>
      <c r="I1814" s="631"/>
      <c r="J1814" s="631" t="s">
        <v>282</v>
      </c>
      <c r="M1814" s="540"/>
      <c r="O1814" s="540"/>
      <c r="R1814" s="490" t="str">
        <f t="shared" si="66"/>
        <v>DELETE</v>
      </c>
    </row>
    <row r="1815" spans="2:22" ht="36" customHeight="1" x14ac:dyDescent="0.5">
      <c r="B1815" s="502"/>
      <c r="C1815" s="631"/>
      <c r="D1815" s="631"/>
      <c r="E1815" s="631"/>
      <c r="F1815" s="631"/>
      <c r="G1815" s="631"/>
      <c r="H1815" s="631"/>
      <c r="I1815" s="631"/>
      <c r="J1815" s="631"/>
      <c r="M1815" s="540"/>
      <c r="O1815" s="540"/>
      <c r="R1815" s="490" t="str">
        <f t="shared" si="66"/>
        <v>DELETE</v>
      </c>
    </row>
    <row r="1816" spans="2:22" ht="36" customHeight="1" x14ac:dyDescent="0.5">
      <c r="B1816" s="641"/>
      <c r="C1816" s="649"/>
      <c r="D1816" s="649"/>
      <c r="E1816" s="649"/>
      <c r="F1816" s="649"/>
      <c r="G1816" s="649"/>
      <c r="H1816" s="649"/>
      <c r="I1816" s="649"/>
      <c r="J1816" s="649"/>
      <c r="K1816" s="457"/>
      <c r="L1816" s="457"/>
      <c r="M1816" s="551"/>
      <c r="N1816" s="551"/>
      <c r="O1816" s="551"/>
      <c r="P1816" s="551"/>
      <c r="Q1816" s="457"/>
      <c r="R1816" s="490" t="str">
        <f t="shared" si="66"/>
        <v>DELETE</v>
      </c>
    </row>
    <row r="1817" spans="2:22" ht="36" customHeight="1" x14ac:dyDescent="0.5">
      <c r="B1817" s="502"/>
      <c r="C1817" s="631"/>
      <c r="D1817" s="631"/>
      <c r="E1817" s="631"/>
      <c r="F1817" s="631"/>
      <c r="G1817" s="631"/>
      <c r="H1817" s="631"/>
      <c r="I1817" s="631"/>
      <c r="J1817" s="631"/>
      <c r="M1817" s="488">
        <f>Criteria!E22</f>
        <v>2026</v>
      </c>
      <c r="N1817" s="488"/>
      <c r="O1817" s="488">
        <f>Criteria!E27</f>
        <v>2025</v>
      </c>
      <c r="P1817" s="545"/>
      <c r="R1817" s="490" t="str">
        <f t="shared" si="66"/>
        <v>DELETE</v>
      </c>
    </row>
    <row r="1818" spans="2:22" ht="36" customHeight="1" x14ac:dyDescent="0.5">
      <c r="B1818" s="502"/>
      <c r="C1818" s="631"/>
      <c r="D1818" s="631"/>
      <c r="E1818" s="631"/>
      <c r="F1818" s="631"/>
      <c r="G1818" s="631"/>
      <c r="H1818" s="631"/>
      <c r="I1818" s="631"/>
      <c r="J1818" s="631"/>
      <c r="M1818" s="545"/>
      <c r="N1818" s="545"/>
      <c r="O1818" s="545"/>
      <c r="P1818" s="545"/>
      <c r="R1818" s="490" t="str">
        <f t="shared" si="66"/>
        <v>DELETE</v>
      </c>
    </row>
    <row r="1819" spans="2:22" ht="36" customHeight="1" x14ac:dyDescent="0.5">
      <c r="B1819" s="501">
        <f>MAX(B$871:B1818)+1</f>
        <v>12</v>
      </c>
      <c r="C1819" s="630" t="s">
        <v>1313</v>
      </c>
      <c r="D1819" s="631"/>
      <c r="E1819" s="631"/>
      <c r="F1819" s="631"/>
      <c r="G1819" s="631"/>
      <c r="H1819" s="631"/>
      <c r="I1819" s="631"/>
      <c r="J1819" s="631"/>
      <c r="M1819" s="545"/>
      <c r="N1819" s="545"/>
      <c r="O1819" s="545"/>
      <c r="P1819" s="545"/>
      <c r="R1819" s="490" t="str">
        <f>IF(TrialBalance!N241+TrialBalance!N242+TrialBalance!N244+TrialBalance!L241+TrialBalance!L242+TrialBalance!L244=0,"DELETE"," ")</f>
        <v>DELETE</v>
      </c>
    </row>
    <row r="1820" spans="2:22" ht="36" customHeight="1" x14ac:dyDescent="0.5">
      <c r="B1820" s="501"/>
      <c r="C1820" s="630"/>
      <c r="D1820" s="631"/>
      <c r="E1820" s="631"/>
      <c r="F1820" s="631"/>
      <c r="G1820" s="631"/>
      <c r="H1820" s="631"/>
      <c r="I1820" s="631"/>
      <c r="J1820" s="631"/>
      <c r="M1820" s="545"/>
      <c r="N1820" s="545"/>
      <c r="O1820" s="545"/>
      <c r="P1820" s="545"/>
      <c r="R1820" s="490" t="str">
        <f t="shared" ref="R1820:R1831" si="67">R$1819</f>
        <v>DELETE</v>
      </c>
    </row>
    <row r="1821" spans="2:22" ht="36" customHeight="1" x14ac:dyDescent="0.5">
      <c r="B1821" s="502"/>
      <c r="C1821" s="631" t="s">
        <v>1292</v>
      </c>
      <c r="D1821" s="631"/>
      <c r="E1821" s="631"/>
      <c r="F1821" s="631"/>
      <c r="G1821" s="648"/>
      <c r="H1821" s="631"/>
      <c r="I1821" s="648"/>
      <c r="J1821" s="648"/>
      <c r="K1821" s="526"/>
      <c r="M1821" s="458">
        <f>M1824+M1825</f>
        <v>0</v>
      </c>
      <c r="N1821" s="458"/>
      <c r="O1821" s="458">
        <f>O1824+O1825</f>
        <v>0</v>
      </c>
      <c r="P1821" s="545"/>
      <c r="R1821" s="490" t="str">
        <f t="shared" si="67"/>
        <v>DELETE</v>
      </c>
      <c r="V1821" s="491" t="b">
        <f>M1821=O1850</f>
        <v>1</v>
      </c>
    </row>
    <row r="1822" spans="2:22" ht="9" customHeight="1" x14ac:dyDescent="0.5">
      <c r="B1822" s="502"/>
      <c r="C1822" s="631"/>
      <c r="D1822" s="631"/>
      <c r="E1822" s="631"/>
      <c r="F1822" s="631"/>
      <c r="G1822" s="631"/>
      <c r="H1822" s="631"/>
      <c r="I1822" s="648"/>
      <c r="J1822" s="631"/>
      <c r="M1822" s="458"/>
      <c r="N1822" s="458"/>
      <c r="O1822" s="458"/>
      <c r="P1822" s="545"/>
      <c r="R1822" s="490" t="str">
        <f t="shared" si="67"/>
        <v>DELETE</v>
      </c>
    </row>
    <row r="1823" spans="2:22" ht="9" customHeight="1" x14ac:dyDescent="0.5">
      <c r="B1823" s="502"/>
      <c r="C1823" s="631"/>
      <c r="D1823" s="631"/>
      <c r="E1823" s="631"/>
      <c r="F1823" s="631"/>
      <c r="G1823" s="631"/>
      <c r="H1823" s="631"/>
      <c r="I1823" s="648"/>
      <c r="J1823" s="631"/>
      <c r="M1823" s="578"/>
      <c r="N1823" s="459"/>
      <c r="O1823" s="579"/>
      <c r="P1823" s="545"/>
      <c r="R1823" s="490" t="str">
        <f t="shared" si="67"/>
        <v>DELETE</v>
      </c>
    </row>
    <row r="1824" spans="2:22" ht="36" customHeight="1" x14ac:dyDescent="0.5">
      <c r="B1824" s="502"/>
      <c r="C1824" s="631" t="s">
        <v>416</v>
      </c>
      <c r="D1824" s="631"/>
      <c r="E1824" s="631"/>
      <c r="F1824" s="631"/>
      <c r="G1824" s="631"/>
      <c r="H1824" s="631"/>
      <c r="I1824" s="648"/>
      <c r="J1824" s="631"/>
      <c r="M1824" s="580">
        <f>TrialBalance!L241</f>
        <v>0</v>
      </c>
      <c r="N1824" s="475"/>
      <c r="O1824" s="581">
        <f>TrialBalance!N241</f>
        <v>0</v>
      </c>
      <c r="P1824" s="545"/>
      <c r="R1824" s="490" t="str">
        <f t="shared" si="67"/>
        <v>DELETE</v>
      </c>
      <c r="S1824" s="495">
        <f>M1824</f>
        <v>0</v>
      </c>
      <c r="U1824" s="495">
        <f>O1824</f>
        <v>0</v>
      </c>
      <c r="V1824" s="491" t="b">
        <f>M1824=O1854</f>
        <v>1</v>
      </c>
    </row>
    <row r="1825" spans="2:22" ht="36" customHeight="1" x14ac:dyDescent="0.5">
      <c r="B1825" s="502"/>
      <c r="C1825" s="631" t="s">
        <v>1595</v>
      </c>
      <c r="D1825" s="631"/>
      <c r="E1825" s="631"/>
      <c r="F1825" s="631"/>
      <c r="G1825" s="631"/>
      <c r="H1825" s="631"/>
      <c r="I1825" s="648"/>
      <c r="J1825" s="631"/>
      <c r="M1825" s="580">
        <f>TrialBalance!L247</f>
        <v>0</v>
      </c>
      <c r="N1825" s="475"/>
      <c r="O1825" s="581">
        <f>TrialBalance!N247</f>
        <v>0</v>
      </c>
      <c r="P1825" s="545"/>
      <c r="R1825" s="490" t="str">
        <f t="shared" si="67"/>
        <v>DELETE</v>
      </c>
      <c r="S1825" s="495">
        <f>M1825</f>
        <v>0</v>
      </c>
      <c r="U1825" s="495">
        <f>O1825</f>
        <v>0</v>
      </c>
      <c r="V1825" s="491" t="b">
        <f>M1825=O1855</f>
        <v>1</v>
      </c>
    </row>
    <row r="1826" spans="2:22" ht="9" customHeight="1" x14ac:dyDescent="0.5">
      <c r="B1826" s="502"/>
      <c r="C1826" s="631"/>
      <c r="D1826" s="631"/>
      <c r="E1826" s="631"/>
      <c r="F1826" s="631"/>
      <c r="G1826" s="631"/>
      <c r="H1826" s="631"/>
      <c r="I1826" s="648"/>
      <c r="J1826" s="631"/>
      <c r="M1826" s="460"/>
      <c r="N1826" s="461"/>
      <c r="O1826" s="582"/>
      <c r="P1826" s="545"/>
      <c r="R1826" s="490" t="str">
        <f t="shared" si="67"/>
        <v>DELETE</v>
      </c>
    </row>
    <row r="1827" spans="2:22" ht="9" customHeight="1" x14ac:dyDescent="0.5">
      <c r="B1827" s="502"/>
      <c r="C1827" s="631"/>
      <c r="D1827" s="631"/>
      <c r="E1827" s="631"/>
      <c r="F1827" s="631"/>
      <c r="G1827" s="631"/>
      <c r="H1827" s="631"/>
      <c r="I1827" s="648"/>
      <c r="J1827" s="631"/>
      <c r="M1827" s="458"/>
      <c r="N1827" s="458"/>
      <c r="O1827" s="458"/>
      <c r="P1827" s="545"/>
      <c r="R1827" s="490" t="str">
        <f t="shared" si="67"/>
        <v>DELETE</v>
      </c>
    </row>
    <row r="1828" spans="2:22" ht="36.75" customHeight="1" x14ac:dyDescent="0.5">
      <c r="B1828" s="502"/>
      <c r="C1828" s="631" t="s">
        <v>422</v>
      </c>
      <c r="D1828" s="631"/>
      <c r="E1828" s="631"/>
      <c r="F1828" s="631"/>
      <c r="G1828" s="631"/>
      <c r="H1828" s="631"/>
      <c r="I1828" s="648"/>
      <c r="J1828" s="631"/>
      <c r="M1828" s="458">
        <f>TrialBalance!L242</f>
        <v>0</v>
      </c>
      <c r="N1828" s="458"/>
      <c r="O1828" s="458">
        <f>TrialBalance!N242</f>
        <v>0</v>
      </c>
      <c r="P1828" s="545"/>
      <c r="R1828" s="490" t="str">
        <f t="shared" si="67"/>
        <v>DELETE</v>
      </c>
      <c r="S1828" s="495">
        <f>M1828</f>
        <v>0</v>
      </c>
      <c r="U1828" s="495">
        <f>O1828</f>
        <v>0</v>
      </c>
    </row>
    <row r="1829" spans="2:22" ht="9" customHeight="1" x14ac:dyDescent="0.5">
      <c r="B1829" s="502"/>
      <c r="C1829" s="631"/>
      <c r="D1829" s="631"/>
      <c r="E1829" s="631"/>
      <c r="F1829" s="631"/>
      <c r="G1829" s="631"/>
      <c r="H1829" s="631"/>
      <c r="I1829" s="648"/>
      <c r="J1829" s="631"/>
      <c r="M1829" s="461"/>
      <c r="N1829" s="461"/>
      <c r="O1829" s="461"/>
      <c r="P1829" s="545"/>
      <c r="R1829" s="490" t="str">
        <f t="shared" si="67"/>
        <v>DELETE</v>
      </c>
    </row>
    <row r="1830" spans="2:22" ht="9" customHeight="1" x14ac:dyDescent="0.5">
      <c r="B1830" s="502"/>
      <c r="C1830" s="631"/>
      <c r="D1830" s="631"/>
      <c r="E1830" s="631"/>
      <c r="F1830" s="631"/>
      <c r="G1830" s="631"/>
      <c r="H1830" s="631"/>
      <c r="I1830" s="648"/>
      <c r="J1830" s="631"/>
      <c r="M1830" s="458"/>
      <c r="N1830" s="458"/>
      <c r="O1830" s="458"/>
      <c r="P1830" s="545"/>
      <c r="R1830" s="490" t="str">
        <f t="shared" si="67"/>
        <v>DELETE</v>
      </c>
    </row>
    <row r="1831" spans="2:22" ht="36" customHeight="1" x14ac:dyDescent="0.5">
      <c r="B1831" s="502"/>
      <c r="C1831" s="631"/>
      <c r="D1831" s="631"/>
      <c r="E1831" s="631"/>
      <c r="F1831" s="631"/>
      <c r="G1831" s="631"/>
      <c r="H1831" s="631"/>
      <c r="I1831" s="648"/>
      <c r="J1831" s="631"/>
      <c r="M1831" s="458">
        <f>M1821+M1828</f>
        <v>0</v>
      </c>
      <c r="N1831" s="458"/>
      <c r="O1831" s="458">
        <f>O1821+O1828</f>
        <v>0</v>
      </c>
      <c r="P1831" s="545"/>
      <c r="R1831" s="490" t="str">
        <f t="shared" si="67"/>
        <v>DELETE</v>
      </c>
    </row>
    <row r="1832" spans="2:22" ht="36" customHeight="1" x14ac:dyDescent="0.5">
      <c r="B1832" s="502"/>
      <c r="C1832" s="631" t="s">
        <v>1323</v>
      </c>
      <c r="D1832" s="631"/>
      <c r="E1832" s="631"/>
      <c r="F1832" s="631"/>
      <c r="G1832" s="631"/>
      <c r="H1832" s="631"/>
      <c r="I1832" s="648"/>
      <c r="J1832" s="631"/>
      <c r="M1832" s="458">
        <f>TrialBalance!L244</f>
        <v>0</v>
      </c>
      <c r="N1832" s="458"/>
      <c r="O1832" s="458">
        <f>TrialBalance!N244</f>
        <v>0</v>
      </c>
      <c r="P1832" s="545"/>
      <c r="R1832" s="490" t="str">
        <f>IF(M1832+O1832=0,"DELETE"," ")</f>
        <v>DELETE</v>
      </c>
      <c r="S1832" s="495">
        <f>M1832</f>
        <v>0</v>
      </c>
      <c r="U1832" s="495">
        <f>O1832</f>
        <v>0</v>
      </c>
    </row>
    <row r="1833" spans="2:22" ht="36" customHeight="1" x14ac:dyDescent="0.5">
      <c r="B1833" s="502"/>
      <c r="C1833" s="631" t="s">
        <v>1324</v>
      </c>
      <c r="D1833" s="631"/>
      <c r="E1833" s="631"/>
      <c r="F1833" s="631"/>
      <c r="G1833" s="631"/>
      <c r="H1833" s="631"/>
      <c r="I1833" s="648"/>
      <c r="J1833" s="631"/>
      <c r="M1833" s="458">
        <f>TrialBalance!L248</f>
        <v>0</v>
      </c>
      <c r="N1833" s="458"/>
      <c r="O1833" s="458">
        <f>TrialBalance!N248</f>
        <v>0</v>
      </c>
      <c r="P1833" s="545"/>
      <c r="R1833" s="490" t="str">
        <f>IF(M1833+O1833=0,"DELETE"," ")</f>
        <v>DELETE</v>
      </c>
      <c r="S1833" s="495">
        <f>M1833</f>
        <v>0</v>
      </c>
      <c r="U1833" s="495">
        <f>O1833</f>
        <v>0</v>
      </c>
    </row>
    <row r="1834" spans="2:22" ht="36" customHeight="1" x14ac:dyDescent="0.5">
      <c r="B1834" s="502"/>
      <c r="C1834" s="631" t="s">
        <v>179</v>
      </c>
      <c r="D1834" s="631"/>
      <c r="E1834" s="631"/>
      <c r="F1834" s="631"/>
      <c r="G1834" s="631"/>
      <c r="H1834" s="631"/>
      <c r="I1834" s="648"/>
      <c r="J1834" s="631"/>
      <c r="M1834" s="458">
        <f>-SUM(S1836:S1839)</f>
        <v>0</v>
      </c>
      <c r="N1834" s="458"/>
      <c r="O1834" s="458">
        <f>-SUM(U1836:U1839)</f>
        <v>0</v>
      </c>
      <c r="P1834" s="545"/>
      <c r="R1834" s="490" t="str">
        <f>IF(M1834+O1834=0,"DELETE"," ")</f>
        <v>DELETE</v>
      </c>
    </row>
    <row r="1835" spans="2:22" ht="9" customHeight="1" x14ac:dyDescent="0.5">
      <c r="B1835" s="502"/>
      <c r="C1835" s="631"/>
      <c r="D1835" s="631"/>
      <c r="E1835" s="631"/>
      <c r="F1835" s="631"/>
      <c r="G1835" s="631"/>
      <c r="H1835" s="631"/>
      <c r="I1835" s="648"/>
      <c r="J1835" s="631"/>
      <c r="M1835" s="458"/>
      <c r="N1835" s="458"/>
      <c r="O1835" s="458"/>
      <c r="P1835" s="545"/>
      <c r="R1835" s="490" t="str">
        <f>R$1834</f>
        <v>DELETE</v>
      </c>
    </row>
    <row r="1836" spans="2:22" ht="9" customHeight="1" x14ac:dyDescent="0.5">
      <c r="B1836" s="502"/>
      <c r="C1836" s="631"/>
      <c r="D1836" s="631"/>
      <c r="E1836" s="631"/>
      <c r="F1836" s="631"/>
      <c r="G1836" s="631"/>
      <c r="H1836" s="631"/>
      <c r="I1836" s="648"/>
      <c r="J1836" s="631"/>
      <c r="M1836" s="578"/>
      <c r="N1836" s="459"/>
      <c r="O1836" s="579"/>
      <c r="P1836" s="545"/>
      <c r="R1836" s="490" t="str">
        <f>R$1834</f>
        <v>DELETE</v>
      </c>
    </row>
    <row r="1837" spans="2:22" ht="36" customHeight="1" x14ac:dyDescent="0.5">
      <c r="B1837" s="502"/>
      <c r="C1837" s="631" t="s">
        <v>416</v>
      </c>
      <c r="D1837" s="631"/>
      <c r="E1837" s="631"/>
      <c r="F1837" s="631"/>
      <c r="G1837" s="631"/>
      <c r="H1837" s="631"/>
      <c r="I1837" s="648"/>
      <c r="J1837" s="631"/>
      <c r="M1837" s="580">
        <f>-TrialBalance!L243</f>
        <v>0</v>
      </c>
      <c r="N1837" s="475"/>
      <c r="O1837" s="581">
        <f>-TrialBalance!N243</f>
        <v>0</v>
      </c>
      <c r="P1837" s="545"/>
      <c r="R1837" s="490" t="str">
        <f t="shared" ref="R1837:R1838" si="68">IF(M1837+O1837=0,"DELETE"," ")</f>
        <v>DELETE</v>
      </c>
      <c r="S1837" s="495">
        <f>-M1837</f>
        <v>0</v>
      </c>
      <c r="U1837" s="495">
        <f>-O1837</f>
        <v>0</v>
      </c>
    </row>
    <row r="1838" spans="2:22" ht="36" customHeight="1" x14ac:dyDescent="0.5">
      <c r="B1838" s="502"/>
      <c r="C1838" s="631" t="s">
        <v>1595</v>
      </c>
      <c r="D1838" s="631"/>
      <c r="E1838" s="631"/>
      <c r="F1838" s="631"/>
      <c r="G1838" s="631"/>
      <c r="H1838" s="631"/>
      <c r="I1838" s="648"/>
      <c r="J1838" s="631"/>
      <c r="M1838" s="580">
        <f>-TrialBalance!L249</f>
        <v>0</v>
      </c>
      <c r="N1838" s="475"/>
      <c r="O1838" s="581">
        <f>-TrialBalance!N249</f>
        <v>0</v>
      </c>
      <c r="P1838" s="545"/>
      <c r="R1838" s="490" t="str">
        <f t="shared" si="68"/>
        <v>DELETE</v>
      </c>
      <c r="S1838" s="495">
        <f>-M1838</f>
        <v>0</v>
      </c>
      <c r="U1838" s="495">
        <f>-O1838</f>
        <v>0</v>
      </c>
    </row>
    <row r="1839" spans="2:22" ht="9" customHeight="1" x14ac:dyDescent="0.5">
      <c r="B1839" s="502"/>
      <c r="C1839" s="631"/>
      <c r="D1839" s="631"/>
      <c r="E1839" s="631"/>
      <c r="F1839" s="631"/>
      <c r="G1839" s="631"/>
      <c r="H1839" s="631"/>
      <c r="I1839" s="648"/>
      <c r="J1839" s="631"/>
      <c r="M1839" s="460"/>
      <c r="N1839" s="461"/>
      <c r="O1839" s="582"/>
      <c r="P1839" s="545"/>
      <c r="R1839" s="490" t="str">
        <f t="shared" ref="R1839:R1840" si="69">R$1834</f>
        <v>DELETE</v>
      </c>
    </row>
    <row r="1840" spans="2:22" ht="9" customHeight="1" x14ac:dyDescent="0.5">
      <c r="B1840" s="502"/>
      <c r="C1840" s="631"/>
      <c r="D1840" s="631"/>
      <c r="E1840" s="631"/>
      <c r="F1840" s="631"/>
      <c r="G1840" s="631"/>
      <c r="H1840" s="631"/>
      <c r="I1840" s="648"/>
      <c r="J1840" s="631"/>
      <c r="M1840" s="475"/>
      <c r="N1840" s="475"/>
      <c r="O1840" s="475"/>
      <c r="P1840" s="545"/>
      <c r="R1840" s="490" t="str">
        <f t="shared" si="69"/>
        <v>DELETE</v>
      </c>
    </row>
    <row r="1841" spans="2:24" ht="36.75" customHeight="1" x14ac:dyDescent="0.5">
      <c r="B1841" s="502"/>
      <c r="C1841" s="631" t="s">
        <v>1325</v>
      </c>
      <c r="D1841" s="631"/>
      <c r="E1841" s="631"/>
      <c r="F1841" s="631"/>
      <c r="G1841" s="631"/>
      <c r="H1841" s="631"/>
      <c r="I1841" s="648"/>
      <c r="J1841" s="631"/>
      <c r="M1841" s="458">
        <f>-SUM(S1843:S1846)</f>
        <v>0</v>
      </c>
      <c r="N1841" s="458"/>
      <c r="O1841" s="458">
        <f>-SUM(U1843:U1846)</f>
        <v>0</v>
      </c>
      <c r="P1841" s="545"/>
      <c r="R1841" s="490" t="str">
        <f t="shared" ref="R1841" si="70">IF(M1841+O1841=0,"DELETE"," ")</f>
        <v>DELETE</v>
      </c>
    </row>
    <row r="1842" spans="2:24" ht="9" customHeight="1" x14ac:dyDescent="0.5">
      <c r="B1842" s="502"/>
      <c r="C1842" s="631"/>
      <c r="D1842" s="631"/>
      <c r="E1842" s="631"/>
      <c r="F1842" s="631"/>
      <c r="G1842" s="631"/>
      <c r="H1842" s="631"/>
      <c r="I1842" s="648"/>
      <c r="J1842" s="631"/>
      <c r="M1842" s="458"/>
      <c r="N1842" s="458"/>
      <c r="O1842" s="458"/>
      <c r="P1842" s="545"/>
      <c r="R1842" s="490" t="str">
        <f>R$1841</f>
        <v>DELETE</v>
      </c>
    </row>
    <row r="1843" spans="2:24" ht="9" customHeight="1" x14ac:dyDescent="0.5">
      <c r="B1843" s="502"/>
      <c r="C1843" s="631"/>
      <c r="D1843" s="631"/>
      <c r="E1843" s="631"/>
      <c r="F1843" s="631"/>
      <c r="G1843" s="631"/>
      <c r="H1843" s="631"/>
      <c r="I1843" s="648"/>
      <c r="J1843" s="631"/>
      <c r="M1843" s="578"/>
      <c r="N1843" s="459"/>
      <c r="O1843" s="579"/>
      <c r="P1843" s="545"/>
      <c r="R1843" s="490" t="str">
        <f>R$1841</f>
        <v>DELETE</v>
      </c>
    </row>
    <row r="1844" spans="2:24" ht="36" customHeight="1" x14ac:dyDescent="0.5">
      <c r="B1844" s="502"/>
      <c r="C1844" s="631" t="s">
        <v>416</v>
      </c>
      <c r="D1844" s="631"/>
      <c r="E1844" s="631"/>
      <c r="F1844" s="631"/>
      <c r="G1844" s="631"/>
      <c r="H1844" s="631"/>
      <c r="I1844" s="648"/>
      <c r="J1844" s="631"/>
      <c r="M1844" s="580">
        <f>-TrialBalance!L245</f>
        <v>0</v>
      </c>
      <c r="N1844" s="475"/>
      <c r="O1844" s="581">
        <f>-TrialBalance!N245</f>
        <v>0</v>
      </c>
      <c r="P1844" s="545"/>
      <c r="R1844" s="490" t="str">
        <f t="shared" ref="R1844:R1845" si="71">IF(M1844+O1844=0,"DELETE"," ")</f>
        <v>DELETE</v>
      </c>
      <c r="S1844" s="495">
        <f>-M1844</f>
        <v>0</v>
      </c>
      <c r="U1844" s="495">
        <f>-O1844</f>
        <v>0</v>
      </c>
    </row>
    <row r="1845" spans="2:24" ht="36" customHeight="1" x14ac:dyDescent="0.5">
      <c r="B1845" s="502"/>
      <c r="C1845" s="631" t="s">
        <v>1595</v>
      </c>
      <c r="D1845" s="631"/>
      <c r="E1845" s="631"/>
      <c r="F1845" s="631"/>
      <c r="G1845" s="631"/>
      <c r="H1845" s="631"/>
      <c r="I1845" s="648"/>
      <c r="J1845" s="631"/>
      <c r="M1845" s="580">
        <f>-TrialBalance!L250</f>
        <v>0</v>
      </c>
      <c r="N1845" s="475"/>
      <c r="O1845" s="581">
        <f>-TrialBalance!N250</f>
        <v>0</v>
      </c>
      <c r="P1845" s="545"/>
      <c r="R1845" s="490" t="str">
        <f t="shared" si="71"/>
        <v>DELETE</v>
      </c>
      <c r="S1845" s="495">
        <f>-M1845</f>
        <v>0</v>
      </c>
      <c r="U1845" s="495">
        <f>-O1845</f>
        <v>0</v>
      </c>
    </row>
    <row r="1846" spans="2:24" ht="9" customHeight="1" x14ac:dyDescent="0.5">
      <c r="B1846" s="502"/>
      <c r="C1846" s="631"/>
      <c r="D1846" s="631"/>
      <c r="E1846" s="631"/>
      <c r="F1846" s="631"/>
      <c r="G1846" s="631"/>
      <c r="H1846" s="631"/>
      <c r="I1846" s="648"/>
      <c r="J1846" s="631"/>
      <c r="M1846" s="460"/>
      <c r="N1846" s="461"/>
      <c r="O1846" s="582"/>
      <c r="P1846" s="545"/>
      <c r="R1846" s="490" t="str">
        <f t="shared" ref="R1846:R1847" si="72">R$1841</f>
        <v>DELETE</v>
      </c>
    </row>
    <row r="1847" spans="2:24" ht="9" customHeight="1" x14ac:dyDescent="0.5">
      <c r="B1847" s="502"/>
      <c r="C1847" s="631"/>
      <c r="D1847" s="631"/>
      <c r="E1847" s="631"/>
      <c r="F1847" s="631"/>
      <c r="G1847" s="631"/>
      <c r="H1847" s="631"/>
      <c r="I1847" s="648"/>
      <c r="J1847" s="631"/>
      <c r="M1847" s="475"/>
      <c r="N1847" s="475"/>
      <c r="O1847" s="475"/>
      <c r="P1847" s="545"/>
      <c r="R1847" s="490" t="str">
        <f t="shared" si="72"/>
        <v>DELETE</v>
      </c>
    </row>
    <row r="1848" spans="2:24" ht="9" customHeight="1" x14ac:dyDescent="0.5">
      <c r="B1848" s="502"/>
      <c r="C1848" s="631"/>
      <c r="D1848" s="631"/>
      <c r="E1848" s="631"/>
      <c r="F1848" s="631"/>
      <c r="G1848" s="631"/>
      <c r="H1848" s="631"/>
      <c r="I1848" s="648"/>
      <c r="J1848" s="631"/>
      <c r="M1848" s="461"/>
      <c r="N1848" s="461"/>
      <c r="O1848" s="461"/>
      <c r="P1848" s="545"/>
      <c r="R1848" s="490" t="str">
        <f t="shared" ref="R1848:R1858" si="73">R$1819</f>
        <v>DELETE</v>
      </c>
    </row>
    <row r="1849" spans="2:24" ht="9" customHeight="1" x14ac:dyDescent="0.5">
      <c r="B1849" s="502"/>
      <c r="C1849" s="631"/>
      <c r="D1849" s="631"/>
      <c r="E1849" s="631"/>
      <c r="F1849" s="631"/>
      <c r="G1849" s="631"/>
      <c r="H1849" s="631"/>
      <c r="I1849" s="648"/>
      <c r="J1849" s="631"/>
      <c r="M1849" s="475"/>
      <c r="N1849" s="475"/>
      <c r="O1849" s="475"/>
      <c r="P1849" s="545"/>
      <c r="R1849" s="490" t="str">
        <f t="shared" si="73"/>
        <v>DELETE</v>
      </c>
    </row>
    <row r="1850" spans="2:24" ht="36.75" customHeight="1" x14ac:dyDescent="0.5">
      <c r="B1850" s="502"/>
      <c r="C1850" s="631" t="s">
        <v>1295</v>
      </c>
      <c r="D1850" s="631"/>
      <c r="E1850" s="631"/>
      <c r="F1850" s="631"/>
      <c r="G1850" s="631"/>
      <c r="H1850" s="631"/>
      <c r="I1850" s="648"/>
      <c r="J1850" s="631"/>
      <c r="K1850" s="456"/>
      <c r="M1850" s="458">
        <f>SUM(S1823:S1846)</f>
        <v>0</v>
      </c>
      <c r="N1850" s="458"/>
      <c r="O1850" s="458">
        <f>SUM(U1823:U1846)</f>
        <v>0</v>
      </c>
      <c r="P1850" s="545"/>
      <c r="R1850" s="490" t="str">
        <f t="shared" si="73"/>
        <v>DELETE</v>
      </c>
      <c r="V1850" s="491" t="b">
        <f>M1850=M1854+M1855</f>
        <v>1</v>
      </c>
      <c r="X1850" s="491" t="b">
        <f>O1850=O1854+O1855</f>
        <v>1</v>
      </c>
    </row>
    <row r="1851" spans="2:24" ht="9" customHeight="1" thickBot="1" x14ac:dyDescent="0.55000000000000004">
      <c r="B1851" s="502"/>
      <c r="C1851" s="631"/>
      <c r="D1851" s="631"/>
      <c r="E1851" s="631"/>
      <c r="F1851" s="631"/>
      <c r="G1851" s="631"/>
      <c r="H1851" s="631"/>
      <c r="I1851" s="648"/>
      <c r="J1851" s="631"/>
      <c r="M1851" s="462"/>
      <c r="N1851" s="462"/>
      <c r="O1851" s="462"/>
      <c r="P1851" s="545"/>
      <c r="R1851" s="490" t="str">
        <f t="shared" si="73"/>
        <v>DELETE</v>
      </c>
    </row>
    <row r="1852" spans="2:24" ht="9" customHeight="1" thickTop="1" x14ac:dyDescent="0.5">
      <c r="B1852" s="502"/>
      <c r="C1852" s="631"/>
      <c r="D1852" s="631"/>
      <c r="E1852" s="631"/>
      <c r="F1852" s="631"/>
      <c r="G1852" s="631"/>
      <c r="H1852" s="631"/>
      <c r="I1852" s="648"/>
      <c r="J1852" s="631"/>
      <c r="M1852" s="458"/>
      <c r="N1852" s="458"/>
      <c r="O1852" s="458"/>
      <c r="P1852" s="545"/>
      <c r="R1852" s="490" t="str">
        <f t="shared" si="73"/>
        <v>DELETE</v>
      </c>
    </row>
    <row r="1853" spans="2:24" ht="9" customHeight="1" x14ac:dyDescent="0.5">
      <c r="B1853" s="502"/>
      <c r="C1853" s="631"/>
      <c r="D1853" s="631"/>
      <c r="E1853" s="631"/>
      <c r="F1853" s="631"/>
      <c r="G1853" s="631"/>
      <c r="H1853" s="631"/>
      <c r="I1853" s="648"/>
      <c r="J1853" s="631"/>
      <c r="M1853" s="578"/>
      <c r="N1853" s="459"/>
      <c r="O1853" s="579"/>
      <c r="P1853" s="545"/>
      <c r="R1853" s="490" t="str">
        <f t="shared" si="73"/>
        <v>DELETE</v>
      </c>
    </row>
    <row r="1854" spans="2:24" ht="36" customHeight="1" x14ac:dyDescent="0.5">
      <c r="B1854" s="502"/>
      <c r="C1854" s="631" t="s">
        <v>416</v>
      </c>
      <c r="D1854" s="631"/>
      <c r="E1854" s="631"/>
      <c r="F1854" s="631"/>
      <c r="G1854" s="631"/>
      <c r="H1854" s="631"/>
      <c r="I1854" s="648"/>
      <c r="J1854" s="631"/>
      <c r="M1854" s="580">
        <f>SUM(TrialBalance!L241:L245)</f>
        <v>0</v>
      </c>
      <c r="N1854" s="475"/>
      <c r="O1854" s="581">
        <f>SUM(TrialBalance!N241:N245)</f>
        <v>0</v>
      </c>
      <c r="P1854" s="545"/>
      <c r="R1854" s="490" t="str">
        <f t="shared" si="73"/>
        <v>DELETE</v>
      </c>
    </row>
    <row r="1855" spans="2:24" ht="36" customHeight="1" x14ac:dyDescent="0.5">
      <c r="B1855" s="502"/>
      <c r="C1855" s="631" t="s">
        <v>1595</v>
      </c>
      <c r="D1855" s="631"/>
      <c r="E1855" s="631"/>
      <c r="F1855" s="631"/>
      <c r="G1855" s="631"/>
      <c r="H1855" s="631"/>
      <c r="I1855" s="648"/>
      <c r="J1855" s="631"/>
      <c r="M1855" s="580">
        <f>SUM(TrialBalance!L247:L250)</f>
        <v>0</v>
      </c>
      <c r="N1855" s="475"/>
      <c r="O1855" s="581">
        <f>SUM(TrialBalance!N247:N250)</f>
        <v>0</v>
      </c>
      <c r="P1855" s="545"/>
      <c r="R1855" s="490" t="str">
        <f t="shared" si="73"/>
        <v>DELETE</v>
      </c>
    </row>
    <row r="1856" spans="2:24" ht="9" customHeight="1" x14ac:dyDescent="0.5">
      <c r="B1856" s="502"/>
      <c r="C1856" s="631"/>
      <c r="D1856" s="631"/>
      <c r="E1856" s="631"/>
      <c r="F1856" s="631"/>
      <c r="G1856" s="631"/>
      <c r="H1856" s="631"/>
      <c r="I1856" s="631"/>
      <c r="J1856" s="631"/>
      <c r="M1856" s="460"/>
      <c r="N1856" s="461"/>
      <c r="O1856" s="582"/>
      <c r="P1856" s="545"/>
      <c r="R1856" s="490" t="str">
        <f t="shared" si="73"/>
        <v>DELETE</v>
      </c>
    </row>
    <row r="1857" spans="2:18" ht="9" customHeight="1" x14ac:dyDescent="0.5">
      <c r="B1857" s="502"/>
      <c r="C1857" s="631"/>
      <c r="D1857" s="631"/>
      <c r="E1857" s="631"/>
      <c r="F1857" s="631"/>
      <c r="G1857" s="631"/>
      <c r="H1857" s="631"/>
      <c r="I1857" s="631"/>
      <c r="J1857" s="631"/>
      <c r="M1857" s="458"/>
      <c r="N1857" s="458"/>
      <c r="O1857" s="458"/>
      <c r="P1857" s="545"/>
      <c r="R1857" s="490" t="str">
        <f t="shared" si="73"/>
        <v>DELETE</v>
      </c>
    </row>
    <row r="1858" spans="2:18" ht="36" customHeight="1" x14ac:dyDescent="0.5">
      <c r="B1858" s="502"/>
      <c r="C1858" s="631"/>
      <c r="D1858" s="631"/>
      <c r="E1858" s="631"/>
      <c r="F1858" s="631"/>
      <c r="G1858" s="631"/>
      <c r="H1858" s="631"/>
      <c r="I1858" s="631"/>
      <c r="J1858" s="631"/>
      <c r="M1858" s="545"/>
      <c r="N1858" s="545"/>
      <c r="O1858" s="545"/>
      <c r="P1858" s="545"/>
      <c r="R1858" s="490" t="str">
        <f t="shared" si="73"/>
        <v>DELETE</v>
      </c>
    </row>
    <row r="1859" spans="2:18" ht="36" customHeight="1" x14ac:dyDescent="0.5">
      <c r="B1859" s="502"/>
      <c r="C1859" s="631" t="str">
        <f>IF(SUM(TrialBalance!L241:L245)=0," ",IF(Criteria!F135="Yes",CONCATENATE("Investment property is pledged as security - See note ",FS!B2363)," "))</f>
        <v xml:space="preserve"> </v>
      </c>
      <c r="D1859" s="648"/>
      <c r="E1859" s="631"/>
      <c r="F1859" s="631"/>
      <c r="G1859" s="631"/>
      <c r="H1859" s="631"/>
      <c r="I1859" s="631"/>
      <c r="J1859" s="631"/>
      <c r="M1859" s="545"/>
      <c r="N1859" s="545"/>
      <c r="O1859" s="545"/>
      <c r="P1859" s="545"/>
      <c r="R1859" s="490" t="str">
        <f>IF(R$1819="DELETE","DELETE",IF(C1859=" ","DELETE"," "))</f>
        <v>DELETE</v>
      </c>
    </row>
    <row r="1860" spans="2:18" ht="36" customHeight="1" x14ac:dyDescent="0.5">
      <c r="B1860" s="502"/>
      <c r="C1860" s="631"/>
      <c r="D1860" s="631"/>
      <c r="E1860" s="631"/>
      <c r="F1860" s="631"/>
      <c r="G1860" s="631"/>
      <c r="H1860" s="631"/>
      <c r="I1860" s="631"/>
      <c r="J1860" s="631"/>
      <c r="M1860" s="545"/>
      <c r="N1860" s="545"/>
      <c r="O1860" s="545"/>
      <c r="P1860" s="545"/>
      <c r="R1860" s="490" t="str">
        <f>R$1819</f>
        <v>DELETE</v>
      </c>
    </row>
    <row r="1861" spans="2:18" ht="36" customHeight="1" x14ac:dyDescent="0.5">
      <c r="B1861" s="502"/>
      <c r="C1861" s="631"/>
      <c r="D1861" s="631"/>
      <c r="E1861" s="631"/>
      <c r="F1861" s="631"/>
      <c r="G1861" s="631"/>
      <c r="H1861" s="631"/>
      <c r="I1861" s="631"/>
      <c r="J1861" s="631"/>
      <c r="M1861" s="545"/>
      <c r="N1861" s="545"/>
      <c r="O1861" s="545"/>
      <c r="P1861" s="545"/>
      <c r="R1861" s="490" t="str">
        <f>R$1819</f>
        <v>DELETE</v>
      </c>
    </row>
    <row r="1862" spans="2:18" ht="36" customHeight="1" x14ac:dyDescent="0.5">
      <c r="B1862" s="502"/>
      <c r="C1862" s="631"/>
      <c r="D1862" s="631"/>
      <c r="E1862" s="631"/>
      <c r="F1862" s="631"/>
      <c r="G1862" s="631"/>
      <c r="H1862" s="631"/>
      <c r="I1862" s="631"/>
      <c r="J1862" s="631"/>
      <c r="M1862" s="545"/>
      <c r="N1862" s="545"/>
      <c r="O1862" s="545"/>
      <c r="P1862" s="545"/>
      <c r="R1862" s="490" t="str">
        <f>R$1819</f>
        <v>DELETE</v>
      </c>
    </row>
    <row r="1863" spans="2:18" ht="36" customHeight="1" x14ac:dyDescent="0.5">
      <c r="B1863" s="502"/>
      <c r="C1863" s="631"/>
      <c r="D1863" s="631"/>
      <c r="E1863" s="631"/>
      <c r="F1863" s="631"/>
      <c r="G1863" s="631"/>
      <c r="H1863" s="631"/>
      <c r="I1863" s="631"/>
      <c r="J1863" s="631"/>
      <c r="M1863" s="540"/>
      <c r="O1863" s="540"/>
      <c r="R1863" s="490" t="str">
        <f>R$1819</f>
        <v>DELETE</v>
      </c>
    </row>
    <row r="1864" spans="2:18" ht="36" customHeight="1" x14ac:dyDescent="0.5">
      <c r="B1864" s="502"/>
      <c r="C1864" s="631"/>
      <c r="D1864" s="631"/>
      <c r="E1864" s="631"/>
      <c r="F1864" s="631"/>
      <c r="G1864" s="631"/>
      <c r="H1864" s="631"/>
      <c r="I1864" s="631"/>
      <c r="J1864" s="631"/>
      <c r="M1864" s="540"/>
      <c r="O1864" s="454" t="s">
        <v>112</v>
      </c>
      <c r="Q1864" s="450">
        <f>MAX($Q$103:Q1863)+1</f>
        <v>48</v>
      </c>
      <c r="R1864" s="490" t="str">
        <f t="shared" ref="R1864:R1875" si="74">R$1916</f>
        <v>DELETE</v>
      </c>
    </row>
    <row r="1865" spans="2:18" ht="36" customHeight="1" x14ac:dyDescent="0.5">
      <c r="B1865" s="502"/>
      <c r="C1865" s="631"/>
      <c r="D1865" s="630" t="str">
        <f>Criteria!E9</f>
        <v>ABC COMPANY (PROPRIETARY) LIMITED</v>
      </c>
      <c r="E1865" s="631"/>
      <c r="F1865" s="631"/>
      <c r="G1865" s="631"/>
      <c r="H1865" s="631"/>
      <c r="I1865" s="631"/>
      <c r="J1865" s="631"/>
      <c r="M1865" s="540"/>
      <c r="O1865" s="540"/>
      <c r="R1865" s="490" t="str">
        <f t="shared" si="74"/>
        <v>DELETE</v>
      </c>
    </row>
    <row r="1866" spans="2:18" ht="36" customHeight="1" x14ac:dyDescent="0.5">
      <c r="B1866" s="502"/>
      <c r="C1866" s="631"/>
      <c r="D1866" s="630" t="str">
        <f>Criteria!E10</f>
        <v>T/A SEAFRONT HOTEL, ABC RESTAURANT AND RENTAL PROPERTIES</v>
      </c>
      <c r="E1866" s="631"/>
      <c r="F1866" s="631"/>
      <c r="G1866" s="631"/>
      <c r="H1866" s="631"/>
      <c r="I1866" s="631"/>
      <c r="J1866" s="631"/>
      <c r="M1866" s="540"/>
      <c r="O1866" s="540"/>
      <c r="R1866" s="490" t="str">
        <f>IF(R$1916="DELETE","DELETE",IF(D1866=0,"DELETE"," "))</f>
        <v>DELETE</v>
      </c>
    </row>
    <row r="1867" spans="2:18" ht="36" customHeight="1" x14ac:dyDescent="0.5">
      <c r="B1867" s="502"/>
      <c r="C1867" s="631"/>
      <c r="D1867" s="631"/>
      <c r="E1867" s="631"/>
      <c r="F1867" s="631"/>
      <c r="G1867" s="631"/>
      <c r="H1867" s="631"/>
      <c r="I1867" s="631"/>
      <c r="J1867" s="631"/>
      <c r="M1867" s="540"/>
      <c r="O1867" s="540"/>
      <c r="R1867" s="490" t="str">
        <f t="shared" si="74"/>
        <v>DELETE</v>
      </c>
    </row>
    <row r="1868" spans="2:18" ht="36" customHeight="1" x14ac:dyDescent="0.5">
      <c r="B1868" s="502"/>
      <c r="C1868" s="631"/>
      <c r="D1868" s="630" t="s">
        <v>415</v>
      </c>
      <c r="E1868" s="631"/>
      <c r="F1868" s="631"/>
      <c r="G1868" s="631"/>
      <c r="H1868" s="631"/>
      <c r="I1868" s="631"/>
      <c r="J1868" s="631"/>
      <c r="M1868" s="540"/>
      <c r="O1868" s="540"/>
      <c r="R1868" s="490" t="str">
        <f t="shared" si="74"/>
        <v>DELETE</v>
      </c>
    </row>
    <row r="1869" spans="2:18" ht="36" customHeight="1" x14ac:dyDescent="0.5">
      <c r="B1869" s="502"/>
      <c r="C1869" s="631"/>
      <c r="D1869" s="630" t="str">
        <f>Criteria!E20</f>
        <v>28 FEBRUARY 2026</v>
      </c>
      <c r="E1869" s="631"/>
      <c r="F1869" s="631"/>
      <c r="G1869" s="631"/>
      <c r="H1869" s="631"/>
      <c r="I1869" s="631"/>
      <c r="J1869" s="631" t="s">
        <v>282</v>
      </c>
      <c r="M1869" s="540"/>
      <c r="O1869" s="540"/>
      <c r="R1869" s="490" t="str">
        <f t="shared" si="74"/>
        <v>DELETE</v>
      </c>
    </row>
    <row r="1870" spans="2:18" ht="36" customHeight="1" x14ac:dyDescent="0.5">
      <c r="B1870" s="502"/>
      <c r="C1870" s="631"/>
      <c r="D1870" s="631"/>
      <c r="E1870" s="631"/>
      <c r="F1870" s="631"/>
      <c r="G1870" s="631"/>
      <c r="H1870" s="631"/>
      <c r="I1870" s="631"/>
      <c r="J1870" s="631"/>
      <c r="M1870" s="540"/>
      <c r="O1870" s="540"/>
      <c r="R1870" s="490" t="str">
        <f t="shared" si="74"/>
        <v>DELETE</v>
      </c>
    </row>
    <row r="1871" spans="2:18" ht="36" customHeight="1" x14ac:dyDescent="0.5">
      <c r="B1871" s="641"/>
      <c r="C1871" s="649"/>
      <c r="D1871" s="649"/>
      <c r="E1871" s="649"/>
      <c r="F1871" s="649"/>
      <c r="G1871" s="649"/>
      <c r="H1871" s="649"/>
      <c r="I1871" s="649"/>
      <c r="J1871" s="649"/>
      <c r="K1871" s="457"/>
      <c r="L1871" s="457"/>
      <c r="M1871" s="551"/>
      <c r="N1871" s="551"/>
      <c r="O1871" s="551"/>
      <c r="P1871" s="551"/>
      <c r="Q1871" s="457"/>
      <c r="R1871" s="490" t="str">
        <f t="shared" si="74"/>
        <v>DELETE</v>
      </c>
    </row>
    <row r="1872" spans="2:18" ht="36" customHeight="1" x14ac:dyDescent="0.5">
      <c r="B1872" s="502"/>
      <c r="C1872" s="631"/>
      <c r="D1872" s="631"/>
      <c r="E1872" s="631"/>
      <c r="F1872" s="631"/>
      <c r="G1872" s="631"/>
      <c r="H1872" s="631"/>
      <c r="I1872" s="631"/>
      <c r="J1872" s="631"/>
      <c r="M1872" s="488">
        <f>Criteria!E22</f>
        <v>2026</v>
      </c>
      <c r="N1872" s="488"/>
      <c r="O1872" s="488">
        <f>Criteria!E27</f>
        <v>2025</v>
      </c>
      <c r="P1872" s="545"/>
      <c r="R1872" s="490" t="str">
        <f t="shared" si="74"/>
        <v>DELETE</v>
      </c>
    </row>
    <row r="1873" spans="2:18" ht="36" customHeight="1" x14ac:dyDescent="0.5">
      <c r="B1873" s="502"/>
      <c r="C1873" s="631"/>
      <c r="D1873" s="631"/>
      <c r="E1873" s="631"/>
      <c r="F1873" s="631"/>
      <c r="G1873" s="631"/>
      <c r="H1873" s="631"/>
      <c r="I1873" s="631"/>
      <c r="J1873" s="631"/>
      <c r="M1873" s="545"/>
      <c r="N1873" s="545"/>
      <c r="O1873" s="545"/>
      <c r="P1873" s="545"/>
      <c r="R1873" s="490" t="str">
        <f t="shared" si="74"/>
        <v>DELETE</v>
      </c>
    </row>
    <row r="1874" spans="2:18" ht="36" customHeight="1" x14ac:dyDescent="0.5">
      <c r="B1874" s="502"/>
      <c r="C1874" s="631" t="s">
        <v>1441</v>
      </c>
      <c r="D1874" s="631"/>
      <c r="E1874" s="631"/>
      <c r="F1874" s="631"/>
      <c r="G1874" s="631"/>
      <c r="H1874" s="631"/>
      <c r="I1874" s="631"/>
      <c r="J1874" s="631"/>
      <c r="M1874" s="545"/>
      <c r="N1874" s="545"/>
      <c r="O1874" s="545"/>
      <c r="P1874" s="545"/>
      <c r="R1874" s="490" t="str">
        <f t="shared" si="74"/>
        <v>DELETE</v>
      </c>
    </row>
    <row r="1875" spans="2:18" ht="36" customHeight="1" x14ac:dyDescent="0.5">
      <c r="B1875" s="502"/>
      <c r="C1875" s="631"/>
      <c r="D1875" s="631"/>
      <c r="E1875" s="631"/>
      <c r="F1875" s="631"/>
      <c r="G1875" s="631"/>
      <c r="H1875" s="631"/>
      <c r="I1875" s="631"/>
      <c r="J1875" s="631"/>
      <c r="M1875" s="545"/>
      <c r="N1875" s="545"/>
      <c r="O1875" s="545"/>
      <c r="P1875" s="545"/>
      <c r="R1875" s="490" t="str">
        <f t="shared" si="74"/>
        <v>DELETE</v>
      </c>
    </row>
    <row r="1876" spans="2:18" ht="36" customHeight="1" x14ac:dyDescent="0.5">
      <c r="B1876" s="502"/>
      <c r="C1876" s="631">
        <f>Criteria!C182</f>
        <v>0</v>
      </c>
      <c r="D1876" s="648"/>
      <c r="E1876" s="631"/>
      <c r="F1876" s="631"/>
      <c r="G1876" s="631"/>
      <c r="H1876" s="631"/>
      <c r="I1876" s="631"/>
      <c r="J1876" s="631"/>
      <c r="M1876" s="555">
        <f>Criteria!F182</f>
        <v>0</v>
      </c>
      <c r="N1876" s="555"/>
      <c r="O1876" s="555">
        <f>Criteria!G182</f>
        <v>0</v>
      </c>
      <c r="P1876" s="545"/>
      <c r="R1876" s="490" t="str">
        <f>IF(M1876=0,IF(O1876=0,"DELETE"," ")," ")</f>
        <v>DELETE</v>
      </c>
    </row>
    <row r="1877" spans="2:18" ht="36" customHeight="1" x14ac:dyDescent="0.5">
      <c r="B1877" s="502"/>
      <c r="C1877" s="631">
        <f>Criteria!C183</f>
        <v>0</v>
      </c>
      <c r="D1877" s="648"/>
      <c r="E1877" s="631"/>
      <c r="F1877" s="631"/>
      <c r="G1877" s="631"/>
      <c r="H1877" s="631"/>
      <c r="I1877" s="631"/>
      <c r="J1877" s="631"/>
      <c r="M1877" s="555">
        <f>Criteria!F183</f>
        <v>0</v>
      </c>
      <c r="N1877" s="555"/>
      <c r="O1877" s="555">
        <f>Criteria!G183</f>
        <v>0</v>
      </c>
      <c r="P1877" s="545"/>
      <c r="R1877" s="490" t="str">
        <f t="shared" ref="R1877:R1913" si="75">IF(M1877=0,IF(O1877=0,"DELETE"," ")," ")</f>
        <v>DELETE</v>
      </c>
    </row>
    <row r="1878" spans="2:18" ht="36" customHeight="1" x14ac:dyDescent="0.5">
      <c r="B1878" s="502"/>
      <c r="C1878" s="631">
        <f>Criteria!C184</f>
        <v>0</v>
      </c>
      <c r="D1878" s="648"/>
      <c r="E1878" s="631"/>
      <c r="F1878" s="631"/>
      <c r="G1878" s="631"/>
      <c r="H1878" s="631"/>
      <c r="I1878" s="631"/>
      <c r="J1878" s="631"/>
      <c r="M1878" s="555">
        <f>Criteria!F184</f>
        <v>0</v>
      </c>
      <c r="N1878" s="555"/>
      <c r="O1878" s="555">
        <f>Criteria!G184</f>
        <v>0</v>
      </c>
      <c r="P1878" s="545"/>
      <c r="R1878" s="490" t="str">
        <f t="shared" si="75"/>
        <v>DELETE</v>
      </c>
    </row>
    <row r="1879" spans="2:18" ht="36" customHeight="1" x14ac:dyDescent="0.5">
      <c r="B1879" s="502"/>
      <c r="C1879" s="631">
        <f>Criteria!C185</f>
        <v>0</v>
      </c>
      <c r="D1879" s="648"/>
      <c r="E1879" s="631"/>
      <c r="F1879" s="631"/>
      <c r="G1879" s="631"/>
      <c r="H1879" s="631"/>
      <c r="I1879" s="631"/>
      <c r="J1879" s="631"/>
      <c r="M1879" s="555">
        <f>Criteria!F185</f>
        <v>0</v>
      </c>
      <c r="N1879" s="555"/>
      <c r="O1879" s="555">
        <f>Criteria!G185</f>
        <v>0</v>
      </c>
      <c r="P1879" s="545"/>
      <c r="R1879" s="490" t="str">
        <f t="shared" si="75"/>
        <v>DELETE</v>
      </c>
    </row>
    <row r="1880" spans="2:18" ht="36" customHeight="1" x14ac:dyDescent="0.5">
      <c r="B1880" s="502"/>
      <c r="C1880" s="631">
        <f>Criteria!C186</f>
        <v>0</v>
      </c>
      <c r="D1880" s="648"/>
      <c r="E1880" s="631"/>
      <c r="F1880" s="631"/>
      <c r="G1880" s="631"/>
      <c r="H1880" s="631"/>
      <c r="I1880" s="631"/>
      <c r="J1880" s="631"/>
      <c r="M1880" s="555">
        <f>Criteria!F186</f>
        <v>0</v>
      </c>
      <c r="N1880" s="555"/>
      <c r="O1880" s="555">
        <f>Criteria!G186</f>
        <v>0</v>
      </c>
      <c r="P1880" s="545"/>
      <c r="R1880" s="490" t="str">
        <f t="shared" si="75"/>
        <v>DELETE</v>
      </c>
    </row>
    <row r="1881" spans="2:18" ht="36" customHeight="1" x14ac:dyDescent="0.5">
      <c r="B1881" s="502"/>
      <c r="C1881" s="631">
        <f>Criteria!C187</f>
        <v>0</v>
      </c>
      <c r="D1881" s="648"/>
      <c r="E1881" s="631"/>
      <c r="F1881" s="631"/>
      <c r="G1881" s="631"/>
      <c r="H1881" s="631"/>
      <c r="I1881" s="631"/>
      <c r="J1881" s="631"/>
      <c r="M1881" s="555">
        <f>Criteria!F187</f>
        <v>0</v>
      </c>
      <c r="N1881" s="555"/>
      <c r="O1881" s="555">
        <f>Criteria!G187</f>
        <v>0</v>
      </c>
      <c r="P1881" s="545"/>
      <c r="R1881" s="490" t="str">
        <f t="shared" si="75"/>
        <v>DELETE</v>
      </c>
    </row>
    <row r="1882" spans="2:18" ht="36" customHeight="1" x14ac:dyDescent="0.5">
      <c r="B1882" s="502"/>
      <c r="C1882" s="631">
        <f>Criteria!C188</f>
        <v>0</v>
      </c>
      <c r="D1882" s="648"/>
      <c r="E1882" s="631"/>
      <c r="F1882" s="631"/>
      <c r="G1882" s="631"/>
      <c r="H1882" s="631"/>
      <c r="I1882" s="631"/>
      <c r="J1882" s="631"/>
      <c r="M1882" s="555">
        <f>Criteria!F188</f>
        <v>0</v>
      </c>
      <c r="N1882" s="555"/>
      <c r="O1882" s="555">
        <f>Criteria!G188</f>
        <v>0</v>
      </c>
      <c r="P1882" s="545"/>
      <c r="R1882" s="490" t="str">
        <f t="shared" si="75"/>
        <v>DELETE</v>
      </c>
    </row>
    <row r="1883" spans="2:18" ht="36" customHeight="1" x14ac:dyDescent="0.5">
      <c r="B1883" s="502"/>
      <c r="C1883" s="631">
        <f>Criteria!C189</f>
        <v>0</v>
      </c>
      <c r="D1883" s="648"/>
      <c r="E1883" s="631"/>
      <c r="F1883" s="631"/>
      <c r="G1883" s="631"/>
      <c r="H1883" s="631"/>
      <c r="I1883" s="631"/>
      <c r="J1883" s="631"/>
      <c r="M1883" s="555">
        <f>Criteria!F189</f>
        <v>0</v>
      </c>
      <c r="N1883" s="555"/>
      <c r="O1883" s="555">
        <f>Criteria!G189</f>
        <v>0</v>
      </c>
      <c r="P1883" s="545"/>
      <c r="R1883" s="490" t="str">
        <f t="shared" si="75"/>
        <v>DELETE</v>
      </c>
    </row>
    <row r="1884" spans="2:18" ht="36" customHeight="1" x14ac:dyDescent="0.5">
      <c r="B1884" s="502"/>
      <c r="C1884" s="631">
        <f>Criteria!C190</f>
        <v>0</v>
      </c>
      <c r="D1884" s="648"/>
      <c r="E1884" s="631"/>
      <c r="F1884" s="631"/>
      <c r="G1884" s="631"/>
      <c r="H1884" s="631"/>
      <c r="I1884" s="631"/>
      <c r="J1884" s="631"/>
      <c r="M1884" s="555">
        <f>Criteria!F190</f>
        <v>0</v>
      </c>
      <c r="N1884" s="555"/>
      <c r="O1884" s="555">
        <f>Criteria!G190</f>
        <v>0</v>
      </c>
      <c r="P1884" s="545"/>
      <c r="R1884" s="490" t="str">
        <f t="shared" si="75"/>
        <v>DELETE</v>
      </c>
    </row>
    <row r="1885" spans="2:18" ht="36" customHeight="1" x14ac:dyDescent="0.5">
      <c r="B1885" s="502"/>
      <c r="C1885" s="631">
        <f>Criteria!C191</f>
        <v>0</v>
      </c>
      <c r="D1885" s="648"/>
      <c r="E1885" s="631"/>
      <c r="F1885" s="631"/>
      <c r="G1885" s="631"/>
      <c r="H1885" s="631"/>
      <c r="I1885" s="631"/>
      <c r="J1885" s="631"/>
      <c r="M1885" s="555">
        <f>Criteria!F191</f>
        <v>0</v>
      </c>
      <c r="N1885" s="555"/>
      <c r="O1885" s="555">
        <f>Criteria!G191</f>
        <v>0</v>
      </c>
      <c r="P1885" s="545"/>
      <c r="R1885" s="490" t="str">
        <f t="shared" si="75"/>
        <v>DELETE</v>
      </c>
    </row>
    <row r="1886" spans="2:18" ht="36" customHeight="1" x14ac:dyDescent="0.5">
      <c r="B1886" s="502"/>
      <c r="C1886" s="631">
        <f>Criteria!C192</f>
        <v>0</v>
      </c>
      <c r="D1886" s="648"/>
      <c r="E1886" s="631"/>
      <c r="F1886" s="631"/>
      <c r="G1886" s="631"/>
      <c r="H1886" s="631"/>
      <c r="I1886" s="631"/>
      <c r="J1886" s="631"/>
      <c r="M1886" s="555">
        <f>Criteria!F192</f>
        <v>0</v>
      </c>
      <c r="N1886" s="555"/>
      <c r="O1886" s="555">
        <f>Criteria!G192</f>
        <v>0</v>
      </c>
      <c r="P1886" s="545"/>
      <c r="R1886" s="490" t="str">
        <f t="shared" si="75"/>
        <v>DELETE</v>
      </c>
    </row>
    <row r="1887" spans="2:18" ht="36" customHeight="1" x14ac:dyDescent="0.5">
      <c r="B1887" s="502"/>
      <c r="C1887" s="631">
        <f>Criteria!C193</f>
        <v>0</v>
      </c>
      <c r="D1887" s="648"/>
      <c r="E1887" s="631"/>
      <c r="F1887" s="631"/>
      <c r="G1887" s="631"/>
      <c r="H1887" s="631"/>
      <c r="I1887" s="631"/>
      <c r="J1887" s="631"/>
      <c r="M1887" s="555">
        <f>Criteria!F193</f>
        <v>0</v>
      </c>
      <c r="N1887" s="555"/>
      <c r="O1887" s="555">
        <f>Criteria!G193</f>
        <v>0</v>
      </c>
      <c r="P1887" s="545"/>
      <c r="R1887" s="490" t="str">
        <f t="shared" si="75"/>
        <v>DELETE</v>
      </c>
    </row>
    <row r="1888" spans="2:18" ht="36" customHeight="1" x14ac:dyDescent="0.5">
      <c r="B1888" s="502"/>
      <c r="C1888" s="631">
        <f>Criteria!C194</f>
        <v>0</v>
      </c>
      <c r="D1888" s="648"/>
      <c r="E1888" s="631"/>
      <c r="F1888" s="631"/>
      <c r="G1888" s="631"/>
      <c r="H1888" s="631"/>
      <c r="I1888" s="631"/>
      <c r="J1888" s="631"/>
      <c r="M1888" s="555">
        <f>Criteria!F194</f>
        <v>0</v>
      </c>
      <c r="N1888" s="555"/>
      <c r="O1888" s="555">
        <f>Criteria!G194</f>
        <v>0</v>
      </c>
      <c r="P1888" s="545"/>
      <c r="R1888" s="490" t="str">
        <f t="shared" si="75"/>
        <v>DELETE</v>
      </c>
    </row>
    <row r="1889" spans="2:18" ht="36" customHeight="1" x14ac:dyDescent="0.5">
      <c r="B1889" s="502"/>
      <c r="C1889" s="631">
        <f>Criteria!C195</f>
        <v>0</v>
      </c>
      <c r="D1889" s="648"/>
      <c r="E1889" s="631"/>
      <c r="F1889" s="631"/>
      <c r="G1889" s="631"/>
      <c r="H1889" s="631"/>
      <c r="I1889" s="631"/>
      <c r="J1889" s="631"/>
      <c r="M1889" s="555">
        <f>Criteria!F195</f>
        <v>0</v>
      </c>
      <c r="N1889" s="555"/>
      <c r="O1889" s="555">
        <f>Criteria!G195</f>
        <v>0</v>
      </c>
      <c r="P1889" s="545"/>
      <c r="R1889" s="490" t="str">
        <f t="shared" si="75"/>
        <v>DELETE</v>
      </c>
    </row>
    <row r="1890" spans="2:18" ht="36" customHeight="1" x14ac:dyDescent="0.5">
      <c r="B1890" s="502"/>
      <c r="C1890" s="631">
        <f>Criteria!C196</f>
        <v>0</v>
      </c>
      <c r="D1890" s="648"/>
      <c r="E1890" s="631"/>
      <c r="F1890" s="631"/>
      <c r="G1890" s="631"/>
      <c r="H1890" s="631"/>
      <c r="I1890" s="631"/>
      <c r="J1890" s="631"/>
      <c r="M1890" s="555">
        <f>Criteria!F196</f>
        <v>0</v>
      </c>
      <c r="N1890" s="555"/>
      <c r="O1890" s="555">
        <f>Criteria!G196</f>
        <v>0</v>
      </c>
      <c r="P1890" s="545"/>
      <c r="R1890" s="490" t="str">
        <f t="shared" si="75"/>
        <v>DELETE</v>
      </c>
    </row>
    <row r="1891" spans="2:18" ht="36" customHeight="1" x14ac:dyDescent="0.5">
      <c r="B1891" s="502"/>
      <c r="C1891" s="631">
        <f>Criteria!C197</f>
        <v>0</v>
      </c>
      <c r="D1891" s="648"/>
      <c r="E1891" s="631"/>
      <c r="F1891" s="631"/>
      <c r="G1891" s="631"/>
      <c r="H1891" s="631"/>
      <c r="I1891" s="631"/>
      <c r="J1891" s="631"/>
      <c r="M1891" s="555">
        <f>Criteria!F197</f>
        <v>0</v>
      </c>
      <c r="N1891" s="555"/>
      <c r="O1891" s="555">
        <f>Criteria!G197</f>
        <v>0</v>
      </c>
      <c r="P1891" s="545"/>
      <c r="R1891" s="490" t="str">
        <f t="shared" si="75"/>
        <v>DELETE</v>
      </c>
    </row>
    <row r="1892" spans="2:18" ht="36" customHeight="1" x14ac:dyDescent="0.5">
      <c r="B1892" s="502"/>
      <c r="C1892" s="631">
        <f>Criteria!C198</f>
        <v>0</v>
      </c>
      <c r="D1892" s="648"/>
      <c r="E1892" s="631"/>
      <c r="F1892" s="631"/>
      <c r="G1892" s="631"/>
      <c r="H1892" s="631"/>
      <c r="I1892" s="631"/>
      <c r="J1892" s="631"/>
      <c r="M1892" s="555">
        <f>Criteria!F198</f>
        <v>0</v>
      </c>
      <c r="N1892" s="555"/>
      <c r="O1892" s="555">
        <f>Criteria!G198</f>
        <v>0</v>
      </c>
      <c r="P1892" s="545"/>
      <c r="R1892" s="490" t="str">
        <f t="shared" si="75"/>
        <v>DELETE</v>
      </c>
    </row>
    <row r="1893" spans="2:18" ht="36" customHeight="1" x14ac:dyDescent="0.5">
      <c r="B1893" s="502"/>
      <c r="C1893" s="631">
        <f>Criteria!C199</f>
        <v>0</v>
      </c>
      <c r="D1893" s="648"/>
      <c r="E1893" s="631"/>
      <c r="F1893" s="631"/>
      <c r="G1893" s="631"/>
      <c r="H1893" s="631"/>
      <c r="I1893" s="631"/>
      <c r="J1893" s="631"/>
      <c r="M1893" s="555">
        <f>Criteria!F199</f>
        <v>0</v>
      </c>
      <c r="N1893" s="555"/>
      <c r="O1893" s="555">
        <f>Criteria!G199</f>
        <v>0</v>
      </c>
      <c r="P1893" s="545"/>
      <c r="R1893" s="490" t="str">
        <f t="shared" si="75"/>
        <v>DELETE</v>
      </c>
    </row>
    <row r="1894" spans="2:18" ht="36" customHeight="1" x14ac:dyDescent="0.5">
      <c r="B1894" s="502"/>
      <c r="C1894" s="631">
        <f>Criteria!C200</f>
        <v>0</v>
      </c>
      <c r="D1894" s="648"/>
      <c r="E1894" s="631"/>
      <c r="F1894" s="631"/>
      <c r="G1894" s="631"/>
      <c r="H1894" s="631"/>
      <c r="I1894" s="631"/>
      <c r="J1894" s="631"/>
      <c r="M1894" s="555">
        <f>Criteria!F200</f>
        <v>0</v>
      </c>
      <c r="N1894" s="555"/>
      <c r="O1894" s="555">
        <f>Criteria!G200</f>
        <v>0</v>
      </c>
      <c r="P1894" s="545"/>
      <c r="R1894" s="490" t="str">
        <f t="shared" si="75"/>
        <v>DELETE</v>
      </c>
    </row>
    <row r="1895" spans="2:18" ht="36" customHeight="1" x14ac:dyDescent="0.5">
      <c r="B1895" s="502"/>
      <c r="C1895" s="631">
        <f>Criteria!C201</f>
        <v>0</v>
      </c>
      <c r="D1895" s="648"/>
      <c r="E1895" s="631"/>
      <c r="F1895" s="631"/>
      <c r="G1895" s="631"/>
      <c r="H1895" s="631"/>
      <c r="I1895" s="631"/>
      <c r="J1895" s="631"/>
      <c r="M1895" s="555">
        <f>Criteria!F201</f>
        <v>0</v>
      </c>
      <c r="N1895" s="555"/>
      <c r="O1895" s="555">
        <f>Criteria!G201</f>
        <v>0</v>
      </c>
      <c r="P1895" s="545"/>
      <c r="R1895" s="490" t="str">
        <f t="shared" si="75"/>
        <v>DELETE</v>
      </c>
    </row>
    <row r="1896" spans="2:18" ht="36" customHeight="1" x14ac:dyDescent="0.5">
      <c r="B1896" s="502"/>
      <c r="C1896" s="631">
        <f>Criteria!C202</f>
        <v>0</v>
      </c>
      <c r="D1896" s="648"/>
      <c r="E1896" s="631"/>
      <c r="F1896" s="631"/>
      <c r="G1896" s="631"/>
      <c r="H1896" s="631"/>
      <c r="I1896" s="631"/>
      <c r="J1896" s="631"/>
      <c r="M1896" s="555">
        <f>Criteria!F202</f>
        <v>0</v>
      </c>
      <c r="N1896" s="555"/>
      <c r="O1896" s="555">
        <f>Criteria!G202</f>
        <v>0</v>
      </c>
      <c r="P1896" s="545"/>
      <c r="R1896" s="490" t="str">
        <f t="shared" si="75"/>
        <v>DELETE</v>
      </c>
    </row>
    <row r="1897" spans="2:18" ht="36" customHeight="1" x14ac:dyDescent="0.5">
      <c r="B1897" s="502"/>
      <c r="C1897" s="631">
        <f>Criteria!C203</f>
        <v>0</v>
      </c>
      <c r="D1897" s="648"/>
      <c r="E1897" s="631"/>
      <c r="F1897" s="631"/>
      <c r="G1897" s="631"/>
      <c r="H1897" s="631"/>
      <c r="I1897" s="631"/>
      <c r="J1897" s="631"/>
      <c r="M1897" s="555">
        <f>Criteria!F203</f>
        <v>0</v>
      </c>
      <c r="N1897" s="555"/>
      <c r="O1897" s="555">
        <f>Criteria!G203</f>
        <v>0</v>
      </c>
      <c r="P1897" s="545"/>
      <c r="R1897" s="490" t="str">
        <f t="shared" si="75"/>
        <v>DELETE</v>
      </c>
    </row>
    <row r="1898" spans="2:18" ht="36" customHeight="1" x14ac:dyDescent="0.5">
      <c r="B1898" s="502"/>
      <c r="C1898" s="631">
        <f>Criteria!C204</f>
        <v>0</v>
      </c>
      <c r="D1898" s="648"/>
      <c r="E1898" s="631"/>
      <c r="F1898" s="631"/>
      <c r="G1898" s="631"/>
      <c r="H1898" s="631"/>
      <c r="I1898" s="631"/>
      <c r="J1898" s="631"/>
      <c r="M1898" s="555">
        <f>Criteria!F204</f>
        <v>0</v>
      </c>
      <c r="N1898" s="555"/>
      <c r="O1898" s="555">
        <f>Criteria!G204</f>
        <v>0</v>
      </c>
      <c r="P1898" s="545"/>
      <c r="R1898" s="490" t="str">
        <f t="shared" si="75"/>
        <v>DELETE</v>
      </c>
    </row>
    <row r="1899" spans="2:18" ht="36" customHeight="1" x14ac:dyDescent="0.5">
      <c r="B1899" s="502"/>
      <c r="C1899" s="631">
        <f>Criteria!C205</f>
        <v>0</v>
      </c>
      <c r="D1899" s="648"/>
      <c r="E1899" s="631"/>
      <c r="F1899" s="631"/>
      <c r="G1899" s="631"/>
      <c r="H1899" s="631"/>
      <c r="I1899" s="631"/>
      <c r="J1899" s="631"/>
      <c r="M1899" s="555">
        <f>Criteria!F205</f>
        <v>0</v>
      </c>
      <c r="N1899" s="555"/>
      <c r="O1899" s="555">
        <f>Criteria!G205</f>
        <v>0</v>
      </c>
      <c r="P1899" s="545"/>
      <c r="R1899" s="490" t="str">
        <f t="shared" si="75"/>
        <v>DELETE</v>
      </c>
    </row>
    <row r="1900" spans="2:18" ht="36" customHeight="1" x14ac:dyDescent="0.5">
      <c r="B1900" s="502"/>
      <c r="C1900" s="631">
        <f>Criteria!C206</f>
        <v>0</v>
      </c>
      <c r="D1900" s="648"/>
      <c r="E1900" s="631"/>
      <c r="F1900" s="631"/>
      <c r="G1900" s="631"/>
      <c r="H1900" s="631"/>
      <c r="I1900" s="631"/>
      <c r="J1900" s="631"/>
      <c r="M1900" s="555">
        <f>Criteria!F206</f>
        <v>0</v>
      </c>
      <c r="N1900" s="555"/>
      <c r="O1900" s="555">
        <f>Criteria!G206</f>
        <v>0</v>
      </c>
      <c r="P1900" s="545"/>
      <c r="R1900" s="490" t="str">
        <f t="shared" si="75"/>
        <v>DELETE</v>
      </c>
    </row>
    <row r="1901" spans="2:18" ht="36" customHeight="1" x14ac:dyDescent="0.5">
      <c r="B1901" s="502"/>
      <c r="C1901" s="631">
        <f>Criteria!C207</f>
        <v>0</v>
      </c>
      <c r="D1901" s="648"/>
      <c r="E1901" s="631"/>
      <c r="F1901" s="631"/>
      <c r="G1901" s="631"/>
      <c r="H1901" s="631"/>
      <c r="I1901" s="631"/>
      <c r="J1901" s="631"/>
      <c r="M1901" s="555">
        <f>Criteria!F207</f>
        <v>0</v>
      </c>
      <c r="N1901" s="555"/>
      <c r="O1901" s="555">
        <f>Criteria!G207</f>
        <v>0</v>
      </c>
      <c r="P1901" s="545"/>
      <c r="R1901" s="490" t="str">
        <f t="shared" si="75"/>
        <v>DELETE</v>
      </c>
    </row>
    <row r="1902" spans="2:18" ht="36" customHeight="1" x14ac:dyDescent="0.5">
      <c r="B1902" s="502"/>
      <c r="C1902" s="631">
        <f>Criteria!C208</f>
        <v>0</v>
      </c>
      <c r="D1902" s="648"/>
      <c r="E1902" s="631"/>
      <c r="F1902" s="631"/>
      <c r="G1902" s="631"/>
      <c r="H1902" s="631"/>
      <c r="I1902" s="631"/>
      <c r="J1902" s="631"/>
      <c r="M1902" s="555">
        <f>Criteria!F208</f>
        <v>0</v>
      </c>
      <c r="N1902" s="555"/>
      <c r="O1902" s="555">
        <f>Criteria!G208</f>
        <v>0</v>
      </c>
      <c r="P1902" s="545"/>
      <c r="R1902" s="490" t="str">
        <f t="shared" si="75"/>
        <v>DELETE</v>
      </c>
    </row>
    <row r="1903" spans="2:18" ht="36" customHeight="1" x14ac:dyDescent="0.5">
      <c r="B1903" s="502"/>
      <c r="C1903" s="631">
        <f>Criteria!C209</f>
        <v>0</v>
      </c>
      <c r="D1903" s="648"/>
      <c r="E1903" s="631"/>
      <c r="F1903" s="631"/>
      <c r="G1903" s="631"/>
      <c r="H1903" s="631"/>
      <c r="I1903" s="631"/>
      <c r="J1903" s="631"/>
      <c r="M1903" s="555">
        <f>Criteria!F209</f>
        <v>0</v>
      </c>
      <c r="N1903" s="555"/>
      <c r="O1903" s="555">
        <f>Criteria!G209</f>
        <v>0</v>
      </c>
      <c r="P1903" s="545"/>
      <c r="R1903" s="490" t="str">
        <f t="shared" si="75"/>
        <v>DELETE</v>
      </c>
    </row>
    <row r="1904" spans="2:18" ht="36" customHeight="1" x14ac:dyDescent="0.5">
      <c r="B1904" s="502"/>
      <c r="C1904" s="631">
        <f>Criteria!C210</f>
        <v>0</v>
      </c>
      <c r="D1904" s="648"/>
      <c r="E1904" s="631"/>
      <c r="F1904" s="631"/>
      <c r="G1904" s="631"/>
      <c r="H1904" s="631"/>
      <c r="I1904" s="631"/>
      <c r="J1904" s="631"/>
      <c r="M1904" s="555">
        <f>Criteria!F210</f>
        <v>0</v>
      </c>
      <c r="N1904" s="555"/>
      <c r="O1904" s="555">
        <f>Criteria!G210</f>
        <v>0</v>
      </c>
      <c r="P1904" s="545"/>
      <c r="R1904" s="490" t="str">
        <f t="shared" si="75"/>
        <v>DELETE</v>
      </c>
    </row>
    <row r="1905" spans="2:24" ht="36" customHeight="1" x14ac:dyDescent="0.5">
      <c r="B1905" s="502"/>
      <c r="C1905" s="631">
        <f>Criteria!C211</f>
        <v>0</v>
      </c>
      <c r="D1905" s="648"/>
      <c r="E1905" s="631"/>
      <c r="F1905" s="631"/>
      <c r="G1905" s="631"/>
      <c r="H1905" s="631"/>
      <c r="I1905" s="631"/>
      <c r="J1905" s="631"/>
      <c r="M1905" s="555">
        <f>Criteria!F211</f>
        <v>0</v>
      </c>
      <c r="N1905" s="555"/>
      <c r="O1905" s="555">
        <f>Criteria!G211</f>
        <v>0</v>
      </c>
      <c r="P1905" s="545"/>
      <c r="R1905" s="490" t="str">
        <f t="shared" si="75"/>
        <v>DELETE</v>
      </c>
    </row>
    <row r="1906" spans="2:24" ht="36" customHeight="1" x14ac:dyDescent="0.5">
      <c r="B1906" s="502"/>
      <c r="C1906" s="631">
        <f>Criteria!C212</f>
        <v>0</v>
      </c>
      <c r="D1906" s="648"/>
      <c r="E1906" s="631"/>
      <c r="F1906" s="631"/>
      <c r="G1906" s="631"/>
      <c r="H1906" s="631"/>
      <c r="I1906" s="631"/>
      <c r="J1906" s="631"/>
      <c r="M1906" s="555">
        <f>Criteria!F212</f>
        <v>0</v>
      </c>
      <c r="N1906" s="555"/>
      <c r="O1906" s="555">
        <f>Criteria!G212</f>
        <v>0</v>
      </c>
      <c r="P1906" s="545"/>
      <c r="R1906" s="490" t="str">
        <f t="shared" si="75"/>
        <v>DELETE</v>
      </c>
    </row>
    <row r="1907" spans="2:24" ht="36" customHeight="1" x14ac:dyDescent="0.5">
      <c r="B1907" s="502"/>
      <c r="C1907" s="631">
        <f>Criteria!C213</f>
        <v>0</v>
      </c>
      <c r="D1907" s="648"/>
      <c r="E1907" s="631"/>
      <c r="F1907" s="631"/>
      <c r="G1907" s="631"/>
      <c r="H1907" s="631"/>
      <c r="I1907" s="631"/>
      <c r="J1907" s="631"/>
      <c r="M1907" s="555">
        <f>Criteria!F213</f>
        <v>0</v>
      </c>
      <c r="N1907" s="555"/>
      <c r="O1907" s="555">
        <f>Criteria!G213</f>
        <v>0</v>
      </c>
      <c r="P1907" s="545"/>
      <c r="R1907" s="490" t="str">
        <f t="shared" si="75"/>
        <v>DELETE</v>
      </c>
    </row>
    <row r="1908" spans="2:24" ht="36" customHeight="1" x14ac:dyDescent="0.5">
      <c r="B1908" s="502"/>
      <c r="C1908" s="631">
        <f>Criteria!C214</f>
        <v>0</v>
      </c>
      <c r="D1908" s="648"/>
      <c r="E1908" s="631"/>
      <c r="F1908" s="631"/>
      <c r="G1908" s="631"/>
      <c r="H1908" s="631"/>
      <c r="I1908" s="631"/>
      <c r="J1908" s="631"/>
      <c r="M1908" s="555">
        <f>Criteria!F214</f>
        <v>0</v>
      </c>
      <c r="N1908" s="555"/>
      <c r="O1908" s="555">
        <f>Criteria!G214</f>
        <v>0</v>
      </c>
      <c r="P1908" s="545"/>
      <c r="R1908" s="490" t="str">
        <f t="shared" si="75"/>
        <v>DELETE</v>
      </c>
    </row>
    <row r="1909" spans="2:24" ht="36" customHeight="1" x14ac:dyDescent="0.5">
      <c r="B1909" s="502"/>
      <c r="C1909" s="631">
        <f>Criteria!C215</f>
        <v>0</v>
      </c>
      <c r="D1909" s="648"/>
      <c r="E1909" s="631"/>
      <c r="F1909" s="631"/>
      <c r="G1909" s="631"/>
      <c r="H1909" s="631"/>
      <c r="I1909" s="631"/>
      <c r="J1909" s="631"/>
      <c r="M1909" s="555">
        <f>Criteria!F215</f>
        <v>0</v>
      </c>
      <c r="N1909" s="555"/>
      <c r="O1909" s="555">
        <f>Criteria!G215</f>
        <v>0</v>
      </c>
      <c r="P1909" s="545"/>
      <c r="R1909" s="490" t="str">
        <f t="shared" si="75"/>
        <v>DELETE</v>
      </c>
    </row>
    <row r="1910" spans="2:24" ht="36" customHeight="1" x14ac:dyDescent="0.5">
      <c r="B1910" s="502"/>
      <c r="C1910" s="631">
        <f>Criteria!C216</f>
        <v>0</v>
      </c>
      <c r="D1910" s="648"/>
      <c r="E1910" s="631"/>
      <c r="F1910" s="631"/>
      <c r="G1910" s="631"/>
      <c r="H1910" s="631"/>
      <c r="I1910" s="631"/>
      <c r="J1910" s="631"/>
      <c r="M1910" s="555">
        <f>Criteria!F216</f>
        <v>0</v>
      </c>
      <c r="N1910" s="555"/>
      <c r="O1910" s="555">
        <f>Criteria!G216</f>
        <v>0</v>
      </c>
      <c r="P1910" s="545"/>
      <c r="R1910" s="490" t="str">
        <f t="shared" si="75"/>
        <v>DELETE</v>
      </c>
    </row>
    <row r="1911" spans="2:24" ht="36" customHeight="1" x14ac:dyDescent="0.5">
      <c r="B1911" s="502"/>
      <c r="C1911" s="631">
        <f>Criteria!C217</f>
        <v>0</v>
      </c>
      <c r="D1911" s="648"/>
      <c r="E1911" s="631"/>
      <c r="F1911" s="631"/>
      <c r="G1911" s="631"/>
      <c r="H1911" s="631"/>
      <c r="I1911" s="631"/>
      <c r="J1911" s="631"/>
      <c r="M1911" s="555">
        <f>Criteria!F217</f>
        <v>0</v>
      </c>
      <c r="N1911" s="555"/>
      <c r="O1911" s="555">
        <f>Criteria!G217</f>
        <v>0</v>
      </c>
      <c r="P1911" s="545"/>
      <c r="R1911" s="490" t="str">
        <f t="shared" si="75"/>
        <v>DELETE</v>
      </c>
    </row>
    <row r="1912" spans="2:24" ht="36" customHeight="1" x14ac:dyDescent="0.5">
      <c r="B1912" s="502"/>
      <c r="C1912" s="631">
        <f>Criteria!C218</f>
        <v>0</v>
      </c>
      <c r="D1912" s="648"/>
      <c r="E1912" s="631"/>
      <c r="F1912" s="631"/>
      <c r="G1912" s="631"/>
      <c r="H1912" s="631"/>
      <c r="I1912" s="631"/>
      <c r="J1912" s="631"/>
      <c r="M1912" s="555">
        <f>Criteria!F218</f>
        <v>0</v>
      </c>
      <c r="N1912" s="555"/>
      <c r="O1912" s="555">
        <f>Criteria!G218</f>
        <v>0</v>
      </c>
      <c r="P1912" s="545"/>
      <c r="R1912" s="490" t="str">
        <f t="shared" si="75"/>
        <v>DELETE</v>
      </c>
    </row>
    <row r="1913" spans="2:24" ht="36" customHeight="1" x14ac:dyDescent="0.5">
      <c r="B1913" s="502"/>
      <c r="C1913" s="631">
        <f>Criteria!C219</f>
        <v>0</v>
      </c>
      <c r="D1913" s="648"/>
      <c r="E1913" s="631"/>
      <c r="F1913" s="631"/>
      <c r="G1913" s="631"/>
      <c r="H1913" s="631"/>
      <c r="I1913" s="631"/>
      <c r="J1913" s="631"/>
      <c r="M1913" s="555">
        <f>Criteria!F219</f>
        <v>0</v>
      </c>
      <c r="N1913" s="555"/>
      <c r="O1913" s="555">
        <f>Criteria!G219</f>
        <v>0</v>
      </c>
      <c r="P1913" s="545"/>
      <c r="R1913" s="490" t="str">
        <f t="shared" si="75"/>
        <v>DELETE</v>
      </c>
    </row>
    <row r="1914" spans="2:24" ht="9" customHeight="1" x14ac:dyDescent="0.5">
      <c r="B1914" s="502"/>
      <c r="C1914" s="631"/>
      <c r="D1914" s="631"/>
      <c r="E1914" s="631"/>
      <c r="F1914" s="631"/>
      <c r="G1914" s="631"/>
      <c r="H1914" s="631"/>
      <c r="I1914" s="631"/>
      <c r="J1914" s="631"/>
      <c r="M1914" s="543"/>
      <c r="N1914" s="543"/>
      <c r="O1914" s="543"/>
      <c r="P1914" s="545"/>
      <c r="R1914" s="490" t="str">
        <f>R$1916</f>
        <v>DELETE</v>
      </c>
    </row>
    <row r="1915" spans="2:24" ht="9" customHeight="1" x14ac:dyDescent="0.5">
      <c r="B1915" s="502"/>
      <c r="C1915" s="631"/>
      <c r="D1915" s="631"/>
      <c r="E1915" s="631"/>
      <c r="F1915" s="631"/>
      <c r="G1915" s="631"/>
      <c r="H1915" s="631"/>
      <c r="I1915" s="631"/>
      <c r="J1915" s="631"/>
      <c r="M1915" s="545"/>
      <c r="N1915" s="545"/>
      <c r="O1915" s="545"/>
      <c r="P1915" s="545"/>
      <c r="R1915" s="490" t="str">
        <f>R$1916</f>
        <v>DELETE</v>
      </c>
    </row>
    <row r="1916" spans="2:24" ht="36.75" customHeight="1" x14ac:dyDescent="0.5">
      <c r="B1916" s="502"/>
      <c r="C1916" s="631"/>
      <c r="D1916" s="631"/>
      <c r="E1916" s="631"/>
      <c r="F1916" s="631"/>
      <c r="G1916" s="631"/>
      <c r="H1916" s="631"/>
      <c r="I1916" s="631"/>
      <c r="J1916" s="631"/>
      <c r="M1916" s="555">
        <f>SUM(M1876:M1914)</f>
        <v>0</v>
      </c>
      <c r="N1916" s="545"/>
      <c r="O1916" s="555">
        <f>SUM(O1876:O1914)</f>
        <v>0</v>
      </c>
      <c r="P1916" s="545"/>
      <c r="R1916" s="490" t="str">
        <f t="shared" ref="R1916" si="76">IF(M1916=0,IF(O1916=0,"DELETE"," ")," ")</f>
        <v>DELETE</v>
      </c>
      <c r="V1916" s="491" t="b">
        <f>M1916=M1850</f>
        <v>1</v>
      </c>
      <c r="X1916" s="491" t="b">
        <f>O1916=O1850</f>
        <v>1</v>
      </c>
    </row>
    <row r="1917" spans="2:24" ht="9" customHeight="1" thickBot="1" x14ac:dyDescent="0.55000000000000004">
      <c r="B1917" s="502"/>
      <c r="C1917" s="631"/>
      <c r="D1917" s="631"/>
      <c r="E1917" s="631"/>
      <c r="F1917" s="631"/>
      <c r="G1917" s="631"/>
      <c r="H1917" s="631"/>
      <c r="I1917" s="631"/>
      <c r="J1917" s="631"/>
      <c r="M1917" s="553"/>
      <c r="N1917" s="553"/>
      <c r="O1917" s="553"/>
      <c r="P1917" s="545"/>
      <c r="R1917" s="490" t="str">
        <f t="shared" ref="R1917:R1921" si="77">R$1916</f>
        <v>DELETE</v>
      </c>
    </row>
    <row r="1918" spans="2:24" ht="9" customHeight="1" thickTop="1" x14ac:dyDescent="0.5">
      <c r="B1918" s="502"/>
      <c r="C1918" s="631"/>
      <c r="D1918" s="631"/>
      <c r="E1918" s="631"/>
      <c r="F1918" s="631"/>
      <c r="G1918" s="631"/>
      <c r="H1918" s="631"/>
      <c r="I1918" s="631"/>
      <c r="J1918" s="631"/>
      <c r="M1918" s="545"/>
      <c r="N1918" s="545"/>
      <c r="O1918" s="545"/>
      <c r="P1918" s="545"/>
      <c r="R1918" s="490" t="str">
        <f t="shared" si="77"/>
        <v>DELETE</v>
      </c>
    </row>
    <row r="1919" spans="2:24" ht="36" customHeight="1" x14ac:dyDescent="0.5">
      <c r="B1919" s="502"/>
      <c r="C1919" s="631"/>
      <c r="D1919" s="631"/>
      <c r="E1919" s="631"/>
      <c r="F1919" s="631"/>
      <c r="G1919" s="631"/>
      <c r="H1919" s="631"/>
      <c r="I1919" s="631"/>
      <c r="J1919" s="631"/>
      <c r="M1919" s="545"/>
      <c r="N1919" s="545"/>
      <c r="O1919" s="545"/>
      <c r="P1919" s="545"/>
      <c r="R1919" s="490" t="str">
        <f t="shared" si="77"/>
        <v>DELETE</v>
      </c>
    </row>
    <row r="1920" spans="2:24" ht="36" customHeight="1" x14ac:dyDescent="0.5">
      <c r="B1920" s="502"/>
      <c r="C1920" s="631"/>
      <c r="D1920" s="631"/>
      <c r="E1920" s="631"/>
      <c r="F1920" s="631"/>
      <c r="G1920" s="631"/>
      <c r="H1920" s="631"/>
      <c r="I1920" s="631"/>
      <c r="J1920" s="631"/>
      <c r="M1920" s="545"/>
      <c r="N1920" s="545"/>
      <c r="O1920" s="545"/>
      <c r="P1920" s="545"/>
      <c r="R1920" s="490" t="str">
        <f t="shared" si="77"/>
        <v>DELETE</v>
      </c>
    </row>
    <row r="1921" spans="2:21" ht="36" customHeight="1" x14ac:dyDescent="0.5">
      <c r="B1921" s="502"/>
      <c r="C1921" s="631"/>
      <c r="D1921" s="631"/>
      <c r="E1921" s="631"/>
      <c r="F1921" s="631"/>
      <c r="G1921" s="631"/>
      <c r="H1921" s="631"/>
      <c r="I1921" s="631"/>
      <c r="J1921" s="631"/>
      <c r="M1921" s="540"/>
      <c r="O1921" s="540"/>
      <c r="R1921" s="490" t="str">
        <f t="shared" si="77"/>
        <v>DELETE</v>
      </c>
    </row>
    <row r="1922" spans="2:21" ht="36" customHeight="1" x14ac:dyDescent="0.5">
      <c r="B1922" s="502"/>
      <c r="C1922" s="631"/>
      <c r="D1922" s="631"/>
      <c r="E1922" s="631"/>
      <c r="F1922" s="631"/>
      <c r="G1922" s="631"/>
      <c r="H1922" s="631"/>
      <c r="I1922" s="631"/>
      <c r="J1922" s="631"/>
      <c r="M1922" s="540"/>
      <c r="O1922" s="454" t="s">
        <v>112</v>
      </c>
      <c r="Q1922" s="450">
        <f>MAX($Q$103:Q1921)+1</f>
        <v>49</v>
      </c>
      <c r="R1922" s="490" t="str">
        <f t="shared" ref="R1922:R1930" si="78">R$1932</f>
        <v>DELETE</v>
      </c>
    </row>
    <row r="1923" spans="2:21" ht="36" customHeight="1" x14ac:dyDescent="0.5">
      <c r="B1923" s="502"/>
      <c r="C1923" s="631"/>
      <c r="D1923" s="630" t="str">
        <f>Criteria!E9</f>
        <v>ABC COMPANY (PROPRIETARY) LIMITED</v>
      </c>
      <c r="E1923" s="631"/>
      <c r="F1923" s="631"/>
      <c r="G1923" s="631"/>
      <c r="H1923" s="631"/>
      <c r="I1923" s="631"/>
      <c r="J1923" s="631"/>
      <c r="M1923" s="540"/>
      <c r="O1923" s="540"/>
      <c r="R1923" s="490" t="str">
        <f t="shared" si="78"/>
        <v>DELETE</v>
      </c>
    </row>
    <row r="1924" spans="2:21" ht="36" customHeight="1" x14ac:dyDescent="0.5">
      <c r="B1924" s="502"/>
      <c r="C1924" s="631"/>
      <c r="D1924" s="630" t="str">
        <f>Criteria!E10</f>
        <v>T/A SEAFRONT HOTEL, ABC RESTAURANT AND RENTAL PROPERTIES</v>
      </c>
      <c r="E1924" s="631"/>
      <c r="F1924" s="631"/>
      <c r="G1924" s="631"/>
      <c r="H1924" s="631"/>
      <c r="I1924" s="631"/>
      <c r="J1924" s="631"/>
      <c r="M1924" s="540"/>
      <c r="O1924" s="540"/>
      <c r="R1924" s="490" t="str">
        <f>IF(R$1932="DELETE","DELETE",IF(D1924=0,"DELETE"," "))</f>
        <v>DELETE</v>
      </c>
    </row>
    <row r="1925" spans="2:21" ht="36" customHeight="1" x14ac:dyDescent="0.5">
      <c r="B1925" s="502"/>
      <c r="C1925" s="631"/>
      <c r="D1925" s="631"/>
      <c r="E1925" s="631"/>
      <c r="F1925" s="631"/>
      <c r="G1925" s="631"/>
      <c r="H1925" s="631"/>
      <c r="I1925" s="631"/>
      <c r="J1925" s="631"/>
      <c r="M1925" s="540"/>
      <c r="O1925" s="540"/>
      <c r="R1925" s="490" t="str">
        <f t="shared" si="78"/>
        <v>DELETE</v>
      </c>
    </row>
    <row r="1926" spans="2:21" ht="36" customHeight="1" x14ac:dyDescent="0.5">
      <c r="B1926" s="502"/>
      <c r="C1926" s="631"/>
      <c r="D1926" s="630" t="s">
        <v>415</v>
      </c>
      <c r="E1926" s="631"/>
      <c r="F1926" s="631"/>
      <c r="G1926" s="631"/>
      <c r="H1926" s="631"/>
      <c r="I1926" s="631"/>
      <c r="J1926" s="631"/>
      <c r="M1926" s="540"/>
      <c r="O1926" s="540"/>
      <c r="R1926" s="490" t="str">
        <f t="shared" si="78"/>
        <v>DELETE</v>
      </c>
    </row>
    <row r="1927" spans="2:21" ht="36" customHeight="1" x14ac:dyDescent="0.5">
      <c r="B1927" s="502"/>
      <c r="C1927" s="631"/>
      <c r="D1927" s="630" t="str">
        <f>Criteria!E20</f>
        <v>28 FEBRUARY 2026</v>
      </c>
      <c r="E1927" s="631"/>
      <c r="F1927" s="631"/>
      <c r="G1927" s="631"/>
      <c r="H1927" s="631"/>
      <c r="I1927" s="631"/>
      <c r="J1927" s="631" t="s">
        <v>282</v>
      </c>
      <c r="M1927" s="540"/>
      <c r="O1927" s="540"/>
      <c r="R1927" s="490" t="str">
        <f t="shared" si="78"/>
        <v>DELETE</v>
      </c>
    </row>
    <row r="1928" spans="2:21" ht="36" customHeight="1" x14ac:dyDescent="0.5">
      <c r="B1928" s="502"/>
      <c r="C1928" s="631"/>
      <c r="D1928" s="631"/>
      <c r="E1928" s="631"/>
      <c r="F1928" s="631"/>
      <c r="G1928" s="631"/>
      <c r="H1928" s="631"/>
      <c r="I1928" s="631"/>
      <c r="J1928" s="631"/>
      <c r="M1928" s="540"/>
      <c r="O1928" s="540"/>
      <c r="R1928" s="490" t="str">
        <f t="shared" si="78"/>
        <v>DELETE</v>
      </c>
    </row>
    <row r="1929" spans="2:21" ht="36" customHeight="1" x14ac:dyDescent="0.5">
      <c r="B1929" s="641"/>
      <c r="C1929" s="649"/>
      <c r="D1929" s="649"/>
      <c r="E1929" s="649"/>
      <c r="F1929" s="649"/>
      <c r="G1929" s="649"/>
      <c r="H1929" s="649"/>
      <c r="I1929" s="649"/>
      <c r="J1929" s="649"/>
      <c r="K1929" s="457"/>
      <c r="L1929" s="457"/>
      <c r="M1929" s="551"/>
      <c r="N1929" s="551"/>
      <c r="O1929" s="551"/>
      <c r="P1929" s="551"/>
      <c r="Q1929" s="457"/>
      <c r="R1929" s="490" t="str">
        <f t="shared" si="78"/>
        <v>DELETE</v>
      </c>
    </row>
    <row r="1930" spans="2:21" ht="36" customHeight="1" x14ac:dyDescent="0.5">
      <c r="B1930" s="501"/>
      <c r="C1930" s="630"/>
      <c r="D1930" s="631"/>
      <c r="E1930" s="631"/>
      <c r="F1930" s="631"/>
      <c r="G1930" s="631"/>
      <c r="H1930" s="631"/>
      <c r="I1930" s="631"/>
      <c r="J1930" s="631"/>
      <c r="M1930" s="488">
        <f>Criteria!E22</f>
        <v>2026</v>
      </c>
      <c r="N1930" s="488"/>
      <c r="O1930" s="488">
        <f>Criteria!E27</f>
        <v>2025</v>
      </c>
      <c r="P1930" s="545"/>
      <c r="R1930" s="490" t="str">
        <f t="shared" si="78"/>
        <v>DELETE</v>
      </c>
    </row>
    <row r="1931" spans="2:21" ht="36" customHeight="1" x14ac:dyDescent="0.5">
      <c r="B1931" s="501"/>
      <c r="C1931" s="630"/>
      <c r="D1931" s="631"/>
      <c r="E1931" s="631"/>
      <c r="F1931" s="631"/>
      <c r="G1931" s="631"/>
      <c r="H1931" s="631"/>
      <c r="I1931" s="631"/>
      <c r="J1931" s="631"/>
      <c r="M1931" s="488"/>
      <c r="N1931" s="488"/>
      <c r="O1931" s="488"/>
      <c r="P1931" s="545"/>
      <c r="R1931" s="490" t="str">
        <f>R$1932</f>
        <v>DELETE</v>
      </c>
    </row>
    <row r="1932" spans="2:21" ht="36.75" customHeight="1" x14ac:dyDescent="0.5">
      <c r="B1932" s="501">
        <f>MAX(B$871:B1931)+1</f>
        <v>13</v>
      </c>
      <c r="C1932" s="630" t="s">
        <v>1296</v>
      </c>
      <c r="D1932" s="631"/>
      <c r="E1932" s="631"/>
      <c r="F1932" s="631"/>
      <c r="G1932" s="631"/>
      <c r="H1932" s="631"/>
      <c r="I1932" s="631"/>
      <c r="J1932" s="631"/>
      <c r="M1932" s="545"/>
      <c r="N1932" s="545"/>
      <c r="O1932" s="545"/>
      <c r="P1932" s="545"/>
      <c r="R1932" s="490" t="str">
        <f>IF(M2000+O2000=0,"DELETE"," ")</f>
        <v>DELETE</v>
      </c>
    </row>
    <row r="1933" spans="2:21" ht="36" hidden="1" customHeight="1" x14ac:dyDescent="0.5">
      <c r="B1933" s="501"/>
      <c r="C1933" s="631">
        <f>B1932</f>
        <v>13</v>
      </c>
      <c r="D1933" s="631"/>
      <c r="E1933" s="631"/>
      <c r="F1933" s="631"/>
      <c r="G1933" s="631"/>
      <c r="H1933" s="631"/>
      <c r="I1933" s="631"/>
      <c r="J1933" s="631"/>
      <c r="M1933" s="545"/>
      <c r="N1933" s="545"/>
      <c r="O1933" s="545"/>
      <c r="P1933" s="545"/>
      <c r="R1933" s="490" t="str">
        <f>IF(M2000+O2000=0,"DELETE"," ")</f>
        <v>DELETE</v>
      </c>
    </row>
    <row r="1934" spans="2:21" ht="36" customHeight="1" x14ac:dyDescent="0.5">
      <c r="B1934" s="501"/>
      <c r="C1934" s="631"/>
      <c r="D1934" s="631"/>
      <c r="E1934" s="631"/>
      <c r="F1934" s="631"/>
      <c r="G1934" s="631"/>
      <c r="H1934" s="631"/>
      <c r="I1934" s="631"/>
      <c r="J1934" s="631"/>
      <c r="M1934" s="545"/>
      <c r="N1934" s="545"/>
      <c r="O1934" s="545"/>
      <c r="P1934" s="545"/>
      <c r="R1934" s="490" t="str">
        <f>R$1932</f>
        <v>DELETE</v>
      </c>
    </row>
    <row r="1935" spans="2:21" ht="36" customHeight="1" x14ac:dyDescent="0.5">
      <c r="B1935" s="501"/>
      <c r="C1935" s="515">
        <f>MAX(C1932:C1933)+0.1</f>
        <v>13.1</v>
      </c>
      <c r="D1935" s="630" t="s">
        <v>1226</v>
      </c>
      <c r="E1935" s="631"/>
      <c r="F1935" s="631"/>
      <c r="G1935" s="631"/>
      <c r="H1935" s="631"/>
      <c r="I1935" s="631"/>
      <c r="J1935" s="631"/>
      <c r="M1935" s="475"/>
      <c r="N1935" s="475"/>
      <c r="O1935" s="475"/>
      <c r="P1935" s="545"/>
      <c r="R1935" s="490" t="str">
        <f>IF(M1950+O1950=0,"DELETE"," ")</f>
        <v>DELETE</v>
      </c>
      <c r="S1935" s="496"/>
      <c r="U1935" s="496"/>
    </row>
    <row r="1936" spans="2:21" ht="36" customHeight="1" x14ac:dyDescent="0.5">
      <c r="B1936" s="501"/>
      <c r="C1936" s="515"/>
      <c r="D1936" s="630"/>
      <c r="E1936" s="631"/>
      <c r="F1936" s="631"/>
      <c r="G1936" s="631"/>
      <c r="H1936" s="631"/>
      <c r="I1936" s="631"/>
      <c r="J1936" s="631"/>
      <c r="M1936" s="475"/>
      <c r="N1936" s="475"/>
      <c r="O1936" s="475"/>
      <c r="P1936" s="545"/>
      <c r="R1936" s="490" t="str">
        <f>R1935</f>
        <v>DELETE</v>
      </c>
      <c r="S1936" s="496"/>
      <c r="U1936" s="496"/>
    </row>
    <row r="1937" spans="2:24" ht="36" customHeight="1" x14ac:dyDescent="0.5">
      <c r="B1937" s="501"/>
      <c r="C1937" s="516"/>
      <c r="D1937" s="631" t="s">
        <v>1292</v>
      </c>
      <c r="E1937" s="631"/>
      <c r="F1937" s="631"/>
      <c r="G1937" s="631"/>
      <c r="H1937" s="648"/>
      <c r="I1937" s="631"/>
      <c r="J1937" s="648"/>
      <c r="K1937" s="526"/>
      <c r="M1937" s="475">
        <f>SUM(S1940:S1942)</f>
        <v>0</v>
      </c>
      <c r="N1937" s="475"/>
      <c r="O1937" s="475">
        <f>SUM(U1940:U1942)</f>
        <v>0</v>
      </c>
      <c r="P1937" s="545"/>
      <c r="R1937" s="490" t="str">
        <f>R$1935</f>
        <v>DELETE</v>
      </c>
      <c r="S1937" s="496"/>
      <c r="U1937" s="496"/>
      <c r="V1937" s="491" t="b">
        <f>M1937=O1950</f>
        <v>1</v>
      </c>
    </row>
    <row r="1938" spans="2:24" ht="9" customHeight="1" x14ac:dyDescent="0.5">
      <c r="B1938" s="501"/>
      <c r="C1938" s="516"/>
      <c r="D1938" s="631"/>
      <c r="E1938" s="631"/>
      <c r="F1938" s="631"/>
      <c r="G1938" s="631"/>
      <c r="H1938" s="631"/>
      <c r="I1938" s="631"/>
      <c r="J1938" s="631"/>
      <c r="M1938" s="475"/>
      <c r="N1938" s="475"/>
      <c r="O1938" s="475"/>
      <c r="P1938" s="545"/>
      <c r="R1938" s="490" t="str">
        <f t="shared" ref="R1938:R1958" si="79">R$1935</f>
        <v>DELETE</v>
      </c>
      <c r="S1938" s="496"/>
      <c r="U1938" s="496"/>
    </row>
    <row r="1939" spans="2:24" ht="9" customHeight="1" x14ac:dyDescent="0.5">
      <c r="B1939" s="501"/>
      <c r="C1939" s="516"/>
      <c r="D1939" s="631"/>
      <c r="E1939" s="631"/>
      <c r="F1939" s="631"/>
      <c r="G1939" s="631"/>
      <c r="H1939" s="631"/>
      <c r="I1939" s="631"/>
      <c r="J1939" s="631"/>
      <c r="M1939" s="578"/>
      <c r="N1939" s="459"/>
      <c r="O1939" s="579"/>
      <c r="P1939" s="545"/>
      <c r="R1939" s="490" t="str">
        <f t="shared" si="79"/>
        <v>DELETE</v>
      </c>
      <c r="S1939" s="496"/>
      <c r="U1939" s="496"/>
    </row>
    <row r="1940" spans="2:24" ht="36" customHeight="1" x14ac:dyDescent="0.5">
      <c r="B1940" s="501"/>
      <c r="C1940" s="516"/>
      <c r="D1940" s="631" t="s">
        <v>416</v>
      </c>
      <c r="E1940" s="631"/>
      <c r="F1940" s="631"/>
      <c r="G1940" s="631"/>
      <c r="H1940" s="631"/>
      <c r="I1940" s="631"/>
      <c r="J1940" s="631"/>
      <c r="M1940" s="580">
        <f>TrialBalance!L285</f>
        <v>0</v>
      </c>
      <c r="N1940" s="475"/>
      <c r="O1940" s="581">
        <f>TrialBalance!N285</f>
        <v>0</v>
      </c>
      <c r="P1940" s="545"/>
      <c r="R1940" s="490" t="str">
        <f t="shared" si="79"/>
        <v>DELETE</v>
      </c>
      <c r="S1940" s="496">
        <f>M1940</f>
        <v>0</v>
      </c>
      <c r="U1940" s="496">
        <f>O1940</f>
        <v>0</v>
      </c>
    </row>
    <row r="1941" spans="2:24" ht="36" customHeight="1" x14ac:dyDescent="0.5">
      <c r="B1941" s="501"/>
      <c r="C1941" s="516"/>
      <c r="D1941" s="631" t="s">
        <v>1596</v>
      </c>
      <c r="E1941" s="631"/>
      <c r="F1941" s="631"/>
      <c r="G1941" s="631"/>
      <c r="H1941" s="631"/>
      <c r="I1941" s="631"/>
      <c r="J1941" s="631"/>
      <c r="M1941" s="580">
        <f>-TrialBalance!L288</f>
        <v>0</v>
      </c>
      <c r="N1941" s="475"/>
      <c r="O1941" s="581">
        <f>-TrialBalance!N288</f>
        <v>0</v>
      </c>
      <c r="P1941" s="545"/>
      <c r="R1941" s="490" t="str">
        <f t="shared" si="79"/>
        <v>DELETE</v>
      </c>
      <c r="S1941" s="496">
        <f>-M1941</f>
        <v>0</v>
      </c>
      <c r="U1941" s="496">
        <f>-O1941</f>
        <v>0</v>
      </c>
    </row>
    <row r="1942" spans="2:24" ht="36" customHeight="1" x14ac:dyDescent="0.5">
      <c r="B1942" s="501"/>
      <c r="C1942" s="516"/>
      <c r="D1942" s="631" t="s">
        <v>1597</v>
      </c>
      <c r="E1942" s="631"/>
      <c r="F1942" s="631"/>
      <c r="G1942" s="631"/>
      <c r="H1942" s="631"/>
      <c r="I1942" s="631"/>
      <c r="J1942" s="631"/>
      <c r="M1942" s="580">
        <f>-TrialBalance!L291</f>
        <v>0</v>
      </c>
      <c r="N1942" s="475"/>
      <c r="O1942" s="581">
        <f>-TrialBalance!N291</f>
        <v>0</v>
      </c>
      <c r="P1942" s="545"/>
      <c r="R1942" s="490" t="str">
        <f>IF(M1942+O1942=0,"DELETE"," ")</f>
        <v>DELETE</v>
      </c>
      <c r="S1942" s="496">
        <f>-M1942</f>
        <v>0</v>
      </c>
      <c r="U1942" s="496">
        <f>-O1942</f>
        <v>0</v>
      </c>
    </row>
    <row r="1943" spans="2:24" ht="9" customHeight="1" x14ac:dyDescent="0.5">
      <c r="B1943" s="501"/>
      <c r="C1943" s="516"/>
      <c r="D1943" s="631"/>
      <c r="E1943" s="631"/>
      <c r="F1943" s="631"/>
      <c r="G1943" s="631"/>
      <c r="H1943" s="631"/>
      <c r="I1943" s="631"/>
      <c r="J1943" s="631"/>
      <c r="M1943" s="460"/>
      <c r="N1943" s="461"/>
      <c r="O1943" s="582"/>
      <c r="P1943" s="545"/>
      <c r="R1943" s="490" t="str">
        <f t="shared" si="79"/>
        <v>DELETE</v>
      </c>
      <c r="S1943" s="496"/>
      <c r="U1943" s="496"/>
    </row>
    <row r="1944" spans="2:24" ht="9" customHeight="1" x14ac:dyDescent="0.5">
      <c r="B1944" s="501"/>
      <c r="C1944" s="516"/>
      <c r="D1944" s="631"/>
      <c r="E1944" s="631"/>
      <c r="F1944" s="631"/>
      <c r="G1944" s="631"/>
      <c r="H1944" s="631"/>
      <c r="I1944" s="631"/>
      <c r="J1944" s="631"/>
      <c r="M1944" s="475"/>
      <c r="N1944" s="475"/>
      <c r="O1944" s="475"/>
      <c r="P1944" s="545"/>
      <c r="R1944" s="490" t="str">
        <f t="shared" si="79"/>
        <v>DELETE</v>
      </c>
      <c r="S1944" s="496"/>
      <c r="U1944" s="496"/>
    </row>
    <row r="1945" spans="2:24" ht="36" customHeight="1" x14ac:dyDescent="0.5">
      <c r="B1945" s="501"/>
      <c r="C1945" s="516"/>
      <c r="D1945" s="631" t="s">
        <v>417</v>
      </c>
      <c r="E1945" s="631"/>
      <c r="F1945" s="631"/>
      <c r="G1945" s="631"/>
      <c r="H1945" s="631"/>
      <c r="I1945" s="631"/>
      <c r="J1945" s="631"/>
      <c r="M1945" s="475">
        <f>TrialBalance!L286</f>
        <v>0</v>
      </c>
      <c r="N1945" s="475"/>
      <c r="O1945" s="475">
        <f>TrialBalance!N286</f>
        <v>0</v>
      </c>
      <c r="P1945" s="545"/>
      <c r="R1945" s="490" t="str">
        <f>IF(M1945+O1945=0,"DELETE"," ")</f>
        <v>DELETE</v>
      </c>
      <c r="S1945" s="496"/>
      <c r="U1945" s="496"/>
    </row>
    <row r="1946" spans="2:24" ht="36" customHeight="1" x14ac:dyDescent="0.5">
      <c r="B1946" s="501"/>
      <c r="C1946" s="516"/>
      <c r="D1946" s="631" t="s">
        <v>1293</v>
      </c>
      <c r="E1946" s="631"/>
      <c r="F1946" s="631"/>
      <c r="G1946" s="631"/>
      <c r="H1946" s="631"/>
      <c r="I1946" s="631"/>
      <c r="J1946" s="631"/>
      <c r="M1946" s="475">
        <f>TrialBalance!L289</f>
        <v>0</v>
      </c>
      <c r="N1946" s="475"/>
      <c r="O1946" s="475">
        <f>TrialBalance!N289</f>
        <v>0</v>
      </c>
      <c r="P1946" s="545"/>
      <c r="R1946" s="490" t="str">
        <f t="shared" si="79"/>
        <v>DELETE</v>
      </c>
      <c r="S1946" s="496"/>
      <c r="U1946" s="496"/>
    </row>
    <row r="1947" spans="2:24" ht="36" customHeight="1" x14ac:dyDescent="0.5">
      <c r="B1947" s="501"/>
      <c r="C1947" s="516"/>
      <c r="D1947" s="631" t="s">
        <v>1294</v>
      </c>
      <c r="E1947" s="631"/>
      <c r="F1947" s="631"/>
      <c r="G1947" s="631"/>
      <c r="H1947" s="631"/>
      <c r="I1947" s="631"/>
      <c r="J1947" s="631"/>
      <c r="M1947" s="475">
        <f>TrialBalance!L292</f>
        <v>0</v>
      </c>
      <c r="N1947" s="475"/>
      <c r="O1947" s="475">
        <f>TrialBalance!N292</f>
        <v>0</v>
      </c>
      <c r="P1947" s="545"/>
      <c r="R1947" s="490" t="str">
        <f>IF(M1947=0,IF(O1947=0,"DELETE"," ")," ")</f>
        <v>DELETE</v>
      </c>
      <c r="S1947" s="496"/>
      <c r="U1947" s="496"/>
    </row>
    <row r="1948" spans="2:24" ht="9" customHeight="1" x14ac:dyDescent="0.5">
      <c r="B1948" s="501"/>
      <c r="C1948" s="516"/>
      <c r="D1948" s="631"/>
      <c r="E1948" s="631"/>
      <c r="F1948" s="631"/>
      <c r="G1948" s="631"/>
      <c r="H1948" s="631"/>
      <c r="I1948" s="631"/>
      <c r="J1948" s="631"/>
      <c r="M1948" s="461"/>
      <c r="N1948" s="461"/>
      <c r="O1948" s="461"/>
      <c r="P1948" s="545"/>
      <c r="R1948" s="490" t="str">
        <f t="shared" si="79"/>
        <v>DELETE</v>
      </c>
      <c r="S1948" s="496"/>
      <c r="U1948" s="496"/>
    </row>
    <row r="1949" spans="2:24" ht="9" customHeight="1" x14ac:dyDescent="0.5">
      <c r="B1949" s="501"/>
      <c r="C1949" s="516"/>
      <c r="D1949" s="631"/>
      <c r="E1949" s="631"/>
      <c r="F1949" s="631"/>
      <c r="G1949" s="631"/>
      <c r="H1949" s="631"/>
      <c r="I1949" s="631"/>
      <c r="J1949" s="631"/>
      <c r="M1949" s="475"/>
      <c r="N1949" s="475"/>
      <c r="O1949" s="475"/>
      <c r="P1949" s="545"/>
      <c r="R1949" s="490" t="str">
        <f t="shared" si="79"/>
        <v>DELETE</v>
      </c>
      <c r="S1949" s="496"/>
      <c r="U1949" s="496"/>
    </row>
    <row r="1950" spans="2:24" ht="36.75" customHeight="1" x14ac:dyDescent="0.5">
      <c r="B1950" s="501"/>
      <c r="C1950" s="516"/>
      <c r="D1950" s="631" t="s">
        <v>1295</v>
      </c>
      <c r="E1950" s="631"/>
      <c r="F1950" s="631"/>
      <c r="G1950" s="631"/>
      <c r="H1950" s="631"/>
      <c r="I1950" s="631"/>
      <c r="J1950" s="631"/>
      <c r="M1950" s="475">
        <f>SUM(S1954:S1956)</f>
        <v>0</v>
      </c>
      <c r="N1950" s="475"/>
      <c r="O1950" s="475">
        <f>SUM(U1954:U1956)</f>
        <v>0</v>
      </c>
      <c r="P1950" s="545"/>
      <c r="R1950" s="490" t="str">
        <f t="shared" si="79"/>
        <v>DELETE</v>
      </c>
      <c r="S1950" s="496"/>
      <c r="U1950" s="496"/>
      <c r="V1950" s="491" t="b">
        <f>M1950=M1937+SUM(M1945:M1947)</f>
        <v>1</v>
      </c>
      <c r="X1950" s="491" t="b">
        <f>O1950=O1937+SUM(O1945:O1947)</f>
        <v>1</v>
      </c>
    </row>
    <row r="1951" spans="2:24" ht="9" customHeight="1" thickBot="1" x14ac:dyDescent="0.55000000000000004">
      <c r="B1951" s="501"/>
      <c r="C1951" s="516"/>
      <c r="D1951" s="631"/>
      <c r="E1951" s="631"/>
      <c r="F1951" s="631"/>
      <c r="G1951" s="631"/>
      <c r="H1951" s="631"/>
      <c r="I1951" s="631"/>
      <c r="J1951" s="631"/>
      <c r="M1951" s="462"/>
      <c r="N1951" s="462"/>
      <c r="O1951" s="462"/>
      <c r="P1951" s="545"/>
      <c r="R1951" s="490" t="str">
        <f t="shared" si="79"/>
        <v>DELETE</v>
      </c>
      <c r="S1951" s="496"/>
      <c r="U1951" s="496"/>
    </row>
    <row r="1952" spans="2:24" ht="9" customHeight="1" thickTop="1" x14ac:dyDescent="0.5">
      <c r="B1952" s="501"/>
      <c r="C1952" s="516"/>
      <c r="D1952" s="631"/>
      <c r="E1952" s="631"/>
      <c r="F1952" s="631"/>
      <c r="G1952" s="631"/>
      <c r="H1952" s="631"/>
      <c r="I1952" s="631"/>
      <c r="J1952" s="631"/>
      <c r="M1952" s="475"/>
      <c r="N1952" s="475"/>
      <c r="O1952" s="475"/>
      <c r="P1952" s="545"/>
      <c r="R1952" s="490" t="str">
        <f t="shared" si="79"/>
        <v>DELETE</v>
      </c>
      <c r="S1952" s="496"/>
      <c r="U1952" s="496"/>
    </row>
    <row r="1953" spans="2:21" ht="9" customHeight="1" x14ac:dyDescent="0.5">
      <c r="B1953" s="501"/>
      <c r="C1953" s="516"/>
      <c r="D1953" s="631"/>
      <c r="E1953" s="631"/>
      <c r="F1953" s="631"/>
      <c r="G1953" s="631"/>
      <c r="H1953" s="631"/>
      <c r="I1953" s="631"/>
      <c r="J1953" s="631"/>
      <c r="M1953" s="578"/>
      <c r="N1953" s="459"/>
      <c r="O1953" s="579"/>
      <c r="P1953" s="545"/>
      <c r="R1953" s="490" t="str">
        <f t="shared" si="79"/>
        <v>DELETE</v>
      </c>
      <c r="S1953" s="496"/>
      <c r="U1953" s="496"/>
    </row>
    <row r="1954" spans="2:21" ht="36" customHeight="1" x14ac:dyDescent="0.5">
      <c r="B1954" s="501"/>
      <c r="C1954" s="516"/>
      <c r="D1954" s="631" t="s">
        <v>416</v>
      </c>
      <c r="E1954" s="631"/>
      <c r="F1954" s="631"/>
      <c r="G1954" s="631"/>
      <c r="H1954" s="631"/>
      <c r="I1954" s="631"/>
      <c r="J1954" s="631"/>
      <c r="M1954" s="580">
        <f>TrialBalance!L285+TrialBalance!L286</f>
        <v>0</v>
      </c>
      <c r="N1954" s="475"/>
      <c r="O1954" s="581">
        <f>TrialBalance!N285+TrialBalance!N286</f>
        <v>0</v>
      </c>
      <c r="P1954" s="545"/>
      <c r="R1954" s="490" t="str">
        <f t="shared" si="79"/>
        <v>DELETE</v>
      </c>
      <c r="S1954" s="496">
        <f>M1954</f>
        <v>0</v>
      </c>
      <c r="U1954" s="496">
        <f>O1954</f>
        <v>0</v>
      </c>
    </row>
    <row r="1955" spans="2:21" ht="36" customHeight="1" x14ac:dyDescent="0.5">
      <c r="B1955" s="501"/>
      <c r="C1955" s="516"/>
      <c r="D1955" s="631" t="s">
        <v>1596</v>
      </c>
      <c r="E1955" s="631"/>
      <c r="F1955" s="631"/>
      <c r="G1955" s="631"/>
      <c r="H1955" s="631"/>
      <c r="I1955" s="631"/>
      <c r="J1955" s="631"/>
      <c r="M1955" s="580">
        <f>-TrialBalance!L288-TrialBalance!L289</f>
        <v>0</v>
      </c>
      <c r="N1955" s="475"/>
      <c r="O1955" s="581">
        <f>-TrialBalance!N288-TrialBalance!N289</f>
        <v>0</v>
      </c>
      <c r="P1955" s="545"/>
      <c r="R1955" s="490" t="str">
        <f t="shared" si="79"/>
        <v>DELETE</v>
      </c>
      <c r="S1955" s="496">
        <f>-M1955</f>
        <v>0</v>
      </c>
      <c r="U1955" s="496">
        <f>-O1955</f>
        <v>0</v>
      </c>
    </row>
    <row r="1956" spans="2:21" ht="36" customHeight="1" x14ac:dyDescent="0.5">
      <c r="B1956" s="501"/>
      <c r="C1956" s="516"/>
      <c r="D1956" s="631" t="s">
        <v>1597</v>
      </c>
      <c r="E1956" s="631"/>
      <c r="F1956" s="631"/>
      <c r="G1956" s="631"/>
      <c r="H1956" s="631"/>
      <c r="I1956" s="631"/>
      <c r="J1956" s="631"/>
      <c r="M1956" s="580">
        <f>-TrialBalance!L291-TrialBalance!L292</f>
        <v>0</v>
      </c>
      <c r="N1956" s="475"/>
      <c r="O1956" s="581">
        <f>-TrialBalance!N291-TrialBalance!N292</f>
        <v>0</v>
      </c>
      <c r="P1956" s="545"/>
      <c r="R1956" s="490" t="str">
        <f>IF(M1956+O1956=0,"DELETE"," ")</f>
        <v>DELETE</v>
      </c>
      <c r="S1956" s="496">
        <f>-M1956</f>
        <v>0</v>
      </c>
      <c r="U1956" s="496">
        <f>-O1956</f>
        <v>0</v>
      </c>
    </row>
    <row r="1957" spans="2:21" ht="9" customHeight="1" x14ac:dyDescent="0.5">
      <c r="B1957" s="501"/>
      <c r="C1957" s="516"/>
      <c r="D1957" s="631"/>
      <c r="E1957" s="631"/>
      <c r="F1957" s="631"/>
      <c r="G1957" s="631"/>
      <c r="H1957" s="631"/>
      <c r="I1957" s="631"/>
      <c r="J1957" s="631"/>
      <c r="M1957" s="460"/>
      <c r="N1957" s="461"/>
      <c r="O1957" s="582"/>
      <c r="P1957" s="545"/>
      <c r="R1957" s="490" t="str">
        <f t="shared" si="79"/>
        <v>DELETE</v>
      </c>
      <c r="S1957" s="496"/>
      <c r="U1957" s="496"/>
    </row>
    <row r="1958" spans="2:21" ht="9" customHeight="1" x14ac:dyDescent="0.5">
      <c r="B1958" s="501"/>
      <c r="C1958" s="516"/>
      <c r="D1958" s="631"/>
      <c r="E1958" s="631"/>
      <c r="F1958" s="631"/>
      <c r="G1958" s="631"/>
      <c r="H1958" s="631"/>
      <c r="I1958" s="631"/>
      <c r="J1958" s="631"/>
      <c r="M1958" s="475"/>
      <c r="N1958" s="475"/>
      <c r="O1958" s="475"/>
      <c r="P1958" s="545"/>
      <c r="R1958" s="490" t="str">
        <f t="shared" si="79"/>
        <v>DELETE</v>
      </c>
      <c r="S1958" s="496"/>
      <c r="U1958" s="496"/>
    </row>
    <row r="1959" spans="2:21" ht="36" customHeight="1" x14ac:dyDescent="0.5">
      <c r="B1959" s="501"/>
      <c r="C1959" s="516"/>
      <c r="D1959" s="631"/>
      <c r="E1959" s="631"/>
      <c r="F1959" s="631"/>
      <c r="G1959" s="631"/>
      <c r="H1959" s="631"/>
      <c r="I1959" s="631"/>
      <c r="J1959" s="631"/>
      <c r="M1959" s="475"/>
      <c r="N1959" s="475"/>
      <c r="O1959" s="475"/>
      <c r="P1959" s="545"/>
      <c r="R1959" s="490" t="str">
        <f>IF(R1935="DELETE","DELETE",IF(R1973="DELETE","DELETE"," "))</f>
        <v>DELETE</v>
      </c>
      <c r="S1959" s="496"/>
      <c r="U1959" s="496"/>
    </row>
    <row r="1960" spans="2:21" ht="36" customHeight="1" x14ac:dyDescent="0.5">
      <c r="B1960" s="501"/>
      <c r="C1960" s="516"/>
      <c r="D1960" s="631"/>
      <c r="E1960" s="631"/>
      <c r="F1960" s="631"/>
      <c r="G1960" s="631"/>
      <c r="H1960" s="631"/>
      <c r="I1960" s="631"/>
      <c r="J1960" s="631"/>
      <c r="M1960" s="475"/>
      <c r="N1960" s="475"/>
      <c r="O1960" s="475"/>
      <c r="P1960" s="545"/>
      <c r="R1960" s="490" t="str">
        <f>R$1959</f>
        <v>DELETE</v>
      </c>
      <c r="S1960" s="496"/>
      <c r="U1960" s="496"/>
    </row>
    <row r="1961" spans="2:21" ht="36" customHeight="1" x14ac:dyDescent="0.5">
      <c r="B1961" s="501"/>
      <c r="C1961" s="516"/>
      <c r="D1961" s="631"/>
      <c r="E1961" s="631"/>
      <c r="F1961" s="631"/>
      <c r="G1961" s="631"/>
      <c r="H1961" s="631"/>
      <c r="I1961" s="631"/>
      <c r="J1961" s="631"/>
      <c r="M1961" s="475"/>
      <c r="N1961" s="475"/>
      <c r="O1961" s="475"/>
      <c r="P1961" s="545"/>
      <c r="R1961" s="490" t="str">
        <f t="shared" ref="R1961:R1962" si="80">R$1959</f>
        <v>DELETE</v>
      </c>
      <c r="S1961" s="496"/>
      <c r="U1961" s="496"/>
    </row>
    <row r="1962" spans="2:21" ht="36" customHeight="1" x14ac:dyDescent="0.5">
      <c r="B1962" s="501"/>
      <c r="C1962" s="516"/>
      <c r="D1962" s="631"/>
      <c r="E1962" s="631"/>
      <c r="F1962" s="631"/>
      <c r="G1962" s="631"/>
      <c r="H1962" s="631"/>
      <c r="I1962" s="631"/>
      <c r="J1962" s="631"/>
      <c r="M1962" s="475"/>
      <c r="N1962" s="475"/>
      <c r="O1962" s="475"/>
      <c r="P1962" s="545"/>
      <c r="R1962" s="490" t="str">
        <f t="shared" si="80"/>
        <v>DELETE</v>
      </c>
      <c r="S1962" s="496"/>
      <c r="U1962" s="496"/>
    </row>
    <row r="1963" spans="2:21" ht="36" customHeight="1" x14ac:dyDescent="0.5">
      <c r="B1963" s="501"/>
      <c r="C1963" s="516"/>
      <c r="D1963" s="631"/>
      <c r="E1963" s="631"/>
      <c r="F1963" s="631"/>
      <c r="G1963" s="631"/>
      <c r="H1963" s="631"/>
      <c r="I1963" s="631"/>
      <c r="J1963" s="631"/>
      <c r="M1963" s="475"/>
      <c r="N1963" s="475"/>
      <c r="O1963" s="454" t="s">
        <v>112</v>
      </c>
      <c r="Q1963" s="450">
        <f>MAX($Q$103:Q1962)+1</f>
        <v>50</v>
      </c>
      <c r="R1963" s="490" t="str">
        <f>IF(R1973="DELETE","DELETE",IF(R1935="DELETE","DELETE"," "))</f>
        <v>DELETE</v>
      </c>
      <c r="S1963" s="496"/>
      <c r="U1963" s="496"/>
    </row>
    <row r="1964" spans="2:21" ht="36" customHeight="1" x14ac:dyDescent="0.5">
      <c r="B1964" s="501"/>
      <c r="C1964" s="516"/>
      <c r="D1964" s="630" t="str">
        <f>Criteria!E9</f>
        <v>ABC COMPANY (PROPRIETARY) LIMITED</v>
      </c>
      <c r="E1964" s="631"/>
      <c r="F1964" s="631"/>
      <c r="G1964" s="631"/>
      <c r="H1964" s="631"/>
      <c r="I1964" s="631"/>
      <c r="J1964" s="631"/>
      <c r="M1964" s="540"/>
      <c r="O1964" s="540"/>
      <c r="R1964" s="490" t="str">
        <f>R$1963</f>
        <v>DELETE</v>
      </c>
      <c r="S1964" s="496"/>
      <c r="U1964" s="496"/>
    </row>
    <row r="1965" spans="2:21" ht="36" customHeight="1" x14ac:dyDescent="0.5">
      <c r="B1965" s="501"/>
      <c r="C1965" s="516"/>
      <c r="D1965" s="630" t="str">
        <f>Criteria!E10</f>
        <v>T/A SEAFRONT HOTEL, ABC RESTAURANT AND RENTAL PROPERTIES</v>
      </c>
      <c r="E1965" s="631"/>
      <c r="F1965" s="631"/>
      <c r="G1965" s="631"/>
      <c r="H1965" s="631"/>
      <c r="I1965" s="631"/>
      <c r="J1965" s="631"/>
      <c r="M1965" s="540"/>
      <c r="O1965" s="540"/>
      <c r="R1965" s="490" t="str">
        <f>IF(R$1963="DELETE","DELETE",IF(D1965=0,"DELETE"," "))</f>
        <v>DELETE</v>
      </c>
      <c r="S1965" s="496"/>
      <c r="U1965" s="496"/>
    </row>
    <row r="1966" spans="2:21" ht="36" customHeight="1" x14ac:dyDescent="0.5">
      <c r="B1966" s="501"/>
      <c r="C1966" s="516"/>
      <c r="D1966" s="631"/>
      <c r="E1966" s="631"/>
      <c r="F1966" s="631"/>
      <c r="G1966" s="631"/>
      <c r="H1966" s="631"/>
      <c r="I1966" s="631"/>
      <c r="J1966" s="631"/>
      <c r="M1966" s="540"/>
      <c r="O1966" s="540"/>
      <c r="R1966" s="490" t="str">
        <f t="shared" ref="R1966:R1972" si="81">R$1963</f>
        <v>DELETE</v>
      </c>
      <c r="S1966" s="496"/>
      <c r="U1966" s="496"/>
    </row>
    <row r="1967" spans="2:21" ht="36" customHeight="1" x14ac:dyDescent="0.5">
      <c r="B1967" s="501"/>
      <c r="C1967" s="516"/>
      <c r="D1967" s="630" t="s">
        <v>415</v>
      </c>
      <c r="E1967" s="631"/>
      <c r="F1967" s="631"/>
      <c r="G1967" s="631"/>
      <c r="H1967" s="631"/>
      <c r="I1967" s="631"/>
      <c r="J1967" s="631"/>
      <c r="M1967" s="540"/>
      <c r="O1967" s="540"/>
      <c r="R1967" s="490" t="str">
        <f t="shared" si="81"/>
        <v>DELETE</v>
      </c>
      <c r="S1967" s="496"/>
      <c r="U1967" s="496"/>
    </row>
    <row r="1968" spans="2:21" ht="36" customHeight="1" x14ac:dyDescent="0.5">
      <c r="B1968" s="501"/>
      <c r="C1968" s="516"/>
      <c r="D1968" s="630" t="str">
        <f>Criteria!E20</f>
        <v>28 FEBRUARY 2026</v>
      </c>
      <c r="E1968" s="631"/>
      <c r="F1968" s="631"/>
      <c r="G1968" s="631"/>
      <c r="H1968" s="631"/>
      <c r="I1968" s="631"/>
      <c r="J1968" s="631" t="s">
        <v>282</v>
      </c>
      <c r="M1968" s="540"/>
      <c r="O1968" s="540"/>
      <c r="R1968" s="490" t="str">
        <f t="shared" si="81"/>
        <v>DELETE</v>
      </c>
      <c r="S1968" s="496"/>
      <c r="U1968" s="496"/>
    </row>
    <row r="1969" spans="2:22" ht="36" customHeight="1" x14ac:dyDescent="0.5">
      <c r="B1969" s="501"/>
      <c r="C1969" s="516"/>
      <c r="D1969" s="631"/>
      <c r="E1969" s="631"/>
      <c r="F1969" s="631"/>
      <c r="G1969" s="631"/>
      <c r="H1969" s="631"/>
      <c r="I1969" s="631"/>
      <c r="J1969" s="631"/>
      <c r="M1969" s="475"/>
      <c r="N1969" s="475"/>
      <c r="O1969" s="475"/>
      <c r="P1969" s="545"/>
      <c r="R1969" s="490" t="str">
        <f t="shared" si="81"/>
        <v>DELETE</v>
      </c>
      <c r="S1969" s="496"/>
      <c r="U1969" s="496"/>
    </row>
    <row r="1970" spans="2:22" ht="36" customHeight="1" x14ac:dyDescent="0.5">
      <c r="B1970" s="640"/>
      <c r="C1970" s="517"/>
      <c r="D1970" s="649"/>
      <c r="E1970" s="649"/>
      <c r="F1970" s="649"/>
      <c r="G1970" s="649"/>
      <c r="H1970" s="649"/>
      <c r="I1970" s="649"/>
      <c r="J1970" s="649"/>
      <c r="K1970" s="457"/>
      <c r="L1970" s="457"/>
      <c r="M1970" s="459"/>
      <c r="N1970" s="459"/>
      <c r="O1970" s="459"/>
      <c r="P1970" s="551"/>
      <c r="Q1970" s="457"/>
      <c r="R1970" s="490" t="str">
        <f t="shared" si="81"/>
        <v>DELETE</v>
      </c>
      <c r="S1970" s="496"/>
      <c r="U1970" s="496"/>
    </row>
    <row r="1971" spans="2:22" ht="36" customHeight="1" x14ac:dyDescent="0.5">
      <c r="B1971" s="501"/>
      <c r="C1971" s="516"/>
      <c r="D1971" s="631"/>
      <c r="E1971" s="631"/>
      <c r="F1971" s="631"/>
      <c r="G1971" s="631"/>
      <c r="H1971" s="631"/>
      <c r="I1971" s="631"/>
      <c r="J1971" s="631"/>
      <c r="M1971" s="488">
        <f>Criteria!E22</f>
        <v>2026</v>
      </c>
      <c r="N1971" s="488"/>
      <c r="O1971" s="488">
        <f>Criteria!E27</f>
        <v>2025</v>
      </c>
      <c r="P1971" s="545"/>
      <c r="R1971" s="490" t="str">
        <f t="shared" si="81"/>
        <v>DELETE</v>
      </c>
      <c r="S1971" s="496"/>
      <c r="U1971" s="496"/>
    </row>
    <row r="1972" spans="2:22" ht="36" customHeight="1" x14ac:dyDescent="0.5">
      <c r="B1972" s="501"/>
      <c r="C1972" s="516"/>
      <c r="D1972" s="631"/>
      <c r="E1972" s="631"/>
      <c r="F1972" s="631"/>
      <c r="G1972" s="631"/>
      <c r="H1972" s="631"/>
      <c r="I1972" s="631"/>
      <c r="J1972" s="631"/>
      <c r="M1972" s="475"/>
      <c r="N1972" s="475"/>
      <c r="O1972" s="475"/>
      <c r="P1972" s="545"/>
      <c r="R1972" s="490" t="str">
        <f t="shared" si="81"/>
        <v>DELETE</v>
      </c>
      <c r="S1972" s="496"/>
      <c r="U1972" s="496"/>
    </row>
    <row r="1973" spans="2:22" ht="36" customHeight="1" x14ac:dyDescent="0.5">
      <c r="B1973" s="501"/>
      <c r="C1973" s="515">
        <f>MAX(C1932:C1972)+0.1</f>
        <v>13.2</v>
      </c>
      <c r="D1973" s="630" t="s">
        <v>1524</v>
      </c>
      <c r="E1973" s="631"/>
      <c r="F1973" s="631"/>
      <c r="G1973" s="631"/>
      <c r="H1973" s="631"/>
      <c r="I1973" s="631"/>
      <c r="J1973" s="631"/>
      <c r="M1973" s="475"/>
      <c r="N1973" s="475"/>
      <c r="O1973" s="475"/>
      <c r="P1973" s="545"/>
      <c r="R1973" s="490" t="str">
        <f>IF(M1988+O1988=0,"DELETE"," ")</f>
        <v>DELETE</v>
      </c>
      <c r="S1973" s="496"/>
      <c r="U1973" s="496"/>
    </row>
    <row r="1974" spans="2:22" ht="36" customHeight="1" x14ac:dyDescent="0.5">
      <c r="B1974" s="501"/>
      <c r="C1974" s="515"/>
      <c r="D1974" s="630"/>
      <c r="E1974" s="631"/>
      <c r="F1974" s="631"/>
      <c r="G1974" s="631"/>
      <c r="H1974" s="631"/>
      <c r="I1974" s="631"/>
      <c r="J1974" s="631"/>
      <c r="M1974" s="475"/>
      <c r="N1974" s="475"/>
      <c r="O1974" s="475"/>
      <c r="P1974" s="545"/>
      <c r="R1974" s="490" t="str">
        <f>R1973</f>
        <v>DELETE</v>
      </c>
      <c r="S1974" s="496"/>
      <c r="U1974" s="496"/>
    </row>
    <row r="1975" spans="2:22" ht="36" customHeight="1" x14ac:dyDescent="0.5">
      <c r="B1975" s="501"/>
      <c r="C1975" s="515"/>
      <c r="D1975" s="631" t="s">
        <v>1292</v>
      </c>
      <c r="E1975" s="631"/>
      <c r="F1975" s="631"/>
      <c r="G1975" s="631"/>
      <c r="H1975" s="648"/>
      <c r="I1975" s="631"/>
      <c r="J1975" s="648"/>
      <c r="K1975" s="526"/>
      <c r="M1975" s="475">
        <f>SUM(S1978:S1980)</f>
        <v>0</v>
      </c>
      <c r="N1975" s="475"/>
      <c r="O1975" s="475">
        <f>SUM(U1978:U1980)</f>
        <v>0</v>
      </c>
      <c r="P1975" s="545"/>
      <c r="R1975" s="490" t="str">
        <f>R$1973</f>
        <v>DELETE</v>
      </c>
      <c r="S1975" s="496"/>
      <c r="U1975" s="496"/>
      <c r="V1975" s="491" t="b">
        <f>M1975=O1988</f>
        <v>1</v>
      </c>
    </row>
    <row r="1976" spans="2:22" ht="9" customHeight="1" x14ac:dyDescent="0.5">
      <c r="B1976" s="501"/>
      <c r="C1976" s="515"/>
      <c r="D1976" s="631"/>
      <c r="E1976" s="631"/>
      <c r="F1976" s="631"/>
      <c r="G1976" s="631"/>
      <c r="H1976" s="631"/>
      <c r="I1976" s="631"/>
      <c r="J1976" s="631"/>
      <c r="M1976" s="475"/>
      <c r="N1976" s="475"/>
      <c r="O1976" s="475"/>
      <c r="P1976" s="545"/>
      <c r="R1976" s="490" t="str">
        <f t="shared" ref="R1976:R1997" si="82">R$1973</f>
        <v>DELETE</v>
      </c>
      <c r="S1976" s="496"/>
      <c r="U1976" s="496"/>
    </row>
    <row r="1977" spans="2:22" ht="9" customHeight="1" x14ac:dyDescent="0.5">
      <c r="B1977" s="501"/>
      <c r="C1977" s="515"/>
      <c r="D1977" s="631"/>
      <c r="E1977" s="631"/>
      <c r="F1977" s="631"/>
      <c r="G1977" s="631"/>
      <c r="H1977" s="631"/>
      <c r="I1977" s="631"/>
      <c r="J1977" s="631"/>
      <c r="M1977" s="578"/>
      <c r="N1977" s="459"/>
      <c r="O1977" s="579"/>
      <c r="P1977" s="545"/>
      <c r="R1977" s="490" t="str">
        <f t="shared" si="82"/>
        <v>DELETE</v>
      </c>
      <c r="S1977" s="496"/>
      <c r="U1977" s="496"/>
    </row>
    <row r="1978" spans="2:22" ht="36" customHeight="1" x14ac:dyDescent="0.5">
      <c r="B1978" s="501"/>
      <c r="C1978" s="515"/>
      <c r="D1978" s="631" t="s">
        <v>416</v>
      </c>
      <c r="E1978" s="631"/>
      <c r="F1978" s="631"/>
      <c r="G1978" s="631"/>
      <c r="H1978" s="631"/>
      <c r="I1978" s="631"/>
      <c r="J1978" s="631"/>
      <c r="M1978" s="580">
        <f>TrialBalance!L294</f>
        <v>0</v>
      </c>
      <c r="N1978" s="475"/>
      <c r="O1978" s="581">
        <f>TrialBalance!N294</f>
        <v>0</v>
      </c>
      <c r="P1978" s="545"/>
      <c r="R1978" s="490" t="str">
        <f t="shared" si="82"/>
        <v>DELETE</v>
      </c>
      <c r="S1978" s="496">
        <f>M1978</f>
        <v>0</v>
      </c>
      <c r="U1978" s="496">
        <f>O1978</f>
        <v>0</v>
      </c>
    </row>
    <row r="1979" spans="2:22" ht="36" customHeight="1" x14ac:dyDescent="0.5">
      <c r="B1979" s="501"/>
      <c r="C1979" s="515"/>
      <c r="D1979" s="631" t="s">
        <v>1596</v>
      </c>
      <c r="E1979" s="631"/>
      <c r="F1979" s="631"/>
      <c r="G1979" s="631"/>
      <c r="H1979" s="631"/>
      <c r="I1979" s="631"/>
      <c r="J1979" s="631"/>
      <c r="M1979" s="580">
        <f>-TrialBalance!L297</f>
        <v>0</v>
      </c>
      <c r="N1979" s="475"/>
      <c r="O1979" s="581">
        <f>-TrialBalance!N297</f>
        <v>0</v>
      </c>
      <c r="P1979" s="545"/>
      <c r="R1979" s="490" t="str">
        <f t="shared" si="82"/>
        <v>DELETE</v>
      </c>
      <c r="S1979" s="496">
        <f>-M1979</f>
        <v>0</v>
      </c>
      <c r="U1979" s="496">
        <f>-O1979</f>
        <v>0</v>
      </c>
    </row>
    <row r="1980" spans="2:22" ht="36" customHeight="1" x14ac:dyDescent="0.5">
      <c r="B1980" s="501"/>
      <c r="C1980" s="515"/>
      <c r="D1980" s="631" t="s">
        <v>1597</v>
      </c>
      <c r="E1980" s="631"/>
      <c r="F1980" s="631"/>
      <c r="G1980" s="631"/>
      <c r="H1980" s="631"/>
      <c r="I1980" s="631"/>
      <c r="J1980" s="631"/>
      <c r="M1980" s="580">
        <f>-TrialBalance!L300</f>
        <v>0</v>
      </c>
      <c r="N1980" s="475"/>
      <c r="O1980" s="581">
        <f>-TrialBalance!N300</f>
        <v>0</v>
      </c>
      <c r="P1980" s="545"/>
      <c r="R1980" s="490" t="str">
        <f>IF(M1980+O1980=0,"DELETE"," ")</f>
        <v>DELETE</v>
      </c>
      <c r="S1980" s="496">
        <f>-M1980</f>
        <v>0</v>
      </c>
      <c r="U1980" s="496">
        <f>-O1980</f>
        <v>0</v>
      </c>
    </row>
    <row r="1981" spans="2:22" ht="9" customHeight="1" x14ac:dyDescent="0.5">
      <c r="B1981" s="501"/>
      <c r="C1981" s="515"/>
      <c r="D1981" s="631"/>
      <c r="E1981" s="631"/>
      <c r="F1981" s="631"/>
      <c r="G1981" s="631"/>
      <c r="H1981" s="631"/>
      <c r="I1981" s="631"/>
      <c r="J1981" s="631"/>
      <c r="M1981" s="460"/>
      <c r="N1981" s="461"/>
      <c r="O1981" s="582"/>
      <c r="P1981" s="545"/>
      <c r="R1981" s="490" t="str">
        <f t="shared" si="82"/>
        <v>DELETE</v>
      </c>
      <c r="S1981" s="496"/>
      <c r="U1981" s="496"/>
    </row>
    <row r="1982" spans="2:22" ht="9" customHeight="1" x14ac:dyDescent="0.5">
      <c r="B1982" s="501"/>
      <c r="C1982" s="515"/>
      <c r="D1982" s="631"/>
      <c r="E1982" s="631"/>
      <c r="F1982" s="631"/>
      <c r="G1982" s="631"/>
      <c r="H1982" s="631"/>
      <c r="I1982" s="631"/>
      <c r="J1982" s="631"/>
      <c r="M1982" s="475"/>
      <c r="N1982" s="475"/>
      <c r="O1982" s="475"/>
      <c r="P1982" s="545"/>
      <c r="R1982" s="490" t="str">
        <f t="shared" si="82"/>
        <v>DELETE</v>
      </c>
      <c r="S1982" s="496"/>
      <c r="U1982" s="496"/>
    </row>
    <row r="1983" spans="2:22" ht="36" customHeight="1" x14ac:dyDescent="0.5">
      <c r="B1983" s="501"/>
      <c r="C1983" s="515"/>
      <c r="D1983" s="631" t="s">
        <v>417</v>
      </c>
      <c r="E1983" s="631"/>
      <c r="F1983" s="631"/>
      <c r="G1983" s="631"/>
      <c r="H1983" s="631"/>
      <c r="I1983" s="631"/>
      <c r="J1983" s="631"/>
      <c r="M1983" s="475">
        <f>TrialBalance!L295</f>
        <v>0</v>
      </c>
      <c r="N1983" s="475"/>
      <c r="O1983" s="475">
        <f>TrialBalance!N295</f>
        <v>0</v>
      </c>
      <c r="P1983" s="545"/>
      <c r="R1983" s="490" t="str">
        <f>IF(M1983+O1983=0,"DELETE"," ")</f>
        <v>DELETE</v>
      </c>
      <c r="S1983" s="496"/>
      <c r="U1983" s="496"/>
    </row>
    <row r="1984" spans="2:22" ht="36" customHeight="1" x14ac:dyDescent="0.5">
      <c r="B1984" s="501"/>
      <c r="C1984" s="515"/>
      <c r="D1984" s="631" t="s">
        <v>1293</v>
      </c>
      <c r="E1984" s="631"/>
      <c r="F1984" s="631"/>
      <c r="G1984" s="631"/>
      <c r="H1984" s="631"/>
      <c r="I1984" s="631"/>
      <c r="J1984" s="631"/>
      <c r="M1984" s="475">
        <f>TrialBalance!L298</f>
        <v>0</v>
      </c>
      <c r="N1984" s="475"/>
      <c r="O1984" s="475">
        <f>TrialBalance!N298</f>
        <v>0</v>
      </c>
      <c r="P1984" s="545"/>
      <c r="R1984" s="490" t="str">
        <f t="shared" si="82"/>
        <v>DELETE</v>
      </c>
      <c r="S1984" s="496"/>
      <c r="U1984" s="496"/>
    </row>
    <row r="1985" spans="2:24" ht="36" customHeight="1" x14ac:dyDescent="0.5">
      <c r="B1985" s="501"/>
      <c r="C1985" s="515"/>
      <c r="D1985" s="631" t="s">
        <v>1294</v>
      </c>
      <c r="E1985" s="631"/>
      <c r="F1985" s="631"/>
      <c r="G1985" s="631"/>
      <c r="H1985" s="631"/>
      <c r="I1985" s="631"/>
      <c r="J1985" s="631"/>
      <c r="M1985" s="475">
        <f>TrialBalance!L301</f>
        <v>0</v>
      </c>
      <c r="N1985" s="475"/>
      <c r="O1985" s="475">
        <f>TrialBalance!N301</f>
        <v>0</v>
      </c>
      <c r="P1985" s="545"/>
      <c r="R1985" s="490" t="str">
        <f>IF(M1985=0,IF(O1985=0,"DELETE"," ")," ")</f>
        <v>DELETE</v>
      </c>
      <c r="S1985" s="496"/>
      <c r="U1985" s="496"/>
    </row>
    <row r="1986" spans="2:24" ht="9" customHeight="1" x14ac:dyDescent="0.5">
      <c r="B1986" s="501"/>
      <c r="C1986" s="515"/>
      <c r="D1986" s="631"/>
      <c r="E1986" s="631"/>
      <c r="F1986" s="631"/>
      <c r="G1986" s="631"/>
      <c r="H1986" s="631"/>
      <c r="I1986" s="631"/>
      <c r="J1986" s="631"/>
      <c r="M1986" s="461"/>
      <c r="N1986" s="461"/>
      <c r="O1986" s="461"/>
      <c r="P1986" s="545"/>
      <c r="R1986" s="490" t="str">
        <f t="shared" si="82"/>
        <v>DELETE</v>
      </c>
      <c r="S1986" s="496"/>
      <c r="U1986" s="496"/>
    </row>
    <row r="1987" spans="2:24" ht="9" customHeight="1" x14ac:dyDescent="0.5">
      <c r="B1987" s="501"/>
      <c r="C1987" s="515"/>
      <c r="D1987" s="631"/>
      <c r="E1987" s="631"/>
      <c r="F1987" s="631"/>
      <c r="G1987" s="631"/>
      <c r="H1987" s="631"/>
      <c r="I1987" s="631"/>
      <c r="J1987" s="631"/>
      <c r="M1987" s="475"/>
      <c r="N1987" s="475"/>
      <c r="O1987" s="475"/>
      <c r="P1987" s="545"/>
      <c r="R1987" s="490" t="str">
        <f t="shared" si="82"/>
        <v>DELETE</v>
      </c>
      <c r="S1987" s="496"/>
      <c r="U1987" s="496"/>
    </row>
    <row r="1988" spans="2:24" ht="36.75" customHeight="1" x14ac:dyDescent="0.5">
      <c r="B1988" s="501"/>
      <c r="C1988" s="515"/>
      <c r="D1988" s="631" t="s">
        <v>1295</v>
      </c>
      <c r="E1988" s="631"/>
      <c r="F1988" s="631"/>
      <c r="G1988" s="631"/>
      <c r="H1988" s="631"/>
      <c r="I1988" s="631"/>
      <c r="J1988" s="631"/>
      <c r="M1988" s="475">
        <f>SUM(S1992:S1994)</f>
        <v>0</v>
      </c>
      <c r="N1988" s="475"/>
      <c r="O1988" s="475">
        <f>SUM(U1992:U1994)</f>
        <v>0</v>
      </c>
      <c r="P1988" s="545"/>
      <c r="R1988" s="490" t="str">
        <f t="shared" si="82"/>
        <v>DELETE</v>
      </c>
      <c r="S1988" s="496"/>
      <c r="U1988" s="496"/>
      <c r="V1988" s="491" t="b">
        <f>M1988=M1975+SUM(M1983:M1985)</f>
        <v>1</v>
      </c>
      <c r="X1988" s="491" t="b">
        <f>O1988=O1975+SUM(O1983:O1985)</f>
        <v>1</v>
      </c>
    </row>
    <row r="1989" spans="2:24" ht="9" customHeight="1" thickBot="1" x14ac:dyDescent="0.55000000000000004">
      <c r="B1989" s="501"/>
      <c r="C1989" s="515"/>
      <c r="D1989" s="631"/>
      <c r="E1989" s="631"/>
      <c r="F1989" s="631"/>
      <c r="G1989" s="631"/>
      <c r="H1989" s="631"/>
      <c r="I1989" s="631"/>
      <c r="J1989" s="631"/>
      <c r="M1989" s="462"/>
      <c r="N1989" s="462"/>
      <c r="O1989" s="462"/>
      <c r="P1989" s="545"/>
      <c r="R1989" s="490" t="str">
        <f t="shared" si="82"/>
        <v>DELETE</v>
      </c>
      <c r="S1989" s="496"/>
      <c r="U1989" s="496"/>
    </row>
    <row r="1990" spans="2:24" ht="9" customHeight="1" thickTop="1" x14ac:dyDescent="0.5">
      <c r="B1990" s="501"/>
      <c r="C1990" s="515"/>
      <c r="D1990" s="631"/>
      <c r="E1990" s="631"/>
      <c r="F1990" s="631"/>
      <c r="G1990" s="631"/>
      <c r="H1990" s="631"/>
      <c r="I1990" s="631"/>
      <c r="J1990" s="631"/>
      <c r="M1990" s="475"/>
      <c r="N1990" s="475"/>
      <c r="O1990" s="475"/>
      <c r="P1990" s="545"/>
      <c r="R1990" s="490" t="str">
        <f t="shared" si="82"/>
        <v>DELETE</v>
      </c>
      <c r="S1990" s="496"/>
      <c r="U1990" s="496"/>
    </row>
    <row r="1991" spans="2:24" ht="9" customHeight="1" x14ac:dyDescent="0.5">
      <c r="B1991" s="501"/>
      <c r="C1991" s="515"/>
      <c r="D1991" s="631"/>
      <c r="E1991" s="631"/>
      <c r="F1991" s="631"/>
      <c r="G1991" s="631"/>
      <c r="H1991" s="631"/>
      <c r="I1991" s="631"/>
      <c r="J1991" s="631"/>
      <c r="M1991" s="578"/>
      <c r="N1991" s="459"/>
      <c r="O1991" s="579"/>
      <c r="P1991" s="545"/>
      <c r="R1991" s="490" t="str">
        <f t="shared" si="82"/>
        <v>DELETE</v>
      </c>
      <c r="S1991" s="496"/>
      <c r="U1991" s="496"/>
    </row>
    <row r="1992" spans="2:24" ht="36" customHeight="1" x14ac:dyDescent="0.5">
      <c r="B1992" s="501"/>
      <c r="C1992" s="515"/>
      <c r="D1992" s="631" t="s">
        <v>416</v>
      </c>
      <c r="E1992" s="631"/>
      <c r="F1992" s="631"/>
      <c r="G1992" s="631"/>
      <c r="H1992" s="631"/>
      <c r="I1992" s="631"/>
      <c r="J1992" s="631"/>
      <c r="M1992" s="580">
        <f>TrialBalance!L294+TrialBalance!L295</f>
        <v>0</v>
      </c>
      <c r="N1992" s="475"/>
      <c r="O1992" s="581">
        <f>TrialBalance!N294+TrialBalance!N295</f>
        <v>0</v>
      </c>
      <c r="P1992" s="545"/>
      <c r="R1992" s="490" t="str">
        <f t="shared" si="82"/>
        <v>DELETE</v>
      </c>
      <c r="S1992" s="496">
        <f>M1992</f>
        <v>0</v>
      </c>
      <c r="U1992" s="496">
        <f>O1992</f>
        <v>0</v>
      </c>
    </row>
    <row r="1993" spans="2:24" ht="36" customHeight="1" x14ac:dyDescent="0.5">
      <c r="B1993" s="501"/>
      <c r="C1993" s="515"/>
      <c r="D1993" s="631" t="s">
        <v>1596</v>
      </c>
      <c r="E1993" s="631"/>
      <c r="F1993" s="631"/>
      <c r="G1993" s="631"/>
      <c r="H1993" s="631"/>
      <c r="I1993" s="631"/>
      <c r="J1993" s="631"/>
      <c r="M1993" s="580">
        <f>-TrialBalance!L297-TrialBalance!L298</f>
        <v>0</v>
      </c>
      <c r="N1993" s="475"/>
      <c r="O1993" s="581">
        <f>-TrialBalance!N297-TrialBalance!N298</f>
        <v>0</v>
      </c>
      <c r="P1993" s="545"/>
      <c r="R1993" s="490" t="str">
        <f t="shared" si="82"/>
        <v>DELETE</v>
      </c>
      <c r="S1993" s="496">
        <f>-M1993</f>
        <v>0</v>
      </c>
      <c r="U1993" s="496">
        <f>-O1993</f>
        <v>0</v>
      </c>
    </row>
    <row r="1994" spans="2:24" ht="36" customHeight="1" x14ac:dyDescent="0.5">
      <c r="B1994" s="501"/>
      <c r="C1994" s="515"/>
      <c r="D1994" s="631" t="s">
        <v>1597</v>
      </c>
      <c r="E1994" s="631"/>
      <c r="F1994" s="631"/>
      <c r="G1994" s="631"/>
      <c r="H1994" s="631"/>
      <c r="I1994" s="631"/>
      <c r="J1994" s="631"/>
      <c r="M1994" s="580">
        <f>-TrialBalance!L300-TrialBalance!L301</f>
        <v>0</v>
      </c>
      <c r="N1994" s="475"/>
      <c r="O1994" s="581">
        <f>-TrialBalance!N300-TrialBalance!N301</f>
        <v>0</v>
      </c>
      <c r="P1994" s="545"/>
      <c r="R1994" s="490" t="str">
        <f>IF(M1994+O1994=0,"DELETE"," ")</f>
        <v>DELETE</v>
      </c>
      <c r="S1994" s="496">
        <f>-M1994</f>
        <v>0</v>
      </c>
      <c r="U1994" s="496">
        <f>-O1994</f>
        <v>0</v>
      </c>
    </row>
    <row r="1995" spans="2:24" ht="9" customHeight="1" x14ac:dyDescent="0.5">
      <c r="B1995" s="501"/>
      <c r="C1995" s="515"/>
      <c r="D1995" s="631"/>
      <c r="E1995" s="631"/>
      <c r="F1995" s="631"/>
      <c r="G1995" s="631"/>
      <c r="H1995" s="631"/>
      <c r="I1995" s="631"/>
      <c r="J1995" s="631"/>
      <c r="M1995" s="460"/>
      <c r="N1995" s="461"/>
      <c r="O1995" s="582"/>
      <c r="P1995" s="545"/>
      <c r="R1995" s="490" t="str">
        <f t="shared" si="82"/>
        <v>DELETE</v>
      </c>
      <c r="S1995" s="496"/>
      <c r="U1995" s="496"/>
    </row>
    <row r="1996" spans="2:24" ht="9" customHeight="1" x14ac:dyDescent="0.5">
      <c r="B1996" s="501"/>
      <c r="C1996" s="515"/>
      <c r="D1996" s="631"/>
      <c r="E1996" s="631"/>
      <c r="F1996" s="631"/>
      <c r="G1996" s="631"/>
      <c r="H1996" s="631"/>
      <c r="I1996" s="631"/>
      <c r="J1996" s="631"/>
      <c r="M1996" s="475"/>
      <c r="N1996" s="475"/>
      <c r="O1996" s="475"/>
      <c r="P1996" s="545"/>
      <c r="R1996" s="490" t="str">
        <f t="shared" si="82"/>
        <v>DELETE</v>
      </c>
      <c r="S1996" s="496"/>
      <c r="U1996" s="496"/>
    </row>
    <row r="1997" spans="2:24" ht="36.75" customHeight="1" x14ac:dyDescent="0.5">
      <c r="B1997" s="501"/>
      <c r="C1997" s="515"/>
      <c r="D1997" s="631"/>
      <c r="E1997" s="631"/>
      <c r="F1997" s="631"/>
      <c r="G1997" s="631"/>
      <c r="H1997" s="631"/>
      <c r="I1997" s="631"/>
      <c r="J1997" s="631"/>
      <c r="M1997" s="475"/>
      <c r="N1997" s="475"/>
      <c r="O1997" s="475"/>
      <c r="P1997" s="545"/>
      <c r="R1997" s="490" t="str">
        <f t="shared" si="82"/>
        <v>DELETE</v>
      </c>
      <c r="S1997" s="496"/>
      <c r="U1997" s="496"/>
    </row>
    <row r="1998" spans="2:24" ht="9" customHeight="1" x14ac:dyDescent="0.5">
      <c r="B1998" s="501"/>
      <c r="C1998" s="515"/>
      <c r="D1998" s="631"/>
      <c r="E1998" s="631"/>
      <c r="F1998" s="631"/>
      <c r="G1998" s="631"/>
      <c r="H1998" s="631"/>
      <c r="I1998" s="631"/>
      <c r="J1998" s="631"/>
      <c r="M1998" s="461"/>
      <c r="N1998" s="461"/>
      <c r="O1998" s="461"/>
      <c r="P1998" s="545"/>
      <c r="R1998" s="490" t="str">
        <f t="shared" ref="R1998:R2006" si="83">R$1932</f>
        <v>DELETE</v>
      </c>
      <c r="S1998" s="496"/>
      <c r="U1998" s="496"/>
    </row>
    <row r="1999" spans="2:24" ht="9" customHeight="1" x14ac:dyDescent="0.5">
      <c r="B1999" s="501"/>
      <c r="C1999" s="515"/>
      <c r="D1999" s="631"/>
      <c r="E1999" s="631"/>
      <c r="F1999" s="631"/>
      <c r="G1999" s="631"/>
      <c r="H1999" s="631"/>
      <c r="I1999" s="631"/>
      <c r="J1999" s="631"/>
      <c r="M1999" s="475"/>
      <c r="N1999" s="475"/>
      <c r="O1999" s="475"/>
      <c r="P1999" s="545"/>
      <c r="R1999" s="490" t="str">
        <f t="shared" si="83"/>
        <v>DELETE</v>
      </c>
      <c r="S1999" s="496"/>
      <c r="U1999" s="496"/>
    </row>
    <row r="2000" spans="2:24" ht="36.75" customHeight="1" x14ac:dyDescent="0.5">
      <c r="B2000" s="501"/>
      <c r="C2000" s="515"/>
      <c r="D2000" s="631" t="s">
        <v>420</v>
      </c>
      <c r="E2000" s="631"/>
      <c r="F2000" s="631"/>
      <c r="G2000" s="631"/>
      <c r="H2000" s="631"/>
      <c r="I2000" s="631"/>
      <c r="J2000" s="631"/>
      <c r="M2000" s="475">
        <f>SUM(TrialBalance!L285:L301)</f>
        <v>0</v>
      </c>
      <c r="N2000" s="475"/>
      <c r="O2000" s="475">
        <f>SUM(TrialBalance!N285:N301)</f>
        <v>0</v>
      </c>
      <c r="P2000" s="545"/>
      <c r="R2000" s="490" t="str">
        <f t="shared" si="83"/>
        <v>DELETE</v>
      </c>
      <c r="S2000" s="496"/>
      <c r="U2000" s="496"/>
    </row>
    <row r="2001" spans="2:21" ht="9" customHeight="1" thickBot="1" x14ac:dyDescent="0.55000000000000004">
      <c r="B2001" s="501"/>
      <c r="C2001" s="515"/>
      <c r="D2001" s="631"/>
      <c r="E2001" s="631"/>
      <c r="F2001" s="631"/>
      <c r="G2001" s="631"/>
      <c r="H2001" s="631"/>
      <c r="I2001" s="631"/>
      <c r="J2001" s="631"/>
      <c r="M2001" s="462"/>
      <c r="N2001" s="462"/>
      <c r="O2001" s="462"/>
      <c r="P2001" s="545"/>
      <c r="R2001" s="490" t="str">
        <f t="shared" si="83"/>
        <v>DELETE</v>
      </c>
      <c r="S2001" s="496"/>
      <c r="U2001" s="496"/>
    </row>
    <row r="2002" spans="2:21" ht="9" customHeight="1" thickTop="1" x14ac:dyDescent="0.5">
      <c r="B2002" s="501"/>
      <c r="C2002" s="515"/>
      <c r="D2002" s="631"/>
      <c r="E2002" s="631"/>
      <c r="F2002" s="631"/>
      <c r="G2002" s="631"/>
      <c r="H2002" s="631"/>
      <c r="I2002" s="631"/>
      <c r="J2002" s="631"/>
      <c r="M2002" s="475"/>
      <c r="N2002" s="475"/>
      <c r="O2002" s="475"/>
      <c r="P2002" s="545"/>
      <c r="R2002" s="490" t="str">
        <f t="shared" si="83"/>
        <v>DELETE</v>
      </c>
      <c r="S2002" s="496"/>
      <c r="U2002" s="496"/>
    </row>
    <row r="2003" spans="2:21" ht="36" customHeight="1" x14ac:dyDescent="0.5">
      <c r="B2003" s="501"/>
      <c r="C2003" s="449"/>
      <c r="D2003" s="631"/>
      <c r="E2003" s="631"/>
      <c r="F2003" s="631"/>
      <c r="G2003" s="631"/>
      <c r="H2003" s="631"/>
      <c r="I2003" s="631"/>
      <c r="J2003" s="631"/>
      <c r="M2003" s="545"/>
      <c r="N2003" s="545"/>
      <c r="O2003" s="545"/>
      <c r="P2003" s="545"/>
      <c r="R2003" s="490" t="str">
        <f t="shared" si="83"/>
        <v>DELETE</v>
      </c>
    </row>
    <row r="2004" spans="2:21" ht="36" customHeight="1" x14ac:dyDescent="0.5">
      <c r="B2004" s="501"/>
      <c r="C2004" s="449"/>
      <c r="D2004" s="631"/>
      <c r="E2004" s="631"/>
      <c r="F2004" s="631"/>
      <c r="G2004" s="631"/>
      <c r="H2004" s="631"/>
      <c r="I2004" s="631"/>
      <c r="J2004" s="631"/>
      <c r="M2004" s="545"/>
      <c r="N2004" s="545"/>
      <c r="O2004" s="545"/>
      <c r="P2004" s="545"/>
      <c r="R2004" s="490" t="str">
        <f t="shared" si="83"/>
        <v>DELETE</v>
      </c>
    </row>
    <row r="2005" spans="2:21" ht="36" customHeight="1" x14ac:dyDescent="0.5">
      <c r="B2005" s="501"/>
      <c r="C2005" s="449"/>
      <c r="D2005" s="631"/>
      <c r="E2005" s="631"/>
      <c r="F2005" s="631"/>
      <c r="G2005" s="631"/>
      <c r="H2005" s="631"/>
      <c r="I2005" s="631"/>
      <c r="J2005" s="631"/>
      <c r="M2005" s="475"/>
      <c r="N2005" s="475"/>
      <c r="O2005" s="475"/>
      <c r="P2005" s="545"/>
      <c r="R2005" s="490" t="str">
        <f t="shared" si="83"/>
        <v>DELETE</v>
      </c>
    </row>
    <row r="2006" spans="2:21" ht="36" customHeight="1" x14ac:dyDescent="0.5">
      <c r="B2006" s="502"/>
      <c r="D2006" s="631"/>
      <c r="E2006" s="631"/>
      <c r="F2006" s="631"/>
      <c r="G2006" s="631"/>
      <c r="H2006" s="631"/>
      <c r="I2006" s="631"/>
      <c r="J2006" s="631"/>
      <c r="M2006" s="540"/>
      <c r="O2006" s="540"/>
      <c r="R2006" s="490" t="str">
        <f t="shared" si="83"/>
        <v>DELETE</v>
      </c>
    </row>
    <row r="2007" spans="2:21" ht="36" customHeight="1" x14ac:dyDescent="0.5">
      <c r="B2007" s="501"/>
      <c r="C2007" s="449"/>
      <c r="D2007" s="631"/>
      <c r="E2007" s="631"/>
      <c r="F2007" s="631"/>
      <c r="G2007" s="631"/>
      <c r="H2007" s="631"/>
      <c r="I2007" s="631"/>
      <c r="J2007" s="631"/>
      <c r="M2007" s="458"/>
      <c r="N2007" s="458"/>
      <c r="O2007" s="475" t="s">
        <v>112</v>
      </c>
      <c r="P2007" s="545"/>
      <c r="Q2007" s="450">
        <f>MAX($Q$103:Q2006)+1</f>
        <v>51</v>
      </c>
      <c r="R2007" s="490" t="str">
        <f>R$2024</f>
        <v>DELETE</v>
      </c>
    </row>
    <row r="2008" spans="2:21" ht="36" customHeight="1" x14ac:dyDescent="0.5">
      <c r="B2008" s="501"/>
      <c r="C2008" s="449"/>
      <c r="D2008" s="630" t="str">
        <f>Criteria!E9</f>
        <v>ABC COMPANY (PROPRIETARY) LIMITED</v>
      </c>
      <c r="E2008" s="631"/>
      <c r="F2008" s="631"/>
      <c r="G2008" s="631"/>
      <c r="H2008" s="631"/>
      <c r="I2008" s="631"/>
      <c r="J2008" s="631"/>
      <c r="M2008" s="555"/>
      <c r="N2008" s="555"/>
      <c r="O2008" s="540"/>
      <c r="R2008" s="490" t="str">
        <f>R$2024</f>
        <v>DELETE</v>
      </c>
    </row>
    <row r="2009" spans="2:21" ht="36" customHeight="1" x14ac:dyDescent="0.5">
      <c r="B2009" s="501"/>
      <c r="C2009" s="449"/>
      <c r="D2009" s="630" t="str">
        <f>Criteria!E10</f>
        <v>T/A SEAFRONT HOTEL, ABC RESTAURANT AND RENTAL PROPERTIES</v>
      </c>
      <c r="E2009" s="631"/>
      <c r="F2009" s="631"/>
      <c r="G2009" s="631"/>
      <c r="H2009" s="631"/>
      <c r="I2009" s="631"/>
      <c r="J2009" s="631"/>
      <c r="M2009" s="555"/>
      <c r="N2009" s="555"/>
      <c r="O2009" s="555"/>
      <c r="P2009" s="545"/>
      <c r="R2009" s="490" t="str">
        <f>IF(R$2024="DELETE","DELETE",IF(D2009=0,"DELETE"," "))</f>
        <v>DELETE</v>
      </c>
    </row>
    <row r="2010" spans="2:21" ht="36" customHeight="1" x14ac:dyDescent="0.5">
      <c r="B2010" s="501"/>
      <c r="C2010" s="449"/>
      <c r="D2010" s="631"/>
      <c r="E2010" s="631"/>
      <c r="F2010" s="631"/>
      <c r="G2010" s="631"/>
      <c r="H2010" s="631"/>
      <c r="I2010" s="631"/>
      <c r="J2010" s="631"/>
      <c r="M2010" s="555"/>
      <c r="N2010" s="555"/>
      <c r="O2010" s="555"/>
      <c r="P2010" s="545"/>
      <c r="R2010" s="490" t="str">
        <f t="shared" ref="R2010:R2018" si="84">R$2024</f>
        <v>DELETE</v>
      </c>
    </row>
    <row r="2011" spans="2:21" ht="36" customHeight="1" x14ac:dyDescent="0.5">
      <c r="B2011" s="501"/>
      <c r="C2011" s="449"/>
      <c r="D2011" s="630" t="s">
        <v>415</v>
      </c>
      <c r="E2011" s="631"/>
      <c r="F2011" s="631"/>
      <c r="G2011" s="631"/>
      <c r="H2011" s="631"/>
      <c r="I2011" s="631"/>
      <c r="J2011" s="631"/>
      <c r="M2011" s="555"/>
      <c r="N2011" s="555"/>
      <c r="O2011" s="555"/>
      <c r="P2011" s="545"/>
      <c r="R2011" s="490" t="str">
        <f t="shared" si="84"/>
        <v>DELETE</v>
      </c>
    </row>
    <row r="2012" spans="2:21" ht="36" customHeight="1" x14ac:dyDescent="0.5">
      <c r="B2012" s="501"/>
      <c r="C2012" s="449"/>
      <c r="D2012" s="630" t="str">
        <f>Criteria!E20</f>
        <v>28 FEBRUARY 2026</v>
      </c>
      <c r="E2012" s="631"/>
      <c r="F2012" s="631"/>
      <c r="G2012" s="631"/>
      <c r="H2012" s="631"/>
      <c r="I2012" s="631"/>
      <c r="J2012" s="631" t="s">
        <v>282</v>
      </c>
      <c r="M2012" s="555"/>
      <c r="N2012" s="555"/>
      <c r="O2012" s="555"/>
      <c r="P2012" s="545"/>
      <c r="R2012" s="490" t="str">
        <f t="shared" si="84"/>
        <v>DELETE</v>
      </c>
    </row>
    <row r="2013" spans="2:21" ht="36" customHeight="1" x14ac:dyDescent="0.5">
      <c r="B2013" s="501"/>
      <c r="C2013" s="449"/>
      <c r="D2013" s="631"/>
      <c r="E2013" s="631"/>
      <c r="F2013" s="631"/>
      <c r="G2013" s="631"/>
      <c r="H2013" s="631"/>
      <c r="I2013" s="631"/>
      <c r="J2013" s="631"/>
      <c r="M2013" s="458"/>
      <c r="N2013" s="458"/>
      <c r="O2013" s="458"/>
      <c r="R2013" s="490" t="str">
        <f t="shared" si="84"/>
        <v>DELETE</v>
      </c>
    </row>
    <row r="2014" spans="2:21" ht="36" customHeight="1" x14ac:dyDescent="0.5">
      <c r="B2014" s="640"/>
      <c r="C2014" s="484"/>
      <c r="D2014" s="649"/>
      <c r="E2014" s="649"/>
      <c r="F2014" s="649"/>
      <c r="G2014" s="649"/>
      <c r="H2014" s="649"/>
      <c r="I2014" s="649"/>
      <c r="J2014" s="649"/>
      <c r="K2014" s="457"/>
      <c r="L2014" s="457"/>
      <c r="M2014" s="459"/>
      <c r="N2014" s="459"/>
      <c r="O2014" s="459"/>
      <c r="P2014" s="551"/>
      <c r="Q2014" s="457"/>
      <c r="R2014" s="490" t="str">
        <f t="shared" si="84"/>
        <v>DELETE</v>
      </c>
    </row>
    <row r="2015" spans="2:21" ht="36" customHeight="1" x14ac:dyDescent="0.5">
      <c r="B2015" s="501"/>
      <c r="C2015" s="449"/>
      <c r="D2015" s="631"/>
      <c r="E2015" s="631"/>
      <c r="F2015" s="631"/>
      <c r="G2015" s="631"/>
      <c r="H2015" s="631"/>
      <c r="I2015" s="631"/>
      <c r="J2015" s="631"/>
      <c r="M2015" s="488">
        <f>Criteria!E22</f>
        <v>2026</v>
      </c>
      <c r="N2015" s="488"/>
      <c r="O2015" s="488">
        <f>Criteria!E27</f>
        <v>2025</v>
      </c>
      <c r="P2015" s="545"/>
      <c r="R2015" s="490" t="str">
        <f t="shared" si="84"/>
        <v>DELETE</v>
      </c>
    </row>
    <row r="2016" spans="2:21" ht="36" customHeight="1" x14ac:dyDescent="0.5">
      <c r="B2016" s="501"/>
      <c r="C2016" s="449"/>
      <c r="D2016" s="631"/>
      <c r="E2016" s="631"/>
      <c r="F2016" s="631"/>
      <c r="G2016" s="631"/>
      <c r="H2016" s="631"/>
      <c r="I2016" s="631"/>
      <c r="J2016" s="631"/>
      <c r="M2016" s="475"/>
      <c r="N2016" s="475"/>
      <c r="O2016" s="475"/>
      <c r="P2016" s="545"/>
      <c r="R2016" s="490" t="str">
        <f t="shared" si="84"/>
        <v>DELETE</v>
      </c>
    </row>
    <row r="2017" spans="2:18" ht="36" customHeight="1" x14ac:dyDescent="0.5">
      <c r="B2017" s="501">
        <f>MAX(B$871:B2016)+1</f>
        <v>14</v>
      </c>
      <c r="C2017" s="630" t="str">
        <f>IF(COUNTIF(TrialBalance!N304:N306,"&gt;0")&gt;1,"Investments in associates",IF(COUNTIF(TrialBalance!L304:L306,"&gt;0")&gt;1,"Investments in associates","Investment in associate"))</f>
        <v>Investment in associate</v>
      </c>
      <c r="D2017" s="631"/>
      <c r="E2017" s="631"/>
      <c r="F2017" s="631"/>
      <c r="G2017" s="631"/>
      <c r="H2017" s="631"/>
      <c r="I2017" s="631"/>
      <c r="J2017" s="631"/>
      <c r="M2017" s="475"/>
      <c r="N2017" s="475"/>
      <c r="O2017" s="475"/>
      <c r="P2017" s="545"/>
      <c r="R2017" s="490" t="str">
        <f t="shared" si="84"/>
        <v>DELETE</v>
      </c>
    </row>
    <row r="2018" spans="2:18" ht="36" customHeight="1" x14ac:dyDescent="0.5">
      <c r="B2018" s="501"/>
      <c r="C2018" s="630"/>
      <c r="D2018" s="631"/>
      <c r="E2018" s="631"/>
      <c r="F2018" s="631"/>
      <c r="G2018" s="631"/>
      <c r="H2018" s="631"/>
      <c r="I2018" s="631"/>
      <c r="J2018" s="631"/>
      <c r="M2018" s="475"/>
      <c r="N2018" s="475"/>
      <c r="O2018" s="475"/>
      <c r="P2018" s="545"/>
      <c r="R2018" s="490" t="str">
        <f t="shared" si="84"/>
        <v>DELETE</v>
      </c>
    </row>
    <row r="2019" spans="2:18" ht="36" customHeight="1" x14ac:dyDescent="0.5">
      <c r="B2019" s="501"/>
      <c r="C2019" s="631" t="str">
        <f>TrialBalance!C304</f>
        <v>30 Shares in ABC Company (Pty) Ltd - 30% interest</v>
      </c>
      <c r="D2019" s="648"/>
      <c r="E2019" s="631"/>
      <c r="F2019" s="631"/>
      <c r="G2019" s="631"/>
      <c r="H2019" s="631"/>
      <c r="I2019" s="631"/>
      <c r="J2019" s="631"/>
      <c r="M2019" s="475">
        <f>TrialBalance!L304</f>
        <v>0</v>
      </c>
      <c r="N2019" s="475"/>
      <c r="O2019" s="475">
        <f>TrialBalance!N304</f>
        <v>0</v>
      </c>
      <c r="P2019" s="545"/>
      <c r="R2019" s="490" t="str">
        <f>IF(M2019+O2019=0,"DELETE"," ")</f>
        <v>DELETE</v>
      </c>
    </row>
    <row r="2020" spans="2:18" ht="36" customHeight="1" x14ac:dyDescent="0.5">
      <c r="B2020" s="501"/>
      <c r="C2020" s="631">
        <f>TrialBalance!C305</f>
        <v>0</v>
      </c>
      <c r="D2020" s="648"/>
      <c r="E2020" s="631"/>
      <c r="F2020" s="631"/>
      <c r="G2020" s="631"/>
      <c r="H2020" s="631"/>
      <c r="I2020" s="631"/>
      <c r="J2020" s="631"/>
      <c r="M2020" s="475">
        <f>TrialBalance!L305</f>
        <v>0</v>
      </c>
      <c r="N2020" s="475"/>
      <c r="O2020" s="475">
        <f>TrialBalance!N305</f>
        <v>0</v>
      </c>
      <c r="P2020" s="545"/>
      <c r="R2020" s="490" t="str">
        <f t="shared" ref="R2020:R2021" si="85">IF(M2020+O2020=0,"DELETE"," ")</f>
        <v>DELETE</v>
      </c>
    </row>
    <row r="2021" spans="2:18" ht="36" customHeight="1" x14ac:dyDescent="0.5">
      <c r="B2021" s="501"/>
      <c r="C2021" s="631">
        <f>TrialBalance!C306</f>
        <v>0</v>
      </c>
      <c r="D2021" s="648"/>
      <c r="E2021" s="631"/>
      <c r="F2021" s="631"/>
      <c r="G2021" s="631"/>
      <c r="H2021" s="631"/>
      <c r="I2021" s="631"/>
      <c r="J2021" s="631"/>
      <c r="M2021" s="475">
        <f>TrialBalance!L306</f>
        <v>0</v>
      </c>
      <c r="N2021" s="475"/>
      <c r="O2021" s="475">
        <f>TrialBalance!N306</f>
        <v>0</v>
      </c>
      <c r="P2021" s="545"/>
      <c r="R2021" s="490" t="str">
        <f t="shared" si="85"/>
        <v>DELETE</v>
      </c>
    </row>
    <row r="2022" spans="2:18" ht="9" customHeight="1" x14ac:dyDescent="0.5">
      <c r="B2022" s="501"/>
      <c r="C2022" s="630"/>
      <c r="D2022" s="631"/>
      <c r="E2022" s="631"/>
      <c r="F2022" s="631"/>
      <c r="G2022" s="631"/>
      <c r="H2022" s="631"/>
      <c r="I2022" s="631"/>
      <c r="J2022" s="631"/>
      <c r="M2022" s="461"/>
      <c r="N2022" s="461"/>
      <c r="O2022" s="461"/>
      <c r="P2022" s="545"/>
      <c r="R2022" s="490" t="str">
        <f t="shared" ref="R2022:R2031" si="86">R$2024</f>
        <v>DELETE</v>
      </c>
    </row>
    <row r="2023" spans="2:18" ht="9" customHeight="1" x14ac:dyDescent="0.5">
      <c r="B2023" s="501"/>
      <c r="C2023" s="630"/>
      <c r="D2023" s="631"/>
      <c r="E2023" s="631"/>
      <c r="F2023" s="631"/>
      <c r="G2023" s="631"/>
      <c r="H2023" s="631"/>
      <c r="I2023" s="631"/>
      <c r="J2023" s="631"/>
      <c r="M2023" s="475"/>
      <c r="N2023" s="475"/>
      <c r="O2023" s="475"/>
      <c r="P2023" s="545"/>
      <c r="R2023" s="490" t="str">
        <f t="shared" si="86"/>
        <v>DELETE</v>
      </c>
    </row>
    <row r="2024" spans="2:18" ht="36.75" customHeight="1" x14ac:dyDescent="0.5">
      <c r="B2024" s="501"/>
      <c r="C2024" s="630"/>
      <c r="D2024" s="631"/>
      <c r="E2024" s="631"/>
      <c r="F2024" s="631"/>
      <c r="G2024" s="631"/>
      <c r="H2024" s="631"/>
      <c r="I2024" s="631"/>
      <c r="J2024" s="631"/>
      <c r="M2024" s="475">
        <f>SUM(M2019:M2023)</f>
        <v>0</v>
      </c>
      <c r="N2024" s="475"/>
      <c r="O2024" s="475">
        <f>SUM(O2019:O2023)</f>
        <v>0</v>
      </c>
      <c r="P2024" s="545"/>
      <c r="R2024" s="490" t="str">
        <f t="shared" ref="R2024" si="87">IF(M2024+O2024=0,"DELETE"," ")</f>
        <v>DELETE</v>
      </c>
    </row>
    <row r="2025" spans="2:18" ht="9" customHeight="1" thickBot="1" x14ac:dyDescent="0.55000000000000004">
      <c r="B2025" s="501"/>
      <c r="C2025" s="630"/>
      <c r="D2025" s="631"/>
      <c r="E2025" s="631"/>
      <c r="F2025" s="631"/>
      <c r="G2025" s="631"/>
      <c r="H2025" s="631"/>
      <c r="I2025" s="631"/>
      <c r="J2025" s="631"/>
      <c r="M2025" s="462"/>
      <c r="N2025" s="462"/>
      <c r="O2025" s="462"/>
      <c r="P2025" s="545"/>
      <c r="R2025" s="490" t="str">
        <f t="shared" si="86"/>
        <v>DELETE</v>
      </c>
    </row>
    <row r="2026" spans="2:18" ht="9" customHeight="1" thickTop="1" x14ac:dyDescent="0.5">
      <c r="B2026" s="501"/>
      <c r="C2026" s="630"/>
      <c r="D2026" s="631"/>
      <c r="E2026" s="631"/>
      <c r="F2026" s="631"/>
      <c r="G2026" s="631"/>
      <c r="H2026" s="631"/>
      <c r="I2026" s="631"/>
      <c r="J2026" s="631"/>
      <c r="M2026" s="475"/>
      <c r="N2026" s="475"/>
      <c r="O2026" s="475"/>
      <c r="P2026" s="545"/>
      <c r="R2026" s="490" t="str">
        <f t="shared" si="86"/>
        <v>DELETE</v>
      </c>
    </row>
    <row r="2027" spans="2:18" ht="36" customHeight="1" x14ac:dyDescent="0.5">
      <c r="B2027" s="501"/>
      <c r="C2027" s="631" t="str">
        <f>IF(COUNTIF(TrialBalance!N304:N306,"&gt;0")&gt;1,"The shares of the associates are not publicly traded.",IF(COUNTIF(TrialBalance!L304:L306,"&gt;0")&gt;1,"The shares of the associates are not publicly traded.","The shares of the associate are not publicly traded."))</f>
        <v>The shares of the associate are not publicly traded.</v>
      </c>
      <c r="D2027" s="631"/>
      <c r="E2027" s="631"/>
      <c r="F2027" s="631"/>
      <c r="G2027" s="631"/>
      <c r="H2027" s="631"/>
      <c r="I2027" s="631"/>
      <c r="J2027" s="631"/>
      <c r="M2027" s="475"/>
      <c r="N2027" s="475"/>
      <c r="O2027" s="475"/>
      <c r="P2027" s="545"/>
      <c r="R2027" s="490" t="str">
        <f t="shared" si="86"/>
        <v>DELETE</v>
      </c>
    </row>
    <row r="2028" spans="2:18" ht="36" customHeight="1" x14ac:dyDescent="0.5">
      <c r="B2028" s="501"/>
      <c r="C2028" s="631"/>
      <c r="D2028" s="631"/>
      <c r="E2028" s="631"/>
      <c r="F2028" s="631"/>
      <c r="G2028" s="631"/>
      <c r="H2028" s="631"/>
      <c r="I2028" s="631"/>
      <c r="J2028" s="631"/>
      <c r="M2028" s="475"/>
      <c r="N2028" s="475"/>
      <c r="O2028" s="475"/>
      <c r="P2028" s="545"/>
      <c r="R2028" s="490" t="str">
        <f t="shared" si="86"/>
        <v>DELETE</v>
      </c>
    </row>
    <row r="2029" spans="2:18" ht="36" customHeight="1" x14ac:dyDescent="0.5">
      <c r="B2029" s="501"/>
      <c r="C2029" s="630"/>
      <c r="D2029" s="631"/>
      <c r="E2029" s="631"/>
      <c r="F2029" s="631"/>
      <c r="G2029" s="631"/>
      <c r="H2029" s="631"/>
      <c r="I2029" s="631"/>
      <c r="J2029" s="631"/>
      <c r="M2029" s="475"/>
      <c r="N2029" s="475"/>
      <c r="O2029" s="475"/>
      <c r="P2029" s="545"/>
      <c r="R2029" s="490" t="str">
        <f t="shared" si="86"/>
        <v>DELETE</v>
      </c>
    </row>
    <row r="2030" spans="2:18" ht="36" customHeight="1" x14ac:dyDescent="0.5">
      <c r="B2030" s="501"/>
      <c r="C2030" s="630"/>
      <c r="D2030" s="631"/>
      <c r="E2030" s="631"/>
      <c r="F2030" s="631"/>
      <c r="G2030" s="631"/>
      <c r="H2030" s="631"/>
      <c r="I2030" s="631"/>
      <c r="J2030" s="631"/>
      <c r="M2030" s="475"/>
      <c r="N2030" s="475"/>
      <c r="O2030" s="475"/>
      <c r="P2030" s="545"/>
      <c r="R2030" s="490" t="str">
        <f t="shared" si="86"/>
        <v>DELETE</v>
      </c>
    </row>
    <row r="2031" spans="2:18" ht="36" customHeight="1" x14ac:dyDescent="0.5">
      <c r="B2031" s="501"/>
      <c r="C2031" s="630"/>
      <c r="D2031" s="631"/>
      <c r="E2031" s="631"/>
      <c r="F2031" s="631"/>
      <c r="G2031" s="631"/>
      <c r="H2031" s="631"/>
      <c r="I2031" s="631"/>
      <c r="J2031" s="631"/>
      <c r="M2031" s="458"/>
      <c r="N2031" s="458"/>
      <c r="O2031" s="458"/>
      <c r="R2031" s="490" t="str">
        <f t="shared" si="86"/>
        <v>DELETE</v>
      </c>
    </row>
    <row r="2032" spans="2:18" ht="36" customHeight="1" x14ac:dyDescent="0.5">
      <c r="B2032" s="502"/>
      <c r="C2032" s="631"/>
      <c r="D2032" s="631"/>
      <c r="E2032" s="631"/>
      <c r="F2032" s="631"/>
      <c r="G2032" s="631"/>
      <c r="H2032" s="631"/>
      <c r="I2032" s="631"/>
      <c r="J2032" s="631"/>
      <c r="M2032" s="540"/>
      <c r="O2032" s="454" t="s">
        <v>112</v>
      </c>
      <c r="Q2032" s="450">
        <f>MAX($Q$103:Q2031)+1</f>
        <v>52</v>
      </c>
      <c r="R2032" s="490" t="str">
        <f>R$2051</f>
        <v>DELETE</v>
      </c>
    </row>
    <row r="2033" spans="2:18" ht="36" customHeight="1" x14ac:dyDescent="0.5">
      <c r="B2033" s="502"/>
      <c r="C2033" s="631"/>
      <c r="D2033" s="630" t="str">
        <f>Criteria!E9</f>
        <v>ABC COMPANY (PROPRIETARY) LIMITED</v>
      </c>
      <c r="E2033" s="631"/>
      <c r="F2033" s="631"/>
      <c r="G2033" s="631"/>
      <c r="H2033" s="631"/>
      <c r="I2033" s="631"/>
      <c r="J2033" s="631"/>
      <c r="M2033" s="540"/>
      <c r="O2033" s="540"/>
      <c r="R2033" s="490" t="str">
        <f>R$2051</f>
        <v>DELETE</v>
      </c>
    </row>
    <row r="2034" spans="2:18" ht="36" customHeight="1" x14ac:dyDescent="0.5">
      <c r="B2034" s="502"/>
      <c r="C2034" s="631"/>
      <c r="D2034" s="630" t="str">
        <f>Criteria!E10</f>
        <v>T/A SEAFRONT HOTEL, ABC RESTAURANT AND RENTAL PROPERTIES</v>
      </c>
      <c r="E2034" s="631"/>
      <c r="F2034" s="631"/>
      <c r="G2034" s="631"/>
      <c r="H2034" s="631"/>
      <c r="I2034" s="631"/>
      <c r="J2034" s="631"/>
      <c r="M2034" s="540"/>
      <c r="O2034" s="540"/>
      <c r="R2034" s="490" t="str">
        <f>IF(R$2051="DELETE","DELETE",IF(D2034=0,"DELETE"," "))</f>
        <v>DELETE</v>
      </c>
    </row>
    <row r="2035" spans="2:18" ht="36" customHeight="1" x14ac:dyDescent="0.5">
      <c r="B2035" s="502"/>
      <c r="C2035" s="631"/>
      <c r="D2035" s="631"/>
      <c r="E2035" s="631"/>
      <c r="F2035" s="631"/>
      <c r="G2035" s="631"/>
      <c r="H2035" s="631"/>
      <c r="I2035" s="631"/>
      <c r="J2035" s="631"/>
      <c r="M2035" s="540"/>
      <c r="O2035" s="540"/>
      <c r="R2035" s="490" t="str">
        <f t="shared" ref="R2035:R2043" si="88">R$2051</f>
        <v>DELETE</v>
      </c>
    </row>
    <row r="2036" spans="2:18" ht="36" customHeight="1" x14ac:dyDescent="0.5">
      <c r="B2036" s="502"/>
      <c r="C2036" s="631"/>
      <c r="D2036" s="630" t="s">
        <v>415</v>
      </c>
      <c r="E2036" s="631"/>
      <c r="F2036" s="631"/>
      <c r="G2036" s="631"/>
      <c r="H2036" s="631"/>
      <c r="I2036" s="631"/>
      <c r="J2036" s="631"/>
      <c r="M2036" s="540"/>
      <c r="O2036" s="540"/>
      <c r="R2036" s="490" t="str">
        <f t="shared" si="88"/>
        <v>DELETE</v>
      </c>
    </row>
    <row r="2037" spans="2:18" ht="36" customHeight="1" x14ac:dyDescent="0.5">
      <c r="B2037" s="502"/>
      <c r="C2037" s="631"/>
      <c r="D2037" s="630" t="str">
        <f>Criteria!E20</f>
        <v>28 FEBRUARY 2026</v>
      </c>
      <c r="E2037" s="631"/>
      <c r="F2037" s="631"/>
      <c r="G2037" s="631"/>
      <c r="H2037" s="631"/>
      <c r="I2037" s="631"/>
      <c r="J2037" s="631" t="s">
        <v>282</v>
      </c>
      <c r="M2037" s="540"/>
      <c r="O2037" s="540"/>
      <c r="R2037" s="490" t="str">
        <f t="shared" si="88"/>
        <v>DELETE</v>
      </c>
    </row>
    <row r="2038" spans="2:18" ht="36" customHeight="1" x14ac:dyDescent="0.5">
      <c r="B2038" s="502"/>
      <c r="C2038" s="631"/>
      <c r="D2038" s="631"/>
      <c r="E2038" s="631"/>
      <c r="F2038" s="631"/>
      <c r="G2038" s="631"/>
      <c r="H2038" s="631"/>
      <c r="I2038" s="631"/>
      <c r="J2038" s="631"/>
      <c r="M2038" s="540"/>
      <c r="O2038" s="540"/>
      <c r="R2038" s="490" t="str">
        <f t="shared" si="88"/>
        <v>DELETE</v>
      </c>
    </row>
    <row r="2039" spans="2:18" ht="36" customHeight="1" x14ac:dyDescent="0.5">
      <c r="B2039" s="641"/>
      <c r="C2039" s="649"/>
      <c r="D2039" s="649"/>
      <c r="E2039" s="649"/>
      <c r="F2039" s="649"/>
      <c r="G2039" s="649"/>
      <c r="H2039" s="649"/>
      <c r="I2039" s="649"/>
      <c r="J2039" s="649"/>
      <c r="K2039" s="457"/>
      <c r="L2039" s="457"/>
      <c r="M2039" s="551"/>
      <c r="N2039" s="551"/>
      <c r="O2039" s="551"/>
      <c r="P2039" s="551"/>
      <c r="Q2039" s="457"/>
      <c r="R2039" s="490" t="str">
        <f t="shared" si="88"/>
        <v>DELETE</v>
      </c>
    </row>
    <row r="2040" spans="2:18" ht="36" customHeight="1" x14ac:dyDescent="0.5">
      <c r="B2040" s="502"/>
      <c r="C2040" s="631"/>
      <c r="D2040" s="631"/>
      <c r="E2040" s="631"/>
      <c r="F2040" s="631"/>
      <c r="G2040" s="631"/>
      <c r="H2040" s="631"/>
      <c r="I2040" s="631"/>
      <c r="J2040" s="631"/>
      <c r="M2040" s="453">
        <f>Criteria!E22</f>
        <v>2026</v>
      </c>
      <c r="N2040" s="453"/>
      <c r="O2040" s="453">
        <f>Criteria!E27</f>
        <v>2025</v>
      </c>
      <c r="R2040" s="490" t="str">
        <f t="shared" si="88"/>
        <v>DELETE</v>
      </c>
    </row>
    <row r="2041" spans="2:18" ht="36" customHeight="1" x14ac:dyDescent="0.5">
      <c r="B2041" s="502"/>
      <c r="C2041" s="631"/>
      <c r="D2041" s="631"/>
      <c r="E2041" s="631"/>
      <c r="F2041" s="631"/>
      <c r="G2041" s="631"/>
      <c r="H2041" s="631"/>
      <c r="I2041" s="631"/>
      <c r="J2041" s="631"/>
      <c r="M2041" s="540"/>
      <c r="O2041" s="540"/>
      <c r="R2041" s="490" t="str">
        <f t="shared" si="88"/>
        <v>DELETE</v>
      </c>
    </row>
    <row r="2042" spans="2:18" ht="36" customHeight="1" x14ac:dyDescent="0.5">
      <c r="B2042" s="501">
        <f>MAX(B$871:B2041)+1</f>
        <v>15</v>
      </c>
      <c r="C2042" s="630" t="str">
        <f>IF(COUNTIF(TrialBalance!N308:N312,"&gt;0")&gt;1,"Listed investments",IF(COUNTIF(TrialBalance!L308:L312,"&gt;0")&gt;1,"Listed investments","Listed investment"))</f>
        <v>Listed investment</v>
      </c>
      <c r="D2042" s="631"/>
      <c r="E2042" s="631"/>
      <c r="F2042" s="631"/>
      <c r="G2042" s="631"/>
      <c r="H2042" s="631"/>
      <c r="I2042" s="631"/>
      <c r="J2042" s="631"/>
      <c r="M2042" s="541"/>
      <c r="N2042" s="541"/>
      <c r="O2042" s="541"/>
      <c r="R2042" s="490" t="str">
        <f t="shared" si="88"/>
        <v>DELETE</v>
      </c>
    </row>
    <row r="2043" spans="2:18" ht="36" customHeight="1" x14ac:dyDescent="0.5">
      <c r="B2043" s="501"/>
      <c r="C2043" s="630"/>
      <c r="D2043" s="631"/>
      <c r="E2043" s="631"/>
      <c r="F2043" s="631"/>
      <c r="G2043" s="631"/>
      <c r="H2043" s="631"/>
      <c r="I2043" s="631"/>
      <c r="J2043" s="631"/>
      <c r="M2043" s="541"/>
      <c r="N2043" s="541"/>
      <c r="O2043" s="541"/>
      <c r="R2043" s="490" t="str">
        <f t="shared" si="88"/>
        <v>DELETE</v>
      </c>
    </row>
    <row r="2044" spans="2:18" ht="36" customHeight="1" x14ac:dyDescent="0.5">
      <c r="B2044" s="501"/>
      <c r="C2044" s="631">
        <f>TrialBalance!C308</f>
        <v>0</v>
      </c>
      <c r="D2044" s="648"/>
      <c r="E2044" s="631"/>
      <c r="F2044" s="631"/>
      <c r="G2044" s="631"/>
      <c r="H2044" s="631"/>
      <c r="I2044" s="631"/>
      <c r="J2044" s="631"/>
      <c r="M2044" s="458">
        <f>TrialBalance!L308</f>
        <v>0</v>
      </c>
      <c r="N2044" s="458"/>
      <c r="O2044" s="458">
        <f>TrialBalance!N308</f>
        <v>0</v>
      </c>
      <c r="R2044" s="490" t="str">
        <f>IF(M2044+O2044=0,"DELETE"," ")</f>
        <v>DELETE</v>
      </c>
    </row>
    <row r="2045" spans="2:18" ht="36" customHeight="1" x14ac:dyDescent="0.5">
      <c r="B2045" s="501"/>
      <c r="C2045" s="631">
        <f>TrialBalance!C309</f>
        <v>0</v>
      </c>
      <c r="D2045" s="648"/>
      <c r="E2045" s="631"/>
      <c r="F2045" s="631"/>
      <c r="G2045" s="631"/>
      <c r="H2045" s="631"/>
      <c r="I2045" s="631"/>
      <c r="J2045" s="631"/>
      <c r="M2045" s="458">
        <f>TrialBalance!L309</f>
        <v>0</v>
      </c>
      <c r="N2045" s="458"/>
      <c r="O2045" s="458">
        <f>TrialBalance!N309</f>
        <v>0</v>
      </c>
      <c r="R2045" s="490" t="str">
        <f>IF(M2045+O2045=0,"DELETE"," ")</f>
        <v>DELETE</v>
      </c>
    </row>
    <row r="2046" spans="2:18" ht="36" customHeight="1" x14ac:dyDescent="0.5">
      <c r="B2046" s="501"/>
      <c r="C2046" s="631">
        <f>TrialBalance!C310</f>
        <v>0</v>
      </c>
      <c r="D2046" s="648"/>
      <c r="E2046" s="631"/>
      <c r="F2046" s="631"/>
      <c r="G2046" s="631"/>
      <c r="H2046" s="631"/>
      <c r="I2046" s="631"/>
      <c r="J2046" s="631"/>
      <c r="M2046" s="458">
        <f>TrialBalance!L310</f>
        <v>0</v>
      </c>
      <c r="N2046" s="458"/>
      <c r="O2046" s="458">
        <f>TrialBalance!N310</f>
        <v>0</v>
      </c>
      <c r="R2046" s="490" t="str">
        <f>IF(M2046+O2046=0,"DELETE"," ")</f>
        <v>DELETE</v>
      </c>
    </row>
    <row r="2047" spans="2:18" ht="36" customHeight="1" x14ac:dyDescent="0.5">
      <c r="B2047" s="501"/>
      <c r="C2047" s="631">
        <f>TrialBalance!C311</f>
        <v>0</v>
      </c>
      <c r="D2047" s="648"/>
      <c r="E2047" s="631"/>
      <c r="F2047" s="631"/>
      <c r="G2047" s="631"/>
      <c r="H2047" s="631"/>
      <c r="I2047" s="631"/>
      <c r="J2047" s="631"/>
      <c r="M2047" s="458">
        <f>TrialBalance!L311</f>
        <v>0</v>
      </c>
      <c r="N2047" s="458"/>
      <c r="O2047" s="458">
        <f>TrialBalance!N311</f>
        <v>0</v>
      </c>
      <c r="R2047" s="490" t="str">
        <f>IF(M2047+O2047=0,"DELETE"," ")</f>
        <v>DELETE</v>
      </c>
    </row>
    <row r="2048" spans="2:18" ht="36" customHeight="1" x14ac:dyDescent="0.5">
      <c r="B2048" s="501"/>
      <c r="C2048" s="631">
        <f>TrialBalance!C312</f>
        <v>0</v>
      </c>
      <c r="D2048" s="648"/>
      <c r="E2048" s="631"/>
      <c r="F2048" s="631"/>
      <c r="G2048" s="631"/>
      <c r="H2048" s="631"/>
      <c r="I2048" s="631"/>
      <c r="J2048" s="631"/>
      <c r="M2048" s="458">
        <f>TrialBalance!L312</f>
        <v>0</v>
      </c>
      <c r="N2048" s="458"/>
      <c r="O2048" s="458">
        <f>TrialBalance!N312</f>
        <v>0</v>
      </c>
      <c r="R2048" s="490" t="str">
        <f>IF(M2048+O2048=0,"DELETE"," ")</f>
        <v>DELETE</v>
      </c>
    </row>
    <row r="2049" spans="2:18" ht="9" customHeight="1" x14ac:dyDescent="0.5">
      <c r="B2049" s="501"/>
      <c r="C2049" s="630"/>
      <c r="D2049" s="631"/>
      <c r="E2049" s="631"/>
      <c r="F2049" s="631"/>
      <c r="G2049" s="631"/>
      <c r="H2049" s="631"/>
      <c r="I2049" s="631"/>
      <c r="J2049" s="631"/>
      <c r="M2049" s="461"/>
      <c r="N2049" s="461"/>
      <c r="O2049" s="461"/>
      <c r="R2049" s="490" t="str">
        <f>R2051</f>
        <v>DELETE</v>
      </c>
    </row>
    <row r="2050" spans="2:18" ht="9" customHeight="1" x14ac:dyDescent="0.5">
      <c r="B2050" s="501"/>
      <c r="C2050" s="630"/>
      <c r="D2050" s="631"/>
      <c r="E2050" s="631"/>
      <c r="F2050" s="631"/>
      <c r="G2050" s="631"/>
      <c r="H2050" s="631"/>
      <c r="I2050" s="631"/>
      <c r="J2050" s="631"/>
      <c r="M2050" s="458"/>
      <c r="N2050" s="458"/>
      <c r="O2050" s="458"/>
      <c r="R2050" s="490" t="str">
        <f>R2051</f>
        <v>DELETE</v>
      </c>
    </row>
    <row r="2051" spans="2:18" ht="36.75" customHeight="1" x14ac:dyDescent="0.5">
      <c r="B2051" s="501"/>
      <c r="C2051" s="630"/>
      <c r="D2051" s="631"/>
      <c r="E2051" s="631"/>
      <c r="F2051" s="631"/>
      <c r="G2051" s="631"/>
      <c r="H2051" s="631"/>
      <c r="I2051" s="631"/>
      <c r="J2051" s="631"/>
      <c r="M2051" s="458">
        <f>SUM(M2044:M2050)</f>
        <v>0</v>
      </c>
      <c r="N2051" s="458"/>
      <c r="O2051" s="458">
        <f>SUM(O2044:O2050)</f>
        <v>0</v>
      </c>
      <c r="R2051" s="490" t="str">
        <f>IF(M2051+O2051=0,"DELETE"," ")</f>
        <v>DELETE</v>
      </c>
    </row>
    <row r="2052" spans="2:18" ht="9" customHeight="1" thickBot="1" x14ac:dyDescent="0.55000000000000004">
      <c r="B2052" s="501"/>
      <c r="C2052" s="630"/>
      <c r="D2052" s="631"/>
      <c r="E2052" s="631"/>
      <c r="F2052" s="631"/>
      <c r="G2052" s="631"/>
      <c r="H2052" s="631"/>
      <c r="I2052" s="631"/>
      <c r="J2052" s="631"/>
      <c r="M2052" s="462"/>
      <c r="N2052" s="462"/>
      <c r="O2052" s="462"/>
      <c r="R2052" s="490" t="str">
        <f>R2051</f>
        <v>DELETE</v>
      </c>
    </row>
    <row r="2053" spans="2:18" ht="9" customHeight="1" thickTop="1" x14ac:dyDescent="0.5">
      <c r="B2053" s="501"/>
      <c r="C2053" s="630"/>
      <c r="D2053" s="631"/>
      <c r="E2053" s="631"/>
      <c r="F2053" s="631"/>
      <c r="G2053" s="631"/>
      <c r="H2053" s="631"/>
      <c r="I2053" s="631"/>
      <c r="J2053" s="631"/>
      <c r="M2053" s="475"/>
      <c r="N2053" s="475"/>
      <c r="O2053" s="475"/>
      <c r="R2053" s="490" t="str">
        <f>R2052</f>
        <v>DELETE</v>
      </c>
    </row>
    <row r="2054" spans="2:18" ht="36.75" customHeight="1" x14ac:dyDescent="0.5">
      <c r="B2054" s="501"/>
      <c r="C2054" s="630"/>
      <c r="D2054" s="631"/>
      <c r="E2054" s="631"/>
      <c r="F2054" s="631"/>
      <c r="G2054" s="631"/>
      <c r="H2054" s="631"/>
      <c r="I2054" s="631"/>
      <c r="J2054" s="631"/>
      <c r="M2054" s="475"/>
      <c r="N2054" s="475"/>
      <c r="O2054" s="475"/>
      <c r="R2054" s="490" t="str">
        <f t="shared" ref="R2054:R2061" si="89">R$2051</f>
        <v>DELETE</v>
      </c>
    </row>
    <row r="2055" spans="2:18" ht="9" customHeight="1" x14ac:dyDescent="0.5">
      <c r="B2055" s="501"/>
      <c r="C2055" s="630"/>
      <c r="D2055" s="631"/>
      <c r="E2055" s="631"/>
      <c r="F2055" s="631"/>
      <c r="G2055" s="631"/>
      <c r="H2055" s="631"/>
      <c r="I2055" s="631"/>
      <c r="J2055" s="631"/>
      <c r="M2055" s="461"/>
      <c r="N2055" s="461"/>
      <c r="O2055" s="461"/>
      <c r="R2055" s="490" t="str">
        <f>R2056</f>
        <v>DELETE</v>
      </c>
    </row>
    <row r="2056" spans="2:18" ht="9" customHeight="1" x14ac:dyDescent="0.5">
      <c r="B2056" s="501"/>
      <c r="C2056" s="630"/>
      <c r="D2056" s="631"/>
      <c r="E2056" s="631"/>
      <c r="F2056" s="631"/>
      <c r="G2056" s="631"/>
      <c r="H2056" s="631"/>
      <c r="I2056" s="631"/>
      <c r="J2056" s="631"/>
      <c r="M2056" s="475"/>
      <c r="N2056" s="475"/>
      <c r="O2056" s="475"/>
      <c r="R2056" s="490" t="str">
        <f>R2057</f>
        <v>DELETE</v>
      </c>
    </row>
    <row r="2057" spans="2:18" ht="36.75" customHeight="1" x14ac:dyDescent="0.5">
      <c r="B2057" s="501"/>
      <c r="C2057" s="631" t="s">
        <v>894</v>
      </c>
      <c r="D2057" s="631"/>
      <c r="E2057" s="631"/>
      <c r="F2057" s="631"/>
      <c r="G2057" s="631"/>
      <c r="H2057" s="631"/>
      <c r="I2057" s="631"/>
      <c r="J2057" s="631"/>
      <c r="M2057" s="475">
        <f>Criteria!G251</f>
        <v>0</v>
      </c>
      <c r="N2057" s="475"/>
      <c r="O2057" s="475">
        <f>Criteria!H251</f>
        <v>0</v>
      </c>
      <c r="R2057" s="490" t="str">
        <f>IF(M2057+O2057=0,"DELETE"," ")</f>
        <v>DELETE</v>
      </c>
    </row>
    <row r="2058" spans="2:18" ht="9" customHeight="1" thickBot="1" x14ac:dyDescent="0.55000000000000004">
      <c r="B2058" s="501"/>
      <c r="C2058" s="631"/>
      <c r="D2058" s="631"/>
      <c r="E2058" s="631"/>
      <c r="F2058" s="631"/>
      <c r="G2058" s="631"/>
      <c r="H2058" s="631"/>
      <c r="I2058" s="631"/>
      <c r="J2058" s="631"/>
      <c r="M2058" s="462"/>
      <c r="N2058" s="462"/>
      <c r="O2058" s="462"/>
      <c r="R2058" s="490" t="str">
        <f>R2057</f>
        <v>DELETE</v>
      </c>
    </row>
    <row r="2059" spans="2:18" ht="9" customHeight="1" thickTop="1" x14ac:dyDescent="0.5">
      <c r="B2059" s="501"/>
      <c r="C2059" s="631"/>
      <c r="D2059" s="631"/>
      <c r="E2059" s="631"/>
      <c r="F2059" s="631"/>
      <c r="G2059" s="631"/>
      <c r="H2059" s="631"/>
      <c r="I2059" s="631"/>
      <c r="J2059" s="631"/>
      <c r="M2059" s="475"/>
      <c r="N2059" s="475"/>
      <c r="O2059" s="475"/>
      <c r="R2059" s="490" t="str">
        <f>R2058</f>
        <v>DELETE</v>
      </c>
    </row>
    <row r="2060" spans="2:18" ht="36" customHeight="1" x14ac:dyDescent="0.5">
      <c r="B2060" s="501"/>
      <c r="C2060" s="630"/>
      <c r="D2060" s="631"/>
      <c r="E2060" s="631"/>
      <c r="F2060" s="631"/>
      <c r="G2060" s="631"/>
      <c r="H2060" s="631"/>
      <c r="I2060" s="631"/>
      <c r="J2060" s="631"/>
      <c r="M2060" s="475"/>
      <c r="N2060" s="475"/>
      <c r="O2060" s="475"/>
      <c r="R2060" s="490" t="str">
        <f t="shared" si="89"/>
        <v>DELETE</v>
      </c>
    </row>
    <row r="2061" spans="2:18" ht="36" customHeight="1" x14ac:dyDescent="0.5">
      <c r="B2061" s="501"/>
      <c r="C2061" s="630"/>
      <c r="D2061" s="631"/>
      <c r="E2061" s="631"/>
      <c r="F2061" s="631"/>
      <c r="G2061" s="631"/>
      <c r="H2061" s="631"/>
      <c r="I2061" s="631"/>
      <c r="J2061" s="631"/>
      <c r="M2061" s="475"/>
      <c r="N2061" s="475"/>
      <c r="O2061" s="475"/>
      <c r="R2061" s="490" t="str">
        <f t="shared" si="89"/>
        <v>DELETE</v>
      </c>
    </row>
    <row r="2062" spans="2:18" ht="36" customHeight="1" x14ac:dyDescent="0.5">
      <c r="B2062" s="501"/>
      <c r="C2062" s="630"/>
      <c r="D2062" s="631"/>
      <c r="E2062" s="631"/>
      <c r="F2062" s="631"/>
      <c r="G2062" s="631"/>
      <c r="H2062" s="631"/>
      <c r="I2062" s="631"/>
      <c r="J2062" s="631"/>
      <c r="M2062" s="475"/>
      <c r="N2062" s="475"/>
      <c r="O2062" s="475"/>
      <c r="P2062" s="545"/>
      <c r="R2062" s="490" t="str">
        <f>R$2051</f>
        <v>DELETE</v>
      </c>
    </row>
    <row r="2063" spans="2:18" ht="36" customHeight="1" x14ac:dyDescent="0.5">
      <c r="B2063" s="501"/>
      <c r="C2063" s="630"/>
      <c r="D2063" s="631"/>
      <c r="E2063" s="631"/>
      <c r="F2063" s="631"/>
      <c r="G2063" s="631"/>
      <c r="H2063" s="631"/>
      <c r="I2063" s="631"/>
      <c r="J2063" s="631"/>
      <c r="M2063" s="458"/>
      <c r="N2063" s="458"/>
      <c r="O2063" s="458"/>
      <c r="R2063" s="490" t="str">
        <f>R$2051</f>
        <v>DELETE</v>
      </c>
    </row>
    <row r="2064" spans="2:18" ht="36" customHeight="1" x14ac:dyDescent="0.5">
      <c r="B2064" s="501"/>
      <c r="C2064" s="630"/>
      <c r="D2064" s="631"/>
      <c r="E2064" s="631"/>
      <c r="F2064" s="631"/>
      <c r="G2064" s="631"/>
      <c r="H2064" s="631"/>
      <c r="I2064" s="631"/>
      <c r="J2064" s="631"/>
      <c r="M2064" s="458"/>
      <c r="N2064" s="458"/>
      <c r="O2064" s="454" t="s">
        <v>112</v>
      </c>
      <c r="Q2064" s="450">
        <f>MAX($Q$103:Q2063)+1</f>
        <v>53</v>
      </c>
      <c r="R2064" s="490" t="str">
        <f>R$2083</f>
        <v>DELETE</v>
      </c>
    </row>
    <row r="2065" spans="2:24" ht="36" customHeight="1" x14ac:dyDescent="0.5">
      <c r="B2065" s="502"/>
      <c r="C2065" s="631"/>
      <c r="D2065" s="630" t="str">
        <f>Criteria!E9</f>
        <v>ABC COMPANY (PROPRIETARY) LIMITED</v>
      </c>
      <c r="E2065" s="631"/>
      <c r="F2065" s="631"/>
      <c r="G2065" s="631"/>
      <c r="H2065" s="631"/>
      <c r="I2065" s="631"/>
      <c r="J2065" s="631"/>
      <c r="M2065" s="540"/>
      <c r="O2065" s="540"/>
      <c r="R2065" s="490" t="str">
        <f>R$2083</f>
        <v>DELETE</v>
      </c>
    </row>
    <row r="2066" spans="2:24" ht="36" customHeight="1" x14ac:dyDescent="0.5">
      <c r="B2066" s="502"/>
      <c r="C2066" s="631"/>
      <c r="D2066" s="630" t="str">
        <f>Criteria!E10</f>
        <v>T/A SEAFRONT HOTEL, ABC RESTAURANT AND RENTAL PROPERTIES</v>
      </c>
      <c r="E2066" s="631"/>
      <c r="F2066" s="631"/>
      <c r="G2066" s="631"/>
      <c r="H2066" s="631"/>
      <c r="I2066" s="631"/>
      <c r="J2066" s="631"/>
      <c r="M2066" s="540"/>
      <c r="O2066" s="540"/>
      <c r="R2066" s="490" t="str">
        <f>IF(R$2083="DELETE","DELETE",IF(D2066=0,"DELETE"," "))</f>
        <v>DELETE</v>
      </c>
    </row>
    <row r="2067" spans="2:24" ht="36" customHeight="1" x14ac:dyDescent="0.5">
      <c r="B2067" s="502"/>
      <c r="C2067" s="631"/>
      <c r="D2067" s="631"/>
      <c r="E2067" s="631"/>
      <c r="F2067" s="631"/>
      <c r="G2067" s="631"/>
      <c r="H2067" s="631"/>
      <c r="I2067" s="631"/>
      <c r="J2067" s="631"/>
      <c r="M2067" s="540"/>
      <c r="O2067" s="540"/>
      <c r="R2067" s="490" t="str">
        <f t="shared" ref="R2067:R2075" si="90">R$2083</f>
        <v>DELETE</v>
      </c>
    </row>
    <row r="2068" spans="2:24" ht="36" customHeight="1" x14ac:dyDescent="0.5">
      <c r="B2068" s="502"/>
      <c r="C2068" s="631"/>
      <c r="D2068" s="630" t="s">
        <v>415</v>
      </c>
      <c r="E2068" s="631"/>
      <c r="F2068" s="631"/>
      <c r="G2068" s="631"/>
      <c r="H2068" s="631"/>
      <c r="I2068" s="631"/>
      <c r="J2068" s="631"/>
      <c r="M2068" s="540"/>
      <c r="O2068" s="540"/>
      <c r="R2068" s="490" t="str">
        <f t="shared" si="90"/>
        <v>DELETE</v>
      </c>
    </row>
    <row r="2069" spans="2:24" ht="36" customHeight="1" x14ac:dyDescent="0.5">
      <c r="B2069" s="502"/>
      <c r="C2069" s="631"/>
      <c r="D2069" s="630" t="str">
        <f>Criteria!E20</f>
        <v>28 FEBRUARY 2026</v>
      </c>
      <c r="E2069" s="631"/>
      <c r="F2069" s="631"/>
      <c r="G2069" s="631"/>
      <c r="H2069" s="631"/>
      <c r="I2069" s="631"/>
      <c r="J2069" s="631" t="s">
        <v>282</v>
      </c>
      <c r="M2069" s="540"/>
      <c r="O2069" s="540"/>
      <c r="R2069" s="490" t="str">
        <f t="shared" si="90"/>
        <v>DELETE</v>
      </c>
    </row>
    <row r="2070" spans="2:24" ht="36" customHeight="1" x14ac:dyDescent="0.5">
      <c r="B2070" s="502"/>
      <c r="C2070" s="631"/>
      <c r="D2070" s="631"/>
      <c r="E2070" s="631"/>
      <c r="F2070" s="631"/>
      <c r="G2070" s="631"/>
      <c r="H2070" s="631"/>
      <c r="I2070" s="631"/>
      <c r="J2070" s="631"/>
      <c r="M2070" s="540"/>
      <c r="O2070" s="540"/>
      <c r="R2070" s="490" t="str">
        <f t="shared" si="90"/>
        <v>DELETE</v>
      </c>
    </row>
    <row r="2071" spans="2:24" ht="36" customHeight="1" x14ac:dyDescent="0.5">
      <c r="B2071" s="641"/>
      <c r="C2071" s="649"/>
      <c r="D2071" s="649"/>
      <c r="E2071" s="649"/>
      <c r="F2071" s="649"/>
      <c r="G2071" s="649"/>
      <c r="H2071" s="649"/>
      <c r="I2071" s="649"/>
      <c r="J2071" s="649"/>
      <c r="K2071" s="457"/>
      <c r="L2071" s="457"/>
      <c r="M2071" s="551"/>
      <c r="N2071" s="551"/>
      <c r="O2071" s="551"/>
      <c r="P2071" s="551"/>
      <c r="Q2071" s="457"/>
      <c r="R2071" s="490" t="str">
        <f t="shared" si="90"/>
        <v>DELETE</v>
      </c>
    </row>
    <row r="2072" spans="2:24" ht="36" customHeight="1" x14ac:dyDescent="0.5">
      <c r="B2072" s="502"/>
      <c r="C2072" s="631"/>
      <c r="D2072" s="631"/>
      <c r="E2072" s="631"/>
      <c r="F2072" s="631"/>
      <c r="G2072" s="631"/>
      <c r="H2072" s="631"/>
      <c r="I2072" s="631"/>
      <c r="J2072" s="631"/>
      <c r="M2072" s="453">
        <f>Criteria!E22</f>
        <v>2026</v>
      </c>
      <c r="N2072" s="453"/>
      <c r="O2072" s="453">
        <f>Criteria!E27</f>
        <v>2025</v>
      </c>
      <c r="R2072" s="490" t="str">
        <f t="shared" si="90"/>
        <v>DELETE</v>
      </c>
    </row>
    <row r="2073" spans="2:24" ht="36" customHeight="1" x14ac:dyDescent="0.5">
      <c r="B2073" s="501"/>
      <c r="C2073" s="630"/>
      <c r="D2073" s="631"/>
      <c r="E2073" s="631"/>
      <c r="F2073" s="631"/>
      <c r="G2073" s="631"/>
      <c r="H2073" s="631"/>
      <c r="I2073" s="631"/>
      <c r="J2073" s="631"/>
      <c r="M2073" s="458"/>
      <c r="N2073" s="458"/>
      <c r="O2073" s="458"/>
      <c r="R2073" s="490" t="str">
        <f t="shared" si="90"/>
        <v>DELETE</v>
      </c>
    </row>
    <row r="2074" spans="2:24" ht="36" customHeight="1" x14ac:dyDescent="0.5">
      <c r="B2074" s="501">
        <f>MAX(B$871:B2073)+1</f>
        <v>16</v>
      </c>
      <c r="C2074" s="630" t="str">
        <f>IF(COUNTIF(TrialBalance!N314:N318,"&gt;0")&gt;1,"Other investments",IF(COUNTIF(TrialBalance!L314:L318,"&gt;0")&gt;1,"Other investments","Other investment"))</f>
        <v>Other investment</v>
      </c>
      <c r="D2074" s="648"/>
      <c r="E2074" s="631"/>
      <c r="F2074" s="631"/>
      <c r="G2074" s="631"/>
      <c r="H2074" s="631"/>
      <c r="I2074" s="631"/>
      <c r="J2074" s="631"/>
      <c r="M2074" s="458"/>
      <c r="N2074" s="458"/>
      <c r="O2074" s="458"/>
      <c r="R2074" s="490" t="str">
        <f t="shared" si="90"/>
        <v>DELETE</v>
      </c>
      <c r="S2074" s="496"/>
      <c r="T2074" s="496"/>
      <c r="U2074" s="496"/>
      <c r="V2074" s="496"/>
      <c r="W2074" s="496"/>
      <c r="X2074" s="496"/>
    </row>
    <row r="2075" spans="2:24" ht="36" customHeight="1" x14ac:dyDescent="0.5">
      <c r="B2075" s="501"/>
      <c r="C2075" s="630"/>
      <c r="D2075" s="648"/>
      <c r="E2075" s="631"/>
      <c r="F2075" s="631"/>
      <c r="G2075" s="631"/>
      <c r="H2075" s="631"/>
      <c r="I2075" s="631"/>
      <c r="J2075" s="631"/>
      <c r="M2075" s="458"/>
      <c r="N2075" s="458"/>
      <c r="O2075" s="458"/>
      <c r="R2075" s="490" t="str">
        <f t="shared" si="90"/>
        <v>DELETE</v>
      </c>
      <c r="S2075" s="496"/>
      <c r="T2075" s="496"/>
      <c r="U2075" s="496"/>
      <c r="V2075" s="496"/>
      <c r="W2075" s="496"/>
      <c r="X2075" s="496"/>
    </row>
    <row r="2076" spans="2:24" ht="36" customHeight="1" x14ac:dyDescent="0.5">
      <c r="B2076" s="501"/>
      <c r="C2076" s="631">
        <f>TrialBalance!C314</f>
        <v>0</v>
      </c>
      <c r="D2076" s="648"/>
      <c r="E2076" s="631"/>
      <c r="F2076" s="631"/>
      <c r="G2076" s="631"/>
      <c r="H2076" s="631"/>
      <c r="I2076" s="631"/>
      <c r="J2076" s="631"/>
      <c r="M2076" s="458">
        <f>TrialBalance!L314</f>
        <v>0</v>
      </c>
      <c r="N2076" s="458"/>
      <c r="O2076" s="458">
        <f>TrialBalance!N314</f>
        <v>0</v>
      </c>
      <c r="R2076" s="490" t="str">
        <f>IF(M2076+O2076=0,"DELETE"," ")</f>
        <v>DELETE</v>
      </c>
    </row>
    <row r="2077" spans="2:24" ht="36" customHeight="1" x14ac:dyDescent="0.5">
      <c r="B2077" s="501"/>
      <c r="C2077" s="631">
        <f>TrialBalance!C315</f>
        <v>0</v>
      </c>
      <c r="D2077" s="648"/>
      <c r="E2077" s="631"/>
      <c r="F2077" s="631"/>
      <c r="G2077" s="631"/>
      <c r="H2077" s="631"/>
      <c r="I2077" s="631"/>
      <c r="J2077" s="631"/>
      <c r="M2077" s="458">
        <f>TrialBalance!L315</f>
        <v>0</v>
      </c>
      <c r="N2077" s="458"/>
      <c r="O2077" s="458">
        <f>TrialBalance!N315</f>
        <v>0</v>
      </c>
      <c r="R2077" s="490" t="str">
        <f>IF(M2077+O2077=0,"DELETE"," ")</f>
        <v>DELETE</v>
      </c>
    </row>
    <row r="2078" spans="2:24" ht="36" customHeight="1" x14ac:dyDescent="0.5">
      <c r="B2078" s="501"/>
      <c r="C2078" s="631">
        <f>TrialBalance!C316</f>
        <v>0</v>
      </c>
      <c r="D2078" s="648"/>
      <c r="E2078" s="631"/>
      <c r="F2078" s="631"/>
      <c r="G2078" s="631"/>
      <c r="H2078" s="631"/>
      <c r="I2078" s="631"/>
      <c r="J2078" s="631"/>
      <c r="M2078" s="458">
        <f>TrialBalance!L316</f>
        <v>0</v>
      </c>
      <c r="N2078" s="458"/>
      <c r="O2078" s="458">
        <f>TrialBalance!N316</f>
        <v>0</v>
      </c>
      <c r="R2078" s="490" t="str">
        <f>IF(M2078+O2078=0,"DELETE"," ")</f>
        <v>DELETE</v>
      </c>
    </row>
    <row r="2079" spans="2:24" ht="36" customHeight="1" x14ac:dyDescent="0.5">
      <c r="B2079" s="501"/>
      <c r="C2079" s="631">
        <f>TrialBalance!C317</f>
        <v>0</v>
      </c>
      <c r="D2079" s="648"/>
      <c r="E2079" s="631"/>
      <c r="F2079" s="631"/>
      <c r="G2079" s="631"/>
      <c r="H2079" s="631"/>
      <c r="I2079" s="631"/>
      <c r="J2079" s="631"/>
      <c r="M2079" s="458">
        <f>TrialBalance!L317</f>
        <v>0</v>
      </c>
      <c r="N2079" s="458"/>
      <c r="O2079" s="458">
        <f>TrialBalance!N317</f>
        <v>0</v>
      </c>
      <c r="R2079" s="490" t="str">
        <f>IF(M2079+O2079=0,"DELETE"," ")</f>
        <v>DELETE</v>
      </c>
    </row>
    <row r="2080" spans="2:24" ht="36" customHeight="1" x14ac:dyDescent="0.5">
      <c r="B2080" s="501"/>
      <c r="C2080" s="631">
        <f>TrialBalance!C318</f>
        <v>0</v>
      </c>
      <c r="D2080" s="648"/>
      <c r="E2080" s="631"/>
      <c r="F2080" s="631"/>
      <c r="G2080" s="631"/>
      <c r="H2080" s="631"/>
      <c r="I2080" s="631"/>
      <c r="J2080" s="631"/>
      <c r="M2080" s="458">
        <f>TrialBalance!L318</f>
        <v>0</v>
      </c>
      <c r="N2080" s="458"/>
      <c r="O2080" s="458">
        <f>TrialBalance!N318</f>
        <v>0</v>
      </c>
      <c r="R2080" s="490" t="str">
        <f>IF(M2080+O2080=0,"DELETE"," ")</f>
        <v>DELETE</v>
      </c>
    </row>
    <row r="2081" spans="2:24" ht="9" customHeight="1" x14ac:dyDescent="0.5">
      <c r="B2081" s="501"/>
      <c r="C2081" s="630"/>
      <c r="D2081" s="631"/>
      <c r="E2081" s="631"/>
      <c r="F2081" s="631"/>
      <c r="G2081" s="631"/>
      <c r="H2081" s="631"/>
      <c r="I2081" s="631"/>
      <c r="J2081" s="631"/>
      <c r="M2081" s="461"/>
      <c r="N2081" s="461"/>
      <c r="O2081" s="461"/>
      <c r="R2081" s="490" t="str">
        <f>R2083</f>
        <v>DELETE</v>
      </c>
    </row>
    <row r="2082" spans="2:24" ht="9" customHeight="1" x14ac:dyDescent="0.5">
      <c r="B2082" s="501"/>
      <c r="C2082" s="630"/>
      <c r="D2082" s="631"/>
      <c r="E2082" s="631"/>
      <c r="F2082" s="631"/>
      <c r="G2082" s="631"/>
      <c r="H2082" s="631"/>
      <c r="I2082" s="631"/>
      <c r="J2082" s="631"/>
      <c r="M2082" s="458"/>
      <c r="N2082" s="458"/>
      <c r="O2082" s="458"/>
      <c r="R2082" s="490" t="str">
        <f>R2083</f>
        <v>DELETE</v>
      </c>
    </row>
    <row r="2083" spans="2:24" ht="36.75" customHeight="1" x14ac:dyDescent="0.5">
      <c r="B2083" s="501"/>
      <c r="C2083" s="630"/>
      <c r="D2083" s="631"/>
      <c r="E2083" s="631"/>
      <c r="F2083" s="631"/>
      <c r="G2083" s="631"/>
      <c r="H2083" s="631"/>
      <c r="I2083" s="631"/>
      <c r="J2083" s="631"/>
      <c r="M2083" s="458">
        <f>SUM(M2076:M2082)</f>
        <v>0</v>
      </c>
      <c r="N2083" s="458"/>
      <c r="O2083" s="458">
        <f>SUM(O2076:O2082)</f>
        <v>0</v>
      </c>
      <c r="R2083" s="490" t="str">
        <f>IF(M2083+O2083=0,"DELETE"," ")</f>
        <v>DELETE</v>
      </c>
      <c r="V2083" s="499"/>
      <c r="W2083" s="499"/>
      <c r="X2083" s="499"/>
    </row>
    <row r="2084" spans="2:24" ht="9" customHeight="1" thickBot="1" x14ac:dyDescent="0.55000000000000004">
      <c r="B2084" s="501"/>
      <c r="C2084" s="630"/>
      <c r="D2084" s="631"/>
      <c r="E2084" s="631"/>
      <c r="F2084" s="631"/>
      <c r="G2084" s="631"/>
      <c r="H2084" s="631"/>
      <c r="I2084" s="631"/>
      <c r="J2084" s="631"/>
      <c r="M2084" s="462"/>
      <c r="N2084" s="462"/>
      <c r="O2084" s="462"/>
      <c r="R2084" s="490" t="str">
        <f>R2083</f>
        <v>DELETE</v>
      </c>
    </row>
    <row r="2085" spans="2:24" ht="9" customHeight="1" thickTop="1" x14ac:dyDescent="0.5">
      <c r="B2085" s="501"/>
      <c r="C2085" s="630"/>
      <c r="D2085" s="631"/>
      <c r="E2085" s="631"/>
      <c r="F2085" s="631"/>
      <c r="G2085" s="631"/>
      <c r="H2085" s="631"/>
      <c r="I2085" s="631"/>
      <c r="J2085" s="631"/>
      <c r="M2085" s="475"/>
      <c r="N2085" s="475"/>
      <c r="O2085" s="475"/>
      <c r="R2085" s="490" t="str">
        <f>R2084</f>
        <v>DELETE</v>
      </c>
    </row>
    <row r="2086" spans="2:24" ht="36.75" customHeight="1" x14ac:dyDescent="0.5">
      <c r="B2086" s="501"/>
      <c r="C2086" s="630"/>
      <c r="D2086" s="631"/>
      <c r="E2086" s="631"/>
      <c r="F2086" s="631"/>
      <c r="G2086" s="631"/>
      <c r="H2086" s="631"/>
      <c r="I2086" s="631"/>
      <c r="J2086" s="631"/>
      <c r="M2086" s="458"/>
      <c r="N2086" s="458"/>
      <c r="O2086" s="458"/>
      <c r="R2086" s="490" t="str">
        <f t="shared" ref="R2086:R2095" si="91">R$2083</f>
        <v>DELETE</v>
      </c>
    </row>
    <row r="2087" spans="2:24" ht="9" customHeight="1" x14ac:dyDescent="0.5">
      <c r="B2087" s="501"/>
      <c r="C2087" s="630"/>
      <c r="D2087" s="631"/>
      <c r="E2087" s="631"/>
      <c r="F2087" s="631"/>
      <c r="G2087" s="631"/>
      <c r="H2087" s="631"/>
      <c r="I2087" s="631"/>
      <c r="J2087" s="631"/>
      <c r="M2087" s="461"/>
      <c r="N2087" s="461"/>
      <c r="O2087" s="461"/>
      <c r="R2087" s="490" t="str">
        <f>R2088</f>
        <v>DELETE</v>
      </c>
    </row>
    <row r="2088" spans="2:24" ht="9" customHeight="1" x14ac:dyDescent="0.5">
      <c r="B2088" s="501"/>
      <c r="C2088" s="630"/>
      <c r="D2088" s="631"/>
      <c r="E2088" s="631"/>
      <c r="F2088" s="631"/>
      <c r="G2088" s="631"/>
      <c r="H2088" s="631"/>
      <c r="I2088" s="631"/>
      <c r="J2088" s="631"/>
      <c r="M2088" s="458"/>
      <c r="N2088" s="458"/>
      <c r="O2088" s="458"/>
      <c r="R2088" s="490" t="str">
        <f>R2089</f>
        <v>DELETE</v>
      </c>
    </row>
    <row r="2089" spans="2:24" ht="36.75" customHeight="1" x14ac:dyDescent="0.5">
      <c r="B2089" s="501"/>
      <c r="C2089" s="631" t="str">
        <f>IF(MAX(Criteria!I41:I45)&gt;1,"Directors' valuation","Director's valuation")</f>
        <v>Directors' valuation</v>
      </c>
      <c r="D2089" s="631"/>
      <c r="E2089" s="631"/>
      <c r="F2089" s="631"/>
      <c r="G2089" s="631"/>
      <c r="H2089" s="631"/>
      <c r="I2089" s="631"/>
      <c r="J2089" s="631"/>
      <c r="M2089" s="458">
        <f>Criteria!G254</f>
        <v>0</v>
      </c>
      <c r="N2089" s="458"/>
      <c r="O2089" s="458">
        <f>Criteria!H254</f>
        <v>0</v>
      </c>
      <c r="R2089" s="490" t="str">
        <f>IF(M2089+O2089=0,"DELETE"," ")</f>
        <v>DELETE</v>
      </c>
    </row>
    <row r="2090" spans="2:24" ht="9" customHeight="1" thickBot="1" x14ac:dyDescent="0.55000000000000004">
      <c r="B2090" s="501"/>
      <c r="C2090" s="630"/>
      <c r="D2090" s="631"/>
      <c r="E2090" s="631"/>
      <c r="F2090" s="631"/>
      <c r="G2090" s="631"/>
      <c r="H2090" s="631"/>
      <c r="I2090" s="631"/>
      <c r="J2090" s="631"/>
      <c r="M2090" s="462"/>
      <c r="N2090" s="462"/>
      <c r="O2090" s="462"/>
      <c r="R2090" s="490" t="str">
        <f>R2089</f>
        <v>DELETE</v>
      </c>
    </row>
    <row r="2091" spans="2:24" ht="9" customHeight="1" thickTop="1" x14ac:dyDescent="0.5">
      <c r="B2091" s="501"/>
      <c r="C2091" s="630"/>
      <c r="D2091" s="631"/>
      <c r="E2091" s="631"/>
      <c r="F2091" s="631"/>
      <c r="G2091" s="631"/>
      <c r="H2091" s="631"/>
      <c r="I2091" s="631"/>
      <c r="J2091" s="631"/>
      <c r="M2091" s="458"/>
      <c r="N2091" s="458"/>
      <c r="O2091" s="458"/>
      <c r="R2091" s="490" t="str">
        <f>R2090</f>
        <v>DELETE</v>
      </c>
    </row>
    <row r="2092" spans="2:24" ht="36" customHeight="1" x14ac:dyDescent="0.5">
      <c r="B2092" s="501"/>
      <c r="C2092" s="630"/>
      <c r="D2092" s="631"/>
      <c r="E2092" s="631"/>
      <c r="F2092" s="631"/>
      <c r="G2092" s="631"/>
      <c r="H2092" s="631"/>
      <c r="I2092" s="631"/>
      <c r="J2092" s="631"/>
      <c r="M2092" s="458"/>
      <c r="N2092" s="458"/>
      <c r="O2092" s="458"/>
      <c r="R2092" s="490" t="str">
        <f t="shared" si="91"/>
        <v>DELETE</v>
      </c>
    </row>
    <row r="2093" spans="2:24" ht="36" customHeight="1" x14ac:dyDescent="0.5">
      <c r="B2093" s="501"/>
      <c r="C2093" s="630"/>
      <c r="D2093" s="631"/>
      <c r="E2093" s="631"/>
      <c r="F2093" s="631"/>
      <c r="G2093" s="631"/>
      <c r="H2093" s="631"/>
      <c r="I2093" s="631"/>
      <c r="J2093" s="631"/>
      <c r="M2093" s="458"/>
      <c r="N2093" s="458"/>
      <c r="O2093" s="458"/>
      <c r="R2093" s="490" t="str">
        <f t="shared" si="91"/>
        <v>DELETE</v>
      </c>
    </row>
    <row r="2094" spans="2:24" ht="36" customHeight="1" x14ac:dyDescent="0.5">
      <c r="B2094" s="501"/>
      <c r="C2094" s="630"/>
      <c r="D2094" s="631"/>
      <c r="E2094" s="631"/>
      <c r="F2094" s="631"/>
      <c r="G2094" s="631"/>
      <c r="H2094" s="631"/>
      <c r="I2094" s="631"/>
      <c r="J2094" s="631"/>
      <c r="M2094" s="475"/>
      <c r="N2094" s="475"/>
      <c r="O2094" s="475"/>
      <c r="P2094" s="545"/>
      <c r="R2094" s="490" t="str">
        <f t="shared" si="91"/>
        <v>DELETE</v>
      </c>
    </row>
    <row r="2095" spans="2:24" ht="36" customHeight="1" x14ac:dyDescent="0.5">
      <c r="B2095" s="501"/>
      <c r="C2095" s="630"/>
      <c r="D2095" s="631"/>
      <c r="E2095" s="631"/>
      <c r="F2095" s="631"/>
      <c r="G2095" s="631"/>
      <c r="H2095" s="631"/>
      <c r="I2095" s="631"/>
      <c r="J2095" s="631"/>
      <c r="M2095" s="458"/>
      <c r="N2095" s="458"/>
      <c r="O2095" s="458"/>
      <c r="R2095" s="490" t="str">
        <f t="shared" si="91"/>
        <v>DELETE</v>
      </c>
    </row>
    <row r="2096" spans="2:24" ht="36" customHeight="1" x14ac:dyDescent="0.5">
      <c r="B2096" s="502"/>
      <c r="C2096" s="631"/>
      <c r="D2096" s="631"/>
      <c r="E2096" s="631"/>
      <c r="F2096" s="631"/>
      <c r="G2096" s="631"/>
      <c r="H2096" s="631"/>
      <c r="I2096" s="631"/>
      <c r="J2096" s="631"/>
      <c r="M2096" s="541"/>
      <c r="N2096" s="541"/>
      <c r="O2096" s="458" t="s">
        <v>112</v>
      </c>
      <c r="Q2096" s="450">
        <f>MAX($Q$103:Q2095)+1</f>
        <v>54</v>
      </c>
      <c r="R2096" s="490" t="str">
        <f>R$2148</f>
        <v>DELETE</v>
      </c>
    </row>
    <row r="2097" spans="2:21" ht="36" customHeight="1" x14ac:dyDescent="0.5">
      <c r="B2097" s="502"/>
      <c r="C2097" s="631"/>
      <c r="D2097" s="630" t="str">
        <f>Criteria!E9</f>
        <v>ABC COMPANY (PROPRIETARY) LIMITED</v>
      </c>
      <c r="E2097" s="631"/>
      <c r="F2097" s="631"/>
      <c r="G2097" s="631"/>
      <c r="H2097" s="631"/>
      <c r="I2097" s="631"/>
      <c r="J2097" s="631"/>
      <c r="M2097" s="541"/>
      <c r="N2097" s="541"/>
      <c r="O2097" s="540"/>
      <c r="R2097" s="490" t="str">
        <f t="shared" ref="R2097:R2107" si="92">R$2148</f>
        <v>DELETE</v>
      </c>
    </row>
    <row r="2098" spans="2:21" ht="36" customHeight="1" x14ac:dyDescent="0.5">
      <c r="B2098" s="502"/>
      <c r="C2098" s="631"/>
      <c r="D2098" s="630" t="str">
        <f>Criteria!E10</f>
        <v>T/A SEAFRONT HOTEL, ABC RESTAURANT AND RENTAL PROPERTIES</v>
      </c>
      <c r="E2098" s="631"/>
      <c r="F2098" s="631"/>
      <c r="G2098" s="631"/>
      <c r="H2098" s="631"/>
      <c r="I2098" s="631"/>
      <c r="J2098" s="631"/>
      <c r="M2098" s="541"/>
      <c r="N2098" s="541"/>
      <c r="O2098" s="541"/>
      <c r="R2098" s="490" t="str">
        <f>IF(R$2148="DELETE","DELETE",IF(D2098=0,"DELETE"," "))</f>
        <v>DELETE</v>
      </c>
    </row>
    <row r="2099" spans="2:21" ht="36" customHeight="1" x14ac:dyDescent="0.5">
      <c r="B2099" s="502"/>
      <c r="C2099" s="631"/>
      <c r="D2099" s="631"/>
      <c r="E2099" s="631"/>
      <c r="F2099" s="631"/>
      <c r="G2099" s="631"/>
      <c r="H2099" s="631"/>
      <c r="I2099" s="631"/>
      <c r="J2099" s="631"/>
      <c r="M2099" s="541"/>
      <c r="N2099" s="541"/>
      <c r="O2099" s="541"/>
      <c r="R2099" s="490" t="str">
        <f t="shared" si="92"/>
        <v>DELETE</v>
      </c>
    </row>
    <row r="2100" spans="2:21" ht="36" customHeight="1" x14ac:dyDescent="0.5">
      <c r="B2100" s="502"/>
      <c r="C2100" s="631"/>
      <c r="D2100" s="630" t="s">
        <v>415</v>
      </c>
      <c r="E2100" s="631"/>
      <c r="F2100" s="631"/>
      <c r="G2100" s="631"/>
      <c r="H2100" s="631"/>
      <c r="I2100" s="631"/>
      <c r="J2100" s="631"/>
      <c r="M2100" s="541"/>
      <c r="N2100" s="541"/>
      <c r="O2100" s="541"/>
      <c r="R2100" s="490" t="str">
        <f t="shared" si="92"/>
        <v>DELETE</v>
      </c>
    </row>
    <row r="2101" spans="2:21" ht="36" customHeight="1" x14ac:dyDescent="0.5">
      <c r="B2101" s="502"/>
      <c r="C2101" s="631"/>
      <c r="D2101" s="630" t="str">
        <f>Criteria!E20</f>
        <v>28 FEBRUARY 2026</v>
      </c>
      <c r="E2101" s="631"/>
      <c r="F2101" s="631"/>
      <c r="G2101" s="631"/>
      <c r="H2101" s="631"/>
      <c r="I2101" s="631"/>
      <c r="J2101" s="631" t="s">
        <v>282</v>
      </c>
      <c r="M2101" s="541"/>
      <c r="N2101" s="541"/>
      <c r="O2101" s="541"/>
      <c r="R2101" s="490" t="str">
        <f t="shared" si="92"/>
        <v>DELETE</v>
      </c>
    </row>
    <row r="2102" spans="2:21" ht="36" customHeight="1" x14ac:dyDescent="0.5">
      <c r="B2102" s="502"/>
      <c r="C2102" s="631"/>
      <c r="D2102" s="631"/>
      <c r="E2102" s="631"/>
      <c r="F2102" s="631"/>
      <c r="G2102" s="631"/>
      <c r="H2102" s="631"/>
      <c r="I2102" s="631"/>
      <c r="J2102" s="631"/>
      <c r="M2102" s="554"/>
      <c r="N2102" s="554"/>
      <c r="O2102" s="554"/>
      <c r="R2102" s="490" t="str">
        <f t="shared" si="92"/>
        <v>DELETE</v>
      </c>
    </row>
    <row r="2103" spans="2:21" ht="36" customHeight="1" x14ac:dyDescent="0.5">
      <c r="B2103" s="641"/>
      <c r="C2103" s="649"/>
      <c r="D2103" s="649"/>
      <c r="E2103" s="649"/>
      <c r="F2103" s="649"/>
      <c r="G2103" s="649"/>
      <c r="H2103" s="649"/>
      <c r="I2103" s="649"/>
      <c r="J2103" s="649"/>
      <c r="K2103" s="457"/>
      <c r="L2103" s="457"/>
      <c r="M2103" s="557"/>
      <c r="N2103" s="557"/>
      <c r="O2103" s="557"/>
      <c r="P2103" s="551"/>
      <c r="Q2103" s="457"/>
      <c r="R2103" s="490" t="str">
        <f t="shared" si="92"/>
        <v>DELETE</v>
      </c>
    </row>
    <row r="2104" spans="2:21" ht="36" customHeight="1" x14ac:dyDescent="0.5">
      <c r="B2104" s="501"/>
      <c r="C2104" s="630"/>
      <c r="D2104" s="631"/>
      <c r="E2104" s="631"/>
      <c r="F2104" s="631"/>
      <c r="G2104" s="631"/>
      <c r="H2104" s="631"/>
      <c r="I2104" s="631"/>
      <c r="J2104" s="631"/>
      <c r="M2104" s="453">
        <f>Criteria!E22</f>
        <v>2026</v>
      </c>
      <c r="N2104" s="453"/>
      <c r="O2104" s="453">
        <f>Criteria!E27</f>
        <v>2025</v>
      </c>
      <c r="R2104" s="490" t="str">
        <f t="shared" si="92"/>
        <v>DELETE</v>
      </c>
    </row>
    <row r="2105" spans="2:21" ht="36" customHeight="1" x14ac:dyDescent="0.5">
      <c r="B2105" s="501"/>
      <c r="C2105" s="630"/>
      <c r="D2105" s="631"/>
      <c r="E2105" s="631"/>
      <c r="F2105" s="631"/>
      <c r="G2105" s="631"/>
      <c r="H2105" s="631"/>
      <c r="I2105" s="631"/>
      <c r="J2105" s="631"/>
      <c r="M2105" s="458"/>
      <c r="N2105" s="458"/>
      <c r="O2105" s="458"/>
      <c r="R2105" s="490" t="str">
        <f t="shared" si="92"/>
        <v>DELETE</v>
      </c>
    </row>
    <row r="2106" spans="2:21" ht="36" customHeight="1" x14ac:dyDescent="0.5">
      <c r="B2106" s="501">
        <f>MAX(B$871:B2105)+1</f>
        <v>17</v>
      </c>
      <c r="C2106" s="630" t="str">
        <f>IF(COUNTIF(TrialBalance!N320:N353,"&gt;0")&gt;1,"Non-current receivables",IF(COUNTIF(TrialBalance!L320:L353,"&gt;0")&gt;1,"Non-current receivables","Non-current receivable"))</f>
        <v>Non-current receivable</v>
      </c>
      <c r="D2106" s="631"/>
      <c r="E2106" s="631"/>
      <c r="F2106" s="631"/>
      <c r="G2106" s="631"/>
      <c r="H2106" s="631"/>
      <c r="I2106" s="631"/>
      <c r="J2106" s="631"/>
      <c r="M2106" s="458"/>
      <c r="N2106" s="458"/>
      <c r="O2106" s="458"/>
      <c r="R2106" s="490" t="str">
        <f t="shared" si="92"/>
        <v>DELETE</v>
      </c>
    </row>
    <row r="2107" spans="2:21" ht="36" customHeight="1" x14ac:dyDescent="0.5">
      <c r="B2107" s="501"/>
      <c r="C2107" s="630"/>
      <c r="D2107" s="631"/>
      <c r="E2107" s="631"/>
      <c r="F2107" s="631"/>
      <c r="G2107" s="631"/>
      <c r="H2107" s="631"/>
      <c r="I2107" s="631"/>
      <c r="J2107" s="631"/>
      <c r="M2107" s="458"/>
      <c r="N2107" s="458"/>
      <c r="O2107" s="458"/>
      <c r="R2107" s="490" t="str">
        <f t="shared" si="92"/>
        <v>DELETE</v>
      </c>
    </row>
    <row r="2108" spans="2:21" ht="36" customHeight="1" x14ac:dyDescent="0.5">
      <c r="B2108" s="501"/>
      <c r="C2108" s="631" t="str">
        <f>IF(COUNTIF(O2111:O2124,"&gt;0")&gt;1,"Interest bearing non-current receivables",IF(COUNTIF(M2111:M2124,"&gt;0")&gt;1,"Interest bearing non-current receivables","Interest bearing non-current receivable"))</f>
        <v>Interest bearing non-current receivable</v>
      </c>
      <c r="D2108" s="648"/>
      <c r="E2108" s="631"/>
      <c r="F2108" s="631"/>
      <c r="G2108" s="631"/>
      <c r="H2108" s="631"/>
      <c r="I2108" s="631"/>
      <c r="J2108" s="631"/>
      <c r="M2108" s="458">
        <f>SUM(M2110:M2125)</f>
        <v>0</v>
      </c>
      <c r="N2108" s="458"/>
      <c r="O2108" s="458">
        <f>SUM(O2110:O2125)</f>
        <v>0</v>
      </c>
      <c r="R2108" s="490" t="str">
        <f>IF(M2108+O2108=0,"DELETE"," ")</f>
        <v>DELETE</v>
      </c>
      <c r="S2108" s="495">
        <f>M2108</f>
        <v>0</v>
      </c>
      <c r="U2108" s="495">
        <f>O2108</f>
        <v>0</v>
      </c>
    </row>
    <row r="2109" spans="2:21" ht="9" customHeight="1" x14ac:dyDescent="0.5">
      <c r="B2109" s="501"/>
      <c r="C2109" s="631"/>
      <c r="D2109" s="648"/>
      <c r="E2109" s="631"/>
      <c r="F2109" s="631"/>
      <c r="G2109" s="631"/>
      <c r="H2109" s="631"/>
      <c r="I2109" s="631"/>
      <c r="J2109" s="631"/>
      <c r="M2109" s="458"/>
      <c r="N2109" s="458"/>
      <c r="O2109" s="458"/>
      <c r="R2109" s="490" t="str">
        <f>R2108</f>
        <v>DELETE</v>
      </c>
    </row>
    <row r="2110" spans="2:21" ht="9" customHeight="1" x14ac:dyDescent="0.5">
      <c r="B2110" s="501"/>
      <c r="C2110" s="631"/>
      <c r="D2110" s="648"/>
      <c r="E2110" s="631"/>
      <c r="F2110" s="631"/>
      <c r="G2110" s="631"/>
      <c r="H2110" s="631"/>
      <c r="I2110" s="631"/>
      <c r="J2110" s="631"/>
      <c r="M2110" s="578"/>
      <c r="N2110" s="459"/>
      <c r="O2110" s="579"/>
      <c r="R2110" s="490" t="str">
        <f>R2109</f>
        <v>DELETE</v>
      </c>
    </row>
    <row r="2111" spans="2:21" ht="36" customHeight="1" x14ac:dyDescent="0.5">
      <c r="B2111" s="501"/>
      <c r="C2111" s="631">
        <f>TrialBalance!C321</f>
        <v>0</v>
      </c>
      <c r="D2111" s="648"/>
      <c r="E2111" s="631"/>
      <c r="F2111" s="631"/>
      <c r="G2111" s="631"/>
      <c r="H2111" s="631"/>
      <c r="I2111" s="631"/>
      <c r="J2111" s="631"/>
      <c r="M2111" s="580">
        <f>TrialBalance!L321</f>
        <v>0</v>
      </c>
      <c r="N2111" s="475"/>
      <c r="O2111" s="581">
        <f>TrialBalance!N321</f>
        <v>0</v>
      </c>
      <c r="R2111" s="490" t="str">
        <f t="shared" ref="R2111:R2144" si="93">IF(M2111+O2111=0,"DELETE"," ")</f>
        <v>DELETE</v>
      </c>
    </row>
    <row r="2112" spans="2:21" ht="36" customHeight="1" x14ac:dyDescent="0.5">
      <c r="B2112" s="501"/>
      <c r="C2112" s="631">
        <f>TrialBalance!C322</f>
        <v>0</v>
      </c>
      <c r="D2112" s="648"/>
      <c r="E2112" s="631"/>
      <c r="F2112" s="631"/>
      <c r="G2112" s="631"/>
      <c r="H2112" s="631"/>
      <c r="I2112" s="631"/>
      <c r="J2112" s="631"/>
      <c r="M2112" s="580">
        <f>TrialBalance!L322</f>
        <v>0</v>
      </c>
      <c r="N2112" s="475"/>
      <c r="O2112" s="581">
        <f>TrialBalance!N322</f>
        <v>0</v>
      </c>
      <c r="R2112" s="490" t="str">
        <f t="shared" ref="R2112:R2113" si="94">IF(M2112+O2112=0,"DELETE"," ")</f>
        <v>DELETE</v>
      </c>
    </row>
    <row r="2113" spans="2:21" ht="36" customHeight="1" x14ac:dyDescent="0.5">
      <c r="B2113" s="501"/>
      <c r="C2113" s="631">
        <f>TrialBalance!C323</f>
        <v>0</v>
      </c>
      <c r="D2113" s="648"/>
      <c r="E2113" s="631"/>
      <c r="F2113" s="631"/>
      <c r="G2113" s="631"/>
      <c r="H2113" s="631"/>
      <c r="I2113" s="631"/>
      <c r="J2113" s="631"/>
      <c r="M2113" s="580">
        <f>TrialBalance!L323</f>
        <v>0</v>
      </c>
      <c r="N2113" s="475"/>
      <c r="O2113" s="581">
        <f>TrialBalance!N323</f>
        <v>0</v>
      </c>
      <c r="R2113" s="490" t="str">
        <f t="shared" si="94"/>
        <v>DELETE</v>
      </c>
    </row>
    <row r="2114" spans="2:21" ht="36" customHeight="1" x14ac:dyDescent="0.5">
      <c r="B2114" s="501"/>
      <c r="C2114" s="631">
        <f>TrialBalance!C324</f>
        <v>0</v>
      </c>
      <c r="D2114" s="648"/>
      <c r="E2114" s="631"/>
      <c r="F2114" s="631"/>
      <c r="G2114" s="631"/>
      <c r="H2114" s="631"/>
      <c r="I2114" s="631"/>
      <c r="J2114" s="631"/>
      <c r="M2114" s="580">
        <f>TrialBalance!L324</f>
        <v>0</v>
      </c>
      <c r="N2114" s="475"/>
      <c r="O2114" s="581">
        <f>TrialBalance!N324</f>
        <v>0</v>
      </c>
      <c r="R2114" s="490" t="str">
        <f t="shared" ref="R2114:R2119" si="95">IF(M2114+O2114=0,"DELETE"," ")</f>
        <v>DELETE</v>
      </c>
    </row>
    <row r="2115" spans="2:21" ht="36" customHeight="1" x14ac:dyDescent="0.5">
      <c r="B2115" s="501"/>
      <c r="C2115" s="631">
        <f>TrialBalance!C325</f>
        <v>0</v>
      </c>
      <c r="D2115" s="648"/>
      <c r="E2115" s="631"/>
      <c r="F2115" s="631"/>
      <c r="G2115" s="631"/>
      <c r="H2115" s="631"/>
      <c r="I2115" s="631"/>
      <c r="J2115" s="631"/>
      <c r="M2115" s="580">
        <f>TrialBalance!L325</f>
        <v>0</v>
      </c>
      <c r="N2115" s="475"/>
      <c r="O2115" s="581">
        <f>TrialBalance!N325</f>
        <v>0</v>
      </c>
      <c r="R2115" s="490" t="str">
        <f t="shared" si="95"/>
        <v>DELETE</v>
      </c>
    </row>
    <row r="2116" spans="2:21" ht="36" customHeight="1" x14ac:dyDescent="0.5">
      <c r="B2116" s="501"/>
      <c r="C2116" s="631">
        <f>TrialBalance!C326</f>
        <v>0</v>
      </c>
      <c r="D2116" s="648"/>
      <c r="E2116" s="631"/>
      <c r="F2116" s="631"/>
      <c r="G2116" s="631"/>
      <c r="H2116" s="631"/>
      <c r="I2116" s="631"/>
      <c r="J2116" s="631"/>
      <c r="M2116" s="580">
        <f>TrialBalance!L326</f>
        <v>0</v>
      </c>
      <c r="N2116" s="475"/>
      <c r="O2116" s="581">
        <f>TrialBalance!N326</f>
        <v>0</v>
      </c>
      <c r="R2116" s="490" t="str">
        <f t="shared" si="95"/>
        <v>DELETE</v>
      </c>
    </row>
    <row r="2117" spans="2:21" ht="36" customHeight="1" x14ac:dyDescent="0.5">
      <c r="B2117" s="501"/>
      <c r="C2117" s="631">
        <f>TrialBalance!C327</f>
        <v>0</v>
      </c>
      <c r="D2117" s="648"/>
      <c r="E2117" s="631"/>
      <c r="F2117" s="631"/>
      <c r="G2117" s="631"/>
      <c r="H2117" s="631"/>
      <c r="I2117" s="631"/>
      <c r="J2117" s="631"/>
      <c r="M2117" s="580">
        <f>TrialBalance!L327</f>
        <v>0</v>
      </c>
      <c r="N2117" s="475"/>
      <c r="O2117" s="581">
        <f>TrialBalance!N327</f>
        <v>0</v>
      </c>
      <c r="R2117" s="490" t="str">
        <f t="shared" si="95"/>
        <v>DELETE</v>
      </c>
    </row>
    <row r="2118" spans="2:21" ht="36" customHeight="1" x14ac:dyDescent="0.5">
      <c r="B2118" s="501"/>
      <c r="C2118" s="631">
        <f>TrialBalance!C328</f>
        <v>0</v>
      </c>
      <c r="D2118" s="648"/>
      <c r="E2118" s="631"/>
      <c r="F2118" s="631"/>
      <c r="G2118" s="631"/>
      <c r="H2118" s="631"/>
      <c r="I2118" s="631"/>
      <c r="J2118" s="631"/>
      <c r="M2118" s="580">
        <f>TrialBalance!L328</f>
        <v>0</v>
      </c>
      <c r="N2118" s="475"/>
      <c r="O2118" s="581">
        <f>TrialBalance!N328</f>
        <v>0</v>
      </c>
      <c r="R2118" s="490" t="str">
        <f t="shared" si="95"/>
        <v>DELETE</v>
      </c>
    </row>
    <row r="2119" spans="2:21" ht="36" customHeight="1" x14ac:dyDescent="0.5">
      <c r="B2119" s="501"/>
      <c r="C2119" s="631">
        <f>TrialBalance!C329</f>
        <v>0</v>
      </c>
      <c r="D2119" s="648"/>
      <c r="E2119" s="631"/>
      <c r="F2119" s="631"/>
      <c r="G2119" s="631"/>
      <c r="H2119" s="631"/>
      <c r="I2119" s="631"/>
      <c r="J2119" s="631"/>
      <c r="M2119" s="580">
        <f>TrialBalance!L329</f>
        <v>0</v>
      </c>
      <c r="N2119" s="475"/>
      <c r="O2119" s="581">
        <f>TrialBalance!N329</f>
        <v>0</v>
      </c>
      <c r="R2119" s="490" t="str">
        <f t="shared" si="95"/>
        <v>DELETE</v>
      </c>
    </row>
    <row r="2120" spans="2:21" ht="36" customHeight="1" x14ac:dyDescent="0.5">
      <c r="B2120" s="501"/>
      <c r="C2120" s="631">
        <f>TrialBalance!C330</f>
        <v>0</v>
      </c>
      <c r="D2120" s="648"/>
      <c r="E2120" s="631"/>
      <c r="F2120" s="631"/>
      <c r="G2120" s="631"/>
      <c r="H2120" s="631"/>
      <c r="I2120" s="631"/>
      <c r="J2120" s="631"/>
      <c r="M2120" s="580">
        <f>TrialBalance!L330</f>
        <v>0</v>
      </c>
      <c r="N2120" s="475"/>
      <c r="O2120" s="581">
        <f>TrialBalance!N330</f>
        <v>0</v>
      </c>
      <c r="R2120" s="490" t="str">
        <f t="shared" si="93"/>
        <v>DELETE</v>
      </c>
    </row>
    <row r="2121" spans="2:21" ht="36" customHeight="1" x14ac:dyDescent="0.5">
      <c r="B2121" s="501"/>
      <c r="C2121" s="631">
        <f>TrialBalance!C344</f>
        <v>0</v>
      </c>
      <c r="D2121" s="648"/>
      <c r="E2121" s="631"/>
      <c r="F2121" s="631"/>
      <c r="G2121" s="631"/>
      <c r="H2121" s="631"/>
      <c r="I2121" s="631"/>
      <c r="J2121" s="631"/>
      <c r="M2121" s="580">
        <f>TrialBalance!L344</f>
        <v>0</v>
      </c>
      <c r="N2121" s="475"/>
      <c r="O2121" s="581">
        <f>TrialBalance!N344</f>
        <v>0</v>
      </c>
      <c r="R2121" s="490" t="str">
        <f t="shared" si="93"/>
        <v>DELETE</v>
      </c>
    </row>
    <row r="2122" spans="2:21" ht="36" customHeight="1" x14ac:dyDescent="0.5">
      <c r="B2122" s="501"/>
      <c r="C2122" s="631">
        <f>TrialBalance!C345</f>
        <v>0</v>
      </c>
      <c r="D2122" s="648"/>
      <c r="E2122" s="631"/>
      <c r="F2122" s="631"/>
      <c r="G2122" s="631"/>
      <c r="H2122" s="631"/>
      <c r="I2122" s="631"/>
      <c r="J2122" s="631"/>
      <c r="M2122" s="580">
        <f>TrialBalance!L345</f>
        <v>0</v>
      </c>
      <c r="N2122" s="475"/>
      <c r="O2122" s="581">
        <f>TrialBalance!N345</f>
        <v>0</v>
      </c>
      <c r="R2122" s="490" t="str">
        <f t="shared" si="93"/>
        <v>DELETE</v>
      </c>
    </row>
    <row r="2123" spans="2:21" ht="36" customHeight="1" x14ac:dyDescent="0.5">
      <c r="B2123" s="501"/>
      <c r="C2123" s="631">
        <f>TrialBalance!C346</f>
        <v>0</v>
      </c>
      <c r="D2123" s="648"/>
      <c r="E2123" s="631"/>
      <c r="F2123" s="631"/>
      <c r="G2123" s="631"/>
      <c r="H2123" s="631"/>
      <c r="I2123" s="631"/>
      <c r="J2123" s="631"/>
      <c r="M2123" s="580">
        <f>TrialBalance!L346</f>
        <v>0</v>
      </c>
      <c r="N2123" s="475"/>
      <c r="O2123" s="581">
        <f>TrialBalance!N346</f>
        <v>0</v>
      </c>
      <c r="R2123" s="490" t="str">
        <f t="shared" ref="R2123" si="96">IF(M2123+O2123=0,"DELETE"," ")</f>
        <v>DELETE</v>
      </c>
    </row>
    <row r="2124" spans="2:21" ht="36" customHeight="1" x14ac:dyDescent="0.5">
      <c r="B2124" s="501"/>
      <c r="C2124" s="631">
        <f>TrialBalance!C347</f>
        <v>0</v>
      </c>
      <c r="D2124" s="648"/>
      <c r="E2124" s="631"/>
      <c r="F2124" s="631"/>
      <c r="G2124" s="631"/>
      <c r="H2124" s="631"/>
      <c r="I2124" s="631"/>
      <c r="J2124" s="631"/>
      <c r="M2124" s="580">
        <f>TrialBalance!L347</f>
        <v>0</v>
      </c>
      <c r="N2124" s="475"/>
      <c r="O2124" s="581">
        <f>TrialBalance!N347</f>
        <v>0</v>
      </c>
      <c r="R2124" s="490" t="str">
        <f t="shared" si="93"/>
        <v>DELETE</v>
      </c>
    </row>
    <row r="2125" spans="2:21" ht="9" customHeight="1" x14ac:dyDescent="0.5">
      <c r="B2125" s="501"/>
      <c r="C2125" s="631"/>
      <c r="D2125" s="648"/>
      <c r="E2125" s="631"/>
      <c r="F2125" s="631"/>
      <c r="G2125" s="631"/>
      <c r="H2125" s="631"/>
      <c r="I2125" s="631"/>
      <c r="J2125" s="631"/>
      <c r="M2125" s="460"/>
      <c r="N2125" s="461"/>
      <c r="O2125" s="582"/>
      <c r="R2125" s="490" t="str">
        <f>R2108</f>
        <v>DELETE</v>
      </c>
    </row>
    <row r="2126" spans="2:21" ht="9" customHeight="1" x14ac:dyDescent="0.5">
      <c r="B2126" s="501"/>
      <c r="C2126" s="631"/>
      <c r="D2126" s="648"/>
      <c r="E2126" s="631"/>
      <c r="F2126" s="631"/>
      <c r="G2126" s="631"/>
      <c r="H2126" s="631"/>
      <c r="I2126" s="631"/>
      <c r="J2126" s="631"/>
      <c r="M2126" s="458"/>
      <c r="N2126" s="458"/>
      <c r="O2126" s="458"/>
      <c r="R2126" s="490" t="str">
        <f>R2125</f>
        <v>DELETE</v>
      </c>
    </row>
    <row r="2127" spans="2:21" ht="36.75" customHeight="1" x14ac:dyDescent="0.5">
      <c r="B2127" s="501"/>
      <c r="C2127" s="631" t="str">
        <f>IF(COUNTIF(O2130:O2144,"&gt;0")&gt;1,"Interest free non-current receivables",IF(COUNTIF(M2130:M2144,"&gt;0")&gt;1,"Interest free non-current receivables","Interest free non-current receivable"))</f>
        <v>Interest free non-current receivable</v>
      </c>
      <c r="D2127" s="648"/>
      <c r="E2127" s="631"/>
      <c r="F2127" s="631"/>
      <c r="G2127" s="631"/>
      <c r="H2127" s="631"/>
      <c r="I2127" s="631"/>
      <c r="J2127" s="631"/>
      <c r="M2127" s="458">
        <f>SUM(M2129:M2145)</f>
        <v>0</v>
      </c>
      <c r="N2127" s="458"/>
      <c r="O2127" s="458">
        <f>SUM(O2129:O2145)</f>
        <v>0</v>
      </c>
      <c r="R2127" s="490" t="str">
        <f>IF(M2127+O2127=0,"DELETE"," ")</f>
        <v>DELETE</v>
      </c>
      <c r="S2127" s="495">
        <f>M2127</f>
        <v>0</v>
      </c>
      <c r="U2127" s="495">
        <f>O2127</f>
        <v>0</v>
      </c>
    </row>
    <row r="2128" spans="2:21" ht="9" customHeight="1" x14ac:dyDescent="0.5">
      <c r="B2128" s="501"/>
      <c r="C2128" s="631"/>
      <c r="D2128" s="648"/>
      <c r="E2128" s="631"/>
      <c r="F2128" s="631"/>
      <c r="G2128" s="631"/>
      <c r="H2128" s="631"/>
      <c r="I2128" s="631"/>
      <c r="J2128" s="631"/>
      <c r="M2128" s="458"/>
      <c r="N2128" s="458"/>
      <c r="O2128" s="458"/>
      <c r="R2128" s="490" t="str">
        <f>R2127</f>
        <v>DELETE</v>
      </c>
    </row>
    <row r="2129" spans="2:18" ht="9" customHeight="1" x14ac:dyDescent="0.5">
      <c r="B2129" s="501"/>
      <c r="C2129" s="631"/>
      <c r="D2129" s="648"/>
      <c r="E2129" s="631"/>
      <c r="F2129" s="631"/>
      <c r="G2129" s="631"/>
      <c r="H2129" s="631"/>
      <c r="I2129" s="631"/>
      <c r="J2129" s="631"/>
      <c r="M2129" s="578"/>
      <c r="N2129" s="459"/>
      <c r="O2129" s="579"/>
      <c r="R2129" s="490" t="str">
        <f>R2128</f>
        <v>DELETE</v>
      </c>
    </row>
    <row r="2130" spans="2:18" ht="36" customHeight="1" x14ac:dyDescent="0.5">
      <c r="B2130" s="501"/>
      <c r="C2130" s="631">
        <f>TrialBalance!C332</f>
        <v>0</v>
      </c>
      <c r="D2130" s="648"/>
      <c r="E2130" s="631"/>
      <c r="F2130" s="631"/>
      <c r="G2130" s="631"/>
      <c r="H2130" s="631"/>
      <c r="I2130" s="631"/>
      <c r="J2130" s="631"/>
      <c r="M2130" s="580">
        <f>TrialBalance!L332</f>
        <v>0</v>
      </c>
      <c r="N2130" s="475"/>
      <c r="O2130" s="581">
        <f>TrialBalance!N332</f>
        <v>0</v>
      </c>
      <c r="R2130" s="490" t="str">
        <f t="shared" si="93"/>
        <v>DELETE</v>
      </c>
    </row>
    <row r="2131" spans="2:18" ht="36" customHeight="1" x14ac:dyDescent="0.5">
      <c r="B2131" s="501"/>
      <c r="C2131" s="631">
        <f>TrialBalance!C333</f>
        <v>0</v>
      </c>
      <c r="D2131" s="648"/>
      <c r="E2131" s="631"/>
      <c r="F2131" s="631"/>
      <c r="G2131" s="631"/>
      <c r="H2131" s="631"/>
      <c r="I2131" s="631"/>
      <c r="J2131" s="631"/>
      <c r="M2131" s="580">
        <f>TrialBalance!L333</f>
        <v>0</v>
      </c>
      <c r="N2131" s="475"/>
      <c r="O2131" s="581">
        <f>TrialBalance!N333</f>
        <v>0</v>
      </c>
      <c r="R2131" s="490" t="str">
        <f t="shared" ref="R2131" si="97">IF(M2131+O2131=0,"DELETE"," ")</f>
        <v>DELETE</v>
      </c>
    </row>
    <row r="2132" spans="2:18" ht="36" customHeight="1" x14ac:dyDescent="0.5">
      <c r="B2132" s="501"/>
      <c r="C2132" s="631">
        <f>TrialBalance!C334</f>
        <v>0</v>
      </c>
      <c r="D2132" s="648"/>
      <c r="E2132" s="631"/>
      <c r="F2132" s="631"/>
      <c r="G2132" s="631"/>
      <c r="H2132" s="631"/>
      <c r="I2132" s="631"/>
      <c r="J2132" s="631"/>
      <c r="M2132" s="580">
        <f>TrialBalance!L334</f>
        <v>0</v>
      </c>
      <c r="N2132" s="475"/>
      <c r="O2132" s="581">
        <f>TrialBalance!N334</f>
        <v>0</v>
      </c>
      <c r="R2132" s="490" t="str">
        <f t="shared" si="93"/>
        <v>DELETE</v>
      </c>
    </row>
    <row r="2133" spans="2:18" ht="36" customHeight="1" x14ac:dyDescent="0.5">
      <c r="B2133" s="501"/>
      <c r="C2133" s="631">
        <f>TrialBalance!C335</f>
        <v>0</v>
      </c>
      <c r="D2133" s="648"/>
      <c r="E2133" s="631"/>
      <c r="F2133" s="631"/>
      <c r="G2133" s="631"/>
      <c r="H2133" s="631"/>
      <c r="I2133" s="631"/>
      <c r="J2133" s="631"/>
      <c r="M2133" s="580">
        <f>TrialBalance!L335</f>
        <v>0</v>
      </c>
      <c r="N2133" s="475"/>
      <c r="O2133" s="581">
        <f>TrialBalance!N335</f>
        <v>0</v>
      </c>
      <c r="R2133" s="490" t="str">
        <f t="shared" ref="R2133:R2138" si="98">IF(M2133+O2133=0,"DELETE"," ")</f>
        <v>DELETE</v>
      </c>
    </row>
    <row r="2134" spans="2:18" ht="36" customHeight="1" x14ac:dyDescent="0.5">
      <c r="B2134" s="501"/>
      <c r="C2134" s="631">
        <f>TrialBalance!C336</f>
        <v>0</v>
      </c>
      <c r="D2134" s="648"/>
      <c r="E2134" s="631"/>
      <c r="F2134" s="631"/>
      <c r="G2134" s="631"/>
      <c r="H2134" s="631"/>
      <c r="I2134" s="631"/>
      <c r="J2134" s="631"/>
      <c r="M2134" s="580">
        <f>TrialBalance!L336</f>
        <v>0</v>
      </c>
      <c r="N2134" s="475"/>
      <c r="O2134" s="581">
        <f>TrialBalance!N336</f>
        <v>0</v>
      </c>
      <c r="R2134" s="490" t="str">
        <f t="shared" si="98"/>
        <v>DELETE</v>
      </c>
    </row>
    <row r="2135" spans="2:18" ht="36" customHeight="1" x14ac:dyDescent="0.5">
      <c r="B2135" s="501"/>
      <c r="C2135" s="631">
        <f>TrialBalance!C337</f>
        <v>0</v>
      </c>
      <c r="D2135" s="648"/>
      <c r="E2135" s="631"/>
      <c r="F2135" s="631"/>
      <c r="G2135" s="631"/>
      <c r="H2135" s="631"/>
      <c r="I2135" s="631"/>
      <c r="J2135" s="631"/>
      <c r="M2135" s="580">
        <f>TrialBalance!L337</f>
        <v>0</v>
      </c>
      <c r="N2135" s="475"/>
      <c r="O2135" s="581">
        <f>TrialBalance!N337</f>
        <v>0</v>
      </c>
      <c r="R2135" s="490" t="str">
        <f t="shared" si="98"/>
        <v>DELETE</v>
      </c>
    </row>
    <row r="2136" spans="2:18" ht="36" customHeight="1" x14ac:dyDescent="0.5">
      <c r="B2136" s="501"/>
      <c r="C2136" s="631">
        <f>TrialBalance!C338</f>
        <v>0</v>
      </c>
      <c r="D2136" s="648"/>
      <c r="E2136" s="631"/>
      <c r="F2136" s="631"/>
      <c r="G2136" s="631"/>
      <c r="H2136" s="631"/>
      <c r="I2136" s="631"/>
      <c r="J2136" s="631"/>
      <c r="M2136" s="580">
        <f>TrialBalance!L338</f>
        <v>0</v>
      </c>
      <c r="N2136" s="475"/>
      <c r="O2136" s="581">
        <f>TrialBalance!N338</f>
        <v>0</v>
      </c>
      <c r="R2136" s="490" t="str">
        <f t="shared" si="98"/>
        <v>DELETE</v>
      </c>
    </row>
    <row r="2137" spans="2:18" ht="36" customHeight="1" x14ac:dyDescent="0.5">
      <c r="B2137" s="501"/>
      <c r="C2137" s="631">
        <f>TrialBalance!C339</f>
        <v>0</v>
      </c>
      <c r="D2137" s="648"/>
      <c r="E2137" s="631"/>
      <c r="F2137" s="631"/>
      <c r="G2137" s="631"/>
      <c r="H2137" s="631"/>
      <c r="I2137" s="631"/>
      <c r="J2137" s="631"/>
      <c r="M2137" s="580">
        <f>TrialBalance!L339</f>
        <v>0</v>
      </c>
      <c r="N2137" s="475"/>
      <c r="O2137" s="581">
        <f>TrialBalance!N339</f>
        <v>0</v>
      </c>
      <c r="R2137" s="490" t="str">
        <f t="shared" si="98"/>
        <v>DELETE</v>
      </c>
    </row>
    <row r="2138" spans="2:18" ht="36" customHeight="1" x14ac:dyDescent="0.5">
      <c r="B2138" s="501"/>
      <c r="C2138" s="631">
        <f>TrialBalance!C340</f>
        <v>0</v>
      </c>
      <c r="D2138" s="648"/>
      <c r="E2138" s="631"/>
      <c r="F2138" s="631"/>
      <c r="G2138" s="631"/>
      <c r="H2138" s="631"/>
      <c r="I2138" s="631"/>
      <c r="J2138" s="631"/>
      <c r="M2138" s="580">
        <f>TrialBalance!L340</f>
        <v>0</v>
      </c>
      <c r="N2138" s="475"/>
      <c r="O2138" s="581">
        <f>TrialBalance!N340</f>
        <v>0</v>
      </c>
      <c r="R2138" s="490" t="str">
        <f t="shared" si="98"/>
        <v>DELETE</v>
      </c>
    </row>
    <row r="2139" spans="2:18" ht="36" customHeight="1" x14ac:dyDescent="0.5">
      <c r="B2139" s="501"/>
      <c r="C2139" s="631">
        <f>TrialBalance!C341</f>
        <v>0</v>
      </c>
      <c r="D2139" s="648"/>
      <c r="E2139" s="631"/>
      <c r="F2139" s="631"/>
      <c r="G2139" s="631"/>
      <c r="H2139" s="631"/>
      <c r="I2139" s="631"/>
      <c r="J2139" s="631"/>
      <c r="M2139" s="580">
        <f>TrialBalance!L341</f>
        <v>0</v>
      </c>
      <c r="N2139" s="475"/>
      <c r="O2139" s="581">
        <f>TrialBalance!N341</f>
        <v>0</v>
      </c>
      <c r="R2139" s="490" t="str">
        <f t="shared" si="93"/>
        <v>DELETE</v>
      </c>
    </row>
    <row r="2140" spans="2:18" ht="36" customHeight="1" x14ac:dyDescent="0.5">
      <c r="B2140" s="501"/>
      <c r="C2140" s="631">
        <f>TrialBalance!C349</f>
        <v>0</v>
      </c>
      <c r="D2140" s="648"/>
      <c r="E2140" s="631"/>
      <c r="F2140" s="631"/>
      <c r="G2140" s="631"/>
      <c r="H2140" s="631"/>
      <c r="I2140" s="631"/>
      <c r="J2140" s="631"/>
      <c r="M2140" s="580">
        <f>TrialBalance!L349</f>
        <v>0</v>
      </c>
      <c r="N2140" s="475"/>
      <c r="O2140" s="581">
        <f>TrialBalance!N349</f>
        <v>0</v>
      </c>
      <c r="R2140" s="490" t="str">
        <f t="shared" si="93"/>
        <v>DELETE</v>
      </c>
    </row>
    <row r="2141" spans="2:18" ht="36" customHeight="1" x14ac:dyDescent="0.5">
      <c r="B2141" s="501"/>
      <c r="C2141" s="631">
        <f>TrialBalance!C350</f>
        <v>0</v>
      </c>
      <c r="D2141" s="648"/>
      <c r="E2141" s="631"/>
      <c r="F2141" s="631"/>
      <c r="G2141" s="631"/>
      <c r="H2141" s="631"/>
      <c r="I2141" s="631"/>
      <c r="J2141" s="631"/>
      <c r="M2141" s="580">
        <f>TrialBalance!L350</f>
        <v>0</v>
      </c>
      <c r="N2141" s="475"/>
      <c r="O2141" s="581">
        <f>TrialBalance!N350</f>
        <v>0</v>
      </c>
      <c r="R2141" s="490" t="str">
        <f t="shared" si="93"/>
        <v>DELETE</v>
      </c>
    </row>
    <row r="2142" spans="2:18" ht="36" customHeight="1" x14ac:dyDescent="0.5">
      <c r="B2142" s="501"/>
      <c r="C2142" s="631">
        <f>TrialBalance!C351</f>
        <v>0</v>
      </c>
      <c r="D2142" s="648"/>
      <c r="E2142" s="631"/>
      <c r="F2142" s="631"/>
      <c r="G2142" s="631"/>
      <c r="H2142" s="631"/>
      <c r="I2142" s="631"/>
      <c r="J2142" s="631"/>
      <c r="M2142" s="580">
        <f>TrialBalance!L351</f>
        <v>0</v>
      </c>
      <c r="N2142" s="475"/>
      <c r="O2142" s="581">
        <f>TrialBalance!N351</f>
        <v>0</v>
      </c>
      <c r="R2142" s="490" t="str">
        <f t="shared" si="93"/>
        <v>DELETE</v>
      </c>
    </row>
    <row r="2143" spans="2:18" ht="36" customHeight="1" x14ac:dyDescent="0.5">
      <c r="B2143" s="501"/>
      <c r="C2143" s="631">
        <f>TrialBalance!C352</f>
        <v>0</v>
      </c>
      <c r="D2143" s="648"/>
      <c r="E2143" s="631"/>
      <c r="F2143" s="631"/>
      <c r="G2143" s="631"/>
      <c r="H2143" s="631"/>
      <c r="I2143" s="631"/>
      <c r="J2143" s="631"/>
      <c r="M2143" s="580">
        <f>TrialBalance!L352</f>
        <v>0</v>
      </c>
      <c r="N2143" s="475"/>
      <c r="O2143" s="581">
        <f>TrialBalance!N352</f>
        <v>0</v>
      </c>
      <c r="R2143" s="490" t="str">
        <f t="shared" si="93"/>
        <v>DELETE</v>
      </c>
    </row>
    <row r="2144" spans="2:18" ht="36" customHeight="1" x14ac:dyDescent="0.5">
      <c r="B2144" s="501"/>
      <c r="C2144" s="631">
        <f>TrialBalance!C353</f>
        <v>0</v>
      </c>
      <c r="D2144" s="648"/>
      <c r="E2144" s="631"/>
      <c r="F2144" s="631"/>
      <c r="G2144" s="631"/>
      <c r="H2144" s="631"/>
      <c r="I2144" s="631"/>
      <c r="J2144" s="631"/>
      <c r="M2144" s="580">
        <f>TrialBalance!L353</f>
        <v>0</v>
      </c>
      <c r="N2144" s="475"/>
      <c r="O2144" s="581">
        <f>TrialBalance!N353</f>
        <v>0</v>
      </c>
      <c r="R2144" s="490" t="str">
        <f t="shared" si="93"/>
        <v>DELETE</v>
      </c>
    </row>
    <row r="2145" spans="2:18" ht="9" customHeight="1" x14ac:dyDescent="0.5">
      <c r="B2145" s="501"/>
      <c r="C2145" s="630"/>
      <c r="D2145" s="631"/>
      <c r="E2145" s="631"/>
      <c r="F2145" s="631"/>
      <c r="G2145" s="631"/>
      <c r="H2145" s="631"/>
      <c r="I2145" s="631"/>
      <c r="J2145" s="631"/>
      <c r="M2145" s="460"/>
      <c r="N2145" s="461"/>
      <c r="O2145" s="582"/>
      <c r="R2145" s="490" t="str">
        <f>R2127</f>
        <v>DELETE</v>
      </c>
    </row>
    <row r="2146" spans="2:18" ht="9" customHeight="1" x14ac:dyDescent="0.5">
      <c r="B2146" s="501"/>
      <c r="C2146" s="630"/>
      <c r="D2146" s="631"/>
      <c r="E2146" s="631"/>
      <c r="F2146" s="631"/>
      <c r="G2146" s="631"/>
      <c r="H2146" s="631"/>
      <c r="I2146" s="631"/>
      <c r="J2146" s="631"/>
      <c r="M2146" s="461"/>
      <c r="N2146" s="461"/>
      <c r="O2146" s="461"/>
      <c r="R2146" s="490" t="str">
        <f t="shared" ref="R2146" si="99">R$2148</f>
        <v>DELETE</v>
      </c>
    </row>
    <row r="2147" spans="2:18" ht="9" customHeight="1" x14ac:dyDescent="0.5">
      <c r="B2147" s="501"/>
      <c r="C2147" s="630"/>
      <c r="D2147" s="631"/>
      <c r="E2147" s="631"/>
      <c r="F2147" s="631"/>
      <c r="G2147" s="631"/>
      <c r="H2147" s="631"/>
      <c r="I2147" s="631"/>
      <c r="J2147" s="631"/>
      <c r="M2147" s="458"/>
      <c r="N2147" s="458"/>
      <c r="O2147" s="458"/>
      <c r="R2147" s="490" t="str">
        <f>R$2148</f>
        <v>DELETE</v>
      </c>
    </row>
    <row r="2148" spans="2:18" ht="36.75" customHeight="1" x14ac:dyDescent="0.5">
      <c r="B2148" s="501"/>
      <c r="C2148" s="630"/>
      <c r="D2148" s="631"/>
      <c r="E2148" s="631"/>
      <c r="F2148" s="631"/>
      <c r="G2148" s="631"/>
      <c r="H2148" s="631"/>
      <c r="I2148" s="631"/>
      <c r="J2148" s="631"/>
      <c r="M2148" s="458">
        <f>SUM(S2108:S2146)</f>
        <v>0</v>
      </c>
      <c r="N2148" s="458"/>
      <c r="O2148" s="458">
        <f>SUM(U2108:U2146)</f>
        <v>0</v>
      </c>
      <c r="R2148" s="490" t="str">
        <f>IF(M2148+O2148=0,"DELETE"," ")</f>
        <v>DELETE</v>
      </c>
    </row>
    <row r="2149" spans="2:18" ht="9" customHeight="1" thickBot="1" x14ac:dyDescent="0.55000000000000004">
      <c r="B2149" s="501"/>
      <c r="C2149" s="630"/>
      <c r="D2149" s="631"/>
      <c r="E2149" s="631"/>
      <c r="F2149" s="631"/>
      <c r="G2149" s="631"/>
      <c r="H2149" s="631"/>
      <c r="I2149" s="631"/>
      <c r="J2149" s="631"/>
      <c r="M2149" s="462"/>
      <c r="N2149" s="462"/>
      <c r="O2149" s="462"/>
      <c r="R2149" s="490" t="str">
        <f t="shared" ref="R2149:R2154" si="100">R$2148</f>
        <v>DELETE</v>
      </c>
    </row>
    <row r="2150" spans="2:18" ht="9" customHeight="1" thickTop="1" x14ac:dyDescent="0.5">
      <c r="B2150" s="501"/>
      <c r="C2150" s="630"/>
      <c r="D2150" s="631"/>
      <c r="E2150" s="631"/>
      <c r="F2150" s="631"/>
      <c r="G2150" s="631"/>
      <c r="H2150" s="631"/>
      <c r="I2150" s="631"/>
      <c r="J2150" s="631"/>
      <c r="M2150" s="475"/>
      <c r="N2150" s="475"/>
      <c r="O2150" s="475"/>
      <c r="R2150" s="490" t="str">
        <f t="shared" si="100"/>
        <v>DELETE</v>
      </c>
    </row>
    <row r="2151" spans="2:18" ht="36" customHeight="1" x14ac:dyDescent="0.5">
      <c r="B2151" s="501"/>
      <c r="C2151" s="630"/>
      <c r="D2151" s="631"/>
      <c r="E2151" s="631"/>
      <c r="F2151" s="631"/>
      <c r="G2151" s="631"/>
      <c r="H2151" s="631"/>
      <c r="I2151" s="631"/>
      <c r="J2151" s="631"/>
      <c r="M2151" s="458"/>
      <c r="N2151" s="458"/>
      <c r="O2151" s="458"/>
      <c r="R2151" s="490" t="str">
        <f t="shared" si="100"/>
        <v>DELETE</v>
      </c>
    </row>
    <row r="2152" spans="2:18" ht="36" customHeight="1" x14ac:dyDescent="0.5">
      <c r="B2152" s="501"/>
      <c r="C2152" s="630"/>
      <c r="D2152" s="631"/>
      <c r="E2152" s="631"/>
      <c r="F2152" s="631"/>
      <c r="G2152" s="631"/>
      <c r="H2152" s="631"/>
      <c r="I2152" s="631"/>
      <c r="J2152" s="631"/>
      <c r="M2152" s="458"/>
      <c r="N2152" s="458"/>
      <c r="O2152" s="458"/>
      <c r="R2152" s="490" t="str">
        <f t="shared" si="100"/>
        <v>DELETE</v>
      </c>
    </row>
    <row r="2153" spans="2:18" ht="36" customHeight="1" x14ac:dyDescent="0.5">
      <c r="B2153" s="501"/>
      <c r="C2153" s="630"/>
      <c r="D2153" s="631"/>
      <c r="E2153" s="631"/>
      <c r="F2153" s="631"/>
      <c r="G2153" s="631"/>
      <c r="H2153" s="631"/>
      <c r="I2153" s="631"/>
      <c r="J2153" s="631"/>
      <c r="M2153" s="475"/>
      <c r="N2153" s="475"/>
      <c r="O2153" s="475"/>
      <c r="P2153" s="545"/>
      <c r="R2153" s="490" t="str">
        <f t="shared" si="100"/>
        <v>DELETE</v>
      </c>
    </row>
    <row r="2154" spans="2:18" ht="36" customHeight="1" x14ac:dyDescent="0.5">
      <c r="B2154" s="502"/>
      <c r="C2154" s="631"/>
      <c r="D2154" s="631"/>
      <c r="E2154" s="631"/>
      <c r="F2154" s="631"/>
      <c r="G2154" s="631"/>
      <c r="H2154" s="631"/>
      <c r="I2154" s="631"/>
      <c r="J2154" s="631"/>
      <c r="M2154" s="541"/>
      <c r="N2154" s="541"/>
      <c r="O2154" s="541"/>
      <c r="R2154" s="490" t="str">
        <f t="shared" si="100"/>
        <v>DELETE</v>
      </c>
    </row>
    <row r="2155" spans="2:18" ht="36" customHeight="1" x14ac:dyDescent="0.5">
      <c r="B2155" s="502"/>
      <c r="C2155" s="631"/>
      <c r="D2155" s="631"/>
      <c r="E2155" s="631"/>
      <c r="F2155" s="631"/>
      <c r="G2155" s="631"/>
      <c r="H2155" s="631"/>
      <c r="I2155" s="631"/>
      <c r="J2155" s="631"/>
      <c r="M2155" s="541"/>
      <c r="N2155" s="541"/>
      <c r="O2155" s="458" t="s">
        <v>112</v>
      </c>
      <c r="Q2155" s="450">
        <f>MAX($Q$103:Q2154)+1</f>
        <v>55</v>
      </c>
      <c r="R2155" s="490" t="str">
        <f>R$2174</f>
        <v>DELETE</v>
      </c>
    </row>
    <row r="2156" spans="2:18" ht="36" customHeight="1" x14ac:dyDescent="0.5">
      <c r="B2156" s="502"/>
      <c r="C2156" s="631"/>
      <c r="D2156" s="630" t="str">
        <f>Criteria!E9</f>
        <v>ABC COMPANY (PROPRIETARY) LIMITED</v>
      </c>
      <c r="E2156" s="631"/>
      <c r="F2156" s="631"/>
      <c r="G2156" s="631"/>
      <c r="H2156" s="631"/>
      <c r="I2156" s="631"/>
      <c r="J2156" s="631"/>
      <c r="M2156" s="541"/>
      <c r="N2156" s="541"/>
      <c r="O2156" s="540"/>
      <c r="R2156" s="490" t="str">
        <f>R$2174</f>
        <v>DELETE</v>
      </c>
    </row>
    <row r="2157" spans="2:18" ht="36" customHeight="1" x14ac:dyDescent="0.5">
      <c r="B2157" s="502"/>
      <c r="C2157" s="631"/>
      <c r="D2157" s="630" t="str">
        <f>Criteria!E10</f>
        <v>T/A SEAFRONT HOTEL, ABC RESTAURANT AND RENTAL PROPERTIES</v>
      </c>
      <c r="E2157" s="631"/>
      <c r="F2157" s="631"/>
      <c r="G2157" s="631"/>
      <c r="H2157" s="631"/>
      <c r="I2157" s="631"/>
      <c r="J2157" s="631"/>
      <c r="M2157" s="541"/>
      <c r="N2157" s="541"/>
      <c r="O2157" s="541"/>
      <c r="R2157" s="490" t="str">
        <f>IF(R$2174="DELETE","DELETE",IF(D2157=0,"DELETE"," "))</f>
        <v>DELETE</v>
      </c>
    </row>
    <row r="2158" spans="2:18" ht="36" customHeight="1" x14ac:dyDescent="0.5">
      <c r="B2158" s="502"/>
      <c r="C2158" s="631"/>
      <c r="D2158" s="631"/>
      <c r="E2158" s="631"/>
      <c r="F2158" s="631"/>
      <c r="G2158" s="631"/>
      <c r="H2158" s="631"/>
      <c r="I2158" s="631"/>
      <c r="J2158" s="631"/>
      <c r="M2158" s="541"/>
      <c r="N2158" s="541"/>
      <c r="O2158" s="541"/>
      <c r="R2158" s="490" t="str">
        <f t="shared" ref="R2158:R2167" si="101">R$2174</f>
        <v>DELETE</v>
      </c>
    </row>
    <row r="2159" spans="2:18" ht="36" customHeight="1" x14ac:dyDescent="0.5">
      <c r="B2159" s="502"/>
      <c r="C2159" s="631"/>
      <c r="D2159" s="630" t="s">
        <v>415</v>
      </c>
      <c r="E2159" s="631"/>
      <c r="F2159" s="631"/>
      <c r="G2159" s="631"/>
      <c r="H2159" s="631"/>
      <c r="I2159" s="631"/>
      <c r="J2159" s="631"/>
      <c r="M2159" s="541"/>
      <c r="N2159" s="541"/>
      <c r="O2159" s="541"/>
      <c r="R2159" s="490" t="str">
        <f t="shared" si="101"/>
        <v>DELETE</v>
      </c>
    </row>
    <row r="2160" spans="2:18" ht="36" customHeight="1" x14ac:dyDescent="0.5">
      <c r="B2160" s="502"/>
      <c r="C2160" s="631"/>
      <c r="D2160" s="630" t="str">
        <f>Criteria!E20</f>
        <v>28 FEBRUARY 2026</v>
      </c>
      <c r="E2160" s="631"/>
      <c r="F2160" s="631"/>
      <c r="G2160" s="631"/>
      <c r="H2160" s="631"/>
      <c r="I2160" s="631"/>
      <c r="J2160" s="631" t="s">
        <v>282</v>
      </c>
      <c r="M2160" s="541"/>
      <c r="N2160" s="541"/>
      <c r="O2160" s="541"/>
      <c r="R2160" s="490" t="str">
        <f t="shared" si="101"/>
        <v>DELETE</v>
      </c>
    </row>
    <row r="2161" spans="2:18" ht="36" customHeight="1" x14ac:dyDescent="0.5">
      <c r="B2161" s="502"/>
      <c r="C2161" s="631"/>
      <c r="D2161" s="630"/>
      <c r="E2161" s="631"/>
      <c r="F2161" s="631"/>
      <c r="G2161" s="631"/>
      <c r="H2161" s="631"/>
      <c r="I2161" s="631"/>
      <c r="J2161" s="631"/>
      <c r="M2161" s="541"/>
      <c r="N2161" s="541"/>
      <c r="O2161" s="541"/>
      <c r="R2161" s="490" t="str">
        <f t="shared" si="101"/>
        <v>DELETE</v>
      </c>
    </row>
    <row r="2162" spans="2:18" ht="36" customHeight="1" x14ac:dyDescent="0.5">
      <c r="B2162" s="640"/>
      <c r="C2162" s="652"/>
      <c r="D2162" s="649"/>
      <c r="E2162" s="649"/>
      <c r="F2162" s="649"/>
      <c r="G2162" s="649"/>
      <c r="H2162" s="649"/>
      <c r="I2162" s="649"/>
      <c r="J2162" s="649"/>
      <c r="K2162" s="457"/>
      <c r="L2162" s="457"/>
      <c r="M2162" s="459"/>
      <c r="N2162" s="459"/>
      <c r="O2162" s="459"/>
      <c r="P2162" s="551"/>
      <c r="Q2162" s="457"/>
      <c r="R2162" s="490" t="str">
        <f t="shared" si="101"/>
        <v>DELETE</v>
      </c>
    </row>
    <row r="2163" spans="2:18" ht="36" customHeight="1" x14ac:dyDescent="0.5">
      <c r="B2163" s="501"/>
      <c r="C2163" s="630"/>
      <c r="D2163" s="631"/>
      <c r="E2163" s="631"/>
      <c r="F2163" s="631"/>
      <c r="G2163" s="631"/>
      <c r="H2163" s="631"/>
      <c r="I2163" s="631"/>
      <c r="J2163" s="631"/>
      <c r="M2163" s="453">
        <f>Criteria!E22</f>
        <v>2026</v>
      </c>
      <c r="N2163" s="453"/>
      <c r="O2163" s="453">
        <f>Criteria!E27</f>
        <v>2025</v>
      </c>
      <c r="R2163" s="490" t="str">
        <f t="shared" si="101"/>
        <v>DELETE</v>
      </c>
    </row>
    <row r="2164" spans="2:18" ht="36" customHeight="1" x14ac:dyDescent="0.5">
      <c r="B2164" s="501"/>
      <c r="C2164" s="630"/>
      <c r="D2164" s="631"/>
      <c r="E2164" s="631"/>
      <c r="F2164" s="631"/>
      <c r="G2164" s="631"/>
      <c r="H2164" s="631"/>
      <c r="I2164" s="631"/>
      <c r="J2164" s="631"/>
      <c r="M2164" s="458"/>
      <c r="N2164" s="458"/>
      <c r="O2164" s="458"/>
      <c r="R2164" s="490" t="str">
        <f t="shared" si="101"/>
        <v>DELETE</v>
      </c>
    </row>
    <row r="2165" spans="2:18" ht="36" customHeight="1" x14ac:dyDescent="0.5">
      <c r="B2165" s="501">
        <f>MAX(B$871:B2164)+1</f>
        <v>18</v>
      </c>
      <c r="C2165" s="630" t="s">
        <v>1202</v>
      </c>
      <c r="D2165" s="631"/>
      <c r="E2165" s="631"/>
      <c r="F2165" s="631"/>
      <c r="G2165" s="631"/>
      <c r="H2165" s="631"/>
      <c r="I2165" s="631"/>
      <c r="J2165" s="631"/>
      <c r="M2165" s="458"/>
      <c r="N2165" s="458"/>
      <c r="O2165" s="458"/>
      <c r="R2165" s="490" t="str">
        <f t="shared" si="101"/>
        <v>DELETE</v>
      </c>
    </row>
    <row r="2166" spans="2:18" ht="36" customHeight="1" x14ac:dyDescent="0.5">
      <c r="B2166" s="501"/>
      <c r="C2166" s="630"/>
      <c r="D2166" s="631"/>
      <c r="E2166" s="631"/>
      <c r="F2166" s="631"/>
      <c r="G2166" s="631"/>
      <c r="H2166" s="631"/>
      <c r="I2166" s="631"/>
      <c r="J2166" s="631"/>
      <c r="M2166" s="458"/>
      <c r="N2166" s="458"/>
      <c r="O2166" s="458"/>
      <c r="R2166" s="490" t="str">
        <f t="shared" si="101"/>
        <v>DELETE</v>
      </c>
    </row>
    <row r="2167" spans="2:18" ht="36" customHeight="1" x14ac:dyDescent="0.5">
      <c r="B2167" s="501"/>
      <c r="C2167" s="631" t="s">
        <v>1564</v>
      </c>
      <c r="D2167" s="648"/>
      <c r="E2167" s="631"/>
      <c r="F2167" s="631"/>
      <c r="G2167" s="631"/>
      <c r="H2167" s="631"/>
      <c r="I2167" s="631"/>
      <c r="J2167" s="631"/>
      <c r="M2167" s="458"/>
      <c r="N2167" s="458"/>
      <c r="O2167" s="458"/>
      <c r="R2167" s="490" t="str">
        <f t="shared" si="101"/>
        <v>DELETE</v>
      </c>
    </row>
    <row r="2168" spans="2:18" ht="36" customHeight="1" x14ac:dyDescent="0.5">
      <c r="B2168" s="501"/>
      <c r="C2168" s="631" t="s">
        <v>458</v>
      </c>
      <c r="D2168" s="648"/>
      <c r="E2168" s="631"/>
      <c r="F2168" s="631"/>
      <c r="G2168" s="631"/>
      <c r="H2168" s="631"/>
      <c r="I2168" s="631"/>
      <c r="J2168" s="631"/>
      <c r="M2168" s="458">
        <f>TrialBalance!L355</f>
        <v>0</v>
      </c>
      <c r="N2168" s="458"/>
      <c r="O2168" s="458">
        <f>TrialBalance!N355</f>
        <v>0</v>
      </c>
      <c r="R2168" s="490" t="str">
        <f>IF(M2168+O2168=0,"DELETE"," ")</f>
        <v>DELETE</v>
      </c>
    </row>
    <row r="2169" spans="2:18" ht="36" customHeight="1" x14ac:dyDescent="0.5">
      <c r="B2169" s="501"/>
      <c r="C2169" s="631" t="s">
        <v>22</v>
      </c>
      <c r="D2169" s="648"/>
      <c r="E2169" s="631"/>
      <c r="F2169" s="631"/>
      <c r="G2169" s="631"/>
      <c r="H2169" s="631"/>
      <c r="I2169" s="631"/>
      <c r="J2169" s="631"/>
      <c r="M2169" s="458">
        <f>TrialBalance!L356</f>
        <v>0</v>
      </c>
      <c r="N2169" s="458"/>
      <c r="O2169" s="458">
        <f>TrialBalance!N356</f>
        <v>0</v>
      </c>
      <c r="R2169" s="490" t="str">
        <f>IF(M2169+O2169=0,"DELETE"," ")</f>
        <v>DELETE</v>
      </c>
    </row>
    <row r="2170" spans="2:18" ht="36" customHeight="1" x14ac:dyDescent="0.5">
      <c r="B2170" s="501"/>
      <c r="C2170" s="631" t="s">
        <v>24</v>
      </c>
      <c r="D2170" s="648"/>
      <c r="E2170" s="631"/>
      <c r="F2170" s="631"/>
      <c r="G2170" s="631"/>
      <c r="H2170" s="631"/>
      <c r="I2170" s="631"/>
      <c r="J2170" s="631"/>
      <c r="M2170" s="458">
        <f>TrialBalance!L357</f>
        <v>0</v>
      </c>
      <c r="N2170" s="458"/>
      <c r="O2170" s="458">
        <f>TrialBalance!N357</f>
        <v>0</v>
      </c>
      <c r="R2170" s="490" t="str">
        <f>IF(M2170+O2170=0,"DELETE"," ")</f>
        <v>DELETE</v>
      </c>
    </row>
    <row r="2171" spans="2:18" ht="36" customHeight="1" x14ac:dyDescent="0.5">
      <c r="B2171" s="501"/>
      <c r="C2171" s="631" t="s">
        <v>28</v>
      </c>
      <c r="D2171" s="648"/>
      <c r="E2171" s="631"/>
      <c r="F2171" s="631"/>
      <c r="G2171" s="631"/>
      <c r="H2171" s="631"/>
      <c r="I2171" s="631"/>
      <c r="J2171" s="631"/>
      <c r="M2171" s="458">
        <f>TrialBalance!L358</f>
        <v>0</v>
      </c>
      <c r="N2171" s="458"/>
      <c r="O2171" s="458">
        <f>TrialBalance!N358</f>
        <v>0</v>
      </c>
      <c r="R2171" s="490" t="str">
        <f>IF(M2171+O2171=0,"DELETE"," ")</f>
        <v>DELETE</v>
      </c>
    </row>
    <row r="2172" spans="2:18" ht="9" customHeight="1" x14ac:dyDescent="0.5">
      <c r="B2172" s="501"/>
      <c r="C2172" s="630"/>
      <c r="D2172" s="631"/>
      <c r="E2172" s="631"/>
      <c r="F2172" s="631"/>
      <c r="G2172" s="631"/>
      <c r="H2172" s="631"/>
      <c r="I2172" s="631"/>
      <c r="J2172" s="631"/>
      <c r="M2172" s="461"/>
      <c r="N2172" s="461"/>
      <c r="O2172" s="461"/>
      <c r="R2172" s="490" t="str">
        <f t="shared" ref="R2172:R2180" si="102">R$2174</f>
        <v>DELETE</v>
      </c>
    </row>
    <row r="2173" spans="2:18" ht="9" customHeight="1" x14ac:dyDescent="0.5">
      <c r="B2173" s="501"/>
      <c r="C2173" s="630"/>
      <c r="D2173" s="631"/>
      <c r="E2173" s="631"/>
      <c r="F2173" s="631"/>
      <c r="G2173" s="631"/>
      <c r="H2173" s="631"/>
      <c r="I2173" s="631"/>
      <c r="J2173" s="631"/>
      <c r="M2173" s="458"/>
      <c r="N2173" s="458"/>
      <c r="O2173" s="458"/>
      <c r="R2173" s="490" t="str">
        <f t="shared" si="102"/>
        <v>DELETE</v>
      </c>
    </row>
    <row r="2174" spans="2:18" ht="36.75" customHeight="1" x14ac:dyDescent="0.5">
      <c r="B2174" s="501"/>
      <c r="C2174" s="630"/>
      <c r="D2174" s="631"/>
      <c r="E2174" s="631"/>
      <c r="F2174" s="631"/>
      <c r="G2174" s="631"/>
      <c r="H2174" s="631"/>
      <c r="I2174" s="631"/>
      <c r="J2174" s="631"/>
      <c r="M2174" s="458">
        <f>SUM(M2168:M2173)</f>
        <v>0</v>
      </c>
      <c r="N2174" s="458"/>
      <c r="O2174" s="458">
        <f>SUM(O2168:O2173)</f>
        <v>0</v>
      </c>
      <c r="R2174" s="490" t="str">
        <f>IF(M2174+O2174=0,"DELETE"," ")</f>
        <v>DELETE</v>
      </c>
    </row>
    <row r="2175" spans="2:18" ht="9" customHeight="1" thickBot="1" x14ac:dyDescent="0.55000000000000004">
      <c r="B2175" s="501"/>
      <c r="C2175" s="630"/>
      <c r="D2175" s="631"/>
      <c r="E2175" s="631"/>
      <c r="F2175" s="631"/>
      <c r="G2175" s="631"/>
      <c r="H2175" s="631"/>
      <c r="I2175" s="631"/>
      <c r="J2175" s="631"/>
      <c r="M2175" s="462"/>
      <c r="N2175" s="462"/>
      <c r="O2175" s="462"/>
      <c r="R2175" s="490" t="str">
        <f t="shared" si="102"/>
        <v>DELETE</v>
      </c>
    </row>
    <row r="2176" spans="2:18" ht="9" customHeight="1" thickTop="1" x14ac:dyDescent="0.5">
      <c r="B2176" s="501"/>
      <c r="C2176" s="630"/>
      <c r="D2176" s="631"/>
      <c r="E2176" s="631"/>
      <c r="F2176" s="631"/>
      <c r="G2176" s="631"/>
      <c r="H2176" s="631"/>
      <c r="I2176" s="631"/>
      <c r="J2176" s="631"/>
      <c r="M2176" s="475"/>
      <c r="N2176" s="475"/>
      <c r="O2176" s="475"/>
      <c r="R2176" s="490" t="str">
        <f t="shared" si="102"/>
        <v>DELETE</v>
      </c>
    </row>
    <row r="2177" spans="2:18" ht="36" customHeight="1" x14ac:dyDescent="0.5">
      <c r="B2177" s="501"/>
      <c r="C2177" s="630"/>
      <c r="D2177" s="631"/>
      <c r="E2177" s="631"/>
      <c r="F2177" s="631"/>
      <c r="G2177" s="631"/>
      <c r="H2177" s="631"/>
      <c r="I2177" s="631"/>
      <c r="J2177" s="631"/>
      <c r="M2177" s="458"/>
      <c r="N2177" s="458"/>
      <c r="O2177" s="458"/>
      <c r="R2177" s="490" t="str">
        <f t="shared" si="102"/>
        <v>DELETE</v>
      </c>
    </row>
    <row r="2178" spans="2:18" ht="36" customHeight="1" x14ac:dyDescent="0.5">
      <c r="B2178" s="501"/>
      <c r="C2178" s="630"/>
      <c r="D2178" s="631"/>
      <c r="E2178" s="631"/>
      <c r="F2178" s="631"/>
      <c r="G2178" s="631"/>
      <c r="H2178" s="631"/>
      <c r="I2178" s="631"/>
      <c r="J2178" s="631"/>
      <c r="M2178" s="458"/>
      <c r="N2178" s="458"/>
      <c r="O2178" s="458"/>
      <c r="R2178" s="490" t="str">
        <f t="shared" si="102"/>
        <v>DELETE</v>
      </c>
    </row>
    <row r="2179" spans="2:18" ht="36" customHeight="1" x14ac:dyDescent="0.5">
      <c r="B2179" s="501"/>
      <c r="C2179" s="630"/>
      <c r="D2179" s="631"/>
      <c r="E2179" s="631"/>
      <c r="F2179" s="631"/>
      <c r="G2179" s="631"/>
      <c r="H2179" s="631"/>
      <c r="I2179" s="631"/>
      <c r="J2179" s="631"/>
      <c r="M2179" s="475"/>
      <c r="N2179" s="475"/>
      <c r="O2179" s="475"/>
      <c r="P2179" s="545"/>
      <c r="R2179" s="490" t="str">
        <f t="shared" si="102"/>
        <v>DELETE</v>
      </c>
    </row>
    <row r="2180" spans="2:18" ht="36" customHeight="1" x14ac:dyDescent="0.5">
      <c r="B2180" s="501"/>
      <c r="C2180" s="630"/>
      <c r="D2180" s="631"/>
      <c r="E2180" s="631"/>
      <c r="F2180" s="631"/>
      <c r="G2180" s="631"/>
      <c r="H2180" s="631"/>
      <c r="I2180" s="631"/>
      <c r="J2180" s="631"/>
      <c r="M2180" s="458"/>
      <c r="N2180" s="458"/>
      <c r="O2180" s="458"/>
      <c r="R2180" s="490" t="str">
        <f t="shared" si="102"/>
        <v>DELETE</v>
      </c>
    </row>
    <row r="2181" spans="2:18" ht="36" customHeight="1" x14ac:dyDescent="0.5">
      <c r="B2181" s="502"/>
      <c r="C2181" s="631"/>
      <c r="D2181" s="631"/>
      <c r="E2181" s="631"/>
      <c r="F2181" s="631"/>
      <c r="G2181" s="631"/>
      <c r="H2181" s="631"/>
      <c r="I2181" s="631"/>
      <c r="J2181" s="631"/>
      <c r="M2181" s="541"/>
      <c r="N2181" s="541"/>
      <c r="O2181" s="458" t="s">
        <v>112</v>
      </c>
      <c r="Q2181" s="450">
        <f>MAX($Q$103:Q2180)+1</f>
        <v>56</v>
      </c>
      <c r="R2181" s="490" t="str">
        <f>R$2205</f>
        <v>DELETE</v>
      </c>
    </row>
    <row r="2182" spans="2:18" ht="36" customHeight="1" x14ac:dyDescent="0.5">
      <c r="B2182" s="502"/>
      <c r="C2182" s="631"/>
      <c r="D2182" s="630" t="str">
        <f>Criteria!E9</f>
        <v>ABC COMPANY (PROPRIETARY) LIMITED</v>
      </c>
      <c r="E2182" s="631"/>
      <c r="F2182" s="631"/>
      <c r="G2182" s="631"/>
      <c r="H2182" s="631"/>
      <c r="I2182" s="631"/>
      <c r="J2182" s="631"/>
      <c r="M2182" s="541"/>
      <c r="N2182" s="541"/>
      <c r="O2182" s="540"/>
      <c r="R2182" s="490" t="str">
        <f t="shared" ref="R2182:R2192" si="103">R$2205</f>
        <v>DELETE</v>
      </c>
    </row>
    <row r="2183" spans="2:18" ht="36" customHeight="1" x14ac:dyDescent="0.5">
      <c r="B2183" s="502"/>
      <c r="C2183" s="631"/>
      <c r="D2183" s="630" t="str">
        <f>Criteria!E10</f>
        <v>T/A SEAFRONT HOTEL, ABC RESTAURANT AND RENTAL PROPERTIES</v>
      </c>
      <c r="E2183" s="631"/>
      <c r="F2183" s="631"/>
      <c r="G2183" s="631"/>
      <c r="H2183" s="631"/>
      <c r="I2183" s="631"/>
      <c r="J2183" s="631"/>
      <c r="M2183" s="541"/>
      <c r="N2183" s="541"/>
      <c r="O2183" s="541"/>
      <c r="R2183" s="490" t="str">
        <f>IF(R$2205="DELETE","DELETE",IF(D2183=0,"DELETE"," "))</f>
        <v>DELETE</v>
      </c>
    </row>
    <row r="2184" spans="2:18" ht="36" customHeight="1" x14ac:dyDescent="0.5">
      <c r="B2184" s="502"/>
      <c r="C2184" s="631"/>
      <c r="D2184" s="631"/>
      <c r="E2184" s="631"/>
      <c r="F2184" s="631"/>
      <c r="G2184" s="631"/>
      <c r="H2184" s="631"/>
      <c r="I2184" s="631"/>
      <c r="J2184" s="631"/>
      <c r="M2184" s="541"/>
      <c r="N2184" s="541"/>
      <c r="O2184" s="541"/>
      <c r="R2184" s="490" t="str">
        <f t="shared" si="103"/>
        <v>DELETE</v>
      </c>
    </row>
    <row r="2185" spans="2:18" ht="36" customHeight="1" x14ac:dyDescent="0.5">
      <c r="B2185" s="502"/>
      <c r="C2185" s="631"/>
      <c r="D2185" s="630" t="s">
        <v>415</v>
      </c>
      <c r="E2185" s="631"/>
      <c r="F2185" s="631"/>
      <c r="G2185" s="631"/>
      <c r="H2185" s="631"/>
      <c r="I2185" s="631"/>
      <c r="J2185" s="631"/>
      <c r="M2185" s="541"/>
      <c r="N2185" s="541"/>
      <c r="O2185" s="541"/>
      <c r="R2185" s="490" t="str">
        <f t="shared" si="103"/>
        <v>DELETE</v>
      </c>
    </row>
    <row r="2186" spans="2:18" ht="36" customHeight="1" x14ac:dyDescent="0.5">
      <c r="B2186" s="502"/>
      <c r="C2186" s="631"/>
      <c r="D2186" s="630" t="str">
        <f>Criteria!E20</f>
        <v>28 FEBRUARY 2026</v>
      </c>
      <c r="E2186" s="631"/>
      <c r="F2186" s="631"/>
      <c r="G2186" s="631"/>
      <c r="H2186" s="631"/>
      <c r="I2186" s="631"/>
      <c r="J2186" s="631" t="s">
        <v>282</v>
      </c>
      <c r="M2186" s="541"/>
      <c r="N2186" s="541"/>
      <c r="O2186" s="541"/>
      <c r="R2186" s="490" t="str">
        <f t="shared" si="103"/>
        <v>DELETE</v>
      </c>
    </row>
    <row r="2187" spans="2:18" ht="36" customHeight="1" x14ac:dyDescent="0.5">
      <c r="B2187" s="502"/>
      <c r="C2187" s="631"/>
      <c r="D2187" s="631"/>
      <c r="E2187" s="631"/>
      <c r="F2187" s="631"/>
      <c r="G2187" s="631"/>
      <c r="H2187" s="631"/>
      <c r="I2187" s="631"/>
      <c r="J2187" s="631"/>
      <c r="M2187" s="554"/>
      <c r="N2187" s="554"/>
      <c r="O2187" s="554"/>
      <c r="R2187" s="490" t="str">
        <f t="shared" si="103"/>
        <v>DELETE</v>
      </c>
    </row>
    <row r="2188" spans="2:18" ht="36" customHeight="1" x14ac:dyDescent="0.5">
      <c r="B2188" s="641"/>
      <c r="C2188" s="649"/>
      <c r="D2188" s="649"/>
      <c r="E2188" s="649"/>
      <c r="F2188" s="649"/>
      <c r="G2188" s="649"/>
      <c r="H2188" s="649"/>
      <c r="I2188" s="649"/>
      <c r="J2188" s="649"/>
      <c r="K2188" s="457"/>
      <c r="L2188" s="457"/>
      <c r="M2188" s="557"/>
      <c r="N2188" s="557"/>
      <c r="O2188" s="557"/>
      <c r="P2188" s="551"/>
      <c r="Q2188" s="457"/>
      <c r="R2188" s="490" t="str">
        <f t="shared" si="103"/>
        <v>DELETE</v>
      </c>
    </row>
    <row r="2189" spans="2:18" ht="36" customHeight="1" x14ac:dyDescent="0.5">
      <c r="B2189" s="502"/>
      <c r="C2189" s="631"/>
      <c r="D2189" s="631"/>
      <c r="E2189" s="631"/>
      <c r="F2189" s="631"/>
      <c r="G2189" s="631"/>
      <c r="H2189" s="631"/>
      <c r="I2189" s="631"/>
      <c r="J2189" s="631"/>
      <c r="M2189" s="453">
        <f>Criteria!E22</f>
        <v>2026</v>
      </c>
      <c r="N2189" s="453"/>
      <c r="O2189" s="453">
        <f>Criteria!E27</f>
        <v>2025</v>
      </c>
      <c r="R2189" s="490" t="str">
        <f t="shared" si="103"/>
        <v>DELETE</v>
      </c>
    </row>
    <row r="2190" spans="2:18" ht="36" customHeight="1" x14ac:dyDescent="0.5">
      <c r="B2190" s="501"/>
      <c r="C2190" s="630"/>
      <c r="D2190" s="631"/>
      <c r="E2190" s="631"/>
      <c r="F2190" s="631"/>
      <c r="G2190" s="631"/>
      <c r="H2190" s="631"/>
      <c r="I2190" s="631"/>
      <c r="J2190" s="631"/>
      <c r="M2190" s="458"/>
      <c r="N2190" s="458"/>
      <c r="O2190" s="458"/>
      <c r="R2190" s="490" t="str">
        <f t="shared" si="103"/>
        <v>DELETE</v>
      </c>
    </row>
    <row r="2191" spans="2:18" ht="36" customHeight="1" x14ac:dyDescent="0.5">
      <c r="B2191" s="501">
        <f>MAX(B$871:B2190)+1</f>
        <v>19</v>
      </c>
      <c r="C2191" s="630" t="s">
        <v>869</v>
      </c>
      <c r="D2191" s="631"/>
      <c r="E2191" s="631"/>
      <c r="F2191" s="631"/>
      <c r="G2191" s="631"/>
      <c r="H2191" s="631"/>
      <c r="I2191" s="631"/>
      <c r="J2191" s="631"/>
      <c r="M2191" s="458"/>
      <c r="N2191" s="458"/>
      <c r="O2191" s="458"/>
      <c r="R2191" s="490" t="str">
        <f t="shared" si="103"/>
        <v>DELETE</v>
      </c>
    </row>
    <row r="2192" spans="2:18" ht="36" customHeight="1" x14ac:dyDescent="0.5">
      <c r="B2192" s="501"/>
      <c r="C2192" s="630"/>
      <c r="D2192" s="631"/>
      <c r="E2192" s="631"/>
      <c r="F2192" s="631"/>
      <c r="G2192" s="631"/>
      <c r="H2192" s="631"/>
      <c r="I2192" s="631"/>
      <c r="J2192" s="631"/>
      <c r="M2192" s="458"/>
      <c r="N2192" s="458"/>
      <c r="O2192" s="458"/>
      <c r="R2192" s="490" t="str">
        <f t="shared" si="103"/>
        <v>DELETE</v>
      </c>
    </row>
    <row r="2193" spans="2:24" ht="36" customHeight="1" x14ac:dyDescent="0.5">
      <c r="B2193" s="501"/>
      <c r="C2193" s="631" t="s">
        <v>604</v>
      </c>
      <c r="D2193" s="648"/>
      <c r="E2193" s="631"/>
      <c r="F2193" s="631"/>
      <c r="G2193" s="631"/>
      <c r="H2193" s="631"/>
      <c r="I2193" s="631"/>
      <c r="J2193" s="631"/>
      <c r="M2193" s="458">
        <f>TrialBalance!L360</f>
        <v>0</v>
      </c>
      <c r="N2193" s="458"/>
      <c r="O2193" s="458">
        <f>TrialBalance!N360</f>
        <v>0</v>
      </c>
      <c r="R2193" s="490" t="str">
        <f>IF(M2193+O2193=0,"DELETE"," ")</f>
        <v>DELETE</v>
      </c>
      <c r="S2193" s="496">
        <f>M2193</f>
        <v>0</v>
      </c>
      <c r="T2193" s="496"/>
      <c r="U2193" s="496">
        <f>O2193</f>
        <v>0</v>
      </c>
      <c r="V2193" s="496"/>
      <c r="W2193" s="496"/>
      <c r="X2193" s="496"/>
    </row>
    <row r="2194" spans="2:24" ht="36" customHeight="1" x14ac:dyDescent="0.5">
      <c r="B2194" s="501"/>
      <c r="C2194" s="631" t="s">
        <v>710</v>
      </c>
      <c r="D2194" s="648"/>
      <c r="E2194" s="631"/>
      <c r="F2194" s="631"/>
      <c r="G2194" s="631"/>
      <c r="H2194" s="631"/>
      <c r="I2194" s="631"/>
      <c r="J2194" s="631"/>
      <c r="M2194" s="458">
        <f>TrialBalance!L361</f>
        <v>0</v>
      </c>
      <c r="N2194" s="458"/>
      <c r="O2194" s="458">
        <f>TrialBalance!N361</f>
        <v>0</v>
      </c>
      <c r="R2194" s="490" t="str">
        <f>IF(M2194+O2194=0,"DELETE"," ")</f>
        <v>DELETE</v>
      </c>
      <c r="S2194" s="496">
        <f>M2194</f>
        <v>0</v>
      </c>
      <c r="T2194" s="496"/>
      <c r="U2194" s="496">
        <f>O2194</f>
        <v>0</v>
      </c>
      <c r="V2194" s="496"/>
      <c r="W2194" s="496"/>
      <c r="X2194" s="496"/>
    </row>
    <row r="2195" spans="2:24" ht="9" customHeight="1" x14ac:dyDescent="0.5">
      <c r="B2195" s="501"/>
      <c r="C2195" s="631"/>
      <c r="D2195" s="648"/>
      <c r="E2195" s="631"/>
      <c r="F2195" s="631"/>
      <c r="G2195" s="631"/>
      <c r="H2195" s="631"/>
      <c r="I2195" s="631"/>
      <c r="J2195" s="631"/>
      <c r="M2195" s="461"/>
      <c r="N2195" s="461"/>
      <c r="O2195" s="461"/>
      <c r="R2195" s="490" t="str">
        <f>R$2197</f>
        <v>DELETE</v>
      </c>
    </row>
    <row r="2196" spans="2:24" ht="10.5" customHeight="1" x14ac:dyDescent="0.5">
      <c r="B2196" s="501"/>
      <c r="C2196" s="631"/>
      <c r="D2196" s="648"/>
      <c r="E2196" s="631"/>
      <c r="F2196" s="631"/>
      <c r="G2196" s="631"/>
      <c r="H2196" s="631"/>
      <c r="I2196" s="631"/>
      <c r="J2196" s="631"/>
      <c r="M2196" s="458"/>
      <c r="N2196" s="458"/>
      <c r="O2196" s="458"/>
      <c r="R2196" s="490" t="str">
        <f>R$2197</f>
        <v>DELETE</v>
      </c>
    </row>
    <row r="2197" spans="2:24" ht="36" customHeight="1" x14ac:dyDescent="0.5">
      <c r="B2197" s="501"/>
      <c r="C2197" s="631"/>
      <c r="D2197" s="648"/>
      <c r="E2197" s="631"/>
      <c r="F2197" s="631"/>
      <c r="G2197" s="631"/>
      <c r="H2197" s="631"/>
      <c r="I2197" s="631"/>
      <c r="J2197" s="631"/>
      <c r="M2197" s="458">
        <f>SUM(M2193:M2196)</f>
        <v>0</v>
      </c>
      <c r="N2197" s="458"/>
      <c r="O2197" s="458">
        <f>SUM(O2193:O2196)</f>
        <v>0</v>
      </c>
      <c r="R2197" s="490" t="str">
        <f>IF(R2205="DELETE","DELETE",IF(M2194+O2194=0,"DELETE",IF(M2197+O2197=0,"DELETE",IF(O2197=O2205,IF(M2197=M2205,"DELETE"," ")," "))))</f>
        <v>DELETE</v>
      </c>
    </row>
    <row r="2198" spans="2:24" ht="36" customHeight="1" x14ac:dyDescent="0.5">
      <c r="B2198" s="501"/>
      <c r="C2198" s="631" t="s">
        <v>359</v>
      </c>
      <c r="D2198" s="648"/>
      <c r="E2198" s="631"/>
      <c r="F2198" s="631"/>
      <c r="G2198" s="631"/>
      <c r="H2198" s="631"/>
      <c r="I2198" s="631"/>
      <c r="J2198" s="631"/>
      <c r="M2198" s="458">
        <f>TrialBalance!L362</f>
        <v>0</v>
      </c>
      <c r="N2198" s="458"/>
      <c r="O2198" s="458">
        <f>TrialBalance!N362</f>
        <v>0</v>
      </c>
      <c r="R2198" s="490" t="str">
        <f>IF(M2198+O2198=0,"DELETE"," ")</f>
        <v>DELETE</v>
      </c>
      <c r="S2198" s="496">
        <f t="shared" ref="S2198:S2202" si="104">M2198</f>
        <v>0</v>
      </c>
      <c r="T2198" s="496"/>
      <c r="U2198" s="496">
        <f t="shared" ref="U2198:U2202" si="105">O2198</f>
        <v>0</v>
      </c>
      <c r="V2198" s="496"/>
      <c r="W2198" s="496"/>
      <c r="X2198" s="496"/>
    </row>
    <row r="2199" spans="2:24" ht="36" customHeight="1" x14ac:dyDescent="0.5">
      <c r="B2199" s="501"/>
      <c r="C2199" s="631" t="s">
        <v>325</v>
      </c>
      <c r="D2199" s="648"/>
      <c r="E2199" s="631"/>
      <c r="F2199" s="631"/>
      <c r="G2199" s="631"/>
      <c r="H2199" s="631"/>
      <c r="I2199" s="631"/>
      <c r="J2199" s="631"/>
      <c r="M2199" s="458">
        <f>TrialBalance!L363</f>
        <v>0</v>
      </c>
      <c r="N2199" s="458"/>
      <c r="O2199" s="458">
        <f>TrialBalance!N363</f>
        <v>0</v>
      </c>
      <c r="R2199" s="490" t="str">
        <f>IF(M2199+O2199=0,"DELETE"," ")</f>
        <v>DELETE</v>
      </c>
      <c r="S2199" s="496">
        <f t="shared" si="104"/>
        <v>0</v>
      </c>
      <c r="T2199" s="496"/>
      <c r="U2199" s="496">
        <f t="shared" si="105"/>
        <v>0</v>
      </c>
      <c r="V2199" s="496"/>
      <c r="W2199" s="496"/>
      <c r="X2199" s="496"/>
    </row>
    <row r="2200" spans="2:24" ht="36" customHeight="1" x14ac:dyDescent="0.5">
      <c r="B2200" s="501"/>
      <c r="C2200" s="631" t="s">
        <v>414</v>
      </c>
      <c r="D2200" s="648"/>
      <c r="E2200" s="631"/>
      <c r="F2200" s="631"/>
      <c r="G2200" s="631"/>
      <c r="H2200" s="631"/>
      <c r="I2200" s="631"/>
      <c r="J2200" s="631"/>
      <c r="M2200" s="458">
        <f>TrialBalance!L364</f>
        <v>0</v>
      </c>
      <c r="N2200" s="458"/>
      <c r="O2200" s="458">
        <f>TrialBalance!N364</f>
        <v>0</v>
      </c>
      <c r="R2200" s="490" t="str">
        <f>IF(M2200+O2200=0,"DELETE"," ")</f>
        <v>DELETE</v>
      </c>
      <c r="S2200" s="496">
        <f t="shared" si="104"/>
        <v>0</v>
      </c>
      <c r="T2200" s="496"/>
      <c r="U2200" s="496">
        <f t="shared" si="105"/>
        <v>0</v>
      </c>
      <c r="V2200" s="496"/>
      <c r="W2200" s="496"/>
      <c r="X2200" s="496"/>
    </row>
    <row r="2201" spans="2:24" ht="36" customHeight="1" x14ac:dyDescent="0.5">
      <c r="B2201" s="501"/>
      <c r="C2201" s="631" t="s">
        <v>606</v>
      </c>
      <c r="D2201" s="648"/>
      <c r="E2201" s="631"/>
      <c r="F2201" s="631"/>
      <c r="G2201" s="631"/>
      <c r="H2201" s="631"/>
      <c r="I2201" s="631"/>
      <c r="J2201" s="631"/>
      <c r="M2201" s="458">
        <f>TrialBalance!L365</f>
        <v>0</v>
      </c>
      <c r="N2201" s="458"/>
      <c r="O2201" s="458">
        <f>TrialBalance!N365</f>
        <v>0</v>
      </c>
      <c r="R2201" s="490" t="str">
        <f>IF(M2201+O2201=0,"DELETE"," ")</f>
        <v>DELETE</v>
      </c>
      <c r="S2201" s="496">
        <f t="shared" si="104"/>
        <v>0</v>
      </c>
      <c r="T2201" s="496"/>
      <c r="U2201" s="496">
        <f t="shared" si="105"/>
        <v>0</v>
      </c>
      <c r="V2201" s="496"/>
      <c r="W2201" s="496"/>
      <c r="X2201" s="496"/>
    </row>
    <row r="2202" spans="2:24" ht="36" customHeight="1" x14ac:dyDescent="0.5">
      <c r="B2202" s="501"/>
      <c r="C2202" s="631" t="s">
        <v>605</v>
      </c>
      <c r="D2202" s="648"/>
      <c r="E2202" s="631"/>
      <c r="F2202" s="631"/>
      <c r="G2202" s="631"/>
      <c r="H2202" s="631"/>
      <c r="I2202" s="631"/>
      <c r="J2202" s="631"/>
      <c r="M2202" s="458">
        <f>IF(TrialBalance!L399&gt;0,TrialBalance!L399,0)+IF(TrialBalance!L398&gt;0,TrialBalance!L398,0)</f>
        <v>0</v>
      </c>
      <c r="N2202" s="458"/>
      <c r="O2202" s="458">
        <f>IF(TrialBalance!N399&gt;0,TrialBalance!N399,0)+IF(TrialBalance!N398&gt;0,TrialBalance!N398,0)</f>
        <v>0</v>
      </c>
      <c r="R2202" s="490" t="str">
        <f>IF(M2202+O2202=0,"DELETE"," ")</f>
        <v>DELETE</v>
      </c>
      <c r="S2202" s="496">
        <f t="shared" si="104"/>
        <v>0</v>
      </c>
      <c r="T2202" s="496"/>
      <c r="U2202" s="496">
        <f t="shared" si="105"/>
        <v>0</v>
      </c>
      <c r="V2202" s="496"/>
      <c r="W2202" s="496"/>
      <c r="X2202" s="496"/>
    </row>
    <row r="2203" spans="2:24" ht="9" customHeight="1" x14ac:dyDescent="0.5">
      <c r="B2203" s="501"/>
      <c r="C2203" s="630"/>
      <c r="D2203" s="631"/>
      <c r="E2203" s="631"/>
      <c r="F2203" s="631"/>
      <c r="G2203" s="631"/>
      <c r="H2203" s="631"/>
      <c r="I2203" s="631"/>
      <c r="J2203" s="631"/>
      <c r="M2203" s="461"/>
      <c r="N2203" s="461"/>
      <c r="O2203" s="461"/>
      <c r="R2203" s="490" t="str">
        <f t="shared" ref="R2203:R2212" si="106">R$2205</f>
        <v>DELETE</v>
      </c>
    </row>
    <row r="2204" spans="2:24" ht="9" customHeight="1" x14ac:dyDescent="0.5">
      <c r="B2204" s="501"/>
      <c r="C2204" s="630"/>
      <c r="D2204" s="631"/>
      <c r="E2204" s="631"/>
      <c r="F2204" s="631"/>
      <c r="G2204" s="631"/>
      <c r="H2204" s="631"/>
      <c r="I2204" s="631"/>
      <c r="J2204" s="631"/>
      <c r="M2204" s="458"/>
      <c r="N2204" s="458"/>
      <c r="O2204" s="458"/>
      <c r="R2204" s="490" t="str">
        <f t="shared" si="106"/>
        <v>DELETE</v>
      </c>
    </row>
    <row r="2205" spans="2:24" ht="36.75" customHeight="1" x14ac:dyDescent="0.5">
      <c r="B2205" s="501"/>
      <c r="C2205" s="630"/>
      <c r="D2205" s="631"/>
      <c r="E2205" s="631"/>
      <c r="F2205" s="631"/>
      <c r="G2205" s="631"/>
      <c r="H2205" s="631"/>
      <c r="I2205" s="631"/>
      <c r="J2205" s="631"/>
      <c r="M2205" s="458">
        <f>SUM(S2193:S2202)</f>
        <v>0</v>
      </c>
      <c r="N2205" s="458"/>
      <c r="O2205" s="458">
        <f>SUM(U2193:U2202)</f>
        <v>0</v>
      </c>
      <c r="R2205" s="490" t="str">
        <f>IF(M2205+O2205=0,"DELETE"," ")</f>
        <v>DELETE</v>
      </c>
      <c r="S2205" s="495"/>
      <c r="T2205" s="495"/>
      <c r="U2205" s="495"/>
    </row>
    <row r="2206" spans="2:24" ht="9" customHeight="1" thickBot="1" x14ac:dyDescent="0.55000000000000004">
      <c r="B2206" s="501"/>
      <c r="C2206" s="630"/>
      <c r="D2206" s="631"/>
      <c r="E2206" s="631"/>
      <c r="F2206" s="631"/>
      <c r="G2206" s="631"/>
      <c r="H2206" s="631"/>
      <c r="I2206" s="631"/>
      <c r="J2206" s="631"/>
      <c r="M2206" s="462"/>
      <c r="N2206" s="462"/>
      <c r="O2206" s="462"/>
      <c r="R2206" s="490" t="str">
        <f t="shared" si="106"/>
        <v>DELETE</v>
      </c>
    </row>
    <row r="2207" spans="2:24" ht="9" customHeight="1" thickTop="1" x14ac:dyDescent="0.5">
      <c r="B2207" s="501"/>
      <c r="C2207" s="630"/>
      <c r="D2207" s="631"/>
      <c r="E2207" s="631"/>
      <c r="F2207" s="631"/>
      <c r="G2207" s="631"/>
      <c r="H2207" s="631"/>
      <c r="I2207" s="631"/>
      <c r="J2207" s="631"/>
      <c r="M2207" s="475"/>
      <c r="N2207" s="475"/>
      <c r="O2207" s="475"/>
      <c r="R2207" s="490" t="str">
        <f t="shared" si="106"/>
        <v>DELETE</v>
      </c>
    </row>
    <row r="2208" spans="2:24" ht="36" customHeight="1" x14ac:dyDescent="0.5">
      <c r="B2208" s="501"/>
      <c r="C2208" s="631" t="str">
        <f>IF(Criteria!G302="Yes",Criteria!G304," ")</f>
        <v xml:space="preserve"> </v>
      </c>
      <c r="D2208" s="648"/>
      <c r="E2208" s="631"/>
      <c r="F2208" s="631"/>
      <c r="G2208" s="631"/>
      <c r="H2208" s="631"/>
      <c r="I2208" s="631"/>
      <c r="J2208" s="631"/>
      <c r="M2208" s="458"/>
      <c r="N2208" s="458"/>
      <c r="O2208" s="458"/>
      <c r="R2208" s="490" t="str">
        <f>IF(C2208=" ","DELETE",IF(C2208=0,"DELETE"," "))</f>
        <v>DELETE</v>
      </c>
    </row>
    <row r="2209" spans="2:18" ht="36" customHeight="1" x14ac:dyDescent="0.5">
      <c r="B2209" s="501"/>
      <c r="C2209" s="631" t="str">
        <f>IF(Criteria!G302="Yes",Criteria!G305," ")</f>
        <v xml:space="preserve"> </v>
      </c>
      <c r="D2209" s="648"/>
      <c r="E2209" s="631"/>
      <c r="F2209" s="631"/>
      <c r="G2209" s="631"/>
      <c r="H2209" s="631"/>
      <c r="I2209" s="631"/>
      <c r="J2209" s="631"/>
      <c r="M2209" s="458"/>
      <c r="N2209" s="458"/>
      <c r="O2209" s="458"/>
      <c r="R2209" s="490" t="str">
        <f>IF(C2209=" ","DELETE",IF(C2209=0,"DELETE"," "))</f>
        <v>DELETE</v>
      </c>
    </row>
    <row r="2210" spans="2:18" ht="36" customHeight="1" x14ac:dyDescent="0.5">
      <c r="B2210" s="501"/>
      <c r="C2210" s="630"/>
      <c r="D2210" s="631"/>
      <c r="E2210" s="631"/>
      <c r="F2210" s="631"/>
      <c r="G2210" s="631"/>
      <c r="H2210" s="631"/>
      <c r="I2210" s="631"/>
      <c r="J2210" s="631"/>
      <c r="M2210" s="458"/>
      <c r="N2210" s="458"/>
      <c r="O2210" s="458"/>
      <c r="R2210" s="490" t="str">
        <f t="shared" si="106"/>
        <v>DELETE</v>
      </c>
    </row>
    <row r="2211" spans="2:18" ht="36" customHeight="1" x14ac:dyDescent="0.5">
      <c r="B2211" s="501"/>
      <c r="C2211" s="630"/>
      <c r="D2211" s="631"/>
      <c r="E2211" s="631"/>
      <c r="F2211" s="631"/>
      <c r="G2211" s="631"/>
      <c r="H2211" s="631"/>
      <c r="I2211" s="631"/>
      <c r="J2211" s="631"/>
      <c r="M2211" s="475"/>
      <c r="N2211" s="475"/>
      <c r="O2211" s="475"/>
      <c r="P2211" s="545"/>
      <c r="R2211" s="490" t="str">
        <f t="shared" si="106"/>
        <v>DELETE</v>
      </c>
    </row>
    <row r="2212" spans="2:18" ht="36" customHeight="1" x14ac:dyDescent="0.5">
      <c r="B2212" s="502"/>
      <c r="C2212" s="631"/>
      <c r="D2212" s="631"/>
      <c r="E2212" s="631"/>
      <c r="F2212" s="631"/>
      <c r="G2212" s="631"/>
      <c r="H2212" s="631"/>
      <c r="I2212" s="631"/>
      <c r="J2212" s="631"/>
      <c r="M2212" s="541"/>
      <c r="N2212" s="541"/>
      <c r="O2212" s="541"/>
      <c r="R2212" s="490" t="str">
        <f t="shared" si="106"/>
        <v>DELETE</v>
      </c>
    </row>
    <row r="2213" spans="2:18" ht="36" customHeight="1" x14ac:dyDescent="0.5">
      <c r="B2213" s="502"/>
      <c r="C2213" s="631"/>
      <c r="D2213" s="631"/>
      <c r="E2213" s="631"/>
      <c r="F2213" s="631"/>
      <c r="G2213" s="631"/>
      <c r="H2213" s="631"/>
      <c r="I2213" s="631"/>
      <c r="J2213" s="631"/>
      <c r="M2213" s="541"/>
      <c r="N2213" s="541"/>
      <c r="O2213" s="458" t="s">
        <v>112</v>
      </c>
      <c r="Q2213" s="450">
        <f>MAX($Q$103:Q2212)+1</f>
        <v>57</v>
      </c>
    </row>
    <row r="2214" spans="2:18" ht="36" customHeight="1" x14ac:dyDescent="0.5">
      <c r="B2214" s="502"/>
      <c r="C2214" s="631"/>
      <c r="D2214" s="630" t="str">
        <f>Criteria!E9</f>
        <v>ABC COMPANY (PROPRIETARY) LIMITED</v>
      </c>
      <c r="E2214" s="631"/>
      <c r="F2214" s="631"/>
      <c r="G2214" s="631"/>
      <c r="H2214" s="631"/>
      <c r="I2214" s="631"/>
      <c r="J2214" s="631"/>
      <c r="M2214" s="541"/>
      <c r="N2214" s="541"/>
      <c r="O2214" s="540"/>
    </row>
    <row r="2215" spans="2:18" ht="36" customHeight="1" x14ac:dyDescent="0.5">
      <c r="B2215" s="502"/>
      <c r="C2215" s="631"/>
      <c r="D2215" s="630" t="str">
        <f>Criteria!E10</f>
        <v>T/A SEAFRONT HOTEL, ABC RESTAURANT AND RENTAL PROPERTIES</v>
      </c>
      <c r="E2215" s="631"/>
      <c r="F2215" s="631"/>
      <c r="G2215" s="631"/>
      <c r="H2215" s="631"/>
      <c r="I2215" s="631"/>
      <c r="J2215" s="631"/>
      <c r="M2215" s="541"/>
      <c r="N2215" s="541"/>
      <c r="O2215" s="541"/>
      <c r="R2215" s="490" t="str">
        <f>IF(D2215=0,"DELETE"," ")</f>
        <v xml:space="preserve"> </v>
      </c>
    </row>
    <row r="2216" spans="2:18" ht="36" customHeight="1" x14ac:dyDescent="0.5">
      <c r="B2216" s="502"/>
      <c r="C2216" s="631"/>
      <c r="D2216" s="631"/>
      <c r="E2216" s="631"/>
      <c r="F2216" s="631"/>
      <c r="G2216" s="631"/>
      <c r="H2216" s="631"/>
      <c r="I2216" s="631"/>
      <c r="J2216" s="631"/>
      <c r="M2216" s="541"/>
      <c r="N2216" s="541"/>
      <c r="O2216" s="541"/>
    </row>
    <row r="2217" spans="2:18" ht="36" customHeight="1" x14ac:dyDescent="0.5">
      <c r="B2217" s="502"/>
      <c r="C2217" s="631"/>
      <c r="D2217" s="630" t="s">
        <v>415</v>
      </c>
      <c r="E2217" s="631"/>
      <c r="F2217" s="631"/>
      <c r="G2217" s="631"/>
      <c r="H2217" s="631"/>
      <c r="I2217" s="631"/>
      <c r="J2217" s="631"/>
      <c r="M2217" s="541"/>
      <c r="N2217" s="541"/>
      <c r="O2217" s="541"/>
    </row>
    <row r="2218" spans="2:18" ht="36" customHeight="1" x14ac:dyDescent="0.5">
      <c r="B2218" s="502"/>
      <c r="C2218" s="631"/>
      <c r="D2218" s="630" t="str">
        <f>Criteria!E20</f>
        <v>28 FEBRUARY 2026</v>
      </c>
      <c r="E2218" s="631"/>
      <c r="F2218" s="631"/>
      <c r="G2218" s="631"/>
      <c r="H2218" s="631"/>
      <c r="I2218" s="631"/>
      <c r="J2218" s="631" t="s">
        <v>282</v>
      </c>
      <c r="M2218" s="541"/>
      <c r="N2218" s="541"/>
      <c r="O2218" s="541"/>
    </row>
    <row r="2219" spans="2:18" ht="36" customHeight="1" x14ac:dyDescent="0.5">
      <c r="B2219" s="502"/>
      <c r="C2219" s="631"/>
      <c r="D2219" s="630"/>
      <c r="E2219" s="631"/>
      <c r="F2219" s="631"/>
      <c r="G2219" s="631"/>
      <c r="H2219" s="631"/>
      <c r="I2219" s="631"/>
      <c r="J2219" s="631"/>
      <c r="M2219" s="541"/>
      <c r="N2219" s="541"/>
      <c r="O2219" s="541"/>
    </row>
    <row r="2220" spans="2:18" ht="36" customHeight="1" x14ac:dyDescent="0.5">
      <c r="B2220" s="640"/>
      <c r="C2220" s="652"/>
      <c r="D2220" s="649"/>
      <c r="E2220" s="649"/>
      <c r="F2220" s="649"/>
      <c r="G2220" s="649"/>
      <c r="H2220" s="649"/>
      <c r="I2220" s="649"/>
      <c r="J2220" s="649"/>
      <c r="K2220" s="457"/>
      <c r="L2220" s="457"/>
      <c r="M2220" s="459"/>
      <c r="N2220" s="459"/>
      <c r="O2220" s="459"/>
      <c r="P2220" s="551"/>
      <c r="Q2220" s="457"/>
    </row>
    <row r="2221" spans="2:18" ht="36" customHeight="1" x14ac:dyDescent="0.5">
      <c r="B2221" s="501"/>
      <c r="C2221" s="630"/>
      <c r="D2221" s="631"/>
      <c r="E2221" s="631"/>
      <c r="F2221" s="631"/>
      <c r="G2221" s="631"/>
      <c r="H2221" s="631"/>
      <c r="I2221" s="631"/>
      <c r="J2221" s="631"/>
      <c r="M2221" s="453">
        <f>Criteria!E22</f>
        <v>2026</v>
      </c>
      <c r="N2221" s="453"/>
      <c r="O2221" s="453">
        <f>Criteria!E27</f>
        <v>2025</v>
      </c>
    </row>
    <row r="2222" spans="2:18" ht="36" customHeight="1" x14ac:dyDescent="0.5">
      <c r="B2222" s="501"/>
      <c r="C2222" s="630"/>
      <c r="D2222" s="631"/>
      <c r="E2222" s="631"/>
      <c r="F2222" s="631"/>
      <c r="G2222" s="631"/>
      <c r="H2222" s="631"/>
      <c r="I2222" s="631"/>
      <c r="J2222" s="631"/>
      <c r="M2222" s="458"/>
      <c r="N2222" s="458"/>
      <c r="O2222" s="458"/>
    </row>
    <row r="2223" spans="2:18" ht="36" customHeight="1" x14ac:dyDescent="0.5">
      <c r="B2223" s="501">
        <f>MAX(B$871:B2222)+1</f>
        <v>20</v>
      </c>
      <c r="C2223" s="630" t="s">
        <v>750</v>
      </c>
      <c r="D2223" s="631"/>
      <c r="E2223" s="631"/>
      <c r="F2223" s="631"/>
      <c r="G2223" s="631"/>
      <c r="H2223" s="631"/>
      <c r="I2223" s="631"/>
      <c r="J2223" s="631"/>
      <c r="M2223" s="458"/>
      <c r="N2223" s="458"/>
      <c r="O2223" s="458"/>
    </row>
    <row r="2224" spans="2:18" ht="36" customHeight="1" x14ac:dyDescent="0.5">
      <c r="B2224" s="501"/>
      <c r="C2224" s="630"/>
      <c r="D2224" s="631"/>
      <c r="E2224" s="631"/>
      <c r="F2224" s="631"/>
      <c r="G2224" s="631"/>
      <c r="H2224" s="631"/>
      <c r="I2224" s="631"/>
      <c r="J2224" s="631"/>
      <c r="M2224" s="458"/>
      <c r="N2224" s="458"/>
      <c r="O2224" s="458"/>
    </row>
    <row r="2225" spans="2:24" ht="36" customHeight="1" x14ac:dyDescent="0.5">
      <c r="B2225" s="501"/>
      <c r="C2225" s="631">
        <f>TrialBalance!C367</f>
        <v>0</v>
      </c>
      <c r="D2225" s="648"/>
      <c r="E2225" s="631"/>
      <c r="F2225" s="631"/>
      <c r="G2225" s="631"/>
      <c r="H2225" s="631"/>
      <c r="I2225" s="631"/>
      <c r="J2225" s="631"/>
      <c r="M2225" s="458">
        <f>IF(TrialBalance!L367&gt;0,TrialBalance!L367,0)</f>
        <v>0</v>
      </c>
      <c r="N2225" s="458"/>
      <c r="O2225" s="458">
        <f>IF(TrialBalance!N367&gt;0,TrialBalance!N367,0)</f>
        <v>0</v>
      </c>
      <c r="R2225" s="490" t="str">
        <f>IF(M2225=0,IF(O2225=0,"DELETE"," ")," ")</f>
        <v>DELETE</v>
      </c>
    </row>
    <row r="2226" spans="2:24" ht="36" customHeight="1" x14ac:dyDescent="0.5">
      <c r="B2226" s="501"/>
      <c r="C2226" s="631">
        <f>TrialBalance!C368</f>
        <v>0</v>
      </c>
      <c r="D2226" s="648"/>
      <c r="E2226" s="631"/>
      <c r="F2226" s="631"/>
      <c r="G2226" s="631"/>
      <c r="H2226" s="631"/>
      <c r="I2226" s="631"/>
      <c r="J2226" s="631"/>
      <c r="M2226" s="458">
        <f>IF(TrialBalance!L368&gt;0,TrialBalance!L368,0)</f>
        <v>0</v>
      </c>
      <c r="N2226" s="458"/>
      <c r="O2226" s="458">
        <f>IF(TrialBalance!N368&gt;0,TrialBalance!N368,0)</f>
        <v>0</v>
      </c>
      <c r="R2226" s="490" t="str">
        <f t="shared" ref="R2226:R2230" si="107">IF(M2226=0,IF(O2226=0,"DELETE"," ")," ")</f>
        <v>DELETE</v>
      </c>
    </row>
    <row r="2227" spans="2:24" ht="36" customHeight="1" x14ac:dyDescent="0.5">
      <c r="B2227" s="501"/>
      <c r="C2227" s="631">
        <f>TrialBalance!C369</f>
        <v>0</v>
      </c>
      <c r="D2227" s="648"/>
      <c r="E2227" s="631"/>
      <c r="F2227" s="631"/>
      <c r="G2227" s="631"/>
      <c r="H2227" s="631"/>
      <c r="I2227" s="631"/>
      <c r="J2227" s="631"/>
      <c r="M2227" s="458">
        <f>IF(TrialBalance!L369&gt;0,TrialBalance!L369,0)</f>
        <v>0</v>
      </c>
      <c r="N2227" s="458"/>
      <c r="O2227" s="458">
        <f>IF(TrialBalance!N369&gt;0,TrialBalance!N369,0)</f>
        <v>0</v>
      </c>
      <c r="R2227" s="490" t="str">
        <f t="shared" si="107"/>
        <v>DELETE</v>
      </c>
    </row>
    <row r="2228" spans="2:24" ht="36" customHeight="1" x14ac:dyDescent="0.5">
      <c r="B2228" s="501"/>
      <c r="C2228" s="631">
        <f>TrialBalance!C370</f>
        <v>0</v>
      </c>
      <c r="D2228" s="648"/>
      <c r="E2228" s="631"/>
      <c r="F2228" s="631"/>
      <c r="G2228" s="631"/>
      <c r="H2228" s="631"/>
      <c r="I2228" s="631"/>
      <c r="J2228" s="631"/>
      <c r="M2228" s="458">
        <f>IF(TrialBalance!L370&gt;0,TrialBalance!L370,0)</f>
        <v>0</v>
      </c>
      <c r="N2228" s="458"/>
      <c r="O2228" s="458">
        <f>IF(TrialBalance!N370&gt;0,TrialBalance!N370,0)</f>
        <v>0</v>
      </c>
      <c r="R2228" s="490" t="str">
        <f t="shared" si="107"/>
        <v>DELETE</v>
      </c>
    </row>
    <row r="2229" spans="2:24" ht="36" customHeight="1" x14ac:dyDescent="0.5">
      <c r="B2229" s="501"/>
      <c r="C2229" s="631">
        <f>TrialBalance!C371</f>
        <v>0</v>
      </c>
      <c r="D2229" s="648"/>
      <c r="E2229" s="631"/>
      <c r="F2229" s="631"/>
      <c r="G2229" s="631"/>
      <c r="H2229" s="631"/>
      <c r="I2229" s="631"/>
      <c r="J2229" s="631"/>
      <c r="M2229" s="458">
        <f>IF(TrialBalance!L371&gt;0,TrialBalance!L371,0)</f>
        <v>0</v>
      </c>
      <c r="N2229" s="458"/>
      <c r="O2229" s="458">
        <f>IF(TrialBalance!N371&gt;0,TrialBalance!N371,0)</f>
        <v>0</v>
      </c>
      <c r="R2229" s="490" t="str">
        <f t="shared" si="107"/>
        <v>DELETE</v>
      </c>
    </row>
    <row r="2230" spans="2:24" ht="36" customHeight="1" x14ac:dyDescent="0.5">
      <c r="B2230" s="501"/>
      <c r="C2230" s="631">
        <f>TrialBalance!C372</f>
        <v>0</v>
      </c>
      <c r="D2230" s="648"/>
      <c r="E2230" s="631"/>
      <c r="F2230" s="631"/>
      <c r="G2230" s="631"/>
      <c r="H2230" s="631"/>
      <c r="I2230" s="631"/>
      <c r="J2230" s="631"/>
      <c r="M2230" s="458">
        <f>IF(TrialBalance!L372&gt;0,TrialBalance!L372,0)</f>
        <v>0</v>
      </c>
      <c r="N2230" s="458"/>
      <c r="O2230" s="458">
        <f>IF(TrialBalance!N372&gt;0,TrialBalance!N372,0)</f>
        <v>0</v>
      </c>
      <c r="R2230" s="490" t="str">
        <f t="shared" si="107"/>
        <v>DELETE</v>
      </c>
    </row>
    <row r="2231" spans="2:24" ht="36" customHeight="1" x14ac:dyDescent="0.5">
      <c r="B2231" s="501"/>
      <c r="C2231" s="631" t="s">
        <v>464</v>
      </c>
      <c r="D2231" s="648"/>
      <c r="E2231" s="631"/>
      <c r="F2231" s="631"/>
      <c r="G2231" s="631"/>
      <c r="H2231" s="631"/>
      <c r="I2231" s="631"/>
      <c r="J2231" s="631"/>
      <c r="M2231" s="458">
        <f>TrialBalance!L373</f>
        <v>0</v>
      </c>
      <c r="N2231" s="458"/>
      <c r="O2231" s="458">
        <f>TrialBalance!N373</f>
        <v>0</v>
      </c>
      <c r="R2231" s="490" t="str">
        <f>IF(M2231=0,IF(O2231=0,"DELETE"," ")," ")</f>
        <v>DELETE</v>
      </c>
    </row>
    <row r="2232" spans="2:24" ht="9" customHeight="1" x14ac:dyDescent="0.5">
      <c r="B2232" s="501"/>
      <c r="C2232" s="630"/>
      <c r="D2232" s="631"/>
      <c r="E2232" s="631"/>
      <c r="F2232" s="631"/>
      <c r="G2232" s="631"/>
      <c r="H2232" s="631"/>
      <c r="I2232" s="631"/>
      <c r="J2232" s="631"/>
      <c r="M2232" s="461"/>
      <c r="N2232" s="461"/>
      <c r="O2232" s="461"/>
      <c r="R2232" s="490" t="str">
        <f t="shared" ref="R2232:R2249" si="108">R$2234</f>
        <v>DELETE</v>
      </c>
    </row>
    <row r="2233" spans="2:24" ht="9" customHeight="1" x14ac:dyDescent="0.5">
      <c r="B2233" s="501"/>
      <c r="C2233" s="630"/>
      <c r="D2233" s="631"/>
      <c r="E2233" s="631"/>
      <c r="F2233" s="631"/>
      <c r="G2233" s="631"/>
      <c r="H2233" s="631"/>
      <c r="I2233" s="631"/>
      <c r="J2233" s="631"/>
      <c r="M2233" s="458"/>
      <c r="N2233" s="458"/>
      <c r="O2233" s="458"/>
      <c r="R2233" s="490" t="str">
        <f t="shared" si="108"/>
        <v>DELETE</v>
      </c>
    </row>
    <row r="2234" spans="2:24" ht="36.75" customHeight="1" x14ac:dyDescent="0.5">
      <c r="B2234" s="501"/>
      <c r="C2234" s="630"/>
      <c r="D2234" s="631"/>
      <c r="E2234" s="631"/>
      <c r="F2234" s="631"/>
      <c r="G2234" s="631"/>
      <c r="H2234" s="631"/>
      <c r="I2234" s="631"/>
      <c r="J2234" s="631"/>
      <c r="M2234" s="458">
        <f>SUM(M2225:M2233)</f>
        <v>0</v>
      </c>
      <c r="N2234" s="458"/>
      <c r="O2234" s="458">
        <f>SUM(O2225:O2233)</f>
        <v>0</v>
      </c>
      <c r="R2234" s="490" t="str">
        <f>IF(M2234=0,IF(O2234=0,"DELETE"," ")," ")</f>
        <v>DELETE</v>
      </c>
      <c r="V2234" s="496"/>
      <c r="W2234" s="496"/>
      <c r="X2234" s="496"/>
    </row>
    <row r="2235" spans="2:24" ht="9" customHeight="1" thickBot="1" x14ac:dyDescent="0.55000000000000004">
      <c r="B2235" s="501"/>
      <c r="C2235" s="630"/>
      <c r="D2235" s="631"/>
      <c r="E2235" s="631"/>
      <c r="F2235" s="631"/>
      <c r="G2235" s="631"/>
      <c r="H2235" s="631"/>
      <c r="I2235" s="631"/>
      <c r="J2235" s="631"/>
      <c r="M2235" s="462"/>
      <c r="N2235" s="462"/>
      <c r="O2235" s="462"/>
      <c r="R2235" s="490" t="str">
        <f t="shared" si="108"/>
        <v>DELETE</v>
      </c>
    </row>
    <row r="2236" spans="2:24" ht="9" customHeight="1" thickTop="1" x14ac:dyDescent="0.5">
      <c r="B2236" s="501"/>
      <c r="C2236" s="630"/>
      <c r="D2236" s="631"/>
      <c r="E2236" s="631"/>
      <c r="F2236" s="631"/>
      <c r="G2236" s="631"/>
      <c r="H2236" s="631"/>
      <c r="I2236" s="631"/>
      <c r="J2236" s="631"/>
      <c r="M2236" s="475"/>
      <c r="N2236" s="475"/>
      <c r="O2236" s="475"/>
      <c r="R2236" s="490" t="str">
        <f t="shared" si="108"/>
        <v>DELETE</v>
      </c>
    </row>
    <row r="2237" spans="2:24" ht="36" customHeight="1" x14ac:dyDescent="0.5">
      <c r="B2237" s="501"/>
      <c r="C2237" s="630"/>
      <c r="D2237" s="631"/>
      <c r="E2237" s="631"/>
      <c r="F2237" s="631"/>
      <c r="G2237" s="631"/>
      <c r="H2237" s="631"/>
      <c r="I2237" s="631"/>
      <c r="J2237" s="631"/>
      <c r="M2237" s="458"/>
      <c r="N2237" s="458"/>
      <c r="O2237" s="458"/>
      <c r="R2237" s="490" t="str">
        <f t="shared" si="108"/>
        <v>DELETE</v>
      </c>
    </row>
    <row r="2238" spans="2:24" ht="36" customHeight="1" x14ac:dyDescent="0.5">
      <c r="B2238" s="501"/>
      <c r="C2238" s="630"/>
      <c r="D2238" s="631"/>
      <c r="E2238" s="631"/>
      <c r="F2238" s="631"/>
      <c r="G2238" s="631"/>
      <c r="H2238" s="631"/>
      <c r="I2238" s="631"/>
      <c r="J2238" s="631"/>
      <c r="M2238" s="458"/>
      <c r="N2238" s="458"/>
      <c r="O2238" s="458"/>
      <c r="R2238" s="490" t="str">
        <f t="shared" si="108"/>
        <v>DELETE</v>
      </c>
    </row>
    <row r="2239" spans="2:24" ht="36" customHeight="1" x14ac:dyDescent="0.5">
      <c r="B2239" s="501"/>
      <c r="C2239" s="630"/>
      <c r="D2239" s="631"/>
      <c r="E2239" s="631"/>
      <c r="F2239" s="631"/>
      <c r="G2239" s="631"/>
      <c r="H2239" s="631"/>
      <c r="I2239" s="631"/>
      <c r="J2239" s="631"/>
      <c r="M2239" s="475"/>
      <c r="N2239" s="475"/>
      <c r="O2239" s="475"/>
      <c r="P2239" s="545"/>
      <c r="R2239" s="490" t="str">
        <f t="shared" si="108"/>
        <v>DELETE</v>
      </c>
    </row>
    <row r="2240" spans="2:24" ht="36" customHeight="1" x14ac:dyDescent="0.5">
      <c r="B2240" s="501"/>
      <c r="C2240" s="630"/>
      <c r="D2240" s="631"/>
      <c r="E2240" s="631"/>
      <c r="F2240" s="631"/>
      <c r="G2240" s="631"/>
      <c r="H2240" s="631"/>
      <c r="I2240" s="631"/>
      <c r="J2240" s="631"/>
      <c r="M2240" s="458"/>
      <c r="N2240" s="458"/>
      <c r="O2240" s="458"/>
      <c r="R2240" s="490" t="str">
        <f t="shared" si="108"/>
        <v>DELETE</v>
      </c>
    </row>
    <row r="2241" spans="2:18" ht="36" customHeight="1" x14ac:dyDescent="0.5">
      <c r="B2241" s="501"/>
      <c r="C2241" s="630"/>
      <c r="D2241" s="631"/>
      <c r="E2241" s="631"/>
      <c r="F2241" s="631"/>
      <c r="G2241" s="631"/>
      <c r="H2241" s="631"/>
      <c r="I2241" s="631"/>
      <c r="J2241" s="631"/>
      <c r="M2241" s="458"/>
      <c r="N2241" s="458"/>
      <c r="O2241" s="458" t="s">
        <v>112</v>
      </c>
      <c r="Q2241" s="450">
        <f>MAX($Q$103:Q2240)+1</f>
        <v>58</v>
      </c>
      <c r="R2241" s="490" t="str">
        <f t="shared" si="108"/>
        <v>DELETE</v>
      </c>
    </row>
    <row r="2242" spans="2:18" ht="36" customHeight="1" x14ac:dyDescent="0.5">
      <c r="B2242" s="501"/>
      <c r="C2242" s="630"/>
      <c r="D2242" s="630" t="str">
        <f>Criteria!E9</f>
        <v>ABC COMPANY (PROPRIETARY) LIMITED</v>
      </c>
      <c r="E2242" s="631"/>
      <c r="F2242" s="631"/>
      <c r="G2242" s="631"/>
      <c r="H2242" s="631"/>
      <c r="I2242" s="631"/>
      <c r="J2242" s="631"/>
      <c r="M2242" s="541"/>
      <c r="N2242" s="541"/>
      <c r="O2242" s="540"/>
      <c r="R2242" s="490" t="str">
        <f t="shared" si="108"/>
        <v>DELETE</v>
      </c>
    </row>
    <row r="2243" spans="2:18" ht="36" customHeight="1" x14ac:dyDescent="0.5">
      <c r="B2243" s="501"/>
      <c r="C2243" s="630"/>
      <c r="D2243" s="630" t="str">
        <f>Criteria!E10</f>
        <v>T/A SEAFRONT HOTEL, ABC RESTAURANT AND RENTAL PROPERTIES</v>
      </c>
      <c r="E2243" s="631"/>
      <c r="F2243" s="631"/>
      <c r="G2243" s="631"/>
      <c r="H2243" s="631"/>
      <c r="I2243" s="631"/>
      <c r="J2243" s="631"/>
      <c r="M2243" s="541"/>
      <c r="N2243" s="541"/>
      <c r="O2243" s="541"/>
      <c r="R2243" s="490" t="str">
        <f>IF(R$2234="DELETE","DELETE",IF(D2243=0,"DELETE"," "))</f>
        <v>DELETE</v>
      </c>
    </row>
    <row r="2244" spans="2:18" ht="36" customHeight="1" x14ac:dyDescent="0.5">
      <c r="B2244" s="501"/>
      <c r="C2244" s="630"/>
      <c r="D2244" s="631"/>
      <c r="E2244" s="631"/>
      <c r="F2244" s="631"/>
      <c r="G2244" s="631"/>
      <c r="H2244" s="631"/>
      <c r="I2244" s="631"/>
      <c r="J2244" s="631"/>
      <c r="M2244" s="541"/>
      <c r="N2244" s="541"/>
      <c r="O2244" s="541"/>
      <c r="R2244" s="490" t="str">
        <f t="shared" si="108"/>
        <v>DELETE</v>
      </c>
    </row>
    <row r="2245" spans="2:18" ht="36" customHeight="1" x14ac:dyDescent="0.5">
      <c r="B2245" s="501"/>
      <c r="C2245" s="630"/>
      <c r="D2245" s="630" t="s">
        <v>415</v>
      </c>
      <c r="E2245" s="631"/>
      <c r="F2245" s="631"/>
      <c r="G2245" s="631"/>
      <c r="H2245" s="631"/>
      <c r="I2245" s="631"/>
      <c r="J2245" s="631"/>
      <c r="M2245" s="541"/>
      <c r="N2245" s="541"/>
      <c r="O2245" s="541"/>
      <c r="R2245" s="490" t="str">
        <f t="shared" si="108"/>
        <v>DELETE</v>
      </c>
    </row>
    <row r="2246" spans="2:18" ht="36" customHeight="1" x14ac:dyDescent="0.5">
      <c r="B2246" s="501"/>
      <c r="C2246" s="630"/>
      <c r="D2246" s="630" t="str">
        <f>Criteria!E20</f>
        <v>28 FEBRUARY 2026</v>
      </c>
      <c r="E2246" s="631"/>
      <c r="F2246" s="631"/>
      <c r="G2246" s="631"/>
      <c r="H2246" s="631"/>
      <c r="I2246" s="631"/>
      <c r="J2246" s="631" t="s">
        <v>282</v>
      </c>
      <c r="M2246" s="541"/>
      <c r="N2246" s="541"/>
      <c r="O2246" s="541"/>
      <c r="R2246" s="490" t="str">
        <f t="shared" si="108"/>
        <v>DELETE</v>
      </c>
    </row>
    <row r="2247" spans="2:18" ht="36" customHeight="1" x14ac:dyDescent="0.5">
      <c r="B2247" s="501"/>
      <c r="C2247" s="630"/>
      <c r="D2247" s="631"/>
      <c r="E2247" s="631"/>
      <c r="F2247" s="631"/>
      <c r="G2247" s="631"/>
      <c r="H2247" s="631"/>
      <c r="I2247" s="631"/>
      <c r="J2247" s="631"/>
      <c r="M2247" s="458"/>
      <c r="N2247" s="458"/>
      <c r="O2247" s="458"/>
      <c r="R2247" s="490" t="str">
        <f t="shared" si="108"/>
        <v>DELETE</v>
      </c>
    </row>
    <row r="2248" spans="2:18" ht="36" customHeight="1" x14ac:dyDescent="0.5">
      <c r="B2248" s="640"/>
      <c r="C2248" s="652"/>
      <c r="D2248" s="649"/>
      <c r="E2248" s="649"/>
      <c r="F2248" s="649"/>
      <c r="G2248" s="649"/>
      <c r="H2248" s="649"/>
      <c r="I2248" s="649"/>
      <c r="J2248" s="649"/>
      <c r="K2248" s="457"/>
      <c r="L2248" s="457"/>
      <c r="M2248" s="459"/>
      <c r="N2248" s="459"/>
      <c r="O2248" s="459"/>
      <c r="P2248" s="551"/>
      <c r="Q2248" s="457"/>
      <c r="R2248" s="490" t="str">
        <f t="shared" si="108"/>
        <v>DELETE</v>
      </c>
    </row>
    <row r="2249" spans="2:18" ht="36" customHeight="1" x14ac:dyDescent="0.5">
      <c r="B2249" s="501"/>
      <c r="C2249" s="630"/>
      <c r="D2249" s="631"/>
      <c r="E2249" s="631"/>
      <c r="F2249" s="631"/>
      <c r="G2249" s="631"/>
      <c r="H2249" s="631"/>
      <c r="I2249" s="631"/>
      <c r="J2249" s="631"/>
      <c r="M2249" s="453">
        <f>Criteria!E22</f>
        <v>2026</v>
      </c>
      <c r="N2249" s="453"/>
      <c r="O2249" s="453">
        <f>Criteria!E27</f>
        <v>2025</v>
      </c>
      <c r="P2249" s="545"/>
      <c r="R2249" s="490" t="str">
        <f t="shared" si="108"/>
        <v>DELETE</v>
      </c>
    </row>
    <row r="2250" spans="2:18" ht="36" customHeight="1" x14ac:dyDescent="0.5">
      <c r="B2250" s="501"/>
      <c r="C2250" s="630"/>
      <c r="D2250" s="631"/>
      <c r="E2250" s="631"/>
      <c r="F2250" s="631"/>
      <c r="G2250" s="631"/>
      <c r="H2250" s="631"/>
      <c r="I2250" s="631"/>
      <c r="J2250" s="631"/>
      <c r="M2250" s="475"/>
      <c r="N2250" s="475"/>
      <c r="O2250" s="475"/>
      <c r="P2250" s="545"/>
      <c r="R2250" s="490" t="str">
        <f>R2263</f>
        <v>DELETE</v>
      </c>
    </row>
    <row r="2251" spans="2:18" ht="36" customHeight="1" x14ac:dyDescent="0.5">
      <c r="B2251" s="501"/>
      <c r="C2251" s="631" t="str">
        <f>IF(SUM(TrialBalance!L367:L373)=0,IF(SUM(TrialBalance!N367:N373)=0,"There were no Cash and cash equivalents balances at year end.","For the purpose of the Statement of Cash Flows, Cash and cash equivalents include the"),"For the purpose of the Statement of Cash Flows, Cash and cash equivalents include the")</f>
        <v>There were no Cash and cash equivalents balances at year end.</v>
      </c>
      <c r="D2251" s="631"/>
      <c r="E2251" s="631"/>
      <c r="F2251" s="631"/>
      <c r="G2251" s="631"/>
      <c r="H2251" s="631"/>
      <c r="I2251" s="631"/>
      <c r="J2251" s="631"/>
      <c r="M2251" s="475"/>
      <c r="N2251" s="475"/>
      <c r="O2251" s="475"/>
      <c r="P2251" s="545"/>
    </row>
    <row r="2252" spans="2:18" ht="36" customHeight="1" x14ac:dyDescent="0.5">
      <c r="B2252" s="501"/>
      <c r="C2252" s="631" t="str">
        <f>IF(SUM(TrialBalance!L367:L373)=0,IF(SUM(TrialBalance!N367:N373)=0," ","following:"),"following:")</f>
        <v xml:space="preserve"> </v>
      </c>
      <c r="D2252" s="631"/>
      <c r="E2252" s="631"/>
      <c r="F2252" s="631"/>
      <c r="G2252" s="631"/>
      <c r="H2252" s="631"/>
      <c r="I2252" s="631"/>
      <c r="J2252" s="631"/>
      <c r="M2252" s="475"/>
      <c r="N2252" s="475"/>
      <c r="O2252" s="475"/>
      <c r="P2252" s="545"/>
      <c r="R2252" s="490" t="str">
        <f>IF(C2252=" ","DELETE",IF(C2252=0,"DELETE"," "))</f>
        <v>DELETE</v>
      </c>
    </row>
    <row r="2253" spans="2:18" ht="36" customHeight="1" x14ac:dyDescent="0.5">
      <c r="B2253" s="501"/>
      <c r="C2253" s="630"/>
      <c r="D2253" s="631"/>
      <c r="E2253" s="631"/>
      <c r="F2253" s="631"/>
      <c r="G2253" s="631"/>
      <c r="H2253" s="631"/>
      <c r="I2253" s="631"/>
      <c r="J2253" s="631"/>
      <c r="M2253" s="475"/>
      <c r="N2253" s="475"/>
      <c r="O2253" s="475"/>
      <c r="P2253" s="545"/>
    </row>
    <row r="2254" spans="2:18" ht="36" customHeight="1" x14ac:dyDescent="0.5">
      <c r="B2254" s="501"/>
      <c r="C2254" s="631">
        <f>TrialBalance!C367</f>
        <v>0</v>
      </c>
      <c r="D2254" s="648"/>
      <c r="E2254" s="631"/>
      <c r="F2254" s="631"/>
      <c r="G2254" s="631"/>
      <c r="H2254" s="631"/>
      <c r="I2254" s="631"/>
      <c r="J2254" s="631"/>
      <c r="M2254" s="475">
        <f>TrialBalance!L367</f>
        <v>0</v>
      </c>
      <c r="N2254" s="475"/>
      <c r="O2254" s="475">
        <f>TrialBalance!N367</f>
        <v>0</v>
      </c>
      <c r="P2254" s="545"/>
      <c r="R2254" s="490" t="str">
        <f t="shared" ref="R2254:R2260" si="109">IF(M2254=0,IF(O2254=0,"DELETE"," ")," ")</f>
        <v>DELETE</v>
      </c>
    </row>
    <row r="2255" spans="2:18" ht="36" customHeight="1" x14ac:dyDescent="0.5">
      <c r="B2255" s="501"/>
      <c r="C2255" s="631">
        <f>TrialBalance!C368</f>
        <v>0</v>
      </c>
      <c r="D2255" s="648"/>
      <c r="E2255" s="631"/>
      <c r="F2255" s="631"/>
      <c r="G2255" s="631"/>
      <c r="H2255" s="631"/>
      <c r="I2255" s="631"/>
      <c r="J2255" s="631"/>
      <c r="M2255" s="475">
        <f>TrialBalance!L368</f>
        <v>0</v>
      </c>
      <c r="N2255" s="475"/>
      <c r="O2255" s="475">
        <f>TrialBalance!N368</f>
        <v>0</v>
      </c>
      <c r="P2255" s="545"/>
      <c r="R2255" s="490" t="str">
        <f t="shared" si="109"/>
        <v>DELETE</v>
      </c>
    </row>
    <row r="2256" spans="2:18" ht="36" customHeight="1" x14ac:dyDescent="0.5">
      <c r="B2256" s="501"/>
      <c r="C2256" s="631">
        <f>TrialBalance!C369</f>
        <v>0</v>
      </c>
      <c r="D2256" s="648"/>
      <c r="E2256" s="631"/>
      <c r="F2256" s="631"/>
      <c r="G2256" s="631"/>
      <c r="H2256" s="631"/>
      <c r="I2256" s="631"/>
      <c r="J2256" s="631"/>
      <c r="M2256" s="475">
        <f>TrialBalance!L369</f>
        <v>0</v>
      </c>
      <c r="N2256" s="475"/>
      <c r="O2256" s="475">
        <f>TrialBalance!N369</f>
        <v>0</v>
      </c>
      <c r="P2256" s="545"/>
      <c r="R2256" s="490" t="str">
        <f t="shared" si="109"/>
        <v>DELETE</v>
      </c>
    </row>
    <row r="2257" spans="2:24" ht="36" customHeight="1" x14ac:dyDescent="0.5">
      <c r="B2257" s="501"/>
      <c r="C2257" s="631">
        <f>TrialBalance!C370</f>
        <v>0</v>
      </c>
      <c r="D2257" s="648"/>
      <c r="E2257" s="631"/>
      <c r="F2257" s="631"/>
      <c r="G2257" s="631"/>
      <c r="H2257" s="631"/>
      <c r="I2257" s="631"/>
      <c r="J2257" s="631"/>
      <c r="M2257" s="475">
        <f>TrialBalance!L370</f>
        <v>0</v>
      </c>
      <c r="N2257" s="475"/>
      <c r="O2257" s="475">
        <f>TrialBalance!N370</f>
        <v>0</v>
      </c>
      <c r="P2257" s="545"/>
      <c r="R2257" s="490" t="str">
        <f t="shared" si="109"/>
        <v>DELETE</v>
      </c>
    </row>
    <row r="2258" spans="2:24" ht="36" customHeight="1" x14ac:dyDescent="0.5">
      <c r="B2258" s="501"/>
      <c r="C2258" s="631">
        <f>TrialBalance!C371</f>
        <v>0</v>
      </c>
      <c r="D2258" s="648"/>
      <c r="E2258" s="631"/>
      <c r="F2258" s="631"/>
      <c r="G2258" s="631"/>
      <c r="H2258" s="631"/>
      <c r="I2258" s="631"/>
      <c r="J2258" s="631"/>
      <c r="M2258" s="475">
        <f>TrialBalance!L371</f>
        <v>0</v>
      </c>
      <c r="N2258" s="475"/>
      <c r="O2258" s="475">
        <f>TrialBalance!N371</f>
        <v>0</v>
      </c>
      <c r="P2258" s="545"/>
      <c r="R2258" s="490" t="str">
        <f t="shared" si="109"/>
        <v>DELETE</v>
      </c>
    </row>
    <row r="2259" spans="2:24" ht="36" customHeight="1" x14ac:dyDescent="0.5">
      <c r="B2259" s="501"/>
      <c r="C2259" s="631">
        <f>TrialBalance!C372</f>
        <v>0</v>
      </c>
      <c r="D2259" s="648"/>
      <c r="E2259" s="631"/>
      <c r="F2259" s="631"/>
      <c r="G2259" s="631"/>
      <c r="H2259" s="631"/>
      <c r="I2259" s="631"/>
      <c r="J2259" s="631"/>
      <c r="M2259" s="475">
        <f>TrialBalance!L372</f>
        <v>0</v>
      </c>
      <c r="N2259" s="475"/>
      <c r="O2259" s="475">
        <f>TrialBalance!N372</f>
        <v>0</v>
      </c>
      <c r="P2259" s="545"/>
      <c r="R2259" s="490" t="str">
        <f t="shared" si="109"/>
        <v>DELETE</v>
      </c>
    </row>
    <row r="2260" spans="2:24" ht="36" customHeight="1" x14ac:dyDescent="0.5">
      <c r="B2260" s="501"/>
      <c r="C2260" s="631" t="str">
        <f>TrialBalance!C373</f>
        <v>Cash on hand</v>
      </c>
      <c r="D2260" s="648"/>
      <c r="E2260" s="631"/>
      <c r="F2260" s="631"/>
      <c r="G2260" s="631"/>
      <c r="H2260" s="631"/>
      <c r="I2260" s="631"/>
      <c r="J2260" s="631"/>
      <c r="M2260" s="475">
        <f>TrialBalance!L373</f>
        <v>0</v>
      </c>
      <c r="N2260" s="475"/>
      <c r="O2260" s="475">
        <f>TrialBalance!N373</f>
        <v>0</v>
      </c>
      <c r="P2260" s="545"/>
      <c r="R2260" s="490" t="str">
        <f t="shared" si="109"/>
        <v>DELETE</v>
      </c>
    </row>
    <row r="2261" spans="2:24" ht="9" customHeight="1" x14ac:dyDescent="0.5">
      <c r="B2261" s="501"/>
      <c r="C2261" s="630"/>
      <c r="D2261" s="631"/>
      <c r="E2261" s="631"/>
      <c r="F2261" s="631"/>
      <c r="G2261" s="631"/>
      <c r="H2261" s="631"/>
      <c r="I2261" s="631"/>
      <c r="J2261" s="631"/>
      <c r="M2261" s="461"/>
      <c r="N2261" s="461"/>
      <c r="O2261" s="461"/>
      <c r="P2261" s="545"/>
      <c r="R2261" s="490" t="str">
        <f>R$2263</f>
        <v>DELETE</v>
      </c>
    </row>
    <row r="2262" spans="2:24" ht="9" customHeight="1" x14ac:dyDescent="0.5">
      <c r="B2262" s="501"/>
      <c r="C2262" s="630"/>
      <c r="D2262" s="631"/>
      <c r="E2262" s="631"/>
      <c r="F2262" s="631"/>
      <c r="G2262" s="631"/>
      <c r="H2262" s="631"/>
      <c r="I2262" s="631"/>
      <c r="J2262" s="631"/>
      <c r="M2262" s="475"/>
      <c r="N2262" s="475"/>
      <c r="O2262" s="475"/>
      <c r="P2262" s="545"/>
      <c r="R2262" s="490" t="str">
        <f>R$2263</f>
        <v>DELETE</v>
      </c>
    </row>
    <row r="2263" spans="2:24" ht="36.75" customHeight="1" x14ac:dyDescent="0.5">
      <c r="B2263" s="501"/>
      <c r="C2263" s="630"/>
      <c r="D2263" s="631"/>
      <c r="E2263" s="631"/>
      <c r="F2263" s="631"/>
      <c r="G2263" s="631"/>
      <c r="H2263" s="631"/>
      <c r="I2263" s="631"/>
      <c r="J2263" s="631"/>
      <c r="M2263" s="475">
        <f>SUM(M2254:M2261)</f>
        <v>0</v>
      </c>
      <c r="N2263" s="475"/>
      <c r="O2263" s="475">
        <f>SUM(O2254:O2261)</f>
        <v>0</v>
      </c>
      <c r="P2263" s="545"/>
      <c r="R2263" s="490" t="str">
        <f t="shared" ref="R2263" si="110">IF(M2263=0,IF(O2263=0,"DELETE"," ")," ")</f>
        <v>DELETE</v>
      </c>
      <c r="V2263" s="491" t="b">
        <f>M2263=M858</f>
        <v>1</v>
      </c>
      <c r="X2263" s="491" t="b">
        <f>O2263=O858</f>
        <v>1</v>
      </c>
    </row>
    <row r="2264" spans="2:24" ht="9" customHeight="1" thickBot="1" x14ac:dyDescent="0.55000000000000004">
      <c r="B2264" s="501"/>
      <c r="C2264" s="630"/>
      <c r="D2264" s="631"/>
      <c r="E2264" s="631"/>
      <c r="F2264" s="631"/>
      <c r="G2264" s="631"/>
      <c r="H2264" s="631"/>
      <c r="I2264" s="631"/>
      <c r="J2264" s="631"/>
      <c r="M2264" s="462"/>
      <c r="N2264" s="462"/>
      <c r="O2264" s="462"/>
      <c r="P2264" s="545"/>
      <c r="R2264" s="490" t="str">
        <f t="shared" ref="R2264:R2265" si="111">R$2263</f>
        <v>DELETE</v>
      </c>
    </row>
    <row r="2265" spans="2:24" ht="9" customHeight="1" thickTop="1" x14ac:dyDescent="0.5">
      <c r="B2265" s="501"/>
      <c r="C2265" s="630"/>
      <c r="D2265" s="631"/>
      <c r="E2265" s="631"/>
      <c r="F2265" s="631"/>
      <c r="G2265" s="631"/>
      <c r="H2265" s="631"/>
      <c r="I2265" s="631"/>
      <c r="J2265" s="631"/>
      <c r="M2265" s="475"/>
      <c r="N2265" s="475"/>
      <c r="O2265" s="475"/>
      <c r="P2265" s="545"/>
      <c r="R2265" s="490" t="str">
        <f t="shared" si="111"/>
        <v>DELETE</v>
      </c>
    </row>
    <row r="2266" spans="2:24" ht="36" customHeight="1" x14ac:dyDescent="0.5">
      <c r="B2266" s="501"/>
      <c r="C2266" s="630"/>
      <c r="D2266" s="631"/>
      <c r="E2266" s="631"/>
      <c r="F2266" s="631"/>
      <c r="G2266" s="631"/>
      <c r="H2266" s="631"/>
      <c r="I2266" s="631"/>
      <c r="J2266" s="631"/>
      <c r="M2266" s="475"/>
      <c r="N2266" s="475"/>
      <c r="O2266" s="475"/>
      <c r="P2266" s="545"/>
    </row>
    <row r="2267" spans="2:24" ht="36" customHeight="1" x14ac:dyDescent="0.5">
      <c r="B2267" s="501"/>
      <c r="C2267" s="630"/>
      <c r="D2267" s="631"/>
      <c r="E2267" s="631"/>
      <c r="F2267" s="631"/>
      <c r="G2267" s="631"/>
      <c r="H2267" s="631"/>
      <c r="I2267" s="631"/>
      <c r="J2267" s="631"/>
      <c r="M2267" s="475"/>
      <c r="N2267" s="475"/>
      <c r="O2267" s="475"/>
      <c r="P2267" s="545"/>
    </row>
    <row r="2268" spans="2:24" ht="36" customHeight="1" x14ac:dyDescent="0.5">
      <c r="B2268" s="501"/>
      <c r="C2268" s="630"/>
      <c r="D2268" s="631"/>
      <c r="E2268" s="631"/>
      <c r="F2268" s="631"/>
      <c r="G2268" s="631"/>
      <c r="H2268" s="631"/>
      <c r="I2268" s="631"/>
      <c r="J2268" s="631"/>
      <c r="M2268" s="475"/>
      <c r="N2268" s="475"/>
      <c r="O2268" s="475"/>
      <c r="P2268" s="545"/>
    </row>
    <row r="2269" spans="2:24" ht="36" customHeight="1" x14ac:dyDescent="0.5">
      <c r="B2269" s="501"/>
      <c r="C2269" s="630"/>
      <c r="D2269" s="631"/>
      <c r="E2269" s="631"/>
      <c r="F2269" s="631"/>
      <c r="G2269" s="631"/>
      <c r="H2269" s="631"/>
      <c r="I2269" s="631"/>
      <c r="J2269" s="631"/>
      <c r="M2269" s="458"/>
      <c r="N2269" s="458"/>
      <c r="O2269" s="458"/>
    </row>
    <row r="2270" spans="2:24" ht="36" customHeight="1" x14ac:dyDescent="0.5">
      <c r="B2270" s="501"/>
      <c r="C2270" s="630"/>
      <c r="D2270" s="631"/>
      <c r="E2270" s="631"/>
      <c r="F2270" s="631"/>
      <c r="G2270" s="631"/>
      <c r="H2270" s="631"/>
      <c r="I2270" s="631"/>
      <c r="J2270" s="631"/>
      <c r="M2270" s="458"/>
      <c r="N2270" s="458"/>
      <c r="O2270" s="458" t="s">
        <v>112</v>
      </c>
      <c r="Q2270" s="450">
        <f>MAX($Q$103:Q2269)+1</f>
        <v>59</v>
      </c>
    </row>
    <row r="2271" spans="2:24" ht="36" customHeight="1" x14ac:dyDescent="0.5">
      <c r="B2271" s="502"/>
      <c r="C2271" s="631"/>
      <c r="D2271" s="630" t="str">
        <f>Criteria!E9</f>
        <v>ABC COMPANY (PROPRIETARY) LIMITED</v>
      </c>
      <c r="E2271" s="631"/>
      <c r="F2271" s="631"/>
      <c r="G2271" s="631"/>
      <c r="H2271" s="631"/>
      <c r="I2271" s="631"/>
      <c r="J2271" s="631"/>
      <c r="M2271" s="541"/>
      <c r="N2271" s="541"/>
      <c r="O2271" s="540"/>
    </row>
    <row r="2272" spans="2:24" ht="36" customHeight="1" x14ac:dyDescent="0.5">
      <c r="B2272" s="502"/>
      <c r="C2272" s="631"/>
      <c r="D2272" s="630" t="str">
        <f>Criteria!E10</f>
        <v>T/A SEAFRONT HOTEL, ABC RESTAURANT AND RENTAL PROPERTIES</v>
      </c>
      <c r="E2272" s="631"/>
      <c r="F2272" s="631"/>
      <c r="G2272" s="631"/>
      <c r="H2272" s="631"/>
      <c r="I2272" s="631"/>
      <c r="J2272" s="631"/>
      <c r="M2272" s="541"/>
      <c r="N2272" s="541"/>
      <c r="O2272" s="541"/>
      <c r="R2272" s="490" t="str">
        <f>IF(D2272=0,"DELETE"," ")</f>
        <v xml:space="preserve"> </v>
      </c>
    </row>
    <row r="2273" spans="2:17" ht="36" customHeight="1" x14ac:dyDescent="0.5">
      <c r="B2273" s="502"/>
      <c r="C2273" s="631"/>
      <c r="D2273" s="631"/>
      <c r="E2273" s="631"/>
      <c r="F2273" s="631"/>
      <c r="G2273" s="631"/>
      <c r="H2273" s="631"/>
      <c r="I2273" s="631"/>
      <c r="J2273" s="631"/>
      <c r="M2273" s="541"/>
      <c r="N2273" s="541"/>
      <c r="O2273" s="541"/>
    </row>
    <row r="2274" spans="2:17" ht="36" customHeight="1" x14ac:dyDescent="0.5">
      <c r="B2274" s="502"/>
      <c r="C2274" s="631"/>
      <c r="D2274" s="630" t="s">
        <v>415</v>
      </c>
      <c r="E2274" s="631"/>
      <c r="F2274" s="631"/>
      <c r="G2274" s="631"/>
      <c r="H2274" s="631"/>
      <c r="I2274" s="631"/>
      <c r="J2274" s="631"/>
      <c r="M2274" s="541"/>
      <c r="N2274" s="541"/>
      <c r="O2274" s="541"/>
    </row>
    <row r="2275" spans="2:17" ht="36" customHeight="1" x14ac:dyDescent="0.5">
      <c r="B2275" s="502"/>
      <c r="C2275" s="631"/>
      <c r="D2275" s="630" t="str">
        <f>Criteria!E20</f>
        <v>28 FEBRUARY 2026</v>
      </c>
      <c r="E2275" s="631"/>
      <c r="F2275" s="631"/>
      <c r="G2275" s="631"/>
      <c r="H2275" s="631"/>
      <c r="I2275" s="631"/>
      <c r="J2275" s="631" t="s">
        <v>282</v>
      </c>
      <c r="M2275" s="541"/>
      <c r="N2275" s="541"/>
      <c r="O2275" s="541"/>
    </row>
    <row r="2276" spans="2:17" ht="36" customHeight="1" x14ac:dyDescent="0.5">
      <c r="B2276" s="502"/>
      <c r="C2276" s="631"/>
      <c r="D2276" s="630"/>
      <c r="E2276" s="631"/>
      <c r="F2276" s="631"/>
      <c r="G2276" s="631"/>
      <c r="H2276" s="631"/>
      <c r="I2276" s="631"/>
      <c r="J2276" s="631"/>
      <c r="M2276" s="541"/>
      <c r="N2276" s="541"/>
      <c r="O2276" s="541"/>
    </row>
    <row r="2277" spans="2:17" ht="36" customHeight="1" x14ac:dyDescent="0.5">
      <c r="B2277" s="640"/>
      <c r="C2277" s="652"/>
      <c r="D2277" s="649"/>
      <c r="E2277" s="649"/>
      <c r="F2277" s="649"/>
      <c r="G2277" s="649"/>
      <c r="H2277" s="649"/>
      <c r="I2277" s="649"/>
      <c r="J2277" s="649"/>
      <c r="K2277" s="457"/>
      <c r="L2277" s="457"/>
      <c r="M2277" s="459"/>
      <c r="N2277" s="459"/>
      <c r="O2277" s="459"/>
      <c r="P2277" s="551"/>
      <c r="Q2277" s="457"/>
    </row>
    <row r="2278" spans="2:17" ht="36" customHeight="1" x14ac:dyDescent="0.5">
      <c r="B2278" s="501"/>
      <c r="C2278" s="630"/>
      <c r="D2278" s="631"/>
      <c r="E2278" s="631"/>
      <c r="F2278" s="631"/>
      <c r="G2278" s="631"/>
      <c r="H2278" s="631"/>
      <c r="I2278" s="631"/>
      <c r="J2278" s="631"/>
      <c r="M2278" s="453">
        <f>Criteria!E22</f>
        <v>2026</v>
      </c>
      <c r="N2278" s="453"/>
      <c r="O2278" s="453">
        <f>Criteria!E27</f>
        <v>2025</v>
      </c>
    </row>
    <row r="2279" spans="2:17" ht="36" customHeight="1" x14ac:dyDescent="0.5">
      <c r="B2279" s="501"/>
      <c r="C2279" s="630"/>
      <c r="D2279" s="631"/>
      <c r="E2279" s="631"/>
      <c r="F2279" s="631"/>
      <c r="G2279" s="631"/>
      <c r="H2279" s="631"/>
      <c r="I2279" s="631"/>
      <c r="J2279" s="631"/>
      <c r="M2279" s="458"/>
      <c r="N2279" s="458"/>
      <c r="O2279" s="458"/>
    </row>
    <row r="2280" spans="2:17" ht="36" customHeight="1" x14ac:dyDescent="0.5">
      <c r="B2280" s="501">
        <f>MAX(B$871:B2279)+1</f>
        <v>21</v>
      </c>
      <c r="C2280" s="630" t="s">
        <v>593</v>
      </c>
      <c r="D2280" s="631"/>
      <c r="E2280" s="631"/>
      <c r="F2280" s="631"/>
      <c r="G2280" s="631"/>
      <c r="H2280" s="631"/>
      <c r="I2280" s="631"/>
      <c r="J2280" s="631"/>
      <c r="M2280" s="458"/>
      <c r="N2280" s="458"/>
      <c r="O2280" s="458"/>
    </row>
    <row r="2281" spans="2:17" ht="36" customHeight="1" x14ac:dyDescent="0.5">
      <c r="B2281" s="501"/>
      <c r="C2281" s="630"/>
      <c r="D2281" s="631"/>
      <c r="E2281" s="631"/>
      <c r="F2281" s="631"/>
      <c r="G2281" s="631"/>
      <c r="H2281" s="631"/>
      <c r="I2281" s="631"/>
      <c r="J2281" s="631"/>
      <c r="M2281" s="458"/>
      <c r="N2281" s="458"/>
      <c r="O2281" s="458"/>
    </row>
    <row r="2282" spans="2:17" ht="36" customHeight="1" x14ac:dyDescent="0.5">
      <c r="B2282" s="501"/>
      <c r="C2282" s="631" t="s">
        <v>1254</v>
      </c>
      <c r="D2282" s="648"/>
      <c r="E2282" s="631"/>
      <c r="F2282" s="631"/>
      <c r="G2282" s="631"/>
      <c r="H2282" s="631"/>
      <c r="I2282" s="631"/>
      <c r="J2282" s="631"/>
      <c r="K2282" s="450"/>
      <c r="M2282" s="450"/>
      <c r="N2282" s="448"/>
      <c r="O2282" s="450"/>
    </row>
    <row r="2283" spans="2:17" ht="36" customHeight="1" x14ac:dyDescent="0.5">
      <c r="B2283" s="501"/>
      <c r="C2283" s="631" t="str">
        <f>Criteria!G114</f>
        <v>1000 Ordinary shares of R1 each</v>
      </c>
      <c r="D2283" s="648"/>
      <c r="E2283" s="631"/>
      <c r="F2283" s="631"/>
      <c r="G2283" s="631"/>
      <c r="H2283" s="657"/>
      <c r="I2283" s="631"/>
      <c r="J2283" s="657"/>
      <c r="K2283" s="483"/>
      <c r="M2283" s="463">
        <f>Criteria!E114*Criteria!E115</f>
        <v>1000</v>
      </c>
      <c r="N2283" s="463"/>
      <c r="O2283" s="463">
        <f>Criteria!F114*Criteria!F115</f>
        <v>1000</v>
      </c>
    </row>
    <row r="2284" spans="2:17" ht="9" customHeight="1" thickBot="1" x14ac:dyDescent="0.55000000000000004">
      <c r="B2284" s="501"/>
      <c r="C2284" s="631"/>
      <c r="D2284" s="648"/>
      <c r="E2284" s="631"/>
      <c r="F2284" s="631"/>
      <c r="G2284" s="631"/>
      <c r="H2284" s="658"/>
      <c r="I2284" s="631"/>
      <c r="J2284" s="658"/>
      <c r="K2284" s="456"/>
      <c r="M2284" s="473"/>
      <c r="N2284" s="473"/>
      <c r="O2284" s="473"/>
    </row>
    <row r="2285" spans="2:17" ht="36" customHeight="1" thickTop="1" x14ac:dyDescent="0.5">
      <c r="B2285" s="501"/>
      <c r="C2285" s="631"/>
      <c r="D2285" s="648"/>
      <c r="E2285" s="631"/>
      <c r="F2285" s="631"/>
      <c r="G2285" s="631"/>
      <c r="H2285" s="631"/>
      <c r="I2285" s="631"/>
      <c r="J2285" s="631"/>
      <c r="M2285" s="458"/>
      <c r="N2285" s="458"/>
      <c r="O2285" s="458"/>
    </row>
    <row r="2286" spans="2:17" ht="36" customHeight="1" x14ac:dyDescent="0.5">
      <c r="B2286" s="501"/>
      <c r="C2286" s="631" t="s">
        <v>925</v>
      </c>
      <c r="D2286" s="648"/>
      <c r="E2286" s="631"/>
      <c r="F2286" s="631"/>
      <c r="G2286" s="631"/>
      <c r="H2286" s="631"/>
      <c r="I2286" s="631"/>
      <c r="J2286" s="631"/>
      <c r="M2286" s="451"/>
      <c r="N2286" s="451"/>
      <c r="O2286" s="451"/>
    </row>
    <row r="2287" spans="2:17" ht="36" customHeight="1" x14ac:dyDescent="0.5">
      <c r="B2287" s="501"/>
      <c r="C2287" s="631" t="str">
        <f>Criteria!G117</f>
        <v>100 Ordinary shares of R1 each</v>
      </c>
      <c r="D2287" s="648"/>
      <c r="E2287" s="631"/>
      <c r="F2287" s="631"/>
      <c r="G2287" s="631"/>
      <c r="H2287" s="659"/>
      <c r="I2287" s="631"/>
      <c r="J2287" s="658"/>
      <c r="K2287" s="456"/>
      <c r="L2287" s="456"/>
      <c r="M2287" s="456">
        <f>-TrialBalance!L170-TrialBalance!L171</f>
        <v>0</v>
      </c>
      <c r="N2287" s="560"/>
      <c r="O2287" s="458">
        <f>-TrialBalance!N170-TrialBalance!N171</f>
        <v>0</v>
      </c>
      <c r="P2287" s="541"/>
    </row>
    <row r="2288" spans="2:17" ht="9" customHeight="1" thickBot="1" x14ac:dyDescent="0.55000000000000004">
      <c r="B2288" s="501"/>
      <c r="C2288" s="630"/>
      <c r="D2288" s="631"/>
      <c r="E2288" s="631"/>
      <c r="F2288" s="631"/>
      <c r="G2288" s="631"/>
      <c r="H2288" s="631"/>
      <c r="I2288" s="631"/>
      <c r="J2288" s="658"/>
      <c r="K2288" s="456"/>
      <c r="L2288" s="456"/>
      <c r="M2288" s="473"/>
      <c r="N2288" s="473"/>
      <c r="O2288" s="473"/>
      <c r="P2288" s="541"/>
    </row>
    <row r="2289" spans="2:18" ht="36" customHeight="1" thickTop="1" x14ac:dyDescent="0.5">
      <c r="B2289" s="501"/>
      <c r="C2289" s="630"/>
      <c r="D2289" s="631"/>
      <c r="E2289" s="631"/>
      <c r="F2289" s="631"/>
      <c r="G2289" s="631"/>
      <c r="H2289" s="659"/>
      <c r="I2289" s="631"/>
      <c r="J2289" s="658"/>
      <c r="K2289" s="456"/>
      <c r="L2289" s="456"/>
      <c r="M2289" s="458"/>
      <c r="N2289" s="458"/>
      <c r="O2289" s="458"/>
      <c r="P2289" s="541"/>
    </row>
    <row r="2290" spans="2:18" ht="36" customHeight="1" x14ac:dyDescent="0.5">
      <c r="B2290" s="501"/>
      <c r="C2290" s="630"/>
      <c r="D2290" s="631"/>
      <c r="E2290" s="631"/>
      <c r="F2290" s="631"/>
      <c r="G2290" s="631"/>
      <c r="H2290" s="659"/>
      <c r="I2290" s="631"/>
      <c r="J2290" s="658"/>
      <c r="K2290" s="456"/>
      <c r="L2290" s="456"/>
      <c r="M2290" s="458"/>
      <c r="N2290" s="458"/>
      <c r="O2290" s="458"/>
      <c r="P2290" s="541"/>
    </row>
    <row r="2291" spans="2:18" ht="36" customHeight="1" x14ac:dyDescent="0.5">
      <c r="B2291" s="501"/>
      <c r="C2291" s="630"/>
      <c r="D2291" s="631"/>
      <c r="E2291" s="631"/>
      <c r="F2291" s="631"/>
      <c r="G2291" s="631"/>
      <c r="H2291" s="660"/>
      <c r="I2291" s="631"/>
      <c r="J2291" s="658"/>
      <c r="K2291" s="456"/>
      <c r="L2291" s="456"/>
      <c r="M2291" s="475"/>
      <c r="N2291" s="475"/>
      <c r="O2291" s="475"/>
      <c r="P2291" s="555"/>
    </row>
    <row r="2292" spans="2:18" ht="36" customHeight="1" x14ac:dyDescent="0.5">
      <c r="B2292" s="501"/>
      <c r="C2292" s="630"/>
      <c r="D2292" s="631"/>
      <c r="E2292" s="631"/>
      <c r="F2292" s="631"/>
      <c r="G2292" s="631"/>
      <c r="H2292" s="631"/>
      <c r="I2292" s="631"/>
      <c r="J2292" s="631"/>
      <c r="M2292" s="458"/>
      <c r="N2292" s="458"/>
      <c r="O2292" s="458"/>
    </row>
    <row r="2293" spans="2:18" ht="36" customHeight="1" x14ac:dyDescent="0.5">
      <c r="B2293" s="501"/>
      <c r="C2293" s="630"/>
      <c r="D2293" s="631"/>
      <c r="E2293" s="631"/>
      <c r="F2293" s="631"/>
      <c r="G2293" s="631"/>
      <c r="H2293" s="631"/>
      <c r="I2293" s="631"/>
      <c r="J2293" s="631"/>
      <c r="M2293" s="458"/>
      <c r="N2293" s="458"/>
      <c r="O2293" s="458" t="s">
        <v>112</v>
      </c>
      <c r="Q2293" s="450">
        <f>MAX($Q$103:Q2292)+1</f>
        <v>60</v>
      </c>
      <c r="R2293" s="490" t="str">
        <f>R$2310</f>
        <v>DELETE</v>
      </c>
    </row>
    <row r="2294" spans="2:18" ht="36" customHeight="1" x14ac:dyDescent="0.5">
      <c r="B2294" s="502"/>
      <c r="C2294" s="631"/>
      <c r="D2294" s="630" t="str">
        <f>Criteria!E9</f>
        <v>ABC COMPANY (PROPRIETARY) LIMITED</v>
      </c>
      <c r="E2294" s="631"/>
      <c r="F2294" s="631"/>
      <c r="G2294" s="631"/>
      <c r="H2294" s="631"/>
      <c r="I2294" s="631"/>
      <c r="J2294" s="631"/>
      <c r="M2294" s="541"/>
      <c r="N2294" s="541"/>
      <c r="O2294" s="540"/>
      <c r="R2294" s="490" t="str">
        <f t="shared" ref="R2294:R2304" si="112">R$2310</f>
        <v>DELETE</v>
      </c>
    </row>
    <row r="2295" spans="2:18" ht="36" customHeight="1" x14ac:dyDescent="0.5">
      <c r="B2295" s="502"/>
      <c r="C2295" s="631"/>
      <c r="D2295" s="630" t="str">
        <f>Criteria!E10</f>
        <v>T/A SEAFRONT HOTEL, ABC RESTAURANT AND RENTAL PROPERTIES</v>
      </c>
      <c r="E2295" s="631"/>
      <c r="F2295" s="631"/>
      <c r="G2295" s="631"/>
      <c r="H2295" s="631"/>
      <c r="I2295" s="631"/>
      <c r="J2295" s="631"/>
      <c r="M2295" s="541"/>
      <c r="N2295" s="541"/>
      <c r="O2295" s="541"/>
      <c r="R2295" s="490" t="str">
        <f>IF(R$2310="DELETE","DELETE",IF(D2295=0,"DELETE"," "))</f>
        <v>DELETE</v>
      </c>
    </row>
    <row r="2296" spans="2:18" ht="36" customHeight="1" x14ac:dyDescent="0.5">
      <c r="B2296" s="502"/>
      <c r="C2296" s="631"/>
      <c r="D2296" s="631"/>
      <c r="E2296" s="631"/>
      <c r="F2296" s="631"/>
      <c r="G2296" s="631"/>
      <c r="H2296" s="631"/>
      <c r="I2296" s="631"/>
      <c r="J2296" s="631"/>
      <c r="M2296" s="541"/>
      <c r="N2296" s="541"/>
      <c r="O2296" s="541"/>
      <c r="R2296" s="490" t="str">
        <f t="shared" si="112"/>
        <v>DELETE</v>
      </c>
    </row>
    <row r="2297" spans="2:18" ht="36" customHeight="1" x14ac:dyDescent="0.5">
      <c r="B2297" s="502"/>
      <c r="C2297" s="631"/>
      <c r="D2297" s="630" t="s">
        <v>415</v>
      </c>
      <c r="E2297" s="631"/>
      <c r="F2297" s="631"/>
      <c r="G2297" s="631"/>
      <c r="H2297" s="631"/>
      <c r="I2297" s="631"/>
      <c r="J2297" s="631"/>
      <c r="M2297" s="541"/>
      <c r="N2297" s="541"/>
      <c r="O2297" s="541"/>
      <c r="R2297" s="490" t="str">
        <f t="shared" si="112"/>
        <v>DELETE</v>
      </c>
    </row>
    <row r="2298" spans="2:18" ht="36" customHeight="1" x14ac:dyDescent="0.5">
      <c r="B2298" s="502"/>
      <c r="C2298" s="631"/>
      <c r="D2298" s="630" t="str">
        <f>Criteria!E20</f>
        <v>28 FEBRUARY 2026</v>
      </c>
      <c r="E2298" s="631"/>
      <c r="F2298" s="631"/>
      <c r="G2298" s="631"/>
      <c r="H2298" s="631"/>
      <c r="I2298" s="631"/>
      <c r="J2298" s="631" t="s">
        <v>282</v>
      </c>
      <c r="M2298" s="541"/>
      <c r="N2298" s="541"/>
      <c r="O2298" s="541"/>
      <c r="R2298" s="490" t="str">
        <f t="shared" si="112"/>
        <v>DELETE</v>
      </c>
    </row>
    <row r="2299" spans="2:18" ht="36" customHeight="1" x14ac:dyDescent="0.5">
      <c r="B2299" s="502"/>
      <c r="C2299" s="631"/>
      <c r="D2299" s="630"/>
      <c r="E2299" s="631"/>
      <c r="F2299" s="631"/>
      <c r="G2299" s="631"/>
      <c r="H2299" s="631"/>
      <c r="I2299" s="631"/>
      <c r="J2299" s="631"/>
      <c r="M2299" s="541"/>
      <c r="N2299" s="541"/>
      <c r="O2299" s="541"/>
      <c r="R2299" s="490" t="str">
        <f t="shared" si="112"/>
        <v>DELETE</v>
      </c>
    </row>
    <row r="2300" spans="2:18" ht="36" customHeight="1" x14ac:dyDescent="0.5">
      <c r="B2300" s="640"/>
      <c r="C2300" s="652"/>
      <c r="D2300" s="649"/>
      <c r="E2300" s="649"/>
      <c r="F2300" s="649"/>
      <c r="G2300" s="649"/>
      <c r="H2300" s="661"/>
      <c r="I2300" s="649"/>
      <c r="J2300" s="662"/>
      <c r="K2300" s="487"/>
      <c r="L2300" s="487"/>
      <c r="M2300" s="459"/>
      <c r="N2300" s="459"/>
      <c r="O2300" s="459"/>
      <c r="P2300" s="557"/>
      <c r="Q2300" s="457"/>
      <c r="R2300" s="490" t="str">
        <f t="shared" si="112"/>
        <v>DELETE</v>
      </c>
    </row>
    <row r="2301" spans="2:18" ht="36" customHeight="1" x14ac:dyDescent="0.5">
      <c r="B2301" s="501"/>
      <c r="C2301" s="630"/>
      <c r="D2301" s="631"/>
      <c r="E2301" s="631"/>
      <c r="F2301" s="631"/>
      <c r="G2301" s="631"/>
      <c r="H2301" s="659"/>
      <c r="I2301" s="631"/>
      <c r="J2301" s="658"/>
      <c r="K2301" s="456"/>
      <c r="L2301" s="456"/>
      <c r="M2301" s="453">
        <f>Criteria!E22</f>
        <v>2026</v>
      </c>
      <c r="N2301" s="453"/>
      <c r="O2301" s="453">
        <f>Criteria!E27</f>
        <v>2025</v>
      </c>
      <c r="P2301" s="541"/>
      <c r="R2301" s="490" t="str">
        <f t="shared" si="112"/>
        <v>DELETE</v>
      </c>
    </row>
    <row r="2302" spans="2:18" ht="36" customHeight="1" x14ac:dyDescent="0.5">
      <c r="B2302" s="501"/>
      <c r="C2302" s="630"/>
      <c r="D2302" s="631"/>
      <c r="E2302" s="631"/>
      <c r="F2302" s="631"/>
      <c r="G2302" s="631"/>
      <c r="H2302" s="659"/>
      <c r="I2302" s="631"/>
      <c r="J2302" s="658"/>
      <c r="K2302" s="456"/>
      <c r="L2302" s="456"/>
      <c r="M2302" s="458"/>
      <c r="N2302" s="458"/>
      <c r="O2302" s="458"/>
      <c r="P2302" s="541"/>
      <c r="R2302" s="490" t="str">
        <f t="shared" si="112"/>
        <v>DELETE</v>
      </c>
    </row>
    <row r="2303" spans="2:18" ht="36" customHeight="1" x14ac:dyDescent="0.5">
      <c r="B2303" s="501">
        <f>MAX(B$871:B2302)+1</f>
        <v>22</v>
      </c>
      <c r="C2303" s="630" t="s">
        <v>594</v>
      </c>
      <c r="D2303" s="631"/>
      <c r="E2303" s="631"/>
      <c r="F2303" s="631"/>
      <c r="G2303" s="631"/>
      <c r="H2303" s="659"/>
      <c r="I2303" s="631"/>
      <c r="J2303" s="658"/>
      <c r="K2303" s="456"/>
      <c r="L2303" s="456"/>
      <c r="M2303" s="458"/>
      <c r="N2303" s="458"/>
      <c r="O2303" s="458"/>
      <c r="P2303" s="541"/>
      <c r="R2303" s="490" t="str">
        <f t="shared" si="112"/>
        <v>DELETE</v>
      </c>
    </row>
    <row r="2304" spans="2:18" ht="36" customHeight="1" x14ac:dyDescent="0.5">
      <c r="B2304" s="501"/>
      <c r="C2304" s="630"/>
      <c r="D2304" s="631"/>
      <c r="E2304" s="631"/>
      <c r="F2304" s="631"/>
      <c r="G2304" s="631"/>
      <c r="H2304" s="659"/>
      <c r="I2304" s="631"/>
      <c r="J2304" s="658"/>
      <c r="K2304" s="456"/>
      <c r="L2304" s="456"/>
      <c r="M2304" s="458"/>
      <c r="N2304" s="458"/>
      <c r="O2304" s="458"/>
      <c r="P2304" s="541"/>
      <c r="R2304" s="490" t="str">
        <f t="shared" si="112"/>
        <v>DELETE</v>
      </c>
    </row>
    <row r="2305" spans="2:18" ht="36" customHeight="1" x14ac:dyDescent="0.5">
      <c r="B2305" s="501"/>
      <c r="C2305" s="631" t="s">
        <v>128</v>
      </c>
      <c r="D2305" s="648"/>
      <c r="E2305" s="631"/>
      <c r="F2305" s="631"/>
      <c r="G2305" s="631"/>
      <c r="H2305" s="659"/>
      <c r="I2305" s="631"/>
      <c r="J2305" s="658"/>
      <c r="K2305" s="456"/>
      <c r="L2305" s="456"/>
      <c r="M2305" s="458">
        <f>-TrialBalance!L173</f>
        <v>0</v>
      </c>
      <c r="N2305" s="458"/>
      <c r="O2305" s="458">
        <f>-TrialBalance!N173</f>
        <v>0</v>
      </c>
      <c r="P2305" s="541"/>
      <c r="R2305" s="490" t="str">
        <f>R2310</f>
        <v>DELETE</v>
      </c>
    </row>
    <row r="2306" spans="2:18" ht="36" customHeight="1" x14ac:dyDescent="0.5">
      <c r="B2306" s="501"/>
      <c r="C2306" s="631" t="s">
        <v>535</v>
      </c>
      <c r="D2306" s="648"/>
      <c r="E2306" s="631"/>
      <c r="F2306" s="631"/>
      <c r="G2306" s="631"/>
      <c r="H2306" s="659"/>
      <c r="I2306" s="631"/>
      <c r="J2306" s="658"/>
      <c r="K2306" s="456"/>
      <c r="L2306" s="456"/>
      <c r="M2306" s="458">
        <f>-TrialBalance!L174</f>
        <v>0</v>
      </c>
      <c r="N2306" s="458"/>
      <c r="O2306" s="458">
        <f>-TrialBalance!N174</f>
        <v>0</v>
      </c>
      <c r="P2306" s="541"/>
      <c r="R2306" s="490" t="str">
        <f t="shared" ref="R2306:R2307" si="113">IF(M2306+O2306=0,"DELETE"," ")</f>
        <v>DELETE</v>
      </c>
    </row>
    <row r="2307" spans="2:18" ht="36" customHeight="1" x14ac:dyDescent="0.5">
      <c r="B2307" s="501"/>
      <c r="C2307" s="631" t="s">
        <v>536</v>
      </c>
      <c r="D2307" s="648"/>
      <c r="E2307" s="631"/>
      <c r="F2307" s="631"/>
      <c r="G2307" s="631"/>
      <c r="H2307" s="659"/>
      <c r="I2307" s="631"/>
      <c r="J2307" s="658"/>
      <c r="K2307" s="456"/>
      <c r="L2307" s="456"/>
      <c r="M2307" s="458">
        <f>-TrialBalance!L175</f>
        <v>0</v>
      </c>
      <c r="N2307" s="458"/>
      <c r="O2307" s="458">
        <f>-TrialBalance!N175</f>
        <v>0</v>
      </c>
      <c r="P2307" s="541"/>
      <c r="R2307" s="490" t="str">
        <f t="shared" si="113"/>
        <v>DELETE</v>
      </c>
    </row>
    <row r="2308" spans="2:18" ht="9" customHeight="1" x14ac:dyDescent="0.5">
      <c r="B2308" s="501"/>
      <c r="C2308" s="630"/>
      <c r="D2308" s="631"/>
      <c r="E2308" s="631"/>
      <c r="F2308" s="631"/>
      <c r="G2308" s="631"/>
      <c r="H2308" s="659"/>
      <c r="I2308" s="631"/>
      <c r="J2308" s="658"/>
      <c r="K2308" s="456"/>
      <c r="L2308" s="456"/>
      <c r="M2308" s="461"/>
      <c r="N2308" s="461"/>
      <c r="O2308" s="461"/>
      <c r="P2308" s="541"/>
      <c r="R2308" s="490" t="str">
        <f t="shared" ref="R2308:R2316" si="114">R$2310</f>
        <v>DELETE</v>
      </c>
    </row>
    <row r="2309" spans="2:18" ht="9" customHeight="1" x14ac:dyDescent="0.5">
      <c r="B2309" s="501"/>
      <c r="C2309" s="630"/>
      <c r="D2309" s="631"/>
      <c r="E2309" s="631"/>
      <c r="F2309" s="631"/>
      <c r="G2309" s="631"/>
      <c r="H2309" s="659"/>
      <c r="I2309" s="631"/>
      <c r="J2309" s="658"/>
      <c r="K2309" s="456"/>
      <c r="L2309" s="456"/>
      <c r="M2309" s="458"/>
      <c r="N2309" s="458"/>
      <c r="O2309" s="458"/>
      <c r="P2309" s="541"/>
      <c r="R2309" s="490" t="str">
        <f t="shared" si="114"/>
        <v>DELETE</v>
      </c>
    </row>
    <row r="2310" spans="2:18" ht="36.75" customHeight="1" x14ac:dyDescent="0.5">
      <c r="B2310" s="501"/>
      <c r="C2310" s="630"/>
      <c r="D2310" s="631"/>
      <c r="E2310" s="631"/>
      <c r="F2310" s="631"/>
      <c r="G2310" s="631"/>
      <c r="H2310" s="659"/>
      <c r="I2310" s="631"/>
      <c r="J2310" s="658"/>
      <c r="K2310" s="456"/>
      <c r="L2310" s="456"/>
      <c r="M2310" s="458">
        <f>SUM(M2305:M2309)</f>
        <v>0</v>
      </c>
      <c r="N2310" s="458"/>
      <c r="O2310" s="458">
        <f>SUM(O2305:O2309)</f>
        <v>0</v>
      </c>
      <c r="P2310" s="541"/>
      <c r="R2310" s="490" t="str">
        <f>IF(COUNTIF(O2305:O2307,"&gt;0")&gt;0," ",IF(COUNTIF(M2305:M2307,"&gt;0")&gt;0," ","DELETE"))</f>
        <v>DELETE</v>
      </c>
    </row>
    <row r="2311" spans="2:18" ht="9" customHeight="1" thickBot="1" x14ac:dyDescent="0.55000000000000004">
      <c r="B2311" s="501"/>
      <c r="C2311" s="630"/>
      <c r="D2311" s="631"/>
      <c r="E2311" s="631"/>
      <c r="F2311" s="631"/>
      <c r="G2311" s="631"/>
      <c r="H2311" s="659"/>
      <c r="I2311" s="631"/>
      <c r="J2311" s="658"/>
      <c r="K2311" s="456"/>
      <c r="L2311" s="456"/>
      <c r="M2311" s="462"/>
      <c r="N2311" s="462"/>
      <c r="O2311" s="462"/>
      <c r="P2311" s="541"/>
      <c r="R2311" s="490" t="str">
        <f t="shared" si="114"/>
        <v>DELETE</v>
      </c>
    </row>
    <row r="2312" spans="2:18" ht="9" customHeight="1" thickTop="1" x14ac:dyDescent="0.5">
      <c r="B2312" s="501"/>
      <c r="C2312" s="630"/>
      <c r="D2312" s="631"/>
      <c r="E2312" s="631"/>
      <c r="F2312" s="631"/>
      <c r="G2312" s="631"/>
      <c r="H2312" s="659"/>
      <c r="I2312" s="631"/>
      <c r="J2312" s="658"/>
      <c r="K2312" s="456"/>
      <c r="L2312" s="456"/>
      <c r="M2312" s="475"/>
      <c r="N2312" s="475"/>
      <c r="O2312" s="475"/>
      <c r="P2312" s="541"/>
      <c r="R2312" s="490" t="str">
        <f t="shared" si="114"/>
        <v>DELETE</v>
      </c>
    </row>
    <row r="2313" spans="2:18" ht="36" customHeight="1" x14ac:dyDescent="0.5">
      <c r="B2313" s="501"/>
      <c r="C2313" s="630"/>
      <c r="D2313" s="631"/>
      <c r="E2313" s="631"/>
      <c r="F2313" s="631"/>
      <c r="G2313" s="631"/>
      <c r="H2313" s="631"/>
      <c r="I2313" s="631"/>
      <c r="J2313" s="658"/>
      <c r="K2313" s="456"/>
      <c r="L2313" s="456"/>
      <c r="M2313" s="458"/>
      <c r="N2313" s="458"/>
      <c r="O2313" s="458"/>
      <c r="P2313" s="541"/>
      <c r="R2313" s="490" t="str">
        <f t="shared" si="114"/>
        <v>DELETE</v>
      </c>
    </row>
    <row r="2314" spans="2:18" ht="36" customHeight="1" x14ac:dyDescent="0.5">
      <c r="B2314" s="501"/>
      <c r="C2314" s="630"/>
      <c r="D2314" s="631"/>
      <c r="E2314" s="631"/>
      <c r="F2314" s="631"/>
      <c r="G2314" s="631"/>
      <c r="H2314" s="631"/>
      <c r="I2314" s="631"/>
      <c r="J2314" s="658"/>
      <c r="K2314" s="456"/>
      <c r="L2314" s="456"/>
      <c r="M2314" s="458"/>
      <c r="N2314" s="458"/>
      <c r="O2314" s="458"/>
      <c r="P2314" s="541"/>
      <c r="R2314" s="490" t="str">
        <f t="shared" si="114"/>
        <v>DELETE</v>
      </c>
    </row>
    <row r="2315" spans="2:18" ht="36" customHeight="1" x14ac:dyDescent="0.5">
      <c r="B2315" s="501"/>
      <c r="C2315" s="630"/>
      <c r="D2315" s="631"/>
      <c r="E2315" s="631"/>
      <c r="F2315" s="631"/>
      <c r="G2315" s="631"/>
      <c r="H2315" s="631"/>
      <c r="I2315" s="631"/>
      <c r="J2315" s="658"/>
      <c r="K2315" s="456"/>
      <c r="L2315" s="456"/>
      <c r="M2315" s="475"/>
      <c r="N2315" s="475"/>
      <c r="O2315" s="475"/>
      <c r="P2315" s="555"/>
      <c r="R2315" s="490" t="str">
        <f t="shared" si="114"/>
        <v>DELETE</v>
      </c>
    </row>
    <row r="2316" spans="2:18" ht="36" customHeight="1" x14ac:dyDescent="0.5">
      <c r="B2316" s="501"/>
      <c r="C2316" s="630"/>
      <c r="D2316" s="631"/>
      <c r="E2316" s="631"/>
      <c r="F2316" s="631"/>
      <c r="G2316" s="631"/>
      <c r="H2316" s="631"/>
      <c r="I2316" s="631"/>
      <c r="J2316" s="631"/>
      <c r="M2316" s="458"/>
      <c r="N2316" s="458"/>
      <c r="O2316" s="458"/>
      <c r="R2316" s="490" t="str">
        <f t="shared" si="114"/>
        <v>DELETE</v>
      </c>
    </row>
    <row r="2317" spans="2:18" ht="36" customHeight="1" x14ac:dyDescent="0.5">
      <c r="B2317" s="501"/>
      <c r="C2317" s="630"/>
      <c r="D2317" s="631"/>
      <c r="E2317" s="631"/>
      <c r="F2317" s="631"/>
      <c r="G2317" s="631"/>
      <c r="H2317" s="631"/>
      <c r="I2317" s="631"/>
      <c r="J2317" s="631"/>
      <c r="M2317" s="458"/>
      <c r="N2317" s="458"/>
      <c r="O2317" s="458" t="s">
        <v>112</v>
      </c>
      <c r="Q2317" s="450">
        <f>MAX($Q$103:Q2316)+1</f>
        <v>61</v>
      </c>
      <c r="R2317" s="490" t="str">
        <f>R$2346</f>
        <v>DELETE</v>
      </c>
    </row>
    <row r="2318" spans="2:18" ht="36" customHeight="1" x14ac:dyDescent="0.5">
      <c r="B2318" s="502"/>
      <c r="C2318" s="631"/>
      <c r="D2318" s="630" t="str">
        <f>Criteria!E9</f>
        <v>ABC COMPANY (PROPRIETARY) LIMITED</v>
      </c>
      <c r="E2318" s="631"/>
      <c r="F2318" s="631"/>
      <c r="G2318" s="631"/>
      <c r="H2318" s="631"/>
      <c r="I2318" s="631"/>
      <c r="J2318" s="631"/>
      <c r="M2318" s="541"/>
      <c r="N2318" s="541"/>
      <c r="O2318" s="540"/>
      <c r="R2318" s="490" t="str">
        <f t="shared" ref="R2318:R2328" si="115">R$2346</f>
        <v>DELETE</v>
      </c>
    </row>
    <row r="2319" spans="2:18" ht="36" customHeight="1" x14ac:dyDescent="0.5">
      <c r="B2319" s="502"/>
      <c r="C2319" s="631"/>
      <c r="D2319" s="630" t="str">
        <f>Criteria!E10</f>
        <v>T/A SEAFRONT HOTEL, ABC RESTAURANT AND RENTAL PROPERTIES</v>
      </c>
      <c r="E2319" s="631"/>
      <c r="F2319" s="631"/>
      <c r="G2319" s="631"/>
      <c r="H2319" s="631"/>
      <c r="I2319" s="631"/>
      <c r="J2319" s="631"/>
      <c r="M2319" s="541"/>
      <c r="N2319" s="541"/>
      <c r="O2319" s="541"/>
      <c r="R2319" s="490" t="str">
        <f>IF(R$2346="DELETE","DELETE",IF(D2319=0,"DELETE"," "))</f>
        <v>DELETE</v>
      </c>
    </row>
    <row r="2320" spans="2:18" ht="36" customHeight="1" x14ac:dyDescent="0.5">
      <c r="B2320" s="502"/>
      <c r="C2320" s="631"/>
      <c r="D2320" s="631"/>
      <c r="E2320" s="631"/>
      <c r="F2320" s="631"/>
      <c r="G2320" s="631"/>
      <c r="H2320" s="631"/>
      <c r="I2320" s="631"/>
      <c r="J2320" s="631"/>
      <c r="M2320" s="541"/>
      <c r="N2320" s="541"/>
      <c r="O2320" s="541"/>
      <c r="R2320" s="490" t="str">
        <f t="shared" si="115"/>
        <v>DELETE</v>
      </c>
    </row>
    <row r="2321" spans="2:24" ht="36" customHeight="1" x14ac:dyDescent="0.5">
      <c r="B2321" s="502"/>
      <c r="C2321" s="631"/>
      <c r="D2321" s="630" t="s">
        <v>415</v>
      </c>
      <c r="E2321" s="631"/>
      <c r="F2321" s="631"/>
      <c r="G2321" s="631"/>
      <c r="H2321" s="631"/>
      <c r="I2321" s="631"/>
      <c r="J2321" s="631"/>
      <c r="M2321" s="541"/>
      <c r="N2321" s="541"/>
      <c r="O2321" s="541"/>
      <c r="R2321" s="490" t="str">
        <f t="shared" si="115"/>
        <v>DELETE</v>
      </c>
    </row>
    <row r="2322" spans="2:24" ht="36" customHeight="1" x14ac:dyDescent="0.5">
      <c r="B2322" s="502"/>
      <c r="C2322" s="631"/>
      <c r="D2322" s="630" t="str">
        <f>Criteria!E20</f>
        <v>28 FEBRUARY 2026</v>
      </c>
      <c r="E2322" s="631"/>
      <c r="F2322" s="631"/>
      <c r="G2322" s="631"/>
      <c r="H2322" s="631"/>
      <c r="I2322" s="631"/>
      <c r="J2322" s="631" t="s">
        <v>282</v>
      </c>
      <c r="M2322" s="541"/>
      <c r="N2322" s="541"/>
      <c r="O2322" s="541"/>
      <c r="R2322" s="490" t="str">
        <f t="shared" si="115"/>
        <v>DELETE</v>
      </c>
    </row>
    <row r="2323" spans="2:24" ht="36" customHeight="1" x14ac:dyDescent="0.5">
      <c r="B2323" s="502"/>
      <c r="C2323" s="631"/>
      <c r="D2323" s="630"/>
      <c r="E2323" s="631"/>
      <c r="F2323" s="631"/>
      <c r="G2323" s="631"/>
      <c r="H2323" s="631"/>
      <c r="I2323" s="631"/>
      <c r="J2323" s="631"/>
      <c r="M2323" s="541"/>
      <c r="N2323" s="541"/>
      <c r="O2323" s="541"/>
      <c r="R2323" s="490" t="str">
        <f t="shared" si="115"/>
        <v>DELETE</v>
      </c>
    </row>
    <row r="2324" spans="2:24" ht="36" customHeight="1" x14ac:dyDescent="0.5">
      <c r="B2324" s="640"/>
      <c r="C2324" s="652"/>
      <c r="D2324" s="649"/>
      <c r="E2324" s="649"/>
      <c r="F2324" s="649"/>
      <c r="G2324" s="649"/>
      <c r="H2324" s="649"/>
      <c r="I2324" s="649"/>
      <c r="J2324" s="662"/>
      <c r="K2324" s="487"/>
      <c r="L2324" s="487"/>
      <c r="M2324" s="459"/>
      <c r="N2324" s="459"/>
      <c r="O2324" s="459"/>
      <c r="P2324" s="557"/>
      <c r="Q2324" s="457"/>
      <c r="R2324" s="490" t="str">
        <f t="shared" si="115"/>
        <v>DELETE</v>
      </c>
    </row>
    <row r="2325" spans="2:24" ht="36" customHeight="1" x14ac:dyDescent="0.5">
      <c r="B2325" s="501"/>
      <c r="C2325" s="630"/>
      <c r="D2325" s="631"/>
      <c r="E2325" s="631"/>
      <c r="F2325" s="631"/>
      <c r="G2325" s="631"/>
      <c r="H2325" s="631"/>
      <c r="I2325" s="631"/>
      <c r="J2325" s="658"/>
      <c r="K2325" s="456"/>
      <c r="L2325" s="456"/>
      <c r="M2325" s="453">
        <f>Criteria!E22</f>
        <v>2026</v>
      </c>
      <c r="N2325" s="453"/>
      <c r="O2325" s="453">
        <f>Criteria!E27</f>
        <v>2025</v>
      </c>
      <c r="P2325" s="541"/>
      <c r="R2325" s="490" t="str">
        <f t="shared" si="115"/>
        <v>DELETE</v>
      </c>
    </row>
    <row r="2326" spans="2:24" ht="36" customHeight="1" x14ac:dyDescent="0.5">
      <c r="B2326" s="501"/>
      <c r="C2326" s="630"/>
      <c r="D2326" s="631"/>
      <c r="E2326" s="631"/>
      <c r="F2326" s="631"/>
      <c r="G2326" s="631"/>
      <c r="H2326" s="631"/>
      <c r="I2326" s="631"/>
      <c r="J2326" s="658"/>
      <c r="K2326" s="456"/>
      <c r="L2326" s="456"/>
      <c r="M2326" s="458"/>
      <c r="N2326" s="458"/>
      <c r="O2326" s="458"/>
      <c r="P2326" s="541"/>
      <c r="R2326" s="490" t="str">
        <f t="shared" si="115"/>
        <v>DELETE</v>
      </c>
    </row>
    <row r="2327" spans="2:24" ht="36" customHeight="1" x14ac:dyDescent="0.5">
      <c r="B2327" s="501">
        <f>MAX(B$871:B2326)+1</f>
        <v>23</v>
      </c>
      <c r="C2327" s="630" t="s">
        <v>13</v>
      </c>
      <c r="D2327" s="631"/>
      <c r="E2327" s="631"/>
      <c r="F2327" s="631"/>
      <c r="G2327" s="631"/>
      <c r="H2327" s="631"/>
      <c r="I2327" s="631"/>
      <c r="J2327" s="631"/>
      <c r="M2327" s="458"/>
      <c r="N2327" s="458"/>
      <c r="O2327" s="458"/>
      <c r="R2327" s="490" t="str">
        <f t="shared" si="115"/>
        <v>DELETE</v>
      </c>
    </row>
    <row r="2328" spans="2:24" ht="36" customHeight="1" x14ac:dyDescent="0.5">
      <c r="B2328" s="501"/>
      <c r="C2328" s="630"/>
      <c r="D2328" s="631"/>
      <c r="E2328" s="631"/>
      <c r="F2328" s="631"/>
      <c r="G2328" s="631"/>
      <c r="H2328" s="631"/>
      <c r="I2328" s="631"/>
      <c r="J2328" s="631"/>
      <c r="M2328" s="458"/>
      <c r="N2328" s="458"/>
      <c r="O2328" s="458"/>
      <c r="R2328" s="490" t="str">
        <f t="shared" si="115"/>
        <v>DELETE</v>
      </c>
    </row>
    <row r="2329" spans="2:24" ht="36" customHeight="1" x14ac:dyDescent="0.5">
      <c r="B2329" s="501"/>
      <c r="C2329" s="631" t="s">
        <v>1525</v>
      </c>
      <c r="D2329" s="648"/>
      <c r="E2329" s="631"/>
      <c r="F2329" s="631"/>
      <c r="G2329" s="631"/>
      <c r="H2329" s="631"/>
      <c r="I2329" s="631"/>
      <c r="J2329" s="631"/>
      <c r="M2329" s="458">
        <f>SUM(M2332:M2334)</f>
        <v>0</v>
      </c>
      <c r="N2329" s="458"/>
      <c r="O2329" s="458">
        <f>SUM(O2332:O2334)</f>
        <v>0</v>
      </c>
      <c r="R2329" s="490" t="str">
        <f>IF(COUNTIF(O2332:O2334,"&gt;0")&gt;0," ",IF(COUNTIF(M2332:M2334,"&gt;0")&gt;0," ","DELETE"))</f>
        <v>DELETE</v>
      </c>
      <c r="S2329" s="495">
        <f>M2329</f>
        <v>0</v>
      </c>
      <c r="T2329" s="495"/>
      <c r="U2329" s="495">
        <f>O2329</f>
        <v>0</v>
      </c>
      <c r="V2329" s="495"/>
      <c r="W2329" s="495"/>
      <c r="X2329" s="495"/>
    </row>
    <row r="2330" spans="2:24" ht="9" customHeight="1" x14ac:dyDescent="0.5">
      <c r="B2330" s="501"/>
      <c r="C2330" s="631"/>
      <c r="D2330" s="648"/>
      <c r="E2330" s="631"/>
      <c r="F2330" s="631"/>
      <c r="G2330" s="631"/>
      <c r="H2330" s="631"/>
      <c r="I2330" s="631"/>
      <c r="J2330" s="631"/>
      <c r="M2330" s="458"/>
      <c r="N2330" s="458"/>
      <c r="O2330" s="458"/>
      <c r="R2330" s="490" t="str">
        <f t="shared" ref="R2330" si="116">R2329</f>
        <v>DELETE</v>
      </c>
    </row>
    <row r="2331" spans="2:24" ht="9" customHeight="1" x14ac:dyDescent="0.5">
      <c r="B2331" s="501"/>
      <c r="C2331" s="631"/>
      <c r="D2331" s="648"/>
      <c r="E2331" s="631"/>
      <c r="F2331" s="631"/>
      <c r="G2331" s="631"/>
      <c r="H2331" s="631"/>
      <c r="I2331" s="631"/>
      <c r="J2331" s="631"/>
      <c r="M2331" s="578"/>
      <c r="N2331" s="459"/>
      <c r="O2331" s="579"/>
      <c r="R2331" s="490" t="str">
        <f>R2329</f>
        <v>DELETE</v>
      </c>
    </row>
    <row r="2332" spans="2:24" ht="36" customHeight="1" x14ac:dyDescent="0.5">
      <c r="B2332" s="501"/>
      <c r="C2332" s="631" t="s">
        <v>128</v>
      </c>
      <c r="D2332" s="648"/>
      <c r="E2332" s="631"/>
      <c r="F2332" s="631"/>
      <c r="G2332" s="631"/>
      <c r="H2332" s="631"/>
      <c r="I2332" s="631"/>
      <c r="J2332" s="631"/>
      <c r="M2332" s="580">
        <f>-TrialBalance!L177</f>
        <v>0</v>
      </c>
      <c r="N2332" s="458"/>
      <c r="O2332" s="581">
        <f>-TrialBalance!N177</f>
        <v>0</v>
      </c>
      <c r="R2332" s="490" t="str">
        <f>R2329</f>
        <v>DELETE</v>
      </c>
      <c r="V2332" s="491" t="b">
        <f>M2332=O2329</f>
        <v>1</v>
      </c>
    </row>
    <row r="2333" spans="2:24" ht="36" customHeight="1" x14ac:dyDescent="0.5">
      <c r="B2333" s="501"/>
      <c r="C2333" s="631" t="s">
        <v>1346</v>
      </c>
      <c r="D2333" s="648"/>
      <c r="E2333" s="631"/>
      <c r="F2333" s="631"/>
      <c r="G2333" s="631"/>
      <c r="H2333" s="631"/>
      <c r="I2333" s="631"/>
      <c r="J2333" s="631"/>
      <c r="M2333" s="580">
        <f>-TrialBalance!L178</f>
        <v>0</v>
      </c>
      <c r="N2333" s="458"/>
      <c r="O2333" s="581">
        <f>-TrialBalance!N178</f>
        <v>0</v>
      </c>
      <c r="R2333" s="490" t="str">
        <f t="shared" ref="R2333:R2334" si="117">IF(M2333+O2333=0,"DELETE"," ")</f>
        <v>DELETE</v>
      </c>
    </row>
    <row r="2334" spans="2:24" ht="36" customHeight="1" x14ac:dyDescent="0.5">
      <c r="B2334" s="501"/>
      <c r="C2334" s="631" t="s">
        <v>1347</v>
      </c>
      <c r="D2334" s="648"/>
      <c r="E2334" s="631"/>
      <c r="F2334" s="631"/>
      <c r="G2334" s="631"/>
      <c r="H2334" s="631"/>
      <c r="I2334" s="631"/>
      <c r="J2334" s="631"/>
      <c r="M2334" s="580">
        <f>-TrialBalance!L179</f>
        <v>0</v>
      </c>
      <c r="N2334" s="458"/>
      <c r="O2334" s="581">
        <f>-TrialBalance!N179</f>
        <v>0</v>
      </c>
      <c r="R2334" s="490" t="str">
        <f t="shared" si="117"/>
        <v>DELETE</v>
      </c>
    </row>
    <row r="2335" spans="2:24" ht="9" customHeight="1" x14ac:dyDescent="0.5">
      <c r="B2335" s="501"/>
      <c r="C2335" s="631"/>
      <c r="D2335" s="648"/>
      <c r="E2335" s="631"/>
      <c r="F2335" s="631"/>
      <c r="G2335" s="631"/>
      <c r="H2335" s="631"/>
      <c r="I2335" s="631"/>
      <c r="J2335" s="631"/>
      <c r="M2335" s="460"/>
      <c r="N2335" s="461"/>
      <c r="O2335" s="582"/>
      <c r="R2335" s="490" t="str">
        <f>R2329</f>
        <v>DELETE</v>
      </c>
    </row>
    <row r="2336" spans="2:24" ht="9" customHeight="1" x14ac:dyDescent="0.5">
      <c r="B2336" s="501"/>
      <c r="C2336" s="631"/>
      <c r="D2336" s="648"/>
      <c r="E2336" s="631"/>
      <c r="F2336" s="631"/>
      <c r="G2336" s="631"/>
      <c r="H2336" s="631"/>
      <c r="I2336" s="631"/>
      <c r="J2336" s="631"/>
      <c r="M2336" s="458"/>
      <c r="N2336" s="458"/>
      <c r="O2336" s="458"/>
      <c r="R2336" s="490" t="str">
        <f>R2329</f>
        <v>DELETE</v>
      </c>
    </row>
    <row r="2337" spans="2:24" ht="36.75" customHeight="1" x14ac:dyDescent="0.5">
      <c r="B2337" s="501"/>
      <c r="C2337" s="631" t="s">
        <v>1526</v>
      </c>
      <c r="D2337" s="648"/>
      <c r="E2337" s="631"/>
      <c r="F2337" s="631"/>
      <c r="G2337" s="631"/>
      <c r="H2337" s="631"/>
      <c r="I2337" s="631"/>
      <c r="J2337" s="631"/>
      <c r="M2337" s="458">
        <f>SUM(M2340:M2342)</f>
        <v>0</v>
      </c>
      <c r="N2337" s="458"/>
      <c r="O2337" s="458">
        <f>SUM(O2340:O2342)</f>
        <v>0</v>
      </c>
      <c r="R2337" s="490" t="str">
        <f>IF(COUNTIF(O2340:O2342,"&gt;0")&gt;0," ",IF(COUNTIF(M2340:M2342,"&gt;0")&gt;0," ","DELETE"))</f>
        <v>DELETE</v>
      </c>
      <c r="S2337" s="495">
        <f>M2337</f>
        <v>0</v>
      </c>
      <c r="T2337" s="495"/>
      <c r="U2337" s="495">
        <f>O2337</f>
        <v>0</v>
      </c>
      <c r="V2337" s="495"/>
      <c r="W2337" s="495"/>
      <c r="X2337" s="495"/>
    </row>
    <row r="2338" spans="2:24" ht="9" customHeight="1" x14ac:dyDescent="0.5">
      <c r="B2338" s="501"/>
      <c r="C2338" s="631"/>
      <c r="D2338" s="648"/>
      <c r="E2338" s="631"/>
      <c r="F2338" s="631"/>
      <c r="G2338" s="631"/>
      <c r="H2338" s="631"/>
      <c r="I2338" s="631"/>
      <c r="J2338" s="631"/>
      <c r="M2338" s="458"/>
      <c r="N2338" s="458"/>
      <c r="O2338" s="458"/>
      <c r="R2338" s="490" t="str">
        <f>R2337</f>
        <v>DELETE</v>
      </c>
    </row>
    <row r="2339" spans="2:24" ht="9" customHeight="1" x14ac:dyDescent="0.5">
      <c r="B2339" s="501"/>
      <c r="C2339" s="631"/>
      <c r="D2339" s="648"/>
      <c r="E2339" s="631"/>
      <c r="F2339" s="631"/>
      <c r="G2339" s="631"/>
      <c r="H2339" s="631"/>
      <c r="I2339" s="631"/>
      <c r="J2339" s="631"/>
      <c r="M2339" s="578"/>
      <c r="N2339" s="459"/>
      <c r="O2339" s="579"/>
      <c r="R2339" s="490" t="str">
        <f>R2337</f>
        <v>DELETE</v>
      </c>
    </row>
    <row r="2340" spans="2:24" ht="36" customHeight="1" x14ac:dyDescent="0.5">
      <c r="B2340" s="501"/>
      <c r="C2340" s="631" t="s">
        <v>128</v>
      </c>
      <c r="D2340" s="648"/>
      <c r="E2340" s="631"/>
      <c r="F2340" s="631"/>
      <c r="G2340" s="631"/>
      <c r="H2340" s="631"/>
      <c r="I2340" s="631"/>
      <c r="J2340" s="631"/>
      <c r="M2340" s="580">
        <f>-TrialBalance!L181</f>
        <v>0</v>
      </c>
      <c r="N2340" s="458"/>
      <c r="O2340" s="581">
        <f>-TrialBalance!N181</f>
        <v>0</v>
      </c>
      <c r="R2340" s="490" t="str">
        <f>R2337</f>
        <v>DELETE</v>
      </c>
      <c r="V2340" s="491" t="b">
        <f>M2340=O2337</f>
        <v>1</v>
      </c>
    </row>
    <row r="2341" spans="2:24" ht="36" customHeight="1" x14ac:dyDescent="0.5">
      <c r="B2341" s="501"/>
      <c r="C2341" s="631" t="s">
        <v>1348</v>
      </c>
      <c r="D2341" s="648"/>
      <c r="E2341" s="631"/>
      <c r="F2341" s="631"/>
      <c r="G2341" s="631"/>
      <c r="H2341" s="631"/>
      <c r="I2341" s="631"/>
      <c r="J2341" s="631"/>
      <c r="M2341" s="580">
        <f>-TrialBalance!L182</f>
        <v>0</v>
      </c>
      <c r="N2341" s="458"/>
      <c r="O2341" s="581">
        <f>-TrialBalance!N182</f>
        <v>0</v>
      </c>
      <c r="R2341" s="490" t="str">
        <f t="shared" ref="R2341:R2342" si="118">IF(M2341+O2341=0,"DELETE"," ")</f>
        <v>DELETE</v>
      </c>
    </row>
    <row r="2342" spans="2:24" ht="36" customHeight="1" x14ac:dyDescent="0.5">
      <c r="B2342" s="501"/>
      <c r="C2342" s="631" t="s">
        <v>1349</v>
      </c>
      <c r="D2342" s="648"/>
      <c r="E2342" s="631"/>
      <c r="F2342" s="631"/>
      <c r="G2342" s="631"/>
      <c r="H2342" s="631"/>
      <c r="I2342" s="631"/>
      <c r="J2342" s="631"/>
      <c r="M2342" s="580">
        <f>-TrialBalance!L183</f>
        <v>0</v>
      </c>
      <c r="N2342" s="458"/>
      <c r="O2342" s="581">
        <f>-TrialBalance!N183</f>
        <v>0</v>
      </c>
      <c r="R2342" s="490" t="str">
        <f t="shared" si="118"/>
        <v>DELETE</v>
      </c>
    </row>
    <row r="2343" spans="2:24" ht="9" customHeight="1" x14ac:dyDescent="0.5">
      <c r="B2343" s="501"/>
      <c r="C2343" s="630"/>
      <c r="D2343" s="631"/>
      <c r="E2343" s="631"/>
      <c r="F2343" s="631"/>
      <c r="G2343" s="631"/>
      <c r="H2343" s="631"/>
      <c r="I2343" s="631"/>
      <c r="J2343" s="631"/>
      <c r="M2343" s="460"/>
      <c r="N2343" s="461"/>
      <c r="O2343" s="582"/>
      <c r="R2343" s="490" t="str">
        <f>R2337</f>
        <v>DELETE</v>
      </c>
    </row>
    <row r="2344" spans="2:24" ht="9" customHeight="1" x14ac:dyDescent="0.5">
      <c r="B2344" s="501"/>
      <c r="C2344" s="630"/>
      <c r="D2344" s="631"/>
      <c r="E2344" s="631"/>
      <c r="F2344" s="631"/>
      <c r="G2344" s="631"/>
      <c r="H2344" s="631"/>
      <c r="I2344" s="631"/>
      <c r="J2344" s="631"/>
      <c r="M2344" s="461"/>
      <c r="N2344" s="461"/>
      <c r="O2344" s="461"/>
      <c r="R2344" s="490" t="str">
        <f>R2346</f>
        <v>DELETE</v>
      </c>
    </row>
    <row r="2345" spans="2:24" ht="9" customHeight="1" x14ac:dyDescent="0.5">
      <c r="B2345" s="501"/>
      <c r="C2345" s="630"/>
      <c r="D2345" s="631"/>
      <c r="E2345" s="631"/>
      <c r="F2345" s="631"/>
      <c r="G2345" s="631"/>
      <c r="H2345" s="631"/>
      <c r="I2345" s="631"/>
      <c r="J2345" s="631"/>
      <c r="M2345" s="458"/>
      <c r="N2345" s="458"/>
      <c r="O2345" s="458"/>
      <c r="R2345" s="490" t="str">
        <f>R2346</f>
        <v>DELETE</v>
      </c>
    </row>
    <row r="2346" spans="2:24" ht="36.75" customHeight="1" x14ac:dyDescent="0.5">
      <c r="B2346" s="501"/>
      <c r="C2346" s="630"/>
      <c r="D2346" s="631"/>
      <c r="E2346" s="631"/>
      <c r="F2346" s="631"/>
      <c r="G2346" s="631"/>
      <c r="H2346" s="631"/>
      <c r="I2346" s="631"/>
      <c r="J2346" s="631"/>
      <c r="M2346" s="458">
        <f>SUM(S2329:S2344)</f>
        <v>0</v>
      </c>
      <c r="N2346" s="458"/>
      <c r="O2346" s="458">
        <f>SUM(U2329:U2344)</f>
        <v>0</v>
      </c>
      <c r="R2346" s="490" t="str">
        <f>IF(R2329=" "," ",IF(R2337=" "," ","DELETE"))</f>
        <v>DELETE</v>
      </c>
    </row>
    <row r="2347" spans="2:24" ht="9" customHeight="1" thickBot="1" x14ac:dyDescent="0.55000000000000004">
      <c r="B2347" s="501"/>
      <c r="C2347" s="630"/>
      <c r="D2347" s="631"/>
      <c r="E2347" s="631"/>
      <c r="F2347" s="631"/>
      <c r="G2347" s="631"/>
      <c r="H2347" s="631"/>
      <c r="I2347" s="631"/>
      <c r="J2347" s="631"/>
      <c r="M2347" s="462"/>
      <c r="N2347" s="462"/>
      <c r="O2347" s="462"/>
      <c r="R2347" s="490" t="str">
        <f>R2346</f>
        <v>DELETE</v>
      </c>
    </row>
    <row r="2348" spans="2:24" ht="9" customHeight="1" thickTop="1" x14ac:dyDescent="0.5">
      <c r="B2348" s="501"/>
      <c r="C2348" s="630"/>
      <c r="D2348" s="631"/>
      <c r="E2348" s="631"/>
      <c r="F2348" s="631"/>
      <c r="G2348" s="631"/>
      <c r="H2348" s="631"/>
      <c r="I2348" s="631"/>
      <c r="J2348" s="631"/>
      <c r="M2348" s="458"/>
      <c r="N2348" s="458"/>
      <c r="O2348" s="458"/>
      <c r="R2348" s="490" t="str">
        <f>R2346</f>
        <v>DELETE</v>
      </c>
    </row>
    <row r="2349" spans="2:24" ht="36" customHeight="1" x14ac:dyDescent="0.5">
      <c r="B2349" s="501"/>
      <c r="C2349" s="630"/>
      <c r="D2349" s="631"/>
      <c r="E2349" s="631"/>
      <c r="F2349" s="631"/>
      <c r="G2349" s="631"/>
      <c r="H2349" s="631"/>
      <c r="I2349" s="631"/>
      <c r="J2349" s="631"/>
      <c r="M2349" s="458"/>
      <c r="N2349" s="458"/>
      <c r="O2349" s="458"/>
      <c r="R2349" s="490" t="str">
        <f>R$2346</f>
        <v>DELETE</v>
      </c>
    </row>
    <row r="2350" spans="2:24" ht="36" customHeight="1" x14ac:dyDescent="0.5">
      <c r="B2350" s="501"/>
      <c r="C2350" s="630"/>
      <c r="D2350" s="631"/>
      <c r="E2350" s="631"/>
      <c r="F2350" s="631"/>
      <c r="G2350" s="631"/>
      <c r="H2350" s="631"/>
      <c r="I2350" s="631"/>
      <c r="J2350" s="631"/>
      <c r="M2350" s="458"/>
      <c r="N2350" s="458"/>
      <c r="O2350" s="458"/>
      <c r="R2350" s="490" t="str">
        <f>R$2346</f>
        <v>DELETE</v>
      </c>
    </row>
    <row r="2351" spans="2:24" ht="36" customHeight="1" x14ac:dyDescent="0.5">
      <c r="B2351" s="502"/>
      <c r="C2351" s="631"/>
      <c r="D2351" s="631"/>
      <c r="E2351" s="631"/>
      <c r="F2351" s="631"/>
      <c r="G2351" s="631"/>
      <c r="H2351" s="631"/>
      <c r="I2351" s="631"/>
      <c r="J2351" s="631"/>
      <c r="M2351" s="555"/>
      <c r="N2351" s="555"/>
      <c r="O2351" s="555"/>
      <c r="P2351" s="545"/>
      <c r="R2351" s="490" t="str">
        <f>R$2346</f>
        <v>DELETE</v>
      </c>
    </row>
    <row r="2352" spans="2:24" ht="36" customHeight="1" x14ac:dyDescent="0.5">
      <c r="B2352" s="502"/>
      <c r="C2352" s="631"/>
      <c r="D2352" s="631"/>
      <c r="E2352" s="631"/>
      <c r="F2352" s="631"/>
      <c r="G2352" s="631"/>
      <c r="H2352" s="631"/>
      <c r="I2352" s="631"/>
      <c r="J2352" s="631"/>
      <c r="M2352" s="541"/>
      <c r="N2352" s="541"/>
      <c r="O2352" s="541"/>
      <c r="R2352" s="490" t="str">
        <f>R$2346</f>
        <v>DELETE</v>
      </c>
    </row>
    <row r="2353" spans="2:21" ht="36" customHeight="1" x14ac:dyDescent="0.5">
      <c r="B2353" s="502"/>
      <c r="C2353" s="631"/>
      <c r="D2353" s="631"/>
      <c r="E2353" s="631"/>
      <c r="F2353" s="631"/>
      <c r="G2353" s="631"/>
      <c r="H2353" s="631"/>
      <c r="I2353" s="631"/>
      <c r="J2353" s="631"/>
      <c r="M2353" s="541"/>
      <c r="N2353" s="541"/>
      <c r="O2353" s="458" t="s">
        <v>112</v>
      </c>
      <c r="Q2353" s="450">
        <f>MAX($Q$103:Q2352)+1</f>
        <v>62</v>
      </c>
      <c r="R2353" s="490" t="str">
        <f>R$2386</f>
        <v>DELETE</v>
      </c>
    </row>
    <row r="2354" spans="2:21" ht="36" customHeight="1" x14ac:dyDescent="0.5">
      <c r="B2354" s="502"/>
      <c r="C2354" s="631"/>
      <c r="D2354" s="630" t="str">
        <f>Criteria!E9</f>
        <v>ABC COMPANY (PROPRIETARY) LIMITED</v>
      </c>
      <c r="E2354" s="631"/>
      <c r="F2354" s="631"/>
      <c r="G2354" s="631"/>
      <c r="H2354" s="631"/>
      <c r="I2354" s="631"/>
      <c r="J2354" s="631"/>
      <c r="M2354" s="541"/>
      <c r="N2354" s="541"/>
      <c r="O2354" s="540"/>
      <c r="R2354" s="490" t="str">
        <f>R$2386</f>
        <v>DELETE</v>
      </c>
    </row>
    <row r="2355" spans="2:21" ht="36" customHeight="1" x14ac:dyDescent="0.5">
      <c r="B2355" s="502"/>
      <c r="C2355" s="631"/>
      <c r="D2355" s="630" t="str">
        <f>Criteria!E10</f>
        <v>T/A SEAFRONT HOTEL, ABC RESTAURANT AND RENTAL PROPERTIES</v>
      </c>
      <c r="E2355" s="631"/>
      <c r="F2355" s="631"/>
      <c r="G2355" s="631"/>
      <c r="H2355" s="631"/>
      <c r="I2355" s="631"/>
      <c r="J2355" s="631"/>
      <c r="M2355" s="541"/>
      <c r="N2355" s="541"/>
      <c r="O2355" s="541"/>
      <c r="R2355" s="490" t="str">
        <f>IF(R$2386="DELETE","DELETE",IF(D2355=0,"DELETE"," "))</f>
        <v>DELETE</v>
      </c>
    </row>
    <row r="2356" spans="2:21" ht="36" customHeight="1" x14ac:dyDescent="0.5">
      <c r="B2356" s="502"/>
      <c r="C2356" s="631"/>
      <c r="D2356" s="631"/>
      <c r="E2356" s="631"/>
      <c r="F2356" s="631"/>
      <c r="G2356" s="631"/>
      <c r="H2356" s="631"/>
      <c r="I2356" s="631"/>
      <c r="J2356" s="631"/>
      <c r="M2356" s="541"/>
      <c r="N2356" s="541"/>
      <c r="O2356" s="541"/>
      <c r="R2356" s="490" t="str">
        <f t="shared" ref="R2356:R2364" si="119">R$2386</f>
        <v>DELETE</v>
      </c>
    </row>
    <row r="2357" spans="2:21" ht="36" customHeight="1" x14ac:dyDescent="0.5">
      <c r="B2357" s="502"/>
      <c r="C2357" s="631"/>
      <c r="D2357" s="630" t="s">
        <v>415</v>
      </c>
      <c r="E2357" s="631"/>
      <c r="F2357" s="631"/>
      <c r="G2357" s="631"/>
      <c r="H2357" s="631"/>
      <c r="I2357" s="631"/>
      <c r="J2357" s="631"/>
      <c r="M2357" s="541"/>
      <c r="N2357" s="541"/>
      <c r="O2357" s="541"/>
      <c r="R2357" s="490" t="str">
        <f t="shared" si="119"/>
        <v>DELETE</v>
      </c>
    </row>
    <row r="2358" spans="2:21" ht="36" customHeight="1" x14ac:dyDescent="0.5">
      <c r="B2358" s="502"/>
      <c r="C2358" s="631"/>
      <c r="D2358" s="630" t="str">
        <f>Criteria!E20</f>
        <v>28 FEBRUARY 2026</v>
      </c>
      <c r="E2358" s="631"/>
      <c r="F2358" s="631"/>
      <c r="G2358" s="631"/>
      <c r="H2358" s="631"/>
      <c r="I2358" s="631"/>
      <c r="J2358" s="631" t="s">
        <v>282</v>
      </c>
      <c r="M2358" s="541"/>
      <c r="N2358" s="541"/>
      <c r="O2358" s="541"/>
      <c r="R2358" s="490" t="str">
        <f t="shared" si="119"/>
        <v>DELETE</v>
      </c>
    </row>
    <row r="2359" spans="2:21" ht="36" customHeight="1" x14ac:dyDescent="0.5">
      <c r="B2359" s="502"/>
      <c r="C2359" s="631"/>
      <c r="D2359" s="631"/>
      <c r="E2359" s="631"/>
      <c r="F2359" s="631"/>
      <c r="G2359" s="631"/>
      <c r="H2359" s="631"/>
      <c r="I2359" s="631"/>
      <c r="J2359" s="631"/>
      <c r="M2359" s="554"/>
      <c r="N2359" s="554"/>
      <c r="O2359" s="554"/>
      <c r="R2359" s="490" t="str">
        <f t="shared" si="119"/>
        <v>DELETE</v>
      </c>
    </row>
    <row r="2360" spans="2:21" ht="36" customHeight="1" x14ac:dyDescent="0.5">
      <c r="B2360" s="641"/>
      <c r="C2360" s="649"/>
      <c r="D2360" s="649"/>
      <c r="E2360" s="649"/>
      <c r="F2360" s="649"/>
      <c r="G2360" s="649"/>
      <c r="H2360" s="649"/>
      <c r="I2360" s="649"/>
      <c r="J2360" s="649"/>
      <c r="K2360" s="457"/>
      <c r="L2360" s="457"/>
      <c r="M2360" s="557"/>
      <c r="N2360" s="557"/>
      <c r="O2360" s="557"/>
      <c r="P2360" s="551"/>
      <c r="Q2360" s="457"/>
      <c r="R2360" s="490" t="str">
        <f t="shared" si="119"/>
        <v>DELETE</v>
      </c>
    </row>
    <row r="2361" spans="2:21" ht="36" customHeight="1" x14ac:dyDescent="0.5">
      <c r="B2361" s="502"/>
      <c r="C2361" s="631"/>
      <c r="D2361" s="631"/>
      <c r="E2361" s="631"/>
      <c r="F2361" s="631"/>
      <c r="G2361" s="631"/>
      <c r="H2361" s="631"/>
      <c r="I2361" s="631"/>
      <c r="J2361" s="631"/>
      <c r="M2361" s="453">
        <f>Criteria!E22</f>
        <v>2026</v>
      </c>
      <c r="N2361" s="453"/>
      <c r="O2361" s="453">
        <f>Criteria!E27</f>
        <v>2025</v>
      </c>
      <c r="R2361" s="490" t="str">
        <f t="shared" si="119"/>
        <v>DELETE</v>
      </c>
    </row>
    <row r="2362" spans="2:21" ht="36" customHeight="1" x14ac:dyDescent="0.5">
      <c r="B2362" s="501"/>
      <c r="C2362" s="630"/>
      <c r="D2362" s="631"/>
      <c r="E2362" s="631"/>
      <c r="F2362" s="631"/>
      <c r="G2362" s="631"/>
      <c r="H2362" s="631"/>
      <c r="I2362" s="631"/>
      <c r="J2362" s="631"/>
      <c r="M2362" s="458"/>
      <c r="N2362" s="458"/>
      <c r="O2362" s="458"/>
      <c r="R2362" s="490" t="str">
        <f t="shared" si="119"/>
        <v>DELETE</v>
      </c>
    </row>
    <row r="2363" spans="2:21" ht="36" customHeight="1" x14ac:dyDescent="0.5">
      <c r="B2363" s="501">
        <f>MAX(B$871:B2362)+1</f>
        <v>24</v>
      </c>
      <c r="C2363" s="630" t="str">
        <f>IF(COUNTIF(TrialBalance!N186:N200,"&lt;0")&gt;1,"Interest bearing borrowings",IF(COUNTIF(TrialBalance!L186:L200,"&lt;0")&gt;1,"Interest bearing borrowings","Interest bearing borrowing"))</f>
        <v>Interest bearing borrowing</v>
      </c>
      <c r="D2363" s="631"/>
      <c r="E2363" s="631"/>
      <c r="F2363" s="631"/>
      <c r="G2363" s="631"/>
      <c r="H2363" s="631"/>
      <c r="I2363" s="631"/>
      <c r="J2363" s="631"/>
      <c r="M2363" s="458"/>
      <c r="N2363" s="458"/>
      <c r="O2363" s="458"/>
      <c r="R2363" s="490" t="str">
        <f t="shared" si="119"/>
        <v>DELETE</v>
      </c>
      <c r="S2363" s="495">
        <f>SUM(M2365:M2380)</f>
        <v>0</v>
      </c>
      <c r="T2363" s="495"/>
      <c r="U2363" s="495">
        <f>SUM(O2365:O2380)</f>
        <v>0</v>
      </c>
    </row>
    <row r="2364" spans="2:21" ht="36" customHeight="1" x14ac:dyDescent="0.5">
      <c r="B2364" s="501"/>
      <c r="C2364" s="630"/>
      <c r="D2364" s="631"/>
      <c r="E2364" s="631"/>
      <c r="F2364" s="631"/>
      <c r="G2364" s="631"/>
      <c r="H2364" s="631"/>
      <c r="I2364" s="631"/>
      <c r="J2364" s="631"/>
      <c r="M2364" s="458"/>
      <c r="N2364" s="458"/>
      <c r="O2364" s="458"/>
      <c r="R2364" s="490" t="str">
        <f t="shared" si="119"/>
        <v>DELETE</v>
      </c>
      <c r="S2364" s="495"/>
      <c r="T2364" s="495"/>
      <c r="U2364" s="495"/>
    </row>
    <row r="2365" spans="2:21" ht="36" customHeight="1" x14ac:dyDescent="0.5">
      <c r="B2365" s="501"/>
      <c r="C2365" s="631">
        <f>TrialBalance!C186</f>
        <v>0</v>
      </c>
      <c r="D2365" s="648"/>
      <c r="E2365" s="631"/>
      <c r="F2365" s="631"/>
      <c r="G2365" s="631"/>
      <c r="H2365" s="631"/>
      <c r="I2365" s="631"/>
      <c r="J2365" s="631"/>
      <c r="M2365" s="458">
        <f>-TrialBalance!L186</f>
        <v>0</v>
      </c>
      <c r="N2365" s="458"/>
      <c r="O2365" s="458">
        <f>-TrialBalance!N186</f>
        <v>0</v>
      </c>
      <c r="R2365" s="490" t="str">
        <f>IF(M2365+O2365=0,"DELETE"," ")</f>
        <v>DELETE</v>
      </c>
    </row>
    <row r="2366" spans="2:21" ht="36" customHeight="1" x14ac:dyDescent="0.5">
      <c r="B2366" s="501"/>
      <c r="C2366" s="631">
        <f>TrialBalance!C187</f>
        <v>0</v>
      </c>
      <c r="D2366" s="648"/>
      <c r="E2366" s="631"/>
      <c r="F2366" s="631"/>
      <c r="G2366" s="631"/>
      <c r="H2366" s="631"/>
      <c r="I2366" s="631"/>
      <c r="J2366" s="631"/>
      <c r="M2366" s="458">
        <f>-TrialBalance!L187</f>
        <v>0</v>
      </c>
      <c r="N2366" s="458"/>
      <c r="O2366" s="458">
        <f>-TrialBalance!N187</f>
        <v>0</v>
      </c>
      <c r="R2366" s="490" t="str">
        <f t="shared" ref="R2366:R2379" si="120">IF(M2366+O2366=0,"DELETE"," ")</f>
        <v>DELETE</v>
      </c>
    </row>
    <row r="2367" spans="2:21" ht="36" customHeight="1" x14ac:dyDescent="0.5">
      <c r="B2367" s="501"/>
      <c r="C2367" s="631">
        <f>TrialBalance!C188</f>
        <v>0</v>
      </c>
      <c r="D2367" s="648"/>
      <c r="E2367" s="631"/>
      <c r="F2367" s="631"/>
      <c r="G2367" s="631"/>
      <c r="H2367" s="631"/>
      <c r="I2367" s="631"/>
      <c r="J2367" s="631"/>
      <c r="M2367" s="458">
        <f>-TrialBalance!L188</f>
        <v>0</v>
      </c>
      <c r="N2367" s="458"/>
      <c r="O2367" s="458">
        <f>-TrialBalance!N188</f>
        <v>0</v>
      </c>
      <c r="R2367" s="490" t="str">
        <f t="shared" si="120"/>
        <v>DELETE</v>
      </c>
    </row>
    <row r="2368" spans="2:21" ht="36" customHeight="1" x14ac:dyDescent="0.5">
      <c r="B2368" s="501"/>
      <c r="C2368" s="631">
        <f>TrialBalance!C189</f>
        <v>0</v>
      </c>
      <c r="D2368" s="648"/>
      <c r="E2368" s="631"/>
      <c r="F2368" s="631"/>
      <c r="G2368" s="631"/>
      <c r="H2368" s="631"/>
      <c r="I2368" s="631"/>
      <c r="J2368" s="631"/>
      <c r="M2368" s="458">
        <f>-TrialBalance!L189</f>
        <v>0</v>
      </c>
      <c r="N2368" s="458"/>
      <c r="O2368" s="458">
        <f>-TrialBalance!N189</f>
        <v>0</v>
      </c>
      <c r="R2368" s="490" t="str">
        <f t="shared" si="120"/>
        <v>DELETE</v>
      </c>
    </row>
    <row r="2369" spans="2:24" ht="36" customHeight="1" x14ac:dyDescent="0.5">
      <c r="B2369" s="501"/>
      <c r="C2369" s="631">
        <f>TrialBalance!C190</f>
        <v>0</v>
      </c>
      <c r="D2369" s="648"/>
      <c r="E2369" s="631"/>
      <c r="F2369" s="631"/>
      <c r="G2369" s="631"/>
      <c r="H2369" s="631"/>
      <c r="I2369" s="631"/>
      <c r="J2369" s="631"/>
      <c r="M2369" s="458">
        <f>-TrialBalance!L190</f>
        <v>0</v>
      </c>
      <c r="N2369" s="458"/>
      <c r="O2369" s="458">
        <f>-TrialBalance!N190</f>
        <v>0</v>
      </c>
      <c r="R2369" s="490" t="str">
        <f t="shared" si="120"/>
        <v>DELETE</v>
      </c>
    </row>
    <row r="2370" spans="2:24" ht="36" customHeight="1" x14ac:dyDescent="0.5">
      <c r="B2370" s="501"/>
      <c r="C2370" s="631">
        <f>TrialBalance!C191</f>
        <v>0</v>
      </c>
      <c r="D2370" s="648"/>
      <c r="E2370" s="631"/>
      <c r="F2370" s="631"/>
      <c r="G2370" s="631"/>
      <c r="H2370" s="631"/>
      <c r="I2370" s="631"/>
      <c r="J2370" s="631"/>
      <c r="M2370" s="458">
        <f>-TrialBalance!L191</f>
        <v>0</v>
      </c>
      <c r="N2370" s="458"/>
      <c r="O2370" s="458">
        <f>-TrialBalance!N191</f>
        <v>0</v>
      </c>
      <c r="R2370" s="490" t="str">
        <f t="shared" si="120"/>
        <v>DELETE</v>
      </c>
    </row>
    <row r="2371" spans="2:24" ht="36" customHeight="1" x14ac:dyDescent="0.5">
      <c r="B2371" s="501"/>
      <c r="C2371" s="631">
        <f>TrialBalance!C192</f>
        <v>0</v>
      </c>
      <c r="D2371" s="648"/>
      <c r="E2371" s="631"/>
      <c r="F2371" s="631"/>
      <c r="G2371" s="631"/>
      <c r="H2371" s="631"/>
      <c r="I2371" s="631"/>
      <c r="J2371" s="631"/>
      <c r="M2371" s="458">
        <f>-TrialBalance!L192</f>
        <v>0</v>
      </c>
      <c r="N2371" s="458"/>
      <c r="O2371" s="458">
        <f>-TrialBalance!N192</f>
        <v>0</v>
      </c>
      <c r="R2371" s="490" t="str">
        <f t="shared" si="120"/>
        <v>DELETE</v>
      </c>
    </row>
    <row r="2372" spans="2:24" ht="36" customHeight="1" x14ac:dyDescent="0.5">
      <c r="B2372" s="501"/>
      <c r="C2372" s="631">
        <f>TrialBalance!C193</f>
        <v>0</v>
      </c>
      <c r="D2372" s="648"/>
      <c r="E2372" s="631"/>
      <c r="F2372" s="631"/>
      <c r="G2372" s="631"/>
      <c r="H2372" s="631"/>
      <c r="I2372" s="631"/>
      <c r="J2372" s="631"/>
      <c r="M2372" s="458">
        <f>-TrialBalance!L193</f>
        <v>0</v>
      </c>
      <c r="N2372" s="458"/>
      <c r="O2372" s="458">
        <f>-TrialBalance!N193</f>
        <v>0</v>
      </c>
      <c r="R2372" s="490" t="str">
        <f t="shared" si="120"/>
        <v>DELETE</v>
      </c>
    </row>
    <row r="2373" spans="2:24" ht="36" customHeight="1" x14ac:dyDescent="0.5">
      <c r="B2373" s="501"/>
      <c r="C2373" s="631">
        <f>TrialBalance!C194</f>
        <v>0</v>
      </c>
      <c r="D2373" s="648"/>
      <c r="E2373" s="631"/>
      <c r="F2373" s="631"/>
      <c r="G2373" s="631"/>
      <c r="H2373" s="631"/>
      <c r="I2373" s="631"/>
      <c r="J2373" s="631"/>
      <c r="M2373" s="458">
        <f>-TrialBalance!L194</f>
        <v>0</v>
      </c>
      <c r="N2373" s="458"/>
      <c r="O2373" s="458">
        <f>-TrialBalance!N194</f>
        <v>0</v>
      </c>
      <c r="R2373" s="490" t="str">
        <f t="shared" si="120"/>
        <v>DELETE</v>
      </c>
    </row>
    <row r="2374" spans="2:24" ht="36" customHeight="1" x14ac:dyDescent="0.5">
      <c r="B2374" s="501"/>
      <c r="C2374" s="631">
        <f>TrialBalance!C195</f>
        <v>0</v>
      </c>
      <c r="D2374" s="648"/>
      <c r="E2374" s="631"/>
      <c r="F2374" s="631"/>
      <c r="G2374" s="631"/>
      <c r="H2374" s="631"/>
      <c r="I2374" s="631"/>
      <c r="J2374" s="631"/>
      <c r="M2374" s="458">
        <f>-TrialBalance!L195</f>
        <v>0</v>
      </c>
      <c r="N2374" s="458"/>
      <c r="O2374" s="458">
        <f>-TrialBalance!N195</f>
        <v>0</v>
      </c>
      <c r="R2374" s="490" t="str">
        <f t="shared" si="120"/>
        <v>DELETE</v>
      </c>
    </row>
    <row r="2375" spans="2:24" ht="36" customHeight="1" x14ac:dyDescent="0.5">
      <c r="B2375" s="501"/>
      <c r="C2375" s="631">
        <f>TrialBalance!C196</f>
        <v>0</v>
      </c>
      <c r="D2375" s="648"/>
      <c r="E2375" s="631"/>
      <c r="F2375" s="631"/>
      <c r="G2375" s="631"/>
      <c r="H2375" s="631"/>
      <c r="I2375" s="631"/>
      <c r="J2375" s="631"/>
      <c r="M2375" s="458">
        <f>-TrialBalance!L196</f>
        <v>0</v>
      </c>
      <c r="N2375" s="458"/>
      <c r="O2375" s="458">
        <f>-TrialBalance!N196</f>
        <v>0</v>
      </c>
      <c r="R2375" s="490" t="str">
        <f t="shared" si="120"/>
        <v>DELETE</v>
      </c>
    </row>
    <row r="2376" spans="2:24" ht="36" customHeight="1" x14ac:dyDescent="0.5">
      <c r="B2376" s="501"/>
      <c r="C2376" s="631">
        <f>TrialBalance!C197</f>
        <v>0</v>
      </c>
      <c r="D2376" s="648"/>
      <c r="E2376" s="631"/>
      <c r="F2376" s="631"/>
      <c r="G2376" s="631"/>
      <c r="H2376" s="631"/>
      <c r="I2376" s="631"/>
      <c r="J2376" s="631"/>
      <c r="M2376" s="458">
        <f>-TrialBalance!L197</f>
        <v>0</v>
      </c>
      <c r="N2376" s="458"/>
      <c r="O2376" s="458">
        <f>-TrialBalance!N197</f>
        <v>0</v>
      </c>
      <c r="R2376" s="490" t="str">
        <f t="shared" ref="R2376:R2377" si="121">IF(M2376+O2376=0,"DELETE"," ")</f>
        <v>DELETE</v>
      </c>
    </row>
    <row r="2377" spans="2:24" ht="36" customHeight="1" x14ac:dyDescent="0.5">
      <c r="B2377" s="501"/>
      <c r="C2377" s="631">
        <f>TrialBalance!C198</f>
        <v>0</v>
      </c>
      <c r="D2377" s="648"/>
      <c r="E2377" s="631"/>
      <c r="F2377" s="631"/>
      <c r="G2377" s="631"/>
      <c r="H2377" s="631"/>
      <c r="I2377" s="631"/>
      <c r="J2377" s="631"/>
      <c r="M2377" s="458">
        <f>-TrialBalance!L198</f>
        <v>0</v>
      </c>
      <c r="N2377" s="458"/>
      <c r="O2377" s="458">
        <f>-TrialBalance!N198</f>
        <v>0</v>
      </c>
      <c r="R2377" s="490" t="str">
        <f t="shared" si="121"/>
        <v>DELETE</v>
      </c>
    </row>
    <row r="2378" spans="2:24" ht="36" customHeight="1" x14ac:dyDescent="0.5">
      <c r="B2378" s="501"/>
      <c r="C2378" s="631">
        <f>TrialBalance!C199</f>
        <v>0</v>
      </c>
      <c r="D2378" s="648"/>
      <c r="E2378" s="631"/>
      <c r="F2378" s="631"/>
      <c r="G2378" s="631"/>
      <c r="H2378" s="631"/>
      <c r="I2378" s="631"/>
      <c r="J2378" s="631"/>
      <c r="M2378" s="458">
        <f>-TrialBalance!L199</f>
        <v>0</v>
      </c>
      <c r="N2378" s="458"/>
      <c r="O2378" s="458">
        <f>-TrialBalance!N199</f>
        <v>0</v>
      </c>
      <c r="R2378" s="490" t="str">
        <f t="shared" si="120"/>
        <v>DELETE</v>
      </c>
    </row>
    <row r="2379" spans="2:24" ht="36" customHeight="1" x14ac:dyDescent="0.5">
      <c r="B2379" s="501"/>
      <c r="C2379" s="631">
        <f>TrialBalance!C200</f>
        <v>0</v>
      </c>
      <c r="D2379" s="648"/>
      <c r="E2379" s="631"/>
      <c r="F2379" s="631"/>
      <c r="G2379" s="631"/>
      <c r="H2379" s="631"/>
      <c r="I2379" s="631"/>
      <c r="J2379" s="631"/>
      <c r="M2379" s="458">
        <f>-TrialBalance!L200</f>
        <v>0</v>
      </c>
      <c r="N2379" s="458"/>
      <c r="O2379" s="458">
        <f>-TrialBalance!N200</f>
        <v>0</v>
      </c>
      <c r="R2379" s="490" t="str">
        <f t="shared" si="120"/>
        <v>DELETE</v>
      </c>
    </row>
    <row r="2380" spans="2:24" ht="9" customHeight="1" x14ac:dyDescent="0.5">
      <c r="B2380" s="501"/>
      <c r="C2380" s="631"/>
      <c r="D2380" s="648"/>
      <c r="E2380" s="631"/>
      <c r="F2380" s="631"/>
      <c r="G2380" s="631"/>
      <c r="H2380" s="631"/>
      <c r="I2380" s="631"/>
      <c r="J2380" s="631"/>
      <c r="M2380" s="461"/>
      <c r="N2380" s="461"/>
      <c r="O2380" s="461"/>
      <c r="R2380" s="490" t="str">
        <f>R2383</f>
        <v>DELETE</v>
      </c>
    </row>
    <row r="2381" spans="2:24" ht="9" customHeight="1" x14ac:dyDescent="0.5">
      <c r="B2381" s="501"/>
      <c r="C2381" s="631"/>
      <c r="D2381" s="648"/>
      <c r="E2381" s="631"/>
      <c r="F2381" s="631"/>
      <c r="G2381" s="631"/>
      <c r="H2381" s="631"/>
      <c r="I2381" s="631"/>
      <c r="J2381" s="631"/>
      <c r="M2381" s="458"/>
      <c r="N2381" s="458"/>
      <c r="O2381" s="458"/>
      <c r="R2381" s="490" t="str">
        <f>R2383</f>
        <v>DELETE</v>
      </c>
    </row>
    <row r="2382" spans="2:24" ht="36" customHeight="1" x14ac:dyDescent="0.5">
      <c r="B2382" s="501"/>
      <c r="C2382" s="631"/>
      <c r="D2382" s="648"/>
      <c r="E2382" s="631"/>
      <c r="F2382" s="631"/>
      <c r="G2382" s="631"/>
      <c r="H2382" s="631"/>
      <c r="I2382" s="631"/>
      <c r="J2382" s="631"/>
      <c r="M2382" s="458">
        <f>SUM(M2365:M2380)</f>
        <v>0</v>
      </c>
      <c r="N2382" s="458"/>
      <c r="O2382" s="458">
        <f>SUM(O2365:O2380)</f>
        <v>0</v>
      </c>
      <c r="R2382" s="490" t="str">
        <f>R2383</f>
        <v>DELETE</v>
      </c>
      <c r="S2382" s="496"/>
      <c r="T2382" s="496"/>
      <c r="U2382" s="496"/>
      <c r="V2382" s="496"/>
      <c r="W2382" s="496"/>
      <c r="X2382" s="496"/>
    </row>
    <row r="2383" spans="2:24" ht="36" customHeight="1" x14ac:dyDescent="0.5">
      <c r="B2383" s="501"/>
      <c r="C2383" s="631" t="s">
        <v>1563</v>
      </c>
      <c r="D2383" s="648"/>
      <c r="E2383" s="631"/>
      <c r="F2383" s="631"/>
      <c r="G2383" s="631"/>
      <c r="H2383" s="631"/>
      <c r="I2383" s="631"/>
      <c r="J2383" s="631"/>
      <c r="M2383" s="458">
        <f>TrialBalance!L201</f>
        <v>0</v>
      </c>
      <c r="N2383" s="458"/>
      <c r="O2383" s="458">
        <f>TrialBalance!N201</f>
        <v>0</v>
      </c>
      <c r="R2383" s="490" t="str">
        <f t="shared" ref="R2383" si="122">IF(M2383+O2383=0,"DELETE"," ")</f>
        <v>DELETE</v>
      </c>
      <c r="S2383" s="496">
        <f>-M2383</f>
        <v>0</v>
      </c>
      <c r="T2383" s="496"/>
      <c r="U2383" s="496">
        <f>-O2383</f>
        <v>0</v>
      </c>
      <c r="V2383" s="496"/>
      <c r="W2383" s="496"/>
      <c r="X2383" s="496"/>
    </row>
    <row r="2384" spans="2:24" ht="9" customHeight="1" x14ac:dyDescent="0.5">
      <c r="B2384" s="501"/>
      <c r="C2384" s="630"/>
      <c r="D2384" s="631"/>
      <c r="E2384" s="631"/>
      <c r="F2384" s="631"/>
      <c r="G2384" s="631"/>
      <c r="H2384" s="631"/>
      <c r="I2384" s="631"/>
      <c r="J2384" s="631"/>
      <c r="M2384" s="461"/>
      <c r="N2384" s="461"/>
      <c r="O2384" s="461"/>
      <c r="R2384" s="490" t="str">
        <f>R$2386</f>
        <v>DELETE</v>
      </c>
    </row>
    <row r="2385" spans="2:18" ht="9" customHeight="1" x14ac:dyDescent="0.5">
      <c r="B2385" s="501"/>
      <c r="C2385" s="630"/>
      <c r="D2385" s="631"/>
      <c r="E2385" s="631"/>
      <c r="F2385" s="631"/>
      <c r="G2385" s="631"/>
      <c r="H2385" s="631"/>
      <c r="I2385" s="631"/>
      <c r="J2385" s="631"/>
      <c r="M2385" s="458"/>
      <c r="N2385" s="458"/>
      <c r="O2385" s="458"/>
      <c r="R2385" s="490" t="str">
        <f>R$2386</f>
        <v>DELETE</v>
      </c>
    </row>
    <row r="2386" spans="2:18" ht="36.75" customHeight="1" x14ac:dyDescent="0.5">
      <c r="B2386" s="501"/>
      <c r="C2386" s="630"/>
      <c r="D2386" s="631"/>
      <c r="E2386" s="631"/>
      <c r="F2386" s="631"/>
      <c r="G2386" s="631"/>
      <c r="H2386" s="631"/>
      <c r="I2386" s="631"/>
      <c r="J2386" s="631"/>
      <c r="M2386" s="458">
        <f>SUM(S2363:S2384)</f>
        <v>0</v>
      </c>
      <c r="N2386" s="458"/>
      <c r="O2386" s="458">
        <f>SUM(U2363:U2384)</f>
        <v>0</v>
      </c>
      <c r="R2386" s="490" t="str">
        <f>IF(SUM(M2365:M2379)+SUM(O2365:O2379)&gt;0," ","DELETE")</f>
        <v>DELETE</v>
      </c>
    </row>
    <row r="2387" spans="2:18" ht="9" customHeight="1" thickBot="1" x14ac:dyDescent="0.55000000000000004">
      <c r="B2387" s="501"/>
      <c r="C2387" s="630"/>
      <c r="D2387" s="631"/>
      <c r="E2387" s="631"/>
      <c r="F2387" s="631"/>
      <c r="G2387" s="631"/>
      <c r="H2387" s="631"/>
      <c r="I2387" s="631"/>
      <c r="J2387" s="631"/>
      <c r="M2387" s="462"/>
      <c r="N2387" s="462"/>
      <c r="O2387" s="462"/>
      <c r="R2387" s="490" t="str">
        <f t="shared" ref="R2387:R2392" si="123">R$2386</f>
        <v>DELETE</v>
      </c>
    </row>
    <row r="2388" spans="2:18" ht="9" customHeight="1" thickTop="1" x14ac:dyDescent="0.5">
      <c r="B2388" s="501"/>
      <c r="C2388" s="630"/>
      <c r="D2388" s="631"/>
      <c r="E2388" s="631"/>
      <c r="F2388" s="631"/>
      <c r="G2388" s="631"/>
      <c r="H2388" s="631"/>
      <c r="I2388" s="631"/>
      <c r="J2388" s="631"/>
      <c r="M2388" s="475"/>
      <c r="N2388" s="475"/>
      <c r="O2388" s="475"/>
      <c r="R2388" s="490" t="str">
        <f t="shared" si="123"/>
        <v>DELETE</v>
      </c>
    </row>
    <row r="2389" spans="2:18" ht="36" customHeight="1" x14ac:dyDescent="0.5">
      <c r="B2389" s="501"/>
      <c r="C2389" s="630"/>
      <c r="D2389" s="631"/>
      <c r="E2389" s="631"/>
      <c r="F2389" s="631"/>
      <c r="G2389" s="631"/>
      <c r="H2389" s="631"/>
      <c r="I2389" s="631"/>
      <c r="J2389" s="631"/>
      <c r="M2389" s="458"/>
      <c r="N2389" s="458"/>
      <c r="O2389" s="458"/>
      <c r="R2389" s="490" t="str">
        <f t="shared" si="123"/>
        <v>DELETE</v>
      </c>
    </row>
    <row r="2390" spans="2:18" ht="36" customHeight="1" x14ac:dyDescent="0.5">
      <c r="B2390" s="501"/>
      <c r="C2390" s="630"/>
      <c r="D2390" s="631"/>
      <c r="E2390" s="631"/>
      <c r="F2390" s="631"/>
      <c r="G2390" s="631"/>
      <c r="H2390" s="631"/>
      <c r="I2390" s="631"/>
      <c r="J2390" s="631"/>
      <c r="M2390" s="458"/>
      <c r="N2390" s="458"/>
      <c r="O2390" s="458"/>
      <c r="R2390" s="490" t="str">
        <f t="shared" si="123"/>
        <v>DELETE</v>
      </c>
    </row>
    <row r="2391" spans="2:18" ht="36" customHeight="1" x14ac:dyDescent="0.5">
      <c r="B2391" s="501"/>
      <c r="C2391" s="630"/>
      <c r="D2391" s="631"/>
      <c r="E2391" s="631"/>
      <c r="F2391" s="631"/>
      <c r="G2391" s="631"/>
      <c r="H2391" s="631"/>
      <c r="I2391" s="631"/>
      <c r="J2391" s="631"/>
      <c r="M2391" s="475"/>
      <c r="N2391" s="475"/>
      <c r="O2391" s="475"/>
      <c r="P2391" s="545"/>
      <c r="R2391" s="490" t="str">
        <f t="shared" si="123"/>
        <v>DELETE</v>
      </c>
    </row>
    <row r="2392" spans="2:18" ht="36" customHeight="1" x14ac:dyDescent="0.5">
      <c r="B2392" s="501"/>
      <c r="C2392" s="630"/>
      <c r="D2392" s="631"/>
      <c r="E2392" s="631"/>
      <c r="F2392" s="631"/>
      <c r="G2392" s="631"/>
      <c r="H2392" s="631"/>
      <c r="I2392" s="631"/>
      <c r="J2392" s="631"/>
      <c r="M2392" s="458"/>
      <c r="N2392" s="458"/>
      <c r="O2392" s="458"/>
      <c r="R2392" s="490" t="str">
        <f t="shared" si="123"/>
        <v>DELETE</v>
      </c>
    </row>
    <row r="2393" spans="2:18" ht="36" customHeight="1" x14ac:dyDescent="0.5">
      <c r="B2393" s="501"/>
      <c r="C2393" s="630"/>
      <c r="D2393" s="631"/>
      <c r="E2393" s="631"/>
      <c r="F2393" s="631"/>
      <c r="G2393" s="631"/>
      <c r="H2393" s="631"/>
      <c r="I2393" s="631"/>
      <c r="J2393" s="631"/>
      <c r="M2393" s="458"/>
      <c r="N2393" s="458"/>
      <c r="O2393" s="458" t="s">
        <v>112</v>
      </c>
      <c r="Q2393" s="450">
        <f>MAX($Q$103:Q2392)+1</f>
        <v>63</v>
      </c>
      <c r="R2393" s="490" t="str">
        <f>R$2424</f>
        <v>DELETE</v>
      </c>
    </row>
    <row r="2394" spans="2:18" ht="36" customHeight="1" x14ac:dyDescent="0.5">
      <c r="B2394" s="502"/>
      <c r="C2394" s="631"/>
      <c r="D2394" s="630" t="str">
        <f>Criteria!E9</f>
        <v>ABC COMPANY (PROPRIETARY) LIMITED</v>
      </c>
      <c r="E2394" s="631"/>
      <c r="F2394" s="631"/>
      <c r="G2394" s="631"/>
      <c r="H2394" s="631"/>
      <c r="I2394" s="631"/>
      <c r="J2394" s="631"/>
      <c r="M2394" s="541"/>
      <c r="N2394" s="541"/>
      <c r="O2394" s="540"/>
      <c r="R2394" s="490" t="str">
        <f t="shared" ref="R2394:R2404" si="124">R$2424</f>
        <v>DELETE</v>
      </c>
    </row>
    <row r="2395" spans="2:18" ht="36" customHeight="1" x14ac:dyDescent="0.5">
      <c r="B2395" s="502"/>
      <c r="C2395" s="631"/>
      <c r="D2395" s="630" t="str">
        <f>Criteria!E10</f>
        <v>T/A SEAFRONT HOTEL, ABC RESTAURANT AND RENTAL PROPERTIES</v>
      </c>
      <c r="E2395" s="631"/>
      <c r="F2395" s="631"/>
      <c r="G2395" s="631"/>
      <c r="H2395" s="631"/>
      <c r="I2395" s="631"/>
      <c r="J2395" s="631"/>
      <c r="M2395" s="541"/>
      <c r="N2395" s="541"/>
      <c r="O2395" s="541"/>
      <c r="R2395" s="490" t="str">
        <f>IF(R$2424="DELETE","DELETE",IF(D2395=0,"DELETE"," "))</f>
        <v>DELETE</v>
      </c>
    </row>
    <row r="2396" spans="2:18" ht="36" customHeight="1" x14ac:dyDescent="0.5">
      <c r="B2396" s="502"/>
      <c r="C2396" s="631"/>
      <c r="D2396" s="631"/>
      <c r="E2396" s="631"/>
      <c r="F2396" s="631"/>
      <c r="G2396" s="631"/>
      <c r="H2396" s="631"/>
      <c r="I2396" s="631"/>
      <c r="J2396" s="631"/>
      <c r="M2396" s="541"/>
      <c r="N2396" s="541"/>
      <c r="O2396" s="541"/>
      <c r="R2396" s="490" t="str">
        <f t="shared" si="124"/>
        <v>DELETE</v>
      </c>
    </row>
    <row r="2397" spans="2:18" ht="36" customHeight="1" x14ac:dyDescent="0.5">
      <c r="B2397" s="502"/>
      <c r="C2397" s="631"/>
      <c r="D2397" s="630" t="s">
        <v>415</v>
      </c>
      <c r="E2397" s="631"/>
      <c r="F2397" s="631"/>
      <c r="G2397" s="631"/>
      <c r="H2397" s="631"/>
      <c r="I2397" s="631"/>
      <c r="J2397" s="631"/>
      <c r="M2397" s="541"/>
      <c r="N2397" s="541"/>
      <c r="O2397" s="541"/>
      <c r="R2397" s="490" t="str">
        <f t="shared" si="124"/>
        <v>DELETE</v>
      </c>
    </row>
    <row r="2398" spans="2:18" ht="36" customHeight="1" x14ac:dyDescent="0.5">
      <c r="B2398" s="502"/>
      <c r="C2398" s="631"/>
      <c r="D2398" s="630" t="str">
        <f>Criteria!E20</f>
        <v>28 FEBRUARY 2026</v>
      </c>
      <c r="E2398" s="631"/>
      <c r="F2398" s="631"/>
      <c r="G2398" s="631"/>
      <c r="H2398" s="631"/>
      <c r="I2398" s="631"/>
      <c r="J2398" s="631" t="s">
        <v>282</v>
      </c>
      <c r="M2398" s="541"/>
      <c r="N2398" s="541"/>
      <c r="O2398" s="541"/>
      <c r="R2398" s="490" t="str">
        <f t="shared" si="124"/>
        <v>DELETE</v>
      </c>
    </row>
    <row r="2399" spans="2:18" ht="36" customHeight="1" x14ac:dyDescent="0.5">
      <c r="B2399" s="502"/>
      <c r="C2399" s="631"/>
      <c r="D2399" s="631"/>
      <c r="E2399" s="631"/>
      <c r="F2399" s="631"/>
      <c r="G2399" s="631"/>
      <c r="H2399" s="631"/>
      <c r="I2399" s="631"/>
      <c r="J2399" s="631"/>
      <c r="M2399" s="554"/>
      <c r="N2399" s="554"/>
      <c r="O2399" s="554"/>
      <c r="R2399" s="490" t="str">
        <f t="shared" si="124"/>
        <v>DELETE</v>
      </c>
    </row>
    <row r="2400" spans="2:18" ht="36" customHeight="1" x14ac:dyDescent="0.5">
      <c r="B2400" s="641"/>
      <c r="C2400" s="649"/>
      <c r="D2400" s="649"/>
      <c r="E2400" s="649"/>
      <c r="F2400" s="649"/>
      <c r="G2400" s="649"/>
      <c r="H2400" s="649"/>
      <c r="I2400" s="649"/>
      <c r="J2400" s="649"/>
      <c r="K2400" s="457"/>
      <c r="L2400" s="457"/>
      <c r="M2400" s="557"/>
      <c r="N2400" s="557"/>
      <c r="O2400" s="557"/>
      <c r="P2400" s="551"/>
      <c r="Q2400" s="457"/>
      <c r="R2400" s="490" t="str">
        <f t="shared" si="124"/>
        <v>DELETE</v>
      </c>
    </row>
    <row r="2401" spans="2:18" ht="36" customHeight="1" x14ac:dyDescent="0.5">
      <c r="B2401" s="502"/>
      <c r="C2401" s="631"/>
      <c r="D2401" s="631"/>
      <c r="E2401" s="631"/>
      <c r="F2401" s="631"/>
      <c r="G2401" s="631"/>
      <c r="H2401" s="631"/>
      <c r="I2401" s="631"/>
      <c r="J2401" s="631"/>
      <c r="M2401" s="453">
        <f>Criteria!E22</f>
        <v>2026</v>
      </c>
      <c r="N2401" s="453"/>
      <c r="O2401" s="453">
        <f>Criteria!E27</f>
        <v>2025</v>
      </c>
      <c r="R2401" s="490" t="str">
        <f t="shared" si="124"/>
        <v>DELETE</v>
      </c>
    </row>
    <row r="2402" spans="2:18" ht="36" customHeight="1" x14ac:dyDescent="0.5">
      <c r="B2402" s="501"/>
      <c r="C2402" s="630"/>
      <c r="D2402" s="631"/>
      <c r="E2402" s="631"/>
      <c r="F2402" s="631"/>
      <c r="G2402" s="631"/>
      <c r="H2402" s="631"/>
      <c r="I2402" s="631"/>
      <c r="J2402" s="631"/>
      <c r="M2402" s="458"/>
      <c r="N2402" s="458"/>
      <c r="O2402" s="458"/>
      <c r="R2402" s="490" t="str">
        <f t="shared" si="124"/>
        <v>DELETE</v>
      </c>
    </row>
    <row r="2403" spans="2:18" ht="36" customHeight="1" x14ac:dyDescent="0.5">
      <c r="B2403" s="501">
        <f>MAX(B$871:B2402)+1</f>
        <v>25</v>
      </c>
      <c r="C2403" s="630" t="str">
        <f>IF(COUNTIF(TrialBalance!N203:N219,"&lt;0")&gt;1,"Interest free borrowings",IF(COUNTIF(TrialBalance!L203:L219,"&lt;0")&gt;1,"Interest free borrowings","Interest free borrowing"))</f>
        <v>Interest free borrowing</v>
      </c>
      <c r="D2403" s="631"/>
      <c r="E2403" s="631"/>
      <c r="F2403" s="631"/>
      <c r="G2403" s="631"/>
      <c r="H2403" s="631"/>
      <c r="I2403" s="631"/>
      <c r="J2403" s="631"/>
      <c r="M2403" s="458"/>
      <c r="N2403" s="458"/>
      <c r="O2403" s="458"/>
      <c r="R2403" s="490" t="str">
        <f t="shared" si="124"/>
        <v>DELETE</v>
      </c>
    </row>
    <row r="2404" spans="2:18" ht="36" customHeight="1" x14ac:dyDescent="0.5">
      <c r="B2404" s="501"/>
      <c r="C2404" s="630"/>
      <c r="D2404" s="631"/>
      <c r="E2404" s="631"/>
      <c r="F2404" s="631"/>
      <c r="G2404" s="631"/>
      <c r="H2404" s="631"/>
      <c r="I2404" s="631"/>
      <c r="J2404" s="631"/>
      <c r="M2404" s="458"/>
      <c r="N2404" s="458"/>
      <c r="O2404" s="458"/>
      <c r="R2404" s="490" t="str">
        <f t="shared" si="124"/>
        <v>DELETE</v>
      </c>
    </row>
    <row r="2405" spans="2:18" ht="36" customHeight="1" x14ac:dyDescent="0.5">
      <c r="B2405" s="501"/>
      <c r="C2405" s="631">
        <f>TrialBalance!C203</f>
        <v>0</v>
      </c>
      <c r="D2405" s="648"/>
      <c r="E2405" s="631"/>
      <c r="F2405" s="631"/>
      <c r="G2405" s="631"/>
      <c r="H2405" s="631"/>
      <c r="I2405" s="631"/>
      <c r="J2405" s="631"/>
      <c r="M2405" s="458">
        <f>-TrialBalance!L203</f>
        <v>0</v>
      </c>
      <c r="N2405" s="458"/>
      <c r="O2405" s="458">
        <f>-TrialBalance!N203</f>
        <v>0</v>
      </c>
      <c r="R2405" s="490" t="str">
        <f t="shared" ref="R2405" si="125">IF(M2405+O2405=0,"DELETE"," ")</f>
        <v>DELETE</v>
      </c>
    </row>
    <row r="2406" spans="2:18" ht="36" customHeight="1" x14ac:dyDescent="0.5">
      <c r="B2406" s="501"/>
      <c r="C2406" s="631">
        <f>TrialBalance!C204</f>
        <v>0</v>
      </c>
      <c r="D2406" s="648"/>
      <c r="E2406" s="631"/>
      <c r="F2406" s="631"/>
      <c r="G2406" s="631"/>
      <c r="H2406" s="631"/>
      <c r="I2406" s="631"/>
      <c r="J2406" s="631"/>
      <c r="M2406" s="458">
        <f>-TrialBalance!L204</f>
        <v>0</v>
      </c>
      <c r="N2406" s="458"/>
      <c r="O2406" s="458">
        <f>-TrialBalance!N204</f>
        <v>0</v>
      </c>
      <c r="R2406" s="490" t="str">
        <f t="shared" ref="R2406:R2421" si="126">IF(M2406+O2406=0,"DELETE"," ")</f>
        <v>DELETE</v>
      </c>
    </row>
    <row r="2407" spans="2:18" ht="36" customHeight="1" x14ac:dyDescent="0.5">
      <c r="B2407" s="501"/>
      <c r="C2407" s="631">
        <f>TrialBalance!C205</f>
        <v>0</v>
      </c>
      <c r="D2407" s="648"/>
      <c r="E2407" s="631"/>
      <c r="F2407" s="631"/>
      <c r="G2407" s="631"/>
      <c r="H2407" s="631"/>
      <c r="I2407" s="631"/>
      <c r="J2407" s="631"/>
      <c r="M2407" s="458">
        <f>-TrialBalance!L205</f>
        <v>0</v>
      </c>
      <c r="N2407" s="458"/>
      <c r="O2407" s="458">
        <f>-TrialBalance!N205</f>
        <v>0</v>
      </c>
      <c r="R2407" s="490" t="str">
        <f t="shared" si="126"/>
        <v>DELETE</v>
      </c>
    </row>
    <row r="2408" spans="2:18" ht="36" customHeight="1" x14ac:dyDescent="0.5">
      <c r="B2408" s="501"/>
      <c r="C2408" s="631">
        <f>TrialBalance!C206</f>
        <v>0</v>
      </c>
      <c r="D2408" s="648"/>
      <c r="E2408" s="631"/>
      <c r="F2408" s="631"/>
      <c r="G2408" s="631"/>
      <c r="H2408" s="631"/>
      <c r="I2408" s="631"/>
      <c r="J2408" s="631"/>
      <c r="M2408" s="458">
        <f>-TrialBalance!L206</f>
        <v>0</v>
      </c>
      <c r="N2408" s="458"/>
      <c r="O2408" s="458">
        <f>-TrialBalance!N206</f>
        <v>0</v>
      </c>
      <c r="R2408" s="490" t="str">
        <f t="shared" si="126"/>
        <v>DELETE</v>
      </c>
    </row>
    <row r="2409" spans="2:18" ht="36" customHeight="1" x14ac:dyDescent="0.5">
      <c r="B2409" s="501"/>
      <c r="C2409" s="631">
        <f>TrialBalance!C207</f>
        <v>0</v>
      </c>
      <c r="D2409" s="648"/>
      <c r="E2409" s="631"/>
      <c r="F2409" s="631"/>
      <c r="G2409" s="631"/>
      <c r="H2409" s="631"/>
      <c r="I2409" s="631"/>
      <c r="J2409" s="631"/>
      <c r="M2409" s="458">
        <f>-TrialBalance!L207</f>
        <v>0</v>
      </c>
      <c r="N2409" s="458"/>
      <c r="O2409" s="458">
        <f>-TrialBalance!N207</f>
        <v>0</v>
      </c>
      <c r="R2409" s="490" t="str">
        <f t="shared" si="126"/>
        <v>DELETE</v>
      </c>
    </row>
    <row r="2410" spans="2:18" ht="36" customHeight="1" x14ac:dyDescent="0.5">
      <c r="B2410" s="501"/>
      <c r="C2410" s="631">
        <f>TrialBalance!C208</f>
        <v>0</v>
      </c>
      <c r="D2410" s="648"/>
      <c r="E2410" s="631"/>
      <c r="F2410" s="631"/>
      <c r="G2410" s="631"/>
      <c r="H2410" s="631"/>
      <c r="I2410" s="631"/>
      <c r="J2410" s="631"/>
      <c r="M2410" s="458">
        <f>-TrialBalance!L208</f>
        <v>0</v>
      </c>
      <c r="N2410" s="458"/>
      <c r="O2410" s="458">
        <f>-TrialBalance!N208</f>
        <v>0</v>
      </c>
      <c r="R2410" s="490" t="str">
        <f t="shared" si="126"/>
        <v>DELETE</v>
      </c>
    </row>
    <row r="2411" spans="2:18" ht="36" customHeight="1" x14ac:dyDescent="0.5">
      <c r="B2411" s="501"/>
      <c r="C2411" s="631">
        <f>TrialBalance!C209</f>
        <v>0</v>
      </c>
      <c r="D2411" s="648"/>
      <c r="E2411" s="631"/>
      <c r="F2411" s="631"/>
      <c r="G2411" s="631"/>
      <c r="H2411" s="631"/>
      <c r="I2411" s="631"/>
      <c r="J2411" s="631"/>
      <c r="M2411" s="458">
        <f>-TrialBalance!L209</f>
        <v>0</v>
      </c>
      <c r="N2411" s="458"/>
      <c r="O2411" s="458">
        <f>-TrialBalance!N209</f>
        <v>0</v>
      </c>
      <c r="R2411" s="490" t="str">
        <f t="shared" si="126"/>
        <v>DELETE</v>
      </c>
    </row>
    <row r="2412" spans="2:18" ht="36" customHeight="1" x14ac:dyDescent="0.5">
      <c r="B2412" s="501"/>
      <c r="C2412" s="631">
        <f>TrialBalance!C210</f>
        <v>0</v>
      </c>
      <c r="D2412" s="648"/>
      <c r="E2412" s="631"/>
      <c r="F2412" s="631"/>
      <c r="G2412" s="631"/>
      <c r="H2412" s="631"/>
      <c r="I2412" s="631"/>
      <c r="J2412" s="631"/>
      <c r="M2412" s="458">
        <f>-TrialBalance!L210</f>
        <v>0</v>
      </c>
      <c r="N2412" s="458"/>
      <c r="O2412" s="458">
        <f>-TrialBalance!N210</f>
        <v>0</v>
      </c>
      <c r="R2412" s="490" t="str">
        <f t="shared" si="126"/>
        <v>DELETE</v>
      </c>
    </row>
    <row r="2413" spans="2:18" ht="36" customHeight="1" x14ac:dyDescent="0.5">
      <c r="B2413" s="501"/>
      <c r="C2413" s="631">
        <f>TrialBalance!C211</f>
        <v>0</v>
      </c>
      <c r="D2413" s="648"/>
      <c r="E2413" s="631"/>
      <c r="F2413" s="631"/>
      <c r="G2413" s="631"/>
      <c r="H2413" s="631"/>
      <c r="I2413" s="631"/>
      <c r="J2413" s="631"/>
      <c r="M2413" s="458">
        <f>-TrialBalance!L211</f>
        <v>0</v>
      </c>
      <c r="N2413" s="458"/>
      <c r="O2413" s="458">
        <f>-TrialBalance!N211</f>
        <v>0</v>
      </c>
      <c r="R2413" s="490" t="str">
        <f t="shared" si="126"/>
        <v>DELETE</v>
      </c>
    </row>
    <row r="2414" spans="2:18" ht="36" customHeight="1" x14ac:dyDescent="0.5">
      <c r="B2414" s="501"/>
      <c r="C2414" s="631">
        <f>TrialBalance!C212</f>
        <v>0</v>
      </c>
      <c r="D2414" s="648"/>
      <c r="E2414" s="631"/>
      <c r="F2414" s="631"/>
      <c r="G2414" s="631"/>
      <c r="H2414" s="631"/>
      <c r="I2414" s="631"/>
      <c r="J2414" s="631"/>
      <c r="M2414" s="458">
        <f>-TrialBalance!L212</f>
        <v>0</v>
      </c>
      <c r="N2414" s="458"/>
      <c r="O2414" s="458">
        <f>-TrialBalance!N212</f>
        <v>0</v>
      </c>
      <c r="R2414" s="490" t="str">
        <f t="shared" si="126"/>
        <v>DELETE</v>
      </c>
    </row>
    <row r="2415" spans="2:18" ht="36" customHeight="1" x14ac:dyDescent="0.5">
      <c r="B2415" s="501"/>
      <c r="C2415" s="631">
        <f>TrialBalance!C213</f>
        <v>0</v>
      </c>
      <c r="D2415" s="648"/>
      <c r="E2415" s="631"/>
      <c r="F2415" s="631"/>
      <c r="G2415" s="631"/>
      <c r="H2415" s="631"/>
      <c r="I2415" s="631"/>
      <c r="J2415" s="631"/>
      <c r="M2415" s="458">
        <f>-TrialBalance!L213</f>
        <v>0</v>
      </c>
      <c r="N2415" s="458"/>
      <c r="O2415" s="458">
        <f>-TrialBalance!N213</f>
        <v>0</v>
      </c>
      <c r="R2415" s="490" t="str">
        <f t="shared" si="126"/>
        <v>DELETE</v>
      </c>
    </row>
    <row r="2416" spans="2:18" ht="36" customHeight="1" x14ac:dyDescent="0.5">
      <c r="B2416" s="501"/>
      <c r="C2416" s="631">
        <f>TrialBalance!C214</f>
        <v>0</v>
      </c>
      <c r="D2416" s="648"/>
      <c r="E2416" s="631"/>
      <c r="F2416" s="631"/>
      <c r="G2416" s="631"/>
      <c r="H2416" s="631"/>
      <c r="I2416" s="631"/>
      <c r="J2416" s="631"/>
      <c r="M2416" s="458">
        <f>-TrialBalance!L214</f>
        <v>0</v>
      </c>
      <c r="N2416" s="458"/>
      <c r="O2416" s="458">
        <f>-TrialBalance!N214</f>
        <v>0</v>
      </c>
      <c r="R2416" s="490" t="str">
        <f t="shared" si="126"/>
        <v>DELETE</v>
      </c>
    </row>
    <row r="2417" spans="2:18" ht="36" customHeight="1" x14ac:dyDescent="0.5">
      <c r="B2417" s="501"/>
      <c r="C2417" s="631">
        <f>TrialBalance!C215</f>
        <v>0</v>
      </c>
      <c r="D2417" s="648"/>
      <c r="E2417" s="631"/>
      <c r="F2417" s="631"/>
      <c r="G2417" s="631"/>
      <c r="H2417" s="631"/>
      <c r="I2417" s="631"/>
      <c r="J2417" s="631"/>
      <c r="M2417" s="458">
        <f>-TrialBalance!L215</f>
        <v>0</v>
      </c>
      <c r="N2417" s="458"/>
      <c r="O2417" s="458">
        <f>-TrialBalance!N215</f>
        <v>0</v>
      </c>
      <c r="R2417" s="490" t="str">
        <f t="shared" si="126"/>
        <v>DELETE</v>
      </c>
    </row>
    <row r="2418" spans="2:18" ht="36" customHeight="1" x14ac:dyDescent="0.5">
      <c r="B2418" s="501"/>
      <c r="C2418" s="631">
        <f>TrialBalance!C216</f>
        <v>0</v>
      </c>
      <c r="D2418" s="648"/>
      <c r="E2418" s="631"/>
      <c r="F2418" s="631"/>
      <c r="G2418" s="631"/>
      <c r="H2418" s="631"/>
      <c r="I2418" s="631"/>
      <c r="J2418" s="631"/>
      <c r="M2418" s="458">
        <f>-TrialBalance!L216</f>
        <v>0</v>
      </c>
      <c r="N2418" s="458"/>
      <c r="O2418" s="458">
        <f>-TrialBalance!N216</f>
        <v>0</v>
      </c>
      <c r="R2418" s="490" t="str">
        <f t="shared" si="126"/>
        <v>DELETE</v>
      </c>
    </row>
    <row r="2419" spans="2:18" ht="36" customHeight="1" x14ac:dyDescent="0.5">
      <c r="B2419" s="501"/>
      <c r="C2419" s="631">
        <f>TrialBalance!C217</f>
        <v>0</v>
      </c>
      <c r="D2419" s="648"/>
      <c r="E2419" s="631"/>
      <c r="F2419" s="631"/>
      <c r="G2419" s="631"/>
      <c r="H2419" s="631"/>
      <c r="I2419" s="631"/>
      <c r="J2419" s="631"/>
      <c r="M2419" s="458">
        <f>-TrialBalance!L217</f>
        <v>0</v>
      </c>
      <c r="N2419" s="458"/>
      <c r="O2419" s="458">
        <f>-TrialBalance!N217</f>
        <v>0</v>
      </c>
      <c r="R2419" s="490" t="str">
        <f t="shared" si="126"/>
        <v>DELETE</v>
      </c>
    </row>
    <row r="2420" spans="2:18" ht="36" customHeight="1" x14ac:dyDescent="0.5">
      <c r="B2420" s="501"/>
      <c r="C2420" s="631">
        <f>TrialBalance!C218</f>
        <v>0</v>
      </c>
      <c r="D2420" s="648"/>
      <c r="E2420" s="631"/>
      <c r="F2420" s="631"/>
      <c r="G2420" s="631"/>
      <c r="H2420" s="631"/>
      <c r="I2420" s="631"/>
      <c r="J2420" s="631"/>
      <c r="M2420" s="458">
        <f>-TrialBalance!L218</f>
        <v>0</v>
      </c>
      <c r="N2420" s="458"/>
      <c r="O2420" s="458">
        <f>-TrialBalance!N218</f>
        <v>0</v>
      </c>
      <c r="R2420" s="490" t="str">
        <f t="shared" si="126"/>
        <v>DELETE</v>
      </c>
    </row>
    <row r="2421" spans="2:18" ht="36" customHeight="1" x14ac:dyDescent="0.5">
      <c r="B2421" s="501"/>
      <c r="C2421" s="631">
        <f>TrialBalance!C219</f>
        <v>0</v>
      </c>
      <c r="D2421" s="648"/>
      <c r="E2421" s="631"/>
      <c r="F2421" s="631"/>
      <c r="G2421" s="631"/>
      <c r="H2421" s="631"/>
      <c r="I2421" s="631"/>
      <c r="J2421" s="631"/>
      <c r="M2421" s="458">
        <f>-TrialBalance!L219</f>
        <v>0</v>
      </c>
      <c r="N2421" s="458"/>
      <c r="O2421" s="458">
        <f>-TrialBalance!N219</f>
        <v>0</v>
      </c>
      <c r="R2421" s="490" t="str">
        <f t="shared" si="126"/>
        <v>DELETE</v>
      </c>
    </row>
    <row r="2422" spans="2:18" ht="9" customHeight="1" x14ac:dyDescent="0.5">
      <c r="B2422" s="501"/>
      <c r="C2422" s="630"/>
      <c r="D2422" s="631"/>
      <c r="E2422" s="631"/>
      <c r="F2422" s="631"/>
      <c r="G2422" s="631"/>
      <c r="H2422" s="631"/>
      <c r="I2422" s="631"/>
      <c r="J2422" s="631"/>
      <c r="M2422" s="461"/>
      <c r="N2422" s="461"/>
      <c r="O2422" s="461"/>
      <c r="R2422" s="490" t="str">
        <f t="shared" ref="R2422:R2431" si="127">R$2424</f>
        <v>DELETE</v>
      </c>
    </row>
    <row r="2423" spans="2:18" ht="9" customHeight="1" x14ac:dyDescent="0.5">
      <c r="B2423" s="501"/>
      <c r="C2423" s="630"/>
      <c r="D2423" s="631"/>
      <c r="E2423" s="631"/>
      <c r="F2423" s="631"/>
      <c r="G2423" s="631"/>
      <c r="H2423" s="631"/>
      <c r="I2423" s="631"/>
      <c r="J2423" s="631"/>
      <c r="M2423" s="458"/>
      <c r="N2423" s="458"/>
      <c r="O2423" s="458"/>
      <c r="R2423" s="490" t="str">
        <f t="shared" si="127"/>
        <v>DELETE</v>
      </c>
    </row>
    <row r="2424" spans="2:18" ht="36.75" customHeight="1" x14ac:dyDescent="0.5">
      <c r="B2424" s="501"/>
      <c r="C2424" s="630"/>
      <c r="D2424" s="631"/>
      <c r="E2424" s="631"/>
      <c r="F2424" s="631"/>
      <c r="G2424" s="631"/>
      <c r="H2424" s="631"/>
      <c r="I2424" s="631"/>
      <c r="J2424" s="631"/>
      <c r="M2424" s="458">
        <f>SUM(M2405:M2423)</f>
        <v>0</v>
      </c>
      <c r="N2424" s="458"/>
      <c r="O2424" s="458">
        <f>SUM(O2405:O2423)</f>
        <v>0</v>
      </c>
      <c r="R2424" s="490" t="str">
        <f>IF(M2424+O2424=0,"DELETE"," ")</f>
        <v>DELETE</v>
      </c>
    </row>
    <row r="2425" spans="2:18" ht="9" customHeight="1" thickBot="1" x14ac:dyDescent="0.55000000000000004">
      <c r="B2425" s="501"/>
      <c r="C2425" s="630"/>
      <c r="D2425" s="631"/>
      <c r="E2425" s="631"/>
      <c r="F2425" s="631"/>
      <c r="G2425" s="631"/>
      <c r="H2425" s="631"/>
      <c r="I2425" s="631"/>
      <c r="J2425" s="631"/>
      <c r="M2425" s="462"/>
      <c r="N2425" s="462"/>
      <c r="O2425" s="462"/>
      <c r="R2425" s="490" t="str">
        <f t="shared" si="127"/>
        <v>DELETE</v>
      </c>
    </row>
    <row r="2426" spans="2:18" ht="9" customHeight="1" thickTop="1" x14ac:dyDescent="0.5">
      <c r="B2426" s="501"/>
      <c r="C2426" s="630"/>
      <c r="D2426" s="631"/>
      <c r="E2426" s="631"/>
      <c r="F2426" s="631"/>
      <c r="G2426" s="631"/>
      <c r="H2426" s="631"/>
      <c r="I2426" s="631"/>
      <c r="J2426" s="631"/>
      <c r="M2426" s="475"/>
      <c r="N2426" s="475"/>
      <c r="O2426" s="475"/>
      <c r="R2426" s="490" t="str">
        <f t="shared" si="127"/>
        <v>DELETE</v>
      </c>
    </row>
    <row r="2427" spans="2:18" ht="36" customHeight="1" x14ac:dyDescent="0.5">
      <c r="B2427" s="501"/>
      <c r="C2427" s="631" t="str">
        <f>IF(COUNTIF(TrialBalance!L203:L219,"&lt;0")=0," ",IF(COUNTIF(TrialBalance!L203:L219,"&lt;0")&gt;1,"Unsecured interest free loans with no fixed repayment terms.","Unsecured interest free loan with no fixed repayment terms."))</f>
        <v xml:space="preserve"> </v>
      </c>
      <c r="D2427" s="648"/>
      <c r="E2427" s="631"/>
      <c r="F2427" s="631"/>
      <c r="G2427" s="631"/>
      <c r="H2427" s="631"/>
      <c r="I2427" s="631"/>
      <c r="J2427" s="631"/>
      <c r="M2427" s="458"/>
      <c r="N2427" s="458"/>
      <c r="O2427" s="458"/>
      <c r="R2427" s="490" t="str">
        <f t="shared" si="127"/>
        <v>DELETE</v>
      </c>
    </row>
    <row r="2428" spans="2:18" ht="36" customHeight="1" x14ac:dyDescent="0.5">
      <c r="B2428" s="501"/>
      <c r="C2428" s="630"/>
      <c r="D2428" s="631"/>
      <c r="E2428" s="631"/>
      <c r="F2428" s="631"/>
      <c r="G2428" s="631"/>
      <c r="H2428" s="631"/>
      <c r="I2428" s="631"/>
      <c r="J2428" s="631"/>
      <c r="M2428" s="458"/>
      <c r="N2428" s="458"/>
      <c r="O2428" s="458"/>
      <c r="R2428" s="490" t="str">
        <f t="shared" si="127"/>
        <v>DELETE</v>
      </c>
    </row>
    <row r="2429" spans="2:18" ht="36" customHeight="1" x14ac:dyDescent="0.5">
      <c r="B2429" s="501"/>
      <c r="C2429" s="630"/>
      <c r="D2429" s="631"/>
      <c r="E2429" s="631"/>
      <c r="F2429" s="631"/>
      <c r="G2429" s="631"/>
      <c r="H2429" s="631"/>
      <c r="I2429" s="631"/>
      <c r="J2429" s="631"/>
      <c r="M2429" s="458"/>
      <c r="N2429" s="458"/>
      <c r="O2429" s="458"/>
      <c r="R2429" s="490" t="str">
        <f t="shared" si="127"/>
        <v>DELETE</v>
      </c>
    </row>
    <row r="2430" spans="2:18" ht="36" customHeight="1" x14ac:dyDescent="0.5">
      <c r="B2430" s="501"/>
      <c r="C2430" s="630"/>
      <c r="D2430" s="631"/>
      <c r="E2430" s="631"/>
      <c r="F2430" s="631"/>
      <c r="G2430" s="631"/>
      <c r="H2430" s="631"/>
      <c r="I2430" s="631"/>
      <c r="J2430" s="631"/>
      <c r="M2430" s="475"/>
      <c r="N2430" s="475"/>
      <c r="O2430" s="475"/>
      <c r="P2430" s="545"/>
      <c r="R2430" s="490" t="str">
        <f t="shared" si="127"/>
        <v>DELETE</v>
      </c>
    </row>
    <row r="2431" spans="2:18" ht="36" customHeight="1" x14ac:dyDescent="0.5">
      <c r="B2431" s="501"/>
      <c r="C2431" s="630"/>
      <c r="D2431" s="631"/>
      <c r="E2431" s="631"/>
      <c r="F2431" s="631"/>
      <c r="G2431" s="631"/>
      <c r="H2431" s="631"/>
      <c r="I2431" s="631"/>
      <c r="J2431" s="631"/>
      <c r="M2431" s="458"/>
      <c r="N2431" s="458"/>
      <c r="O2431" s="458"/>
      <c r="R2431" s="490" t="str">
        <f t="shared" si="127"/>
        <v>DELETE</v>
      </c>
    </row>
    <row r="2432" spans="2:18" ht="36" customHeight="1" x14ac:dyDescent="0.5">
      <c r="B2432" s="502"/>
      <c r="C2432" s="631"/>
      <c r="D2432" s="631"/>
      <c r="E2432" s="631"/>
      <c r="F2432" s="631"/>
      <c r="G2432" s="631"/>
      <c r="H2432" s="631"/>
      <c r="I2432" s="631"/>
      <c r="J2432" s="631"/>
      <c r="M2432" s="541"/>
      <c r="N2432" s="541"/>
      <c r="O2432" s="458" t="s">
        <v>112</v>
      </c>
      <c r="Q2432" s="450">
        <f>MAX($Q$103:Q2431)+1</f>
        <v>64</v>
      </c>
      <c r="R2432" s="490" t="str">
        <f t="shared" ref="R2432:R2445" si="128">R$2451</f>
        <v>DELETE</v>
      </c>
    </row>
    <row r="2433" spans="2:26" ht="36" customHeight="1" x14ac:dyDescent="0.5">
      <c r="B2433" s="502"/>
      <c r="C2433" s="631"/>
      <c r="D2433" s="630" t="str">
        <f>Criteria!E9</f>
        <v>ABC COMPANY (PROPRIETARY) LIMITED</v>
      </c>
      <c r="E2433" s="631"/>
      <c r="F2433" s="631"/>
      <c r="G2433" s="631"/>
      <c r="H2433" s="631"/>
      <c r="I2433" s="631"/>
      <c r="J2433" s="631"/>
      <c r="M2433" s="541"/>
      <c r="N2433" s="541"/>
      <c r="O2433" s="540"/>
      <c r="R2433" s="490" t="str">
        <f t="shared" si="128"/>
        <v>DELETE</v>
      </c>
    </row>
    <row r="2434" spans="2:26" ht="36" customHeight="1" x14ac:dyDescent="0.5">
      <c r="B2434" s="502"/>
      <c r="C2434" s="631"/>
      <c r="D2434" s="630" t="str">
        <f>Criteria!E10</f>
        <v>T/A SEAFRONT HOTEL, ABC RESTAURANT AND RENTAL PROPERTIES</v>
      </c>
      <c r="E2434" s="631"/>
      <c r="F2434" s="631"/>
      <c r="G2434" s="631"/>
      <c r="H2434" s="631"/>
      <c r="I2434" s="631"/>
      <c r="J2434" s="631"/>
      <c r="M2434" s="541"/>
      <c r="N2434" s="541"/>
      <c r="O2434" s="541"/>
      <c r="R2434" s="490" t="str">
        <f>IF(R$2451="DELETE","DELETE",IF(D2434=0,"DELETE"," "))</f>
        <v>DELETE</v>
      </c>
    </row>
    <row r="2435" spans="2:26" ht="36" customHeight="1" x14ac:dyDescent="0.5">
      <c r="B2435" s="502"/>
      <c r="C2435" s="631"/>
      <c r="D2435" s="631"/>
      <c r="E2435" s="631"/>
      <c r="F2435" s="631"/>
      <c r="G2435" s="631"/>
      <c r="H2435" s="631"/>
      <c r="I2435" s="631"/>
      <c r="J2435" s="631"/>
      <c r="M2435" s="541"/>
      <c r="N2435" s="541"/>
      <c r="O2435" s="541"/>
      <c r="R2435" s="490" t="str">
        <f t="shared" si="128"/>
        <v>DELETE</v>
      </c>
    </row>
    <row r="2436" spans="2:26" ht="36" customHeight="1" x14ac:dyDescent="0.5">
      <c r="B2436" s="502"/>
      <c r="C2436" s="631"/>
      <c r="D2436" s="630" t="s">
        <v>415</v>
      </c>
      <c r="E2436" s="631"/>
      <c r="F2436" s="631"/>
      <c r="G2436" s="631"/>
      <c r="H2436" s="631"/>
      <c r="I2436" s="631"/>
      <c r="J2436" s="631"/>
      <c r="M2436" s="541"/>
      <c r="N2436" s="541"/>
      <c r="O2436" s="541"/>
      <c r="R2436" s="490" t="str">
        <f t="shared" si="128"/>
        <v>DELETE</v>
      </c>
    </row>
    <row r="2437" spans="2:26" ht="36" customHeight="1" x14ac:dyDescent="0.5">
      <c r="B2437" s="502"/>
      <c r="C2437" s="631"/>
      <c r="D2437" s="630" t="str">
        <f>Criteria!E20</f>
        <v>28 FEBRUARY 2026</v>
      </c>
      <c r="E2437" s="631"/>
      <c r="F2437" s="631"/>
      <c r="G2437" s="631"/>
      <c r="H2437" s="631"/>
      <c r="I2437" s="631"/>
      <c r="J2437" s="631" t="s">
        <v>282</v>
      </c>
      <c r="M2437" s="541"/>
      <c r="N2437" s="541"/>
      <c r="O2437" s="541"/>
      <c r="R2437" s="490" t="str">
        <f t="shared" si="128"/>
        <v>DELETE</v>
      </c>
    </row>
    <row r="2438" spans="2:26" ht="36" customHeight="1" x14ac:dyDescent="0.5">
      <c r="B2438" s="502"/>
      <c r="C2438" s="631"/>
      <c r="D2438" s="630"/>
      <c r="E2438" s="631"/>
      <c r="F2438" s="631"/>
      <c r="G2438" s="631"/>
      <c r="H2438" s="631"/>
      <c r="I2438" s="631"/>
      <c r="J2438" s="631"/>
      <c r="M2438" s="541"/>
      <c r="N2438" s="541"/>
      <c r="O2438" s="541"/>
      <c r="R2438" s="490" t="str">
        <f t="shared" si="128"/>
        <v>DELETE</v>
      </c>
    </row>
    <row r="2439" spans="2:26" ht="36" customHeight="1" x14ac:dyDescent="0.5">
      <c r="B2439" s="640"/>
      <c r="C2439" s="652"/>
      <c r="D2439" s="649"/>
      <c r="E2439" s="649"/>
      <c r="F2439" s="649"/>
      <c r="G2439" s="649"/>
      <c r="H2439" s="649"/>
      <c r="I2439" s="649"/>
      <c r="J2439" s="649"/>
      <c r="K2439" s="457"/>
      <c r="L2439" s="457"/>
      <c r="M2439" s="459"/>
      <c r="N2439" s="459"/>
      <c r="O2439" s="459"/>
      <c r="P2439" s="551"/>
      <c r="Q2439" s="457"/>
      <c r="R2439" s="490" t="str">
        <f t="shared" si="128"/>
        <v>DELETE</v>
      </c>
    </row>
    <row r="2440" spans="2:26" ht="36" customHeight="1" x14ac:dyDescent="0.5">
      <c r="B2440" s="501"/>
      <c r="C2440" s="630"/>
      <c r="D2440" s="631"/>
      <c r="E2440" s="631"/>
      <c r="F2440" s="631"/>
      <c r="G2440" s="631"/>
      <c r="H2440" s="631"/>
      <c r="I2440" s="631"/>
      <c r="J2440" s="631"/>
      <c r="M2440" s="488">
        <f>Criteria!E22</f>
        <v>2026</v>
      </c>
      <c r="N2440" s="488"/>
      <c r="O2440" s="488">
        <f>Criteria!E27</f>
        <v>2025</v>
      </c>
      <c r="P2440" s="545"/>
      <c r="R2440" s="490" t="str">
        <f t="shared" si="128"/>
        <v>DELETE</v>
      </c>
    </row>
    <row r="2441" spans="2:26" ht="36" customHeight="1" x14ac:dyDescent="0.5">
      <c r="B2441" s="501"/>
      <c r="C2441" s="630"/>
      <c r="D2441" s="631"/>
      <c r="E2441" s="631"/>
      <c r="F2441" s="631"/>
      <c r="G2441" s="631"/>
      <c r="H2441" s="631"/>
      <c r="I2441" s="631"/>
      <c r="J2441" s="631"/>
      <c r="M2441" s="475"/>
      <c r="N2441" s="475"/>
      <c r="O2441" s="475"/>
      <c r="P2441" s="545"/>
      <c r="R2441" s="490" t="str">
        <f t="shared" si="128"/>
        <v>DELETE</v>
      </c>
    </row>
    <row r="2442" spans="2:26" ht="36" customHeight="1" x14ac:dyDescent="0.5">
      <c r="B2442" s="501">
        <f>MAX(B$871:B2441)+1</f>
        <v>26</v>
      </c>
      <c r="C2442" s="630" t="s">
        <v>612</v>
      </c>
      <c r="D2442" s="631"/>
      <c r="E2442" s="631"/>
      <c r="F2442" s="631"/>
      <c r="G2442" s="631"/>
      <c r="H2442" s="631"/>
      <c r="I2442" s="631"/>
      <c r="J2442" s="631"/>
      <c r="M2442" s="475"/>
      <c r="N2442" s="475"/>
      <c r="O2442" s="475"/>
      <c r="P2442" s="545"/>
      <c r="R2442" s="490" t="str">
        <f t="shared" si="128"/>
        <v>DELETE</v>
      </c>
    </row>
    <row r="2443" spans="2:26" ht="36" customHeight="1" x14ac:dyDescent="0.5">
      <c r="B2443" s="501"/>
      <c r="C2443" s="630"/>
      <c r="D2443" s="631"/>
      <c r="E2443" s="631"/>
      <c r="F2443" s="631"/>
      <c r="G2443" s="631"/>
      <c r="H2443" s="631"/>
      <c r="I2443" s="631"/>
      <c r="J2443" s="631"/>
      <c r="M2443" s="475"/>
      <c r="N2443" s="475"/>
      <c r="O2443" s="475"/>
      <c r="P2443" s="545"/>
      <c r="R2443" s="490" t="str">
        <f t="shared" si="128"/>
        <v>DELETE</v>
      </c>
    </row>
    <row r="2444" spans="2:26" ht="36" customHeight="1" x14ac:dyDescent="0.5">
      <c r="B2444" s="501"/>
      <c r="C2444" s="631" t="s">
        <v>1431</v>
      </c>
      <c r="D2444" s="648"/>
      <c r="E2444" s="631"/>
      <c r="F2444" s="631"/>
      <c r="G2444" s="631"/>
      <c r="H2444" s="631"/>
      <c r="I2444" s="631"/>
      <c r="J2444" s="631"/>
      <c r="M2444" s="475"/>
      <c r="N2444" s="475"/>
      <c r="O2444" s="475"/>
      <c r="P2444" s="545"/>
      <c r="R2444" s="490" t="str">
        <f t="shared" si="128"/>
        <v>DELETE</v>
      </c>
    </row>
    <row r="2445" spans="2:26" ht="36" customHeight="1" x14ac:dyDescent="0.5">
      <c r="B2445" s="501"/>
      <c r="C2445" s="631"/>
      <c r="D2445" s="648"/>
      <c r="E2445" s="631"/>
      <c r="F2445" s="631"/>
      <c r="G2445" s="631"/>
      <c r="H2445" s="631"/>
      <c r="I2445" s="631"/>
      <c r="J2445" s="631"/>
      <c r="M2445" s="475"/>
      <c r="N2445" s="475"/>
      <c r="O2445" s="475"/>
      <c r="P2445" s="545"/>
      <c r="R2445" s="490" t="str">
        <f t="shared" si="128"/>
        <v>DELETE</v>
      </c>
    </row>
    <row r="2446" spans="2:26" ht="36" customHeight="1" x14ac:dyDescent="0.5">
      <c r="B2446" s="501"/>
      <c r="C2446" s="631" t="s">
        <v>1428</v>
      </c>
      <c r="D2446" s="648"/>
      <c r="E2446" s="631"/>
      <c r="F2446" s="631"/>
      <c r="G2446" s="631"/>
      <c r="H2446" s="631"/>
      <c r="I2446" s="631"/>
      <c r="J2446" s="631"/>
      <c r="M2446" s="475"/>
      <c r="N2446" s="475"/>
      <c r="O2446" s="475"/>
      <c r="P2446" s="545"/>
      <c r="R2446" s="490" t="str">
        <f>R2447</f>
        <v>DELETE</v>
      </c>
    </row>
    <row r="2447" spans="2:26" ht="36" customHeight="1" x14ac:dyDescent="0.5">
      <c r="B2447" s="501"/>
      <c r="C2447" s="631" t="s">
        <v>1429</v>
      </c>
      <c r="D2447" s="648"/>
      <c r="E2447" s="631"/>
      <c r="F2447" s="631"/>
      <c r="G2447" s="631"/>
      <c r="H2447" s="631"/>
      <c r="I2447" s="631"/>
      <c r="J2447" s="631"/>
      <c r="M2447" s="475">
        <f>-TrialBalance!L221-TrialBalance!L223-TrialBalance!L225-TrialBalance!L227</f>
        <v>0</v>
      </c>
      <c r="N2447" s="475"/>
      <c r="O2447" s="475">
        <f>-TrialBalance!N221-TrialBalance!N223-TrialBalance!N225-TrialBalance!N227</f>
        <v>0</v>
      </c>
      <c r="P2447" s="545"/>
      <c r="R2447" s="490" t="str">
        <f>IF(SUM(Y2447:Z2447)&gt;0," ","DELETE")</f>
        <v>DELETE</v>
      </c>
      <c r="Y2447" s="491">
        <f>IF(TrialBalance!L221=0,IF(TrialBalance!L225=0,IF(TrialBalance!L227=0,0,1),1),1)</f>
        <v>0</v>
      </c>
      <c r="Z2447" s="491">
        <f>IF(TrialBalance!N221=0,IF(TrialBalance!N225=0,IF(TrialBalance!N227=0,0,1),1),1)</f>
        <v>0</v>
      </c>
    </row>
    <row r="2448" spans="2:26" ht="36" customHeight="1" x14ac:dyDescent="0.5">
      <c r="B2448" s="501"/>
      <c r="C2448" s="631" t="s">
        <v>917</v>
      </c>
      <c r="D2448" s="648"/>
      <c r="E2448" s="631"/>
      <c r="F2448" s="631"/>
      <c r="G2448" s="631"/>
      <c r="H2448" s="631"/>
      <c r="I2448" s="631"/>
      <c r="J2448" s="631"/>
      <c r="M2448" s="475">
        <f>-TrialBalance!L222-TrialBalance!L224-TrialBalance!L226-TrialBalance!L228</f>
        <v>0</v>
      </c>
      <c r="N2448" s="475"/>
      <c r="O2448" s="475">
        <f>-TrialBalance!N222-TrialBalance!N224-TrialBalance!N226-TrialBalance!N228</f>
        <v>0</v>
      </c>
      <c r="P2448" s="545"/>
      <c r="R2448" s="490" t="str">
        <f>IF(SUM(Y2448:Z2448)&gt;0," ","DELETE")</f>
        <v>DELETE</v>
      </c>
      <c r="Y2448" s="491">
        <f>IF(TrialBalance!L222=0,IF(TrialBalance!L226=0,IF(TrialBalance!L228=0,0,1),1),1)</f>
        <v>0</v>
      </c>
      <c r="Z2448" s="491">
        <f>IF(TrialBalance!N222=0,IF(TrialBalance!N226=0,IF(TrialBalance!N228=0,0,1),1),1)</f>
        <v>0</v>
      </c>
    </row>
    <row r="2449" spans="2:24" ht="9" customHeight="1" x14ac:dyDescent="0.5">
      <c r="B2449" s="501"/>
      <c r="C2449" s="631"/>
      <c r="D2449" s="648"/>
      <c r="E2449" s="631"/>
      <c r="F2449" s="631"/>
      <c r="G2449" s="631"/>
      <c r="H2449" s="631"/>
      <c r="I2449" s="631"/>
      <c r="J2449" s="631"/>
      <c r="M2449" s="461"/>
      <c r="N2449" s="461"/>
      <c r="O2449" s="461"/>
      <c r="P2449" s="545"/>
      <c r="R2449" s="490" t="str">
        <f t="shared" ref="R2449:R2481" si="129">R$2451</f>
        <v>DELETE</v>
      </c>
    </row>
    <row r="2450" spans="2:24" ht="9" customHeight="1" x14ac:dyDescent="0.5">
      <c r="B2450" s="501"/>
      <c r="C2450" s="631"/>
      <c r="D2450" s="648"/>
      <c r="E2450" s="631"/>
      <c r="F2450" s="631"/>
      <c r="G2450" s="631"/>
      <c r="H2450" s="631"/>
      <c r="I2450" s="631"/>
      <c r="J2450" s="631"/>
      <c r="M2450" s="475"/>
      <c r="N2450" s="475"/>
      <c r="O2450" s="475"/>
      <c r="P2450" s="545"/>
      <c r="R2450" s="490" t="str">
        <f t="shared" si="129"/>
        <v>DELETE</v>
      </c>
    </row>
    <row r="2451" spans="2:24" ht="36.75" customHeight="1" x14ac:dyDescent="0.5">
      <c r="B2451" s="501"/>
      <c r="C2451" s="631"/>
      <c r="D2451" s="648"/>
      <c r="E2451" s="631"/>
      <c r="F2451" s="631"/>
      <c r="G2451" s="631"/>
      <c r="H2451" s="631"/>
      <c r="I2451" s="631"/>
      <c r="J2451" s="631"/>
      <c r="M2451" s="475">
        <f>SUM(M2447:M2449)</f>
        <v>0</v>
      </c>
      <c r="N2451" s="475"/>
      <c r="O2451" s="475">
        <f>SUM(O2447:O2449)</f>
        <v>0</v>
      </c>
      <c r="P2451" s="545"/>
      <c r="R2451" s="490" t="str">
        <f>IF(R2447=" "," ",IF(R2448=" "," ","DELETE"))</f>
        <v>DELETE</v>
      </c>
      <c r="V2451" s="491" t="b">
        <f>M2451=M2511</f>
        <v>1</v>
      </c>
      <c r="X2451" s="491" t="b">
        <f>O2451=O2511</f>
        <v>1</v>
      </c>
    </row>
    <row r="2452" spans="2:24" ht="9" customHeight="1" thickBot="1" x14ac:dyDescent="0.55000000000000004">
      <c r="B2452" s="501"/>
      <c r="C2452" s="631"/>
      <c r="D2452" s="648"/>
      <c r="E2452" s="631"/>
      <c r="F2452" s="631"/>
      <c r="G2452" s="631"/>
      <c r="H2452" s="631"/>
      <c r="I2452" s="631"/>
      <c r="J2452" s="631"/>
      <c r="M2452" s="462"/>
      <c r="N2452" s="462"/>
      <c r="O2452" s="462"/>
      <c r="P2452" s="545"/>
      <c r="R2452" s="490" t="str">
        <f t="shared" si="129"/>
        <v>DELETE</v>
      </c>
    </row>
    <row r="2453" spans="2:24" ht="9" customHeight="1" thickTop="1" x14ac:dyDescent="0.5">
      <c r="B2453" s="501"/>
      <c r="C2453" s="631"/>
      <c r="D2453" s="648"/>
      <c r="E2453" s="631"/>
      <c r="F2453" s="631"/>
      <c r="G2453" s="631"/>
      <c r="H2453" s="631"/>
      <c r="I2453" s="631"/>
      <c r="J2453" s="631"/>
      <c r="M2453" s="475"/>
      <c r="N2453" s="475"/>
      <c r="O2453" s="475"/>
      <c r="P2453" s="545"/>
      <c r="R2453" s="490" t="str">
        <f t="shared" si="129"/>
        <v>DELETE</v>
      </c>
    </row>
    <row r="2454" spans="2:24" ht="36" customHeight="1" x14ac:dyDescent="0.5">
      <c r="B2454" s="501"/>
      <c r="C2454" s="631"/>
      <c r="D2454" s="648"/>
      <c r="E2454" s="631"/>
      <c r="F2454" s="631"/>
      <c r="G2454" s="631"/>
      <c r="H2454" s="631"/>
      <c r="I2454" s="631"/>
      <c r="J2454" s="631"/>
      <c r="M2454" s="475"/>
      <c r="N2454" s="475"/>
      <c r="O2454" s="475"/>
      <c r="P2454" s="545"/>
      <c r="R2454" s="490" t="str">
        <f t="shared" si="129"/>
        <v>DELETE</v>
      </c>
    </row>
    <row r="2455" spans="2:24" ht="36" customHeight="1" x14ac:dyDescent="0.5">
      <c r="B2455" s="501"/>
      <c r="C2455" s="631" t="s">
        <v>1565</v>
      </c>
      <c r="D2455" s="648"/>
      <c r="E2455" s="631"/>
      <c r="F2455" s="631"/>
      <c r="G2455" s="631"/>
      <c r="H2455" s="631"/>
      <c r="I2455" s="631"/>
      <c r="J2455" s="631"/>
      <c r="M2455" s="475"/>
      <c r="N2455" s="475"/>
      <c r="O2455" s="475"/>
      <c r="P2455" s="545"/>
      <c r="R2455" s="490" t="str">
        <f t="shared" si="129"/>
        <v>DELETE</v>
      </c>
    </row>
    <row r="2456" spans="2:24" ht="36" customHeight="1" x14ac:dyDescent="0.5">
      <c r="B2456" s="501"/>
      <c r="C2456" s="631" t="s">
        <v>1566</v>
      </c>
      <c r="D2456" s="648"/>
      <c r="E2456" s="631"/>
      <c r="F2456" s="631"/>
      <c r="G2456" s="631"/>
      <c r="H2456" s="631"/>
      <c r="I2456" s="631"/>
      <c r="J2456" s="631"/>
      <c r="M2456" s="475"/>
      <c r="N2456" s="475"/>
      <c r="O2456" s="475"/>
      <c r="P2456" s="545"/>
      <c r="R2456" s="490" t="str">
        <f t="shared" si="129"/>
        <v>DELETE</v>
      </c>
    </row>
    <row r="2457" spans="2:24" ht="36" customHeight="1" x14ac:dyDescent="0.5">
      <c r="B2457" s="501"/>
      <c r="C2457" s="631" t="s">
        <v>1567</v>
      </c>
      <c r="D2457" s="648"/>
      <c r="E2457" s="631"/>
      <c r="F2457" s="631"/>
      <c r="G2457" s="631"/>
      <c r="H2457" s="631"/>
      <c r="I2457" s="631"/>
      <c r="J2457" s="631"/>
      <c r="M2457" s="475"/>
      <c r="N2457" s="475"/>
      <c r="O2457" s="475"/>
      <c r="P2457" s="545"/>
      <c r="R2457" s="490" t="str">
        <f t="shared" si="129"/>
        <v>DELETE</v>
      </c>
    </row>
    <row r="2458" spans="2:24" ht="36" customHeight="1" x14ac:dyDescent="0.5">
      <c r="B2458" s="501"/>
      <c r="C2458" s="631"/>
      <c r="D2458" s="648"/>
      <c r="E2458" s="631"/>
      <c r="F2458" s="631"/>
      <c r="G2458" s="631"/>
      <c r="H2458" s="631"/>
      <c r="I2458" s="631"/>
      <c r="J2458" s="631"/>
      <c r="M2458" s="475"/>
      <c r="N2458" s="475"/>
      <c r="O2458" s="475"/>
      <c r="P2458" s="545"/>
      <c r="R2458" s="490" t="str">
        <f t="shared" si="129"/>
        <v>DELETE</v>
      </c>
    </row>
    <row r="2459" spans="2:24" ht="36" customHeight="1" x14ac:dyDescent="0.5">
      <c r="B2459" s="501"/>
      <c r="C2459" s="631" t="s">
        <v>595</v>
      </c>
      <c r="D2459" s="648"/>
      <c r="E2459" s="631"/>
      <c r="F2459" s="631"/>
      <c r="G2459" s="631"/>
      <c r="H2459" s="631"/>
      <c r="I2459" s="631"/>
      <c r="J2459" s="631"/>
      <c r="M2459" s="475">
        <f>IF(-TrialBalance!L221-TrialBalance!L223-TrialBalance!L225-TrialBalance!L227&gt;0,-TrialBalance!L221-TrialBalance!L223-TrialBalance!L225-TrialBalance!L227,0)</f>
        <v>0</v>
      </c>
      <c r="N2459" s="475"/>
      <c r="O2459" s="475">
        <f>IF(-TrialBalance!N221-TrialBalance!N223-TrialBalance!N225-TrialBalance!N227&gt;0,-TrialBalance!N221-TrialBalance!N223-TrialBalance!N225-TrialBalance!N227,0)</f>
        <v>0</v>
      </c>
      <c r="P2459" s="545"/>
      <c r="R2459" s="490" t="str">
        <f t="shared" si="129"/>
        <v>DELETE</v>
      </c>
    </row>
    <row r="2460" spans="2:24" ht="36" customHeight="1" x14ac:dyDescent="0.5">
      <c r="B2460" s="501"/>
      <c r="C2460" s="631" t="s">
        <v>592</v>
      </c>
      <c r="D2460" s="648"/>
      <c r="E2460" s="631"/>
      <c r="F2460" s="631"/>
      <c r="G2460" s="631"/>
      <c r="H2460" s="631"/>
      <c r="I2460" s="631"/>
      <c r="J2460" s="631"/>
      <c r="M2460" s="475">
        <f>IF(-TrialBalance!L221-TrialBalance!L223-TrialBalance!L225-TrialBalance!L227&lt;0,-SUM(TrialBalance!L221:L228),-TrialBalance!L222-TrialBalance!L224-TrialBalance!L226-TrialBalance!L228)</f>
        <v>0</v>
      </c>
      <c r="N2460" s="475"/>
      <c r="O2460" s="475">
        <f>IF(-TrialBalance!N221-TrialBalance!N223-TrialBalance!N225-TrialBalance!N227&lt;0,-SUM(TrialBalance!N221:N228),-TrialBalance!N222-TrialBalance!N224-TrialBalance!N226-TrialBalance!N228)</f>
        <v>0</v>
      </c>
      <c r="P2460" s="545"/>
      <c r="R2460" s="490" t="str">
        <f t="shared" si="129"/>
        <v>DELETE</v>
      </c>
    </row>
    <row r="2461" spans="2:24" ht="9" customHeight="1" x14ac:dyDescent="0.5">
      <c r="B2461" s="501"/>
      <c r="C2461" s="631"/>
      <c r="D2461" s="648"/>
      <c r="E2461" s="631"/>
      <c r="F2461" s="631"/>
      <c r="G2461" s="631"/>
      <c r="H2461" s="631"/>
      <c r="I2461" s="631"/>
      <c r="J2461" s="631"/>
      <c r="M2461" s="461"/>
      <c r="N2461" s="461"/>
      <c r="O2461" s="461"/>
      <c r="P2461" s="545"/>
      <c r="R2461" s="490" t="str">
        <f t="shared" si="129"/>
        <v>DELETE</v>
      </c>
    </row>
    <row r="2462" spans="2:24" ht="9" customHeight="1" x14ac:dyDescent="0.5">
      <c r="B2462" s="501"/>
      <c r="C2462" s="631"/>
      <c r="D2462" s="648"/>
      <c r="E2462" s="631"/>
      <c r="F2462" s="631"/>
      <c r="G2462" s="631"/>
      <c r="H2462" s="631"/>
      <c r="I2462" s="631"/>
      <c r="J2462" s="631"/>
      <c r="M2462" s="475"/>
      <c r="N2462" s="475"/>
      <c r="O2462" s="475"/>
      <c r="P2462" s="545"/>
      <c r="R2462" s="490" t="str">
        <f t="shared" si="129"/>
        <v>DELETE</v>
      </c>
    </row>
    <row r="2463" spans="2:24" ht="36.75" customHeight="1" x14ac:dyDescent="0.5">
      <c r="B2463" s="501"/>
      <c r="C2463" s="631"/>
      <c r="D2463" s="648"/>
      <c r="E2463" s="631"/>
      <c r="F2463" s="631"/>
      <c r="G2463" s="631"/>
      <c r="H2463" s="631"/>
      <c r="I2463" s="631"/>
      <c r="J2463" s="631"/>
      <c r="M2463" s="475">
        <f>SUM(M2459:M2461)</f>
        <v>0</v>
      </c>
      <c r="N2463" s="475"/>
      <c r="O2463" s="475">
        <f>SUM(O2459:O2461)</f>
        <v>0</v>
      </c>
      <c r="P2463" s="545"/>
      <c r="R2463" s="490" t="str">
        <f t="shared" si="129"/>
        <v>DELETE</v>
      </c>
      <c r="V2463" s="491" t="b">
        <f>M2463=M2451</f>
        <v>1</v>
      </c>
      <c r="X2463" s="491" t="b">
        <f>O2463=O2451</f>
        <v>1</v>
      </c>
    </row>
    <row r="2464" spans="2:24" ht="9" customHeight="1" thickBot="1" x14ac:dyDescent="0.55000000000000004">
      <c r="B2464" s="501"/>
      <c r="C2464" s="631"/>
      <c r="D2464" s="648"/>
      <c r="E2464" s="631"/>
      <c r="F2464" s="631"/>
      <c r="G2464" s="631"/>
      <c r="H2464" s="631"/>
      <c r="I2464" s="631"/>
      <c r="J2464" s="631"/>
      <c r="M2464" s="462"/>
      <c r="N2464" s="462"/>
      <c r="O2464" s="462"/>
      <c r="P2464" s="545"/>
      <c r="R2464" s="490" t="str">
        <f t="shared" si="129"/>
        <v>DELETE</v>
      </c>
    </row>
    <row r="2465" spans="2:18" ht="9" customHeight="1" thickTop="1" x14ac:dyDescent="0.5">
      <c r="B2465" s="501"/>
      <c r="C2465" s="631"/>
      <c r="D2465" s="648"/>
      <c r="E2465" s="631"/>
      <c r="F2465" s="631"/>
      <c r="G2465" s="631"/>
      <c r="H2465" s="631"/>
      <c r="I2465" s="631"/>
      <c r="J2465" s="631"/>
      <c r="M2465" s="475"/>
      <c r="N2465" s="475"/>
      <c r="O2465" s="475"/>
      <c r="P2465" s="545"/>
      <c r="R2465" s="490" t="str">
        <f t="shared" si="129"/>
        <v>DELETE</v>
      </c>
    </row>
    <row r="2466" spans="2:18" ht="36" customHeight="1" x14ac:dyDescent="0.5">
      <c r="B2466" s="501"/>
      <c r="C2466" s="631"/>
      <c r="D2466" s="648"/>
      <c r="E2466" s="631"/>
      <c r="F2466" s="631"/>
      <c r="G2466" s="631"/>
      <c r="H2466" s="631"/>
      <c r="I2466" s="631"/>
      <c r="J2466" s="631"/>
      <c r="M2466" s="475"/>
      <c r="N2466" s="475"/>
      <c r="O2466" s="475"/>
      <c r="P2466" s="545"/>
      <c r="R2466" s="490" t="str">
        <f t="shared" si="129"/>
        <v>DELETE</v>
      </c>
    </row>
    <row r="2467" spans="2:18" ht="36" customHeight="1" x14ac:dyDescent="0.5">
      <c r="B2467" s="501"/>
      <c r="C2467" s="631"/>
      <c r="D2467" s="648"/>
      <c r="E2467" s="631"/>
      <c r="F2467" s="631"/>
      <c r="G2467" s="631"/>
      <c r="H2467" s="631"/>
      <c r="I2467" s="631"/>
      <c r="J2467" s="631"/>
      <c r="M2467" s="475"/>
      <c r="N2467" s="475"/>
      <c r="O2467" s="475"/>
      <c r="P2467" s="545"/>
      <c r="R2467" s="490" t="str">
        <f t="shared" si="129"/>
        <v>DELETE</v>
      </c>
    </row>
    <row r="2468" spans="2:18" ht="36" customHeight="1" x14ac:dyDescent="0.5">
      <c r="B2468" s="501"/>
      <c r="C2468" s="631"/>
      <c r="D2468" s="648"/>
      <c r="E2468" s="631"/>
      <c r="F2468" s="631"/>
      <c r="G2468" s="631"/>
      <c r="H2468" s="631"/>
      <c r="I2468" s="631"/>
      <c r="J2468" s="631"/>
      <c r="M2468" s="475"/>
      <c r="N2468" s="475"/>
      <c r="O2468" s="475"/>
      <c r="P2468" s="545"/>
      <c r="R2468" s="490" t="str">
        <f t="shared" si="129"/>
        <v>DELETE</v>
      </c>
    </row>
    <row r="2469" spans="2:18" ht="36" customHeight="1" x14ac:dyDescent="0.5">
      <c r="B2469" s="501"/>
      <c r="C2469" s="631"/>
      <c r="D2469" s="648"/>
      <c r="E2469" s="631"/>
      <c r="F2469" s="631"/>
      <c r="G2469" s="631"/>
      <c r="H2469" s="631"/>
      <c r="I2469" s="631"/>
      <c r="J2469" s="631"/>
      <c r="M2469" s="475"/>
      <c r="N2469" s="475"/>
      <c r="O2469" s="475"/>
      <c r="P2469" s="545"/>
      <c r="R2469" s="490" t="str">
        <f t="shared" si="129"/>
        <v>DELETE</v>
      </c>
    </row>
    <row r="2470" spans="2:18" ht="36" customHeight="1" x14ac:dyDescent="0.5">
      <c r="B2470" s="501"/>
      <c r="C2470" s="631"/>
      <c r="D2470" s="631"/>
      <c r="E2470" s="631"/>
      <c r="F2470" s="631"/>
      <c r="G2470" s="631"/>
      <c r="H2470" s="631"/>
      <c r="I2470" s="631"/>
      <c r="J2470" s="631"/>
      <c r="M2470" s="555"/>
      <c r="N2470" s="555"/>
      <c r="O2470" s="475" t="s">
        <v>112</v>
      </c>
      <c r="P2470" s="545"/>
      <c r="Q2470" s="450">
        <f>MAX($Q$103:Q2469)+1</f>
        <v>65</v>
      </c>
      <c r="R2470" s="490" t="str">
        <f t="shared" si="129"/>
        <v>DELETE</v>
      </c>
    </row>
    <row r="2471" spans="2:18" ht="36" customHeight="1" x14ac:dyDescent="0.5">
      <c r="B2471" s="501"/>
      <c r="C2471" s="631"/>
      <c r="D2471" s="630" t="str">
        <f>Criteria!E9</f>
        <v>ABC COMPANY (PROPRIETARY) LIMITED</v>
      </c>
      <c r="E2471" s="631"/>
      <c r="F2471" s="631"/>
      <c r="G2471" s="631"/>
      <c r="H2471" s="631"/>
      <c r="I2471" s="631"/>
      <c r="J2471" s="631"/>
      <c r="M2471" s="555"/>
      <c r="N2471" s="555"/>
      <c r="O2471" s="545"/>
      <c r="P2471" s="545"/>
      <c r="R2471" s="490" t="str">
        <f t="shared" si="129"/>
        <v>DELETE</v>
      </c>
    </row>
    <row r="2472" spans="2:18" ht="36" customHeight="1" x14ac:dyDescent="0.5">
      <c r="B2472" s="501"/>
      <c r="C2472" s="631"/>
      <c r="D2472" s="630" t="str">
        <f>Criteria!E10</f>
        <v>T/A SEAFRONT HOTEL, ABC RESTAURANT AND RENTAL PROPERTIES</v>
      </c>
      <c r="E2472" s="631"/>
      <c r="F2472" s="631"/>
      <c r="G2472" s="631"/>
      <c r="H2472" s="631"/>
      <c r="I2472" s="631"/>
      <c r="J2472" s="631"/>
      <c r="M2472" s="555"/>
      <c r="N2472" s="555"/>
      <c r="O2472" s="555"/>
      <c r="P2472" s="545"/>
      <c r="R2472" s="490" t="str">
        <f>IF(R$2451="DELETE","DELETE",IF(D2472=0,"DELETE"," "))</f>
        <v>DELETE</v>
      </c>
    </row>
    <row r="2473" spans="2:18" ht="36" customHeight="1" x14ac:dyDescent="0.5">
      <c r="B2473" s="501"/>
      <c r="C2473" s="631"/>
      <c r="D2473" s="631"/>
      <c r="E2473" s="631"/>
      <c r="F2473" s="631"/>
      <c r="G2473" s="631"/>
      <c r="H2473" s="631"/>
      <c r="I2473" s="631"/>
      <c r="J2473" s="631"/>
      <c r="M2473" s="555"/>
      <c r="N2473" s="555"/>
      <c r="O2473" s="555"/>
      <c r="P2473" s="545"/>
      <c r="R2473" s="490" t="str">
        <f t="shared" si="129"/>
        <v>DELETE</v>
      </c>
    </row>
    <row r="2474" spans="2:18" ht="36" customHeight="1" x14ac:dyDescent="0.5">
      <c r="B2474" s="501"/>
      <c r="C2474" s="631"/>
      <c r="D2474" s="630" t="s">
        <v>415</v>
      </c>
      <c r="E2474" s="631"/>
      <c r="F2474" s="631"/>
      <c r="G2474" s="631"/>
      <c r="H2474" s="631"/>
      <c r="I2474" s="631"/>
      <c r="J2474" s="631"/>
      <c r="M2474" s="555"/>
      <c r="N2474" s="555"/>
      <c r="O2474" s="555"/>
      <c r="P2474" s="545"/>
      <c r="R2474" s="490" t="str">
        <f t="shared" si="129"/>
        <v>DELETE</v>
      </c>
    </row>
    <row r="2475" spans="2:18" ht="36" customHeight="1" x14ac:dyDescent="0.5">
      <c r="B2475" s="501"/>
      <c r="C2475" s="631"/>
      <c r="D2475" s="630" t="str">
        <f>Criteria!E20</f>
        <v>28 FEBRUARY 2026</v>
      </c>
      <c r="E2475" s="631"/>
      <c r="F2475" s="631"/>
      <c r="G2475" s="631"/>
      <c r="H2475" s="631"/>
      <c r="I2475" s="631"/>
      <c r="J2475" s="631" t="s">
        <v>282</v>
      </c>
      <c r="M2475" s="555"/>
      <c r="N2475" s="555"/>
      <c r="O2475" s="555"/>
      <c r="P2475" s="545"/>
      <c r="R2475" s="490" t="str">
        <f t="shared" si="129"/>
        <v>DELETE</v>
      </c>
    </row>
    <row r="2476" spans="2:18" ht="36" customHeight="1" x14ac:dyDescent="0.5">
      <c r="B2476" s="501"/>
      <c r="C2476" s="631"/>
      <c r="D2476" s="648"/>
      <c r="E2476" s="631"/>
      <c r="F2476" s="631"/>
      <c r="G2476" s="631"/>
      <c r="H2476" s="631"/>
      <c r="I2476" s="631"/>
      <c r="J2476" s="631"/>
      <c r="M2476" s="475"/>
      <c r="N2476" s="475"/>
      <c r="O2476" s="475"/>
      <c r="P2476" s="545"/>
      <c r="R2476" s="490" t="str">
        <f t="shared" si="129"/>
        <v>DELETE</v>
      </c>
    </row>
    <row r="2477" spans="2:18" ht="36" customHeight="1" x14ac:dyDescent="0.5">
      <c r="B2477" s="640"/>
      <c r="C2477" s="649"/>
      <c r="D2477" s="663"/>
      <c r="E2477" s="649"/>
      <c r="F2477" s="649"/>
      <c r="G2477" s="649"/>
      <c r="H2477" s="649"/>
      <c r="I2477" s="649"/>
      <c r="J2477" s="649"/>
      <c r="K2477" s="457"/>
      <c r="L2477" s="457"/>
      <c r="M2477" s="459"/>
      <c r="N2477" s="459"/>
      <c r="O2477" s="459"/>
      <c r="P2477" s="551"/>
      <c r="Q2477" s="457"/>
      <c r="R2477" s="490" t="str">
        <f t="shared" si="129"/>
        <v>DELETE</v>
      </c>
    </row>
    <row r="2478" spans="2:18" ht="36" customHeight="1" x14ac:dyDescent="0.5">
      <c r="B2478" s="501"/>
      <c r="C2478" s="631"/>
      <c r="D2478" s="648"/>
      <c r="E2478" s="631"/>
      <c r="F2478" s="631"/>
      <c r="G2478" s="631"/>
      <c r="H2478" s="631"/>
      <c r="I2478" s="631"/>
      <c r="J2478" s="631"/>
      <c r="M2478" s="488">
        <f>Criteria!E22</f>
        <v>2026</v>
      </c>
      <c r="N2478" s="488"/>
      <c r="O2478" s="488">
        <f>Criteria!E27</f>
        <v>2025</v>
      </c>
      <c r="P2478" s="545"/>
      <c r="R2478" s="490" t="str">
        <f t="shared" si="129"/>
        <v>DELETE</v>
      </c>
    </row>
    <row r="2479" spans="2:18" ht="36" customHeight="1" x14ac:dyDescent="0.5">
      <c r="B2479" s="501"/>
      <c r="C2479" s="631"/>
      <c r="D2479" s="648"/>
      <c r="E2479" s="631"/>
      <c r="F2479" s="631"/>
      <c r="G2479" s="631"/>
      <c r="H2479" s="631"/>
      <c r="I2479" s="631"/>
      <c r="J2479" s="631"/>
      <c r="M2479" s="475"/>
      <c r="N2479" s="475"/>
      <c r="O2479" s="475"/>
      <c r="P2479" s="545"/>
      <c r="R2479" s="490" t="str">
        <f t="shared" si="129"/>
        <v>DELETE</v>
      </c>
    </row>
    <row r="2480" spans="2:18" ht="36" customHeight="1" x14ac:dyDescent="0.5">
      <c r="B2480" s="501"/>
      <c r="C2480" s="630" t="s">
        <v>1527</v>
      </c>
      <c r="D2480" s="648"/>
      <c r="E2480" s="631"/>
      <c r="F2480" s="631"/>
      <c r="G2480" s="631"/>
      <c r="H2480" s="631"/>
      <c r="I2480" s="631"/>
      <c r="J2480" s="631"/>
      <c r="M2480" s="475"/>
      <c r="N2480" s="475"/>
      <c r="O2480" s="475"/>
      <c r="P2480" s="545"/>
      <c r="R2480" s="490" t="str">
        <f t="shared" si="129"/>
        <v>DELETE</v>
      </c>
    </row>
    <row r="2481" spans="2:26" ht="36" customHeight="1" x14ac:dyDescent="0.5">
      <c r="B2481" s="501"/>
      <c r="C2481" s="630"/>
      <c r="D2481" s="648"/>
      <c r="E2481" s="631"/>
      <c r="F2481" s="631"/>
      <c r="G2481" s="631"/>
      <c r="H2481" s="631"/>
      <c r="I2481" s="631"/>
      <c r="J2481" s="631"/>
      <c r="M2481" s="475"/>
      <c r="N2481" s="475"/>
      <c r="O2481" s="475"/>
      <c r="P2481" s="545"/>
      <c r="R2481" s="490" t="str">
        <f t="shared" si="129"/>
        <v>DELETE</v>
      </c>
    </row>
    <row r="2482" spans="2:26" ht="36" customHeight="1" x14ac:dyDescent="0.5">
      <c r="B2482" s="501"/>
      <c r="C2482" s="654" t="str">
        <f>IF((Y2482+Z2482)=3,"Deferred tax liability/(asset) at the beginning of the year",(IF((Y2482+Z2482=4),"Deferred tax liability at the beginning of the year","Deferred tax asset at the beginning of the year")))</f>
        <v>Deferred tax liability at the beginning of the year</v>
      </c>
      <c r="D2482" s="648"/>
      <c r="E2482" s="631"/>
      <c r="F2482" s="631"/>
      <c r="G2482" s="631"/>
      <c r="H2482" s="631"/>
      <c r="I2482" s="631"/>
      <c r="J2482" s="631"/>
      <c r="M2482" s="475">
        <f>SUM(S2484:S2487)</f>
        <v>0</v>
      </c>
      <c r="N2482" s="475"/>
      <c r="O2482" s="475">
        <f>SUM(U2484:U2487)</f>
        <v>0</v>
      </c>
      <c r="P2482" s="545"/>
      <c r="R2482" s="490" t="str">
        <f>R$2451</f>
        <v>DELETE</v>
      </c>
      <c r="V2482" s="491" t="b">
        <f>M2482=O2511</f>
        <v>1</v>
      </c>
      <c r="Y2482" s="491">
        <f>IF(M2482&lt;0,1,IF(M2482=0,IF(O2482&lt;0,1,2),2))</f>
        <v>2</v>
      </c>
      <c r="Z2482" s="491">
        <f>IF(O2482&lt;0,1,IF(O2482=0,IF(M2482&lt;0,1,2),2))</f>
        <v>2</v>
      </c>
    </row>
    <row r="2483" spans="2:26" ht="9" customHeight="1" x14ac:dyDescent="0.5">
      <c r="B2483" s="501"/>
      <c r="C2483" s="654"/>
      <c r="D2483" s="648"/>
      <c r="E2483" s="631"/>
      <c r="F2483" s="631"/>
      <c r="G2483" s="631"/>
      <c r="H2483" s="631"/>
      <c r="I2483" s="631"/>
      <c r="J2483" s="631"/>
      <c r="M2483" s="475"/>
      <c r="N2483" s="475"/>
      <c r="O2483" s="475"/>
      <c r="P2483" s="545"/>
      <c r="R2483" s="490" t="str">
        <f>R$2482</f>
        <v>DELETE</v>
      </c>
    </row>
    <row r="2484" spans="2:26" ht="9" customHeight="1" x14ac:dyDescent="0.5">
      <c r="B2484" s="501"/>
      <c r="C2484" s="654"/>
      <c r="D2484" s="648"/>
      <c r="E2484" s="631"/>
      <c r="F2484" s="631"/>
      <c r="G2484" s="631"/>
      <c r="H2484" s="631"/>
      <c r="I2484" s="631"/>
      <c r="J2484" s="631"/>
      <c r="M2484" s="578"/>
      <c r="N2484" s="459"/>
      <c r="O2484" s="579"/>
      <c r="P2484" s="545"/>
      <c r="R2484" s="490" t="str">
        <f>R$2482</f>
        <v>DELETE</v>
      </c>
    </row>
    <row r="2485" spans="2:26" ht="36" customHeight="1" x14ac:dyDescent="0.5">
      <c r="B2485" s="501"/>
      <c r="C2485" s="631" t="s">
        <v>1430</v>
      </c>
      <c r="D2485" s="648"/>
      <c r="E2485" s="648"/>
      <c r="F2485" s="631"/>
      <c r="G2485" s="631"/>
      <c r="H2485" s="631"/>
      <c r="I2485" s="631"/>
      <c r="J2485" s="631"/>
      <c r="M2485" s="580">
        <f>-TrialBalance!L221</f>
        <v>0</v>
      </c>
      <c r="N2485" s="475"/>
      <c r="O2485" s="581">
        <f>-TrialBalance!N221</f>
        <v>0</v>
      </c>
      <c r="P2485" s="545"/>
      <c r="R2485" s="490" t="str">
        <f>IF(R2451="DELETE","DELETE",IF(R2486="DELETE"," ",IF(M2485=0,IF(O2485=0,"DELETE"," ")," ")))</f>
        <v>DELETE</v>
      </c>
      <c r="S2485" s="495">
        <f>M2485</f>
        <v>0</v>
      </c>
      <c r="U2485" s="495">
        <f>O2485</f>
        <v>0</v>
      </c>
    </row>
    <row r="2486" spans="2:26" ht="36" customHeight="1" x14ac:dyDescent="0.5">
      <c r="B2486" s="501"/>
      <c r="C2486" s="631" t="s">
        <v>917</v>
      </c>
      <c r="D2486" s="648"/>
      <c r="E2486" s="648"/>
      <c r="F2486" s="631"/>
      <c r="G2486" s="631"/>
      <c r="H2486" s="631"/>
      <c r="I2486" s="631"/>
      <c r="J2486" s="631"/>
      <c r="M2486" s="580">
        <f>-TrialBalance!L222</f>
        <v>0</v>
      </c>
      <c r="N2486" s="475"/>
      <c r="O2486" s="581">
        <f>-TrialBalance!N222</f>
        <v>0</v>
      </c>
      <c r="P2486" s="545"/>
      <c r="R2486" s="490" t="str">
        <f>IF(R2451="DELETE","DELETE",IF(M2486=0,IF(O2486=0,"DELETE"," ")," "))</f>
        <v>DELETE</v>
      </c>
      <c r="S2486" s="495">
        <f>M2486</f>
        <v>0</v>
      </c>
      <c r="U2486" s="495">
        <f>O2486</f>
        <v>0</v>
      </c>
    </row>
    <row r="2487" spans="2:26" ht="9" customHeight="1" x14ac:dyDescent="0.5">
      <c r="B2487" s="501"/>
      <c r="C2487" s="654"/>
      <c r="D2487" s="648"/>
      <c r="E2487" s="631"/>
      <c r="F2487" s="631"/>
      <c r="G2487" s="631"/>
      <c r="H2487" s="631"/>
      <c r="I2487" s="631"/>
      <c r="J2487" s="631"/>
      <c r="M2487" s="460"/>
      <c r="N2487" s="461"/>
      <c r="O2487" s="582"/>
      <c r="P2487" s="545"/>
      <c r="R2487" s="490" t="str">
        <f t="shared" ref="R2487:R2488" si="130">R$2482</f>
        <v>DELETE</v>
      </c>
    </row>
    <row r="2488" spans="2:26" ht="9" customHeight="1" x14ac:dyDescent="0.5">
      <c r="B2488" s="501"/>
      <c r="C2488" s="654"/>
      <c r="D2488" s="648"/>
      <c r="E2488" s="631"/>
      <c r="F2488" s="631"/>
      <c r="G2488" s="631"/>
      <c r="H2488" s="631"/>
      <c r="I2488" s="631"/>
      <c r="J2488" s="631"/>
      <c r="M2488" s="475"/>
      <c r="N2488" s="475"/>
      <c r="O2488" s="475"/>
      <c r="P2488" s="545"/>
      <c r="R2488" s="490" t="str">
        <f t="shared" si="130"/>
        <v>DELETE</v>
      </c>
    </row>
    <row r="2489" spans="2:26" ht="36.75" customHeight="1" x14ac:dyDescent="0.5">
      <c r="B2489" s="501"/>
      <c r="C2489" s="654" t="s">
        <v>1353</v>
      </c>
      <c r="D2489" s="648"/>
      <c r="E2489" s="631"/>
      <c r="F2489" s="631"/>
      <c r="G2489" s="631"/>
      <c r="H2489" s="631"/>
      <c r="I2489" s="631"/>
      <c r="J2489" s="631"/>
      <c r="M2489" s="475">
        <f>SUM(S2491:S2494)</f>
        <v>0</v>
      </c>
      <c r="N2489" s="475"/>
      <c r="O2489" s="475">
        <f>SUM(U2491:U2494)</f>
        <v>0</v>
      </c>
      <c r="P2489" s="545"/>
      <c r="R2489" s="490" t="str">
        <f>IF(M2489=0,IF(O2489=0,"DELETE"," ")," ")</f>
        <v>DELETE</v>
      </c>
    </row>
    <row r="2490" spans="2:26" ht="9" customHeight="1" x14ac:dyDescent="0.5">
      <c r="B2490" s="501"/>
      <c r="C2490" s="654"/>
      <c r="D2490" s="648"/>
      <c r="E2490" s="631"/>
      <c r="F2490" s="631"/>
      <c r="G2490" s="631"/>
      <c r="H2490" s="631"/>
      <c r="I2490" s="631"/>
      <c r="J2490" s="631"/>
      <c r="M2490" s="475"/>
      <c r="N2490" s="475"/>
      <c r="O2490" s="475"/>
      <c r="P2490" s="545"/>
      <c r="R2490" s="490" t="str">
        <f>R$2489</f>
        <v>DELETE</v>
      </c>
    </row>
    <row r="2491" spans="2:26" ht="9" customHeight="1" x14ac:dyDescent="0.5">
      <c r="B2491" s="501"/>
      <c r="C2491" s="654"/>
      <c r="D2491" s="648"/>
      <c r="E2491" s="631"/>
      <c r="F2491" s="631"/>
      <c r="G2491" s="631"/>
      <c r="H2491" s="631"/>
      <c r="I2491" s="631"/>
      <c r="J2491" s="631"/>
      <c r="M2491" s="578"/>
      <c r="N2491" s="459"/>
      <c r="O2491" s="579"/>
      <c r="P2491" s="545"/>
      <c r="R2491" s="490" t="str">
        <f>R$2489</f>
        <v>DELETE</v>
      </c>
    </row>
    <row r="2492" spans="2:26" ht="36" customHeight="1" x14ac:dyDescent="0.5">
      <c r="B2492" s="501"/>
      <c r="C2492" s="631" t="s">
        <v>1430</v>
      </c>
      <c r="D2492" s="648"/>
      <c r="E2492" s="631"/>
      <c r="F2492" s="631"/>
      <c r="G2492" s="631"/>
      <c r="H2492" s="631"/>
      <c r="I2492" s="631"/>
      <c r="J2492" s="631"/>
      <c r="M2492" s="580">
        <f>-TrialBalance!L223</f>
        <v>0</v>
      </c>
      <c r="N2492" s="475"/>
      <c r="O2492" s="581">
        <f>-TrialBalance!N223</f>
        <v>0</v>
      </c>
      <c r="P2492" s="545"/>
      <c r="R2492" s="490" t="str">
        <f t="shared" ref="R2492:R2493" si="131">IF(M2492=0,IF(O2492=0,"DELETE"," ")," ")</f>
        <v>DELETE</v>
      </c>
      <c r="S2492" s="495">
        <f>M2492</f>
        <v>0</v>
      </c>
      <c r="U2492" s="495">
        <f>O2492</f>
        <v>0</v>
      </c>
    </row>
    <row r="2493" spans="2:26" ht="36" customHeight="1" x14ac:dyDescent="0.5">
      <c r="B2493" s="501"/>
      <c r="C2493" s="631" t="s">
        <v>917</v>
      </c>
      <c r="D2493" s="648"/>
      <c r="E2493" s="631"/>
      <c r="F2493" s="631"/>
      <c r="G2493" s="631"/>
      <c r="H2493" s="631"/>
      <c r="I2493" s="631"/>
      <c r="J2493" s="631"/>
      <c r="M2493" s="580">
        <f>-TrialBalance!L224</f>
        <v>0</v>
      </c>
      <c r="N2493" s="475"/>
      <c r="O2493" s="581">
        <f>-TrialBalance!N224</f>
        <v>0</v>
      </c>
      <c r="P2493" s="545"/>
      <c r="R2493" s="490" t="str">
        <f t="shared" si="131"/>
        <v>DELETE</v>
      </c>
      <c r="S2493" s="495">
        <f>M2493</f>
        <v>0</v>
      </c>
      <c r="U2493" s="495">
        <f>O2493</f>
        <v>0</v>
      </c>
    </row>
    <row r="2494" spans="2:26" ht="9" customHeight="1" x14ac:dyDescent="0.5">
      <c r="B2494" s="501"/>
      <c r="C2494" s="654"/>
      <c r="D2494" s="648"/>
      <c r="E2494" s="631"/>
      <c r="F2494" s="631"/>
      <c r="G2494" s="631"/>
      <c r="H2494" s="631"/>
      <c r="I2494" s="631"/>
      <c r="J2494" s="631"/>
      <c r="M2494" s="460"/>
      <c r="N2494" s="461"/>
      <c r="O2494" s="582"/>
      <c r="P2494" s="545"/>
      <c r="R2494" s="490" t="str">
        <f t="shared" ref="R2494:R2495" si="132">R$2489</f>
        <v>DELETE</v>
      </c>
    </row>
    <row r="2495" spans="2:26" ht="9" customHeight="1" x14ac:dyDescent="0.5">
      <c r="B2495" s="501"/>
      <c r="C2495" s="654"/>
      <c r="D2495" s="648"/>
      <c r="E2495" s="631"/>
      <c r="F2495" s="631"/>
      <c r="G2495" s="631"/>
      <c r="H2495" s="631"/>
      <c r="I2495" s="631"/>
      <c r="J2495" s="631"/>
      <c r="M2495" s="475"/>
      <c r="N2495" s="475"/>
      <c r="O2495" s="475"/>
      <c r="P2495" s="545"/>
      <c r="R2495" s="490" t="str">
        <f t="shared" si="132"/>
        <v>DELETE</v>
      </c>
    </row>
    <row r="2496" spans="2:26" ht="36.75" customHeight="1" x14ac:dyDescent="0.5">
      <c r="B2496" s="501"/>
      <c r="C2496" s="654" t="s">
        <v>1098</v>
      </c>
      <c r="D2496" s="648"/>
      <c r="E2496" s="631"/>
      <c r="F2496" s="631"/>
      <c r="G2496" s="631"/>
      <c r="H2496" s="631"/>
      <c r="I2496" s="631"/>
      <c r="J2496" s="631"/>
      <c r="M2496" s="475">
        <f>SUM(S2498:S2501)</f>
        <v>0</v>
      </c>
      <c r="N2496" s="475"/>
      <c r="O2496" s="475">
        <f>SUM(U2498:U2501)</f>
        <v>0</v>
      </c>
      <c r="P2496" s="545"/>
      <c r="R2496" s="490" t="str">
        <f t="shared" ref="R2496" si="133">IF(M2496=0,IF(O2496=0,"DELETE"," ")," ")</f>
        <v>DELETE</v>
      </c>
    </row>
    <row r="2497" spans="2:26" ht="9" customHeight="1" x14ac:dyDescent="0.5">
      <c r="B2497" s="501"/>
      <c r="C2497" s="654"/>
      <c r="D2497" s="648"/>
      <c r="E2497" s="631"/>
      <c r="F2497" s="631"/>
      <c r="G2497" s="631"/>
      <c r="H2497" s="631"/>
      <c r="I2497" s="631"/>
      <c r="J2497" s="631"/>
      <c r="M2497" s="569"/>
      <c r="N2497" s="569"/>
      <c r="O2497" s="569"/>
      <c r="P2497" s="545"/>
      <c r="R2497" s="490" t="str">
        <f>R$2496</f>
        <v>DELETE</v>
      </c>
    </row>
    <row r="2498" spans="2:26" ht="9" customHeight="1" x14ac:dyDescent="0.5">
      <c r="B2498" s="501"/>
      <c r="C2498" s="654"/>
      <c r="D2498" s="648"/>
      <c r="E2498" s="631"/>
      <c r="F2498" s="631"/>
      <c r="G2498" s="631"/>
      <c r="H2498" s="631"/>
      <c r="I2498" s="631"/>
      <c r="J2498" s="631"/>
      <c r="M2498" s="593"/>
      <c r="N2498" s="568"/>
      <c r="O2498" s="594"/>
      <c r="P2498" s="545"/>
      <c r="R2498" s="490" t="str">
        <f>R$2496</f>
        <v>DELETE</v>
      </c>
    </row>
    <row r="2499" spans="2:26" ht="36" customHeight="1" x14ac:dyDescent="0.5">
      <c r="B2499" s="501"/>
      <c r="C2499" s="631" t="s">
        <v>1430</v>
      </c>
      <c r="D2499" s="648"/>
      <c r="E2499" s="631"/>
      <c r="F2499" s="631"/>
      <c r="G2499" s="631"/>
      <c r="H2499" s="631"/>
      <c r="I2499" s="631"/>
      <c r="J2499" s="631"/>
      <c r="M2499" s="583">
        <f>-TrialBalance!L225</f>
        <v>0</v>
      </c>
      <c r="N2499" s="569"/>
      <c r="O2499" s="584">
        <f>-TrialBalance!N225</f>
        <v>0</v>
      </c>
      <c r="P2499" s="545"/>
      <c r="R2499" s="490" t="str">
        <f t="shared" ref="R2499:R2500" si="134">IF(M2499=0,IF(O2499=0,"DELETE"," ")," ")</f>
        <v>DELETE</v>
      </c>
      <c r="S2499" s="495">
        <f>M2499</f>
        <v>0</v>
      </c>
      <c r="U2499" s="495">
        <f>O2499</f>
        <v>0</v>
      </c>
    </row>
    <row r="2500" spans="2:26" ht="36" customHeight="1" x14ac:dyDescent="0.5">
      <c r="B2500" s="501"/>
      <c r="C2500" s="631" t="s">
        <v>917</v>
      </c>
      <c r="D2500" s="648"/>
      <c r="E2500" s="631"/>
      <c r="F2500" s="631"/>
      <c r="G2500" s="631"/>
      <c r="H2500" s="631"/>
      <c r="I2500" s="631"/>
      <c r="J2500" s="631"/>
      <c r="M2500" s="583">
        <f>-TrialBalance!L226</f>
        <v>0</v>
      </c>
      <c r="N2500" s="569"/>
      <c r="O2500" s="584">
        <f>-TrialBalance!N226</f>
        <v>0</v>
      </c>
      <c r="P2500" s="545"/>
      <c r="R2500" s="490" t="str">
        <f t="shared" si="134"/>
        <v>DELETE</v>
      </c>
      <c r="S2500" s="495">
        <f>M2500</f>
        <v>0</v>
      </c>
      <c r="U2500" s="495">
        <f>O2500</f>
        <v>0</v>
      </c>
    </row>
    <row r="2501" spans="2:26" ht="9" customHeight="1" x14ac:dyDescent="0.5">
      <c r="B2501" s="501"/>
      <c r="C2501" s="654"/>
      <c r="D2501" s="648"/>
      <c r="E2501" s="631"/>
      <c r="F2501" s="631"/>
      <c r="G2501" s="631"/>
      <c r="H2501" s="631"/>
      <c r="I2501" s="631"/>
      <c r="J2501" s="631"/>
      <c r="M2501" s="595"/>
      <c r="N2501" s="570"/>
      <c r="O2501" s="596"/>
      <c r="P2501" s="545"/>
      <c r="R2501" s="490" t="str">
        <f t="shared" ref="R2501:R2502" si="135">R$2496</f>
        <v>DELETE</v>
      </c>
    </row>
    <row r="2502" spans="2:26" ht="9" customHeight="1" x14ac:dyDescent="0.5">
      <c r="B2502" s="501"/>
      <c r="C2502" s="654"/>
      <c r="D2502" s="648"/>
      <c r="E2502" s="631"/>
      <c r="F2502" s="631"/>
      <c r="G2502" s="631"/>
      <c r="H2502" s="631"/>
      <c r="I2502" s="631"/>
      <c r="J2502" s="631"/>
      <c r="M2502" s="569"/>
      <c r="N2502" s="569"/>
      <c r="O2502" s="569"/>
      <c r="P2502" s="545"/>
      <c r="R2502" s="490" t="str">
        <f t="shared" si="135"/>
        <v>DELETE</v>
      </c>
    </row>
    <row r="2503" spans="2:26" ht="36.75" customHeight="1" x14ac:dyDescent="0.5">
      <c r="B2503" s="501"/>
      <c r="C2503" s="654" t="s">
        <v>1099</v>
      </c>
      <c r="D2503" s="648"/>
      <c r="E2503" s="631"/>
      <c r="F2503" s="631"/>
      <c r="G2503" s="631"/>
      <c r="H2503" s="631"/>
      <c r="I2503" s="631"/>
      <c r="J2503" s="631"/>
      <c r="M2503" s="475">
        <f>SUM(S2505:S2508)</f>
        <v>0</v>
      </c>
      <c r="N2503" s="475"/>
      <c r="O2503" s="475">
        <f>SUM(U2505:U2508)</f>
        <v>0</v>
      </c>
      <c r="P2503" s="545"/>
      <c r="R2503" s="490" t="str">
        <f>IF(M2503=0,IF(O2503=0,"DELETE"," ")," ")</f>
        <v>DELETE</v>
      </c>
    </row>
    <row r="2504" spans="2:26" ht="9" customHeight="1" x14ac:dyDescent="0.5">
      <c r="B2504" s="501"/>
      <c r="C2504" s="654"/>
      <c r="D2504" s="648"/>
      <c r="E2504" s="631"/>
      <c r="F2504" s="631"/>
      <c r="G2504" s="631"/>
      <c r="H2504" s="631"/>
      <c r="I2504" s="631"/>
      <c r="J2504" s="631"/>
      <c r="M2504" s="569"/>
      <c r="N2504" s="569"/>
      <c r="O2504" s="569"/>
      <c r="P2504" s="545"/>
      <c r="R2504" s="490" t="str">
        <f>R$2503</f>
        <v>DELETE</v>
      </c>
    </row>
    <row r="2505" spans="2:26" ht="9" customHeight="1" x14ac:dyDescent="0.5">
      <c r="B2505" s="501"/>
      <c r="C2505" s="654"/>
      <c r="D2505" s="648"/>
      <c r="E2505" s="631"/>
      <c r="F2505" s="631"/>
      <c r="G2505" s="631"/>
      <c r="H2505" s="631"/>
      <c r="I2505" s="631"/>
      <c r="J2505" s="631"/>
      <c r="M2505" s="593"/>
      <c r="N2505" s="568"/>
      <c r="O2505" s="594"/>
      <c r="P2505" s="545"/>
      <c r="R2505" s="490" t="str">
        <f>R$2503</f>
        <v>DELETE</v>
      </c>
    </row>
    <row r="2506" spans="2:26" ht="36" customHeight="1" x14ac:dyDescent="0.5">
      <c r="B2506" s="501"/>
      <c r="C2506" s="631" t="s">
        <v>1430</v>
      </c>
      <c r="D2506" s="648"/>
      <c r="E2506" s="631"/>
      <c r="F2506" s="631"/>
      <c r="G2506" s="631"/>
      <c r="H2506" s="631"/>
      <c r="I2506" s="631"/>
      <c r="J2506" s="631"/>
      <c r="M2506" s="583">
        <f>-TrialBalance!L227</f>
        <v>0</v>
      </c>
      <c r="N2506" s="569"/>
      <c r="O2506" s="584">
        <f>-TrialBalance!N227</f>
        <v>0</v>
      </c>
      <c r="P2506" s="545"/>
      <c r="R2506" s="490" t="str">
        <f t="shared" ref="R2506:R2507" si="136">IF(M2506=0,IF(O2506=0,"DELETE"," ")," ")</f>
        <v>DELETE</v>
      </c>
      <c r="S2506" s="495">
        <f>M2506</f>
        <v>0</v>
      </c>
      <c r="U2506" s="495">
        <f>O2506</f>
        <v>0</v>
      </c>
    </row>
    <row r="2507" spans="2:26" ht="36" customHeight="1" x14ac:dyDescent="0.5">
      <c r="B2507" s="501"/>
      <c r="C2507" s="631" t="s">
        <v>917</v>
      </c>
      <c r="D2507" s="648"/>
      <c r="E2507" s="631"/>
      <c r="F2507" s="631"/>
      <c r="G2507" s="631"/>
      <c r="H2507" s="631"/>
      <c r="I2507" s="631"/>
      <c r="J2507" s="631"/>
      <c r="M2507" s="583">
        <f>-TrialBalance!L228</f>
        <v>0</v>
      </c>
      <c r="N2507" s="569"/>
      <c r="O2507" s="584">
        <f>-TrialBalance!N228</f>
        <v>0</v>
      </c>
      <c r="P2507" s="545"/>
      <c r="R2507" s="490" t="str">
        <f t="shared" si="136"/>
        <v>DELETE</v>
      </c>
      <c r="S2507" s="495">
        <f>M2507</f>
        <v>0</v>
      </c>
      <c r="U2507" s="495">
        <f>O2507</f>
        <v>0</v>
      </c>
    </row>
    <row r="2508" spans="2:26" ht="9" customHeight="1" x14ac:dyDescent="0.5">
      <c r="B2508" s="501"/>
      <c r="C2508" s="654"/>
      <c r="D2508" s="648"/>
      <c r="E2508" s="631"/>
      <c r="F2508" s="631"/>
      <c r="G2508" s="631"/>
      <c r="H2508" s="631"/>
      <c r="I2508" s="631"/>
      <c r="J2508" s="631"/>
      <c r="M2508" s="595"/>
      <c r="N2508" s="570"/>
      <c r="O2508" s="596"/>
      <c r="P2508" s="545"/>
      <c r="R2508" s="490" t="str">
        <f>R$2503</f>
        <v>DELETE</v>
      </c>
    </row>
    <row r="2509" spans="2:26" ht="9" customHeight="1" x14ac:dyDescent="0.5">
      <c r="B2509" s="501"/>
      <c r="C2509" s="631"/>
      <c r="D2509" s="648"/>
      <c r="E2509" s="631"/>
      <c r="F2509" s="631"/>
      <c r="G2509" s="631"/>
      <c r="H2509" s="631"/>
      <c r="I2509" s="631"/>
      <c r="J2509" s="631"/>
      <c r="M2509" s="461"/>
      <c r="N2509" s="461"/>
      <c r="O2509" s="461"/>
      <c r="P2509" s="545"/>
      <c r="R2509" s="490" t="str">
        <f t="shared" ref="R2509:R2514" si="137">R$2451</f>
        <v>DELETE</v>
      </c>
    </row>
    <row r="2510" spans="2:26" ht="9" customHeight="1" x14ac:dyDescent="0.5">
      <c r="B2510" s="501"/>
      <c r="C2510" s="631"/>
      <c r="D2510" s="648"/>
      <c r="E2510" s="631"/>
      <c r="F2510" s="631"/>
      <c r="G2510" s="631"/>
      <c r="H2510" s="631"/>
      <c r="I2510" s="631"/>
      <c r="J2510" s="631"/>
      <c r="M2510" s="475"/>
      <c r="N2510" s="475"/>
      <c r="O2510" s="475"/>
      <c r="P2510" s="545"/>
      <c r="R2510" s="490" t="str">
        <f t="shared" si="137"/>
        <v>DELETE</v>
      </c>
    </row>
    <row r="2511" spans="2:26" ht="36.75" customHeight="1" x14ac:dyDescent="0.5">
      <c r="B2511" s="501"/>
      <c r="C2511" s="654" t="str">
        <f>IF((Y2511+Z2511)=3,"Deferred tax liability/(asset) at the end of the year",(IF((Y2511+Z2511=4),"Deferred tax liability at the end of the year","Deferred tax asset at the end of the year")))</f>
        <v>Deferred tax liability at the end of the year</v>
      </c>
      <c r="D2511" s="648"/>
      <c r="E2511" s="631"/>
      <c r="F2511" s="631"/>
      <c r="G2511" s="631"/>
      <c r="H2511" s="631"/>
      <c r="I2511" s="631"/>
      <c r="J2511" s="631"/>
      <c r="M2511" s="475">
        <f>SUM(S2484:S2508)</f>
        <v>0</v>
      </c>
      <c r="N2511" s="475"/>
      <c r="O2511" s="475">
        <f>SUM(U2484:U2508)</f>
        <v>0</v>
      </c>
      <c r="P2511" s="545"/>
      <c r="R2511" s="490" t="str">
        <f t="shared" si="137"/>
        <v>DELETE</v>
      </c>
      <c r="V2511" s="491" t="b">
        <f>M2511=SUM(M2514:M2517)</f>
        <v>1</v>
      </c>
      <c r="X2511" s="491" t="b">
        <f>O2511=SUM(O2514:O2517)</f>
        <v>1</v>
      </c>
      <c r="Y2511" s="491">
        <f>IF(M2511&lt;0,1,IF(M2511=0,IF(O2511&lt;0,1,2),2))</f>
        <v>2</v>
      </c>
      <c r="Z2511" s="491">
        <f>IF(O2511&lt;0,1,IF(O2511=0,IF(M2511&lt;0,1,2),2))</f>
        <v>2</v>
      </c>
    </row>
    <row r="2512" spans="2:26" ht="9" customHeight="1" thickBot="1" x14ac:dyDescent="0.55000000000000004">
      <c r="B2512" s="501"/>
      <c r="C2512" s="630"/>
      <c r="D2512" s="631"/>
      <c r="E2512" s="631"/>
      <c r="F2512" s="631"/>
      <c r="G2512" s="631"/>
      <c r="H2512" s="631"/>
      <c r="I2512" s="631"/>
      <c r="J2512" s="631"/>
      <c r="M2512" s="462"/>
      <c r="N2512" s="462"/>
      <c r="O2512" s="462"/>
      <c r="P2512" s="545"/>
      <c r="R2512" s="490" t="str">
        <f t="shared" si="137"/>
        <v>DELETE</v>
      </c>
    </row>
    <row r="2513" spans="2:21" ht="9" customHeight="1" thickTop="1" x14ac:dyDescent="0.5">
      <c r="B2513" s="501"/>
      <c r="C2513" s="630"/>
      <c r="D2513" s="631"/>
      <c r="E2513" s="631"/>
      <c r="F2513" s="631"/>
      <c r="G2513" s="631"/>
      <c r="H2513" s="631"/>
      <c r="I2513" s="631"/>
      <c r="J2513" s="631"/>
      <c r="M2513" s="475"/>
      <c r="N2513" s="475"/>
      <c r="O2513" s="475" t="s">
        <v>701</v>
      </c>
      <c r="P2513" s="545"/>
      <c r="R2513" s="490" t="str">
        <f t="shared" si="137"/>
        <v>DELETE</v>
      </c>
    </row>
    <row r="2514" spans="2:21" ht="9" customHeight="1" x14ac:dyDescent="0.5">
      <c r="B2514" s="501"/>
      <c r="C2514" s="630"/>
      <c r="D2514" s="631"/>
      <c r="E2514" s="631"/>
      <c r="F2514" s="631"/>
      <c r="G2514" s="631"/>
      <c r="H2514" s="631"/>
      <c r="I2514" s="631"/>
      <c r="J2514" s="631"/>
      <c r="M2514" s="578"/>
      <c r="N2514" s="459"/>
      <c r="O2514" s="579"/>
      <c r="P2514" s="545"/>
      <c r="R2514" s="490" t="str">
        <f t="shared" si="137"/>
        <v>DELETE</v>
      </c>
    </row>
    <row r="2515" spans="2:21" ht="36" customHeight="1" x14ac:dyDescent="0.5">
      <c r="B2515" s="501"/>
      <c r="C2515" s="631" t="s">
        <v>1430</v>
      </c>
      <c r="D2515" s="631"/>
      <c r="E2515" s="631"/>
      <c r="F2515" s="631"/>
      <c r="G2515" s="631"/>
      <c r="H2515" s="631"/>
      <c r="I2515" s="631"/>
      <c r="J2515" s="631"/>
      <c r="M2515" s="580">
        <f>-TrialBalance!L221-TrialBalance!L223-TrialBalance!L225-TrialBalance!L227</f>
        <v>0</v>
      </c>
      <c r="N2515" s="475"/>
      <c r="O2515" s="581">
        <f>-TrialBalance!N221-TrialBalance!N223-TrialBalance!N225-TrialBalance!N227</f>
        <v>0</v>
      </c>
      <c r="P2515" s="545"/>
      <c r="R2515" s="490" t="str">
        <f>IF(R2451="DELETE","DELETE",IF(R2516="DELETE"," ",IF(M2515=0,IF(O2515=0,"DELETE"," ")," ")))</f>
        <v>DELETE</v>
      </c>
      <c r="S2515" s="495">
        <f>M2515</f>
        <v>0</v>
      </c>
      <c r="U2515" s="495">
        <f>O2515</f>
        <v>0</v>
      </c>
    </row>
    <row r="2516" spans="2:21" ht="36" customHeight="1" x14ac:dyDescent="0.5">
      <c r="B2516" s="501"/>
      <c r="C2516" s="631" t="s">
        <v>917</v>
      </c>
      <c r="D2516" s="631"/>
      <c r="E2516" s="631"/>
      <c r="F2516" s="631"/>
      <c r="G2516" s="631"/>
      <c r="H2516" s="631"/>
      <c r="I2516" s="631"/>
      <c r="J2516" s="631"/>
      <c r="M2516" s="580">
        <f>-TrialBalance!L222-TrialBalance!L224-TrialBalance!L226-TrialBalance!L228</f>
        <v>0</v>
      </c>
      <c r="N2516" s="475"/>
      <c r="O2516" s="581">
        <f>-TrialBalance!N222-TrialBalance!N224-TrialBalance!N226-TrialBalance!N228</f>
        <v>0</v>
      </c>
      <c r="P2516" s="545"/>
      <c r="R2516" s="490" t="str">
        <f>IF(R2451="DELETE","DELETE",IF(M2516=0,IF(O2516=0,"DELETE"," ")," "))</f>
        <v>DELETE</v>
      </c>
      <c r="S2516" s="495">
        <f>M2516</f>
        <v>0</v>
      </c>
      <c r="U2516" s="495">
        <f>O2516</f>
        <v>0</v>
      </c>
    </row>
    <row r="2517" spans="2:21" ht="9" customHeight="1" x14ac:dyDescent="0.5">
      <c r="B2517" s="501"/>
      <c r="C2517" s="630"/>
      <c r="D2517" s="631"/>
      <c r="E2517" s="631"/>
      <c r="F2517" s="631"/>
      <c r="G2517" s="631"/>
      <c r="H2517" s="631"/>
      <c r="I2517" s="631"/>
      <c r="J2517" s="631"/>
      <c r="M2517" s="460"/>
      <c r="N2517" s="461"/>
      <c r="O2517" s="582"/>
      <c r="P2517" s="545"/>
      <c r="R2517" s="490" t="str">
        <f t="shared" ref="R2517:R2522" si="138">R$2451</f>
        <v>DELETE</v>
      </c>
    </row>
    <row r="2518" spans="2:21" ht="9" customHeight="1" x14ac:dyDescent="0.5">
      <c r="B2518" s="501"/>
      <c r="C2518" s="630"/>
      <c r="D2518" s="631"/>
      <c r="E2518" s="631"/>
      <c r="F2518" s="631"/>
      <c r="G2518" s="631"/>
      <c r="H2518" s="631"/>
      <c r="I2518" s="631"/>
      <c r="J2518" s="631"/>
      <c r="M2518" s="475"/>
      <c r="N2518" s="475"/>
      <c r="O2518" s="475"/>
      <c r="P2518" s="545"/>
      <c r="R2518" s="490" t="str">
        <f t="shared" si="138"/>
        <v>DELETE</v>
      </c>
    </row>
    <row r="2519" spans="2:21" ht="36" customHeight="1" x14ac:dyDescent="0.5">
      <c r="B2519" s="501"/>
      <c r="C2519" s="630"/>
      <c r="D2519" s="631"/>
      <c r="E2519" s="631"/>
      <c r="F2519" s="631"/>
      <c r="G2519" s="631"/>
      <c r="H2519" s="631"/>
      <c r="I2519" s="631"/>
      <c r="J2519" s="631"/>
      <c r="M2519" s="475"/>
      <c r="N2519" s="475"/>
      <c r="O2519" s="475"/>
      <c r="P2519" s="545"/>
      <c r="R2519" s="490" t="str">
        <f t="shared" si="138"/>
        <v>DELETE</v>
      </c>
    </row>
    <row r="2520" spans="2:21" ht="36" customHeight="1" x14ac:dyDescent="0.5">
      <c r="B2520" s="501"/>
      <c r="C2520" s="630"/>
      <c r="D2520" s="631"/>
      <c r="E2520" s="631"/>
      <c r="F2520" s="631"/>
      <c r="G2520" s="631"/>
      <c r="H2520" s="631"/>
      <c r="I2520" s="631"/>
      <c r="J2520" s="631"/>
      <c r="M2520" s="475"/>
      <c r="N2520" s="475"/>
      <c r="O2520" s="475"/>
      <c r="P2520" s="545"/>
      <c r="R2520" s="490" t="str">
        <f t="shared" si="138"/>
        <v>DELETE</v>
      </c>
    </row>
    <row r="2521" spans="2:21" ht="36" customHeight="1" x14ac:dyDescent="0.5">
      <c r="B2521" s="501"/>
      <c r="C2521" s="630"/>
      <c r="D2521" s="631"/>
      <c r="E2521" s="631"/>
      <c r="F2521" s="631"/>
      <c r="G2521" s="631"/>
      <c r="H2521" s="631"/>
      <c r="I2521" s="631"/>
      <c r="J2521" s="631"/>
      <c r="M2521" s="475"/>
      <c r="N2521" s="475"/>
      <c r="O2521" s="475"/>
      <c r="P2521" s="545"/>
      <c r="R2521" s="490" t="str">
        <f t="shared" si="138"/>
        <v>DELETE</v>
      </c>
    </row>
    <row r="2522" spans="2:21" ht="36" customHeight="1" x14ac:dyDescent="0.5">
      <c r="B2522" s="502"/>
      <c r="C2522" s="631"/>
      <c r="D2522" s="631"/>
      <c r="E2522" s="631"/>
      <c r="F2522" s="631"/>
      <c r="G2522" s="631"/>
      <c r="H2522" s="631"/>
      <c r="I2522" s="631"/>
      <c r="J2522" s="631"/>
      <c r="M2522" s="541"/>
      <c r="N2522" s="541"/>
      <c r="O2522" s="541"/>
      <c r="R2522" s="490" t="str">
        <f t="shared" si="138"/>
        <v>DELETE</v>
      </c>
    </row>
    <row r="2523" spans="2:21" ht="36" customHeight="1" x14ac:dyDescent="0.5">
      <c r="B2523" s="502"/>
      <c r="C2523" s="631"/>
      <c r="D2523" s="631"/>
      <c r="E2523" s="631"/>
      <c r="F2523" s="631"/>
      <c r="G2523" s="631"/>
      <c r="H2523" s="631"/>
      <c r="I2523" s="631"/>
      <c r="J2523" s="631"/>
      <c r="M2523" s="541"/>
      <c r="N2523" s="541"/>
      <c r="O2523" s="458" t="s">
        <v>112</v>
      </c>
      <c r="Q2523" s="450">
        <f>MAX($Q$103:Q2522)+1</f>
        <v>66</v>
      </c>
      <c r="R2523" s="490" t="str">
        <f>R$2543</f>
        <v>DELETE</v>
      </c>
    </row>
    <row r="2524" spans="2:21" ht="36" customHeight="1" x14ac:dyDescent="0.5">
      <c r="B2524" s="502"/>
      <c r="C2524" s="631"/>
      <c r="D2524" s="630" t="str">
        <f>Criteria!E9</f>
        <v>ABC COMPANY (PROPRIETARY) LIMITED</v>
      </c>
      <c r="E2524" s="631"/>
      <c r="F2524" s="631"/>
      <c r="G2524" s="631"/>
      <c r="H2524" s="631"/>
      <c r="I2524" s="631"/>
      <c r="J2524" s="631"/>
      <c r="M2524" s="541"/>
      <c r="N2524" s="541"/>
      <c r="O2524" s="540"/>
      <c r="R2524" s="490" t="str">
        <f t="shared" ref="R2524:R2534" si="139">R$2543</f>
        <v>DELETE</v>
      </c>
    </row>
    <row r="2525" spans="2:21" ht="36" customHeight="1" x14ac:dyDescent="0.5">
      <c r="B2525" s="502"/>
      <c r="C2525" s="631"/>
      <c r="D2525" s="630" t="str">
        <f>Criteria!E10</f>
        <v>T/A SEAFRONT HOTEL, ABC RESTAURANT AND RENTAL PROPERTIES</v>
      </c>
      <c r="E2525" s="631"/>
      <c r="F2525" s="631"/>
      <c r="G2525" s="631"/>
      <c r="H2525" s="631"/>
      <c r="I2525" s="631"/>
      <c r="J2525" s="631"/>
      <c r="M2525" s="541"/>
      <c r="N2525" s="541"/>
      <c r="O2525" s="541"/>
      <c r="R2525" s="490" t="str">
        <f>IF(R$2543="DELETE","DELETE",IF(D2525=0,"DELETE"," "))</f>
        <v>DELETE</v>
      </c>
    </row>
    <row r="2526" spans="2:21" ht="36" customHeight="1" x14ac:dyDescent="0.5">
      <c r="B2526" s="502"/>
      <c r="C2526" s="631"/>
      <c r="D2526" s="631"/>
      <c r="E2526" s="631"/>
      <c r="F2526" s="631"/>
      <c r="G2526" s="631"/>
      <c r="H2526" s="631"/>
      <c r="I2526" s="631"/>
      <c r="J2526" s="631"/>
      <c r="M2526" s="541"/>
      <c r="N2526" s="541"/>
      <c r="O2526" s="541"/>
      <c r="R2526" s="490" t="str">
        <f t="shared" si="139"/>
        <v>DELETE</v>
      </c>
    </row>
    <row r="2527" spans="2:21" ht="36" customHeight="1" x14ac:dyDescent="0.5">
      <c r="B2527" s="502"/>
      <c r="C2527" s="631"/>
      <c r="D2527" s="630" t="s">
        <v>415</v>
      </c>
      <c r="E2527" s="631"/>
      <c r="F2527" s="631"/>
      <c r="G2527" s="631"/>
      <c r="H2527" s="631"/>
      <c r="I2527" s="631"/>
      <c r="J2527" s="631"/>
      <c r="M2527" s="541"/>
      <c r="N2527" s="541"/>
      <c r="O2527" s="541"/>
      <c r="R2527" s="490" t="str">
        <f t="shared" si="139"/>
        <v>DELETE</v>
      </c>
    </row>
    <row r="2528" spans="2:21" ht="36" customHeight="1" x14ac:dyDescent="0.5">
      <c r="B2528" s="502"/>
      <c r="C2528" s="631"/>
      <c r="D2528" s="630" t="str">
        <f>Criteria!E20</f>
        <v>28 FEBRUARY 2026</v>
      </c>
      <c r="E2528" s="631"/>
      <c r="F2528" s="631"/>
      <c r="G2528" s="631"/>
      <c r="H2528" s="631"/>
      <c r="I2528" s="631"/>
      <c r="J2528" s="631" t="s">
        <v>282</v>
      </c>
      <c r="M2528" s="541"/>
      <c r="N2528" s="541"/>
      <c r="O2528" s="541"/>
      <c r="R2528" s="490" t="str">
        <f t="shared" si="139"/>
        <v>DELETE</v>
      </c>
    </row>
    <row r="2529" spans="2:18" ht="36" customHeight="1" x14ac:dyDescent="0.5">
      <c r="B2529" s="502"/>
      <c r="C2529" s="631"/>
      <c r="D2529" s="630"/>
      <c r="E2529" s="631"/>
      <c r="F2529" s="631"/>
      <c r="G2529" s="631"/>
      <c r="H2529" s="631"/>
      <c r="I2529" s="631"/>
      <c r="J2529" s="631"/>
      <c r="M2529" s="541"/>
      <c r="N2529" s="541"/>
      <c r="O2529" s="541"/>
      <c r="R2529" s="490" t="str">
        <f t="shared" si="139"/>
        <v>DELETE</v>
      </c>
    </row>
    <row r="2530" spans="2:18" ht="36" customHeight="1" x14ac:dyDescent="0.5">
      <c r="B2530" s="640"/>
      <c r="C2530" s="652"/>
      <c r="D2530" s="649"/>
      <c r="E2530" s="649"/>
      <c r="F2530" s="649"/>
      <c r="G2530" s="649"/>
      <c r="H2530" s="649"/>
      <c r="I2530" s="649"/>
      <c r="J2530" s="649"/>
      <c r="K2530" s="457"/>
      <c r="L2530" s="457"/>
      <c r="M2530" s="459"/>
      <c r="N2530" s="459"/>
      <c r="O2530" s="459"/>
      <c r="P2530" s="551"/>
      <c r="Q2530" s="457"/>
      <c r="R2530" s="490" t="str">
        <f t="shared" si="139"/>
        <v>DELETE</v>
      </c>
    </row>
    <row r="2531" spans="2:18" ht="36" customHeight="1" x14ac:dyDescent="0.5">
      <c r="B2531" s="501"/>
      <c r="C2531" s="630"/>
      <c r="D2531" s="631"/>
      <c r="E2531" s="631"/>
      <c r="F2531" s="631"/>
      <c r="G2531" s="631"/>
      <c r="H2531" s="631"/>
      <c r="I2531" s="631"/>
      <c r="J2531" s="631"/>
      <c r="M2531" s="453">
        <f>Criteria!E22</f>
        <v>2026</v>
      </c>
      <c r="N2531" s="453"/>
      <c r="O2531" s="453">
        <f>Criteria!E27</f>
        <v>2025</v>
      </c>
      <c r="R2531" s="490" t="str">
        <f t="shared" si="139"/>
        <v>DELETE</v>
      </c>
    </row>
    <row r="2532" spans="2:18" ht="36" customHeight="1" x14ac:dyDescent="0.5">
      <c r="B2532" s="501"/>
      <c r="C2532" s="630"/>
      <c r="D2532" s="631"/>
      <c r="E2532" s="631"/>
      <c r="F2532" s="631"/>
      <c r="G2532" s="631"/>
      <c r="H2532" s="631"/>
      <c r="I2532" s="631"/>
      <c r="J2532" s="631"/>
      <c r="M2532" s="458"/>
      <c r="N2532" s="458"/>
      <c r="O2532" s="458"/>
      <c r="R2532" s="490" t="str">
        <f t="shared" si="139"/>
        <v>DELETE</v>
      </c>
    </row>
    <row r="2533" spans="2:18" ht="36" customHeight="1" x14ac:dyDescent="0.5">
      <c r="B2533" s="501">
        <f>MAX(B$871:B2532)+1</f>
        <v>27</v>
      </c>
      <c r="C2533" s="630" t="s">
        <v>878</v>
      </c>
      <c r="D2533" s="631"/>
      <c r="E2533" s="631"/>
      <c r="F2533" s="631"/>
      <c r="G2533" s="631"/>
      <c r="H2533" s="631"/>
      <c r="I2533" s="631"/>
      <c r="J2533" s="631"/>
      <c r="M2533" s="458"/>
      <c r="N2533" s="458"/>
      <c r="O2533" s="458"/>
      <c r="R2533" s="490" t="str">
        <f t="shared" si="139"/>
        <v>DELETE</v>
      </c>
    </row>
    <row r="2534" spans="2:18" ht="36" customHeight="1" x14ac:dyDescent="0.5">
      <c r="B2534" s="501"/>
      <c r="C2534" s="630"/>
      <c r="D2534" s="631"/>
      <c r="E2534" s="631"/>
      <c r="F2534" s="631"/>
      <c r="G2534" s="631"/>
      <c r="H2534" s="631"/>
      <c r="I2534" s="631"/>
      <c r="J2534" s="631"/>
      <c r="M2534" s="458"/>
      <c r="N2534" s="458"/>
      <c r="O2534" s="458"/>
      <c r="R2534" s="490" t="str">
        <f t="shared" si="139"/>
        <v>DELETE</v>
      </c>
    </row>
    <row r="2535" spans="2:18" ht="36" customHeight="1" x14ac:dyDescent="0.5">
      <c r="B2535" s="501"/>
      <c r="C2535" s="631" t="s">
        <v>459</v>
      </c>
      <c r="D2535" s="648"/>
      <c r="E2535" s="631"/>
      <c r="F2535" s="631"/>
      <c r="G2535" s="631"/>
      <c r="H2535" s="631"/>
      <c r="I2535" s="631"/>
      <c r="J2535" s="631"/>
      <c r="M2535" s="458">
        <f>-TrialBalance!L380-TrialBalance!L379</f>
        <v>0</v>
      </c>
      <c r="N2535" s="458"/>
      <c r="O2535" s="458">
        <f>-TrialBalance!N380-TrialBalance!N379</f>
        <v>0</v>
      </c>
      <c r="R2535" s="490" t="str">
        <f t="shared" ref="R2535:R2540" si="140">IF(M2535+O2535=0,"DELETE"," ")</f>
        <v>DELETE</v>
      </c>
    </row>
    <row r="2536" spans="2:18" ht="36" customHeight="1" x14ac:dyDescent="0.5">
      <c r="B2536" s="501"/>
      <c r="C2536" s="631" t="s">
        <v>622</v>
      </c>
      <c r="D2536" s="648"/>
      <c r="E2536" s="631"/>
      <c r="F2536" s="631"/>
      <c r="G2536" s="631"/>
      <c r="H2536" s="631"/>
      <c r="I2536" s="631"/>
      <c r="J2536" s="631"/>
      <c r="M2536" s="458">
        <f>-TrialBalance!L381</f>
        <v>0</v>
      </c>
      <c r="N2536" s="458"/>
      <c r="O2536" s="458">
        <f>-TrialBalance!N381</f>
        <v>0</v>
      </c>
      <c r="R2536" s="490" t="str">
        <f t="shared" si="140"/>
        <v>DELETE</v>
      </c>
    </row>
    <row r="2537" spans="2:18" ht="36" customHeight="1" x14ac:dyDescent="0.5">
      <c r="B2537" s="501"/>
      <c r="C2537" s="631" t="s">
        <v>922</v>
      </c>
      <c r="D2537" s="648"/>
      <c r="E2537" s="631"/>
      <c r="F2537" s="631"/>
      <c r="G2537" s="631"/>
      <c r="H2537" s="631"/>
      <c r="I2537" s="631"/>
      <c r="J2537" s="631"/>
      <c r="M2537" s="458">
        <f>-TrialBalance!L382</f>
        <v>0</v>
      </c>
      <c r="N2537" s="458"/>
      <c r="O2537" s="458">
        <f>-TrialBalance!N382</f>
        <v>0</v>
      </c>
      <c r="R2537" s="490" t="str">
        <f t="shared" si="140"/>
        <v>DELETE</v>
      </c>
    </row>
    <row r="2538" spans="2:18" ht="36" customHeight="1" x14ac:dyDescent="0.5">
      <c r="B2538" s="501"/>
      <c r="C2538" s="631" t="s">
        <v>623</v>
      </c>
      <c r="D2538" s="648"/>
      <c r="E2538" s="631"/>
      <c r="F2538" s="631"/>
      <c r="G2538" s="631"/>
      <c r="H2538" s="631"/>
      <c r="I2538" s="631"/>
      <c r="J2538" s="631"/>
      <c r="M2538" s="458">
        <f>-TrialBalance!L383</f>
        <v>0</v>
      </c>
      <c r="N2538" s="458"/>
      <c r="O2538" s="458">
        <f>-TrialBalance!N383</f>
        <v>0</v>
      </c>
      <c r="R2538" s="490" t="str">
        <f t="shared" si="140"/>
        <v>DELETE</v>
      </c>
    </row>
    <row r="2539" spans="2:18" ht="36" customHeight="1" x14ac:dyDescent="0.5">
      <c r="B2539" s="501"/>
      <c r="C2539" s="631" t="s">
        <v>900</v>
      </c>
      <c r="D2539" s="648"/>
      <c r="E2539" s="631"/>
      <c r="F2539" s="631"/>
      <c r="G2539" s="631"/>
      <c r="H2539" s="631"/>
      <c r="I2539" s="631"/>
      <c r="J2539" s="631"/>
      <c r="M2539" s="458">
        <f>-TrialBalance!L384</f>
        <v>0</v>
      </c>
      <c r="N2539" s="458"/>
      <c r="O2539" s="458">
        <f>-TrialBalance!N384</f>
        <v>0</v>
      </c>
      <c r="R2539" s="490" t="str">
        <f t="shared" si="140"/>
        <v>DELETE</v>
      </c>
    </row>
    <row r="2540" spans="2:18" ht="36" customHeight="1" x14ac:dyDescent="0.5">
      <c r="B2540" s="501"/>
      <c r="C2540" s="631" t="s">
        <v>607</v>
      </c>
      <c r="D2540" s="648"/>
      <c r="E2540" s="631"/>
      <c r="F2540" s="631"/>
      <c r="G2540" s="631"/>
      <c r="H2540" s="631"/>
      <c r="I2540" s="631"/>
      <c r="J2540" s="631"/>
      <c r="M2540" s="458">
        <f>IF(TrialBalance!L399&lt;0,-TrialBalance!L399,0)</f>
        <v>0</v>
      </c>
      <c r="N2540" s="458"/>
      <c r="O2540" s="458">
        <f>IF(TrialBalance!N399&lt;0,-TrialBalance!N399,0)</f>
        <v>0</v>
      </c>
      <c r="R2540" s="490" t="str">
        <f t="shared" si="140"/>
        <v>DELETE</v>
      </c>
    </row>
    <row r="2541" spans="2:18" ht="9" customHeight="1" x14ac:dyDescent="0.5">
      <c r="B2541" s="501"/>
      <c r="C2541" s="630"/>
      <c r="D2541" s="631"/>
      <c r="E2541" s="631"/>
      <c r="F2541" s="631"/>
      <c r="G2541" s="631"/>
      <c r="H2541" s="631"/>
      <c r="I2541" s="631"/>
      <c r="J2541" s="631"/>
      <c r="M2541" s="461"/>
      <c r="N2541" s="461"/>
      <c r="O2541" s="461"/>
      <c r="R2541" s="490" t="str">
        <f t="shared" ref="R2541:R2549" si="141">R$2543</f>
        <v>DELETE</v>
      </c>
    </row>
    <row r="2542" spans="2:18" ht="9" customHeight="1" x14ac:dyDescent="0.5">
      <c r="B2542" s="501"/>
      <c r="C2542" s="630"/>
      <c r="D2542" s="631"/>
      <c r="E2542" s="631"/>
      <c r="F2542" s="631"/>
      <c r="G2542" s="631"/>
      <c r="H2542" s="631"/>
      <c r="I2542" s="631"/>
      <c r="J2542" s="631"/>
      <c r="M2542" s="458"/>
      <c r="N2542" s="458"/>
      <c r="O2542" s="458"/>
      <c r="R2542" s="490" t="str">
        <f t="shared" si="141"/>
        <v>DELETE</v>
      </c>
    </row>
    <row r="2543" spans="2:18" ht="36.75" customHeight="1" x14ac:dyDescent="0.5">
      <c r="B2543" s="501"/>
      <c r="C2543" s="630"/>
      <c r="D2543" s="631"/>
      <c r="E2543" s="631"/>
      <c r="F2543" s="631"/>
      <c r="G2543" s="631"/>
      <c r="H2543" s="631"/>
      <c r="I2543" s="631"/>
      <c r="J2543" s="631"/>
      <c r="M2543" s="458">
        <f>SUM(M2535:M2542)</f>
        <v>0</v>
      </c>
      <c r="N2543" s="458"/>
      <c r="O2543" s="458">
        <f>SUM(O2535:O2542)</f>
        <v>0</v>
      </c>
      <c r="R2543" s="490" t="str">
        <f>IF(M2543+O2543=0,"DELETE"," ")</f>
        <v>DELETE</v>
      </c>
    </row>
    <row r="2544" spans="2:18" ht="9" customHeight="1" thickBot="1" x14ac:dyDescent="0.55000000000000004">
      <c r="B2544" s="501"/>
      <c r="C2544" s="630"/>
      <c r="D2544" s="631"/>
      <c r="E2544" s="631"/>
      <c r="F2544" s="631"/>
      <c r="G2544" s="631"/>
      <c r="H2544" s="631"/>
      <c r="I2544" s="631"/>
      <c r="J2544" s="631"/>
      <c r="M2544" s="462"/>
      <c r="N2544" s="462"/>
      <c r="O2544" s="462"/>
      <c r="R2544" s="490" t="str">
        <f t="shared" si="141"/>
        <v>DELETE</v>
      </c>
    </row>
    <row r="2545" spans="2:18" ht="9" customHeight="1" thickTop="1" x14ac:dyDescent="0.5">
      <c r="B2545" s="501"/>
      <c r="C2545" s="630"/>
      <c r="D2545" s="631"/>
      <c r="E2545" s="631"/>
      <c r="F2545" s="631"/>
      <c r="G2545" s="631"/>
      <c r="H2545" s="631"/>
      <c r="I2545" s="631"/>
      <c r="J2545" s="631"/>
      <c r="M2545" s="475"/>
      <c r="N2545" s="475"/>
      <c r="O2545" s="475"/>
      <c r="R2545" s="490" t="str">
        <f t="shared" si="141"/>
        <v>DELETE</v>
      </c>
    </row>
    <row r="2546" spans="2:18" ht="36" customHeight="1" x14ac:dyDescent="0.5">
      <c r="B2546" s="501"/>
      <c r="C2546" s="630"/>
      <c r="D2546" s="631"/>
      <c r="E2546" s="631"/>
      <c r="F2546" s="631"/>
      <c r="G2546" s="631"/>
      <c r="H2546" s="631"/>
      <c r="I2546" s="631"/>
      <c r="J2546" s="631"/>
      <c r="M2546" s="458"/>
      <c r="N2546" s="458"/>
      <c r="O2546" s="458"/>
      <c r="R2546" s="490" t="str">
        <f t="shared" si="141"/>
        <v>DELETE</v>
      </c>
    </row>
    <row r="2547" spans="2:18" ht="36" customHeight="1" x14ac:dyDescent="0.5">
      <c r="B2547" s="501"/>
      <c r="C2547" s="630"/>
      <c r="D2547" s="631"/>
      <c r="E2547" s="631"/>
      <c r="F2547" s="631"/>
      <c r="G2547" s="631"/>
      <c r="H2547" s="631"/>
      <c r="I2547" s="631"/>
      <c r="J2547" s="631"/>
      <c r="M2547" s="458"/>
      <c r="N2547" s="458"/>
      <c r="O2547" s="458"/>
      <c r="R2547" s="490" t="str">
        <f t="shared" si="141"/>
        <v>DELETE</v>
      </c>
    </row>
    <row r="2548" spans="2:18" ht="36" customHeight="1" x14ac:dyDescent="0.5">
      <c r="B2548" s="501"/>
      <c r="C2548" s="630"/>
      <c r="D2548" s="631"/>
      <c r="E2548" s="631"/>
      <c r="F2548" s="631"/>
      <c r="G2548" s="631"/>
      <c r="H2548" s="631"/>
      <c r="I2548" s="631"/>
      <c r="J2548" s="631"/>
      <c r="M2548" s="475"/>
      <c r="N2548" s="475"/>
      <c r="O2548" s="475"/>
      <c r="P2548" s="545"/>
      <c r="R2548" s="490" t="str">
        <f t="shared" si="141"/>
        <v>DELETE</v>
      </c>
    </row>
    <row r="2549" spans="2:18" ht="36" customHeight="1" x14ac:dyDescent="0.5">
      <c r="B2549" s="501"/>
      <c r="C2549" s="630"/>
      <c r="D2549" s="631"/>
      <c r="E2549" s="631"/>
      <c r="F2549" s="631"/>
      <c r="G2549" s="631"/>
      <c r="H2549" s="631"/>
      <c r="I2549" s="631"/>
      <c r="J2549" s="631"/>
      <c r="M2549" s="458"/>
      <c r="N2549" s="458"/>
      <c r="O2549" s="458"/>
      <c r="R2549" s="490" t="str">
        <f t="shared" si="141"/>
        <v>DELETE</v>
      </c>
    </row>
    <row r="2550" spans="2:18" ht="36" customHeight="1" x14ac:dyDescent="0.5">
      <c r="B2550" s="502"/>
      <c r="C2550" s="631"/>
      <c r="D2550" s="631"/>
      <c r="E2550" s="631"/>
      <c r="F2550" s="631"/>
      <c r="G2550" s="631"/>
      <c r="H2550" s="631"/>
      <c r="I2550" s="631"/>
      <c r="J2550" s="631"/>
      <c r="M2550" s="541"/>
      <c r="N2550" s="541"/>
      <c r="O2550" s="458" t="s">
        <v>112</v>
      </c>
      <c r="Q2550" s="450">
        <f>MAX($Q$103:Q2549)+1</f>
        <v>67</v>
      </c>
      <c r="R2550" s="490" t="str">
        <f>R$2570</f>
        <v>DELETE</v>
      </c>
    </row>
    <row r="2551" spans="2:18" ht="36" customHeight="1" x14ac:dyDescent="0.5">
      <c r="B2551" s="502"/>
      <c r="C2551" s="631"/>
      <c r="D2551" s="630" t="str">
        <f>Criteria!E9</f>
        <v>ABC COMPANY (PROPRIETARY) LIMITED</v>
      </c>
      <c r="E2551" s="631"/>
      <c r="F2551" s="631"/>
      <c r="G2551" s="631"/>
      <c r="H2551" s="631"/>
      <c r="I2551" s="631"/>
      <c r="J2551" s="631"/>
      <c r="M2551" s="541"/>
      <c r="N2551" s="541"/>
      <c r="O2551" s="540"/>
      <c r="R2551" s="490" t="str">
        <f t="shared" ref="R2551:R2561" si="142">R$2570</f>
        <v>DELETE</v>
      </c>
    </row>
    <row r="2552" spans="2:18" ht="36" customHeight="1" x14ac:dyDescent="0.5">
      <c r="B2552" s="502"/>
      <c r="C2552" s="631"/>
      <c r="D2552" s="630" t="str">
        <f>Criteria!E10</f>
        <v>T/A SEAFRONT HOTEL, ABC RESTAURANT AND RENTAL PROPERTIES</v>
      </c>
      <c r="E2552" s="631"/>
      <c r="F2552" s="631"/>
      <c r="G2552" s="631"/>
      <c r="H2552" s="631"/>
      <c r="I2552" s="631"/>
      <c r="J2552" s="631"/>
      <c r="M2552" s="541"/>
      <c r="N2552" s="541"/>
      <c r="O2552" s="541"/>
      <c r="R2552" s="490" t="str">
        <f>IF(R$2570="DELETE","DELETE",IF(D2552=0,"DELETE"," "))</f>
        <v>DELETE</v>
      </c>
    </row>
    <row r="2553" spans="2:18" ht="36" customHeight="1" x14ac:dyDescent="0.5">
      <c r="B2553" s="502"/>
      <c r="C2553" s="631"/>
      <c r="D2553" s="631"/>
      <c r="E2553" s="631"/>
      <c r="F2553" s="631"/>
      <c r="G2553" s="631"/>
      <c r="H2553" s="631"/>
      <c r="I2553" s="631"/>
      <c r="J2553" s="631"/>
      <c r="M2553" s="541"/>
      <c r="N2553" s="541"/>
      <c r="O2553" s="541"/>
      <c r="R2553" s="490" t="str">
        <f t="shared" si="142"/>
        <v>DELETE</v>
      </c>
    </row>
    <row r="2554" spans="2:18" ht="36" customHeight="1" x14ac:dyDescent="0.5">
      <c r="B2554" s="502"/>
      <c r="C2554" s="631"/>
      <c r="D2554" s="630" t="s">
        <v>415</v>
      </c>
      <c r="E2554" s="631"/>
      <c r="F2554" s="631"/>
      <c r="G2554" s="631"/>
      <c r="H2554" s="631"/>
      <c r="I2554" s="631"/>
      <c r="J2554" s="631"/>
      <c r="M2554" s="541"/>
      <c r="N2554" s="541"/>
      <c r="O2554" s="541"/>
      <c r="R2554" s="490" t="str">
        <f t="shared" si="142"/>
        <v>DELETE</v>
      </c>
    </row>
    <row r="2555" spans="2:18" ht="36" customHeight="1" x14ac:dyDescent="0.5">
      <c r="B2555" s="502"/>
      <c r="C2555" s="631"/>
      <c r="D2555" s="630" t="str">
        <f>Criteria!E20</f>
        <v>28 FEBRUARY 2026</v>
      </c>
      <c r="E2555" s="631"/>
      <c r="F2555" s="631"/>
      <c r="G2555" s="631"/>
      <c r="H2555" s="631"/>
      <c r="I2555" s="631"/>
      <c r="J2555" s="631" t="s">
        <v>282</v>
      </c>
      <c r="M2555" s="541"/>
      <c r="N2555" s="541"/>
      <c r="O2555" s="541"/>
      <c r="R2555" s="490" t="str">
        <f t="shared" si="142"/>
        <v>DELETE</v>
      </c>
    </row>
    <row r="2556" spans="2:18" ht="36" customHeight="1" x14ac:dyDescent="0.5">
      <c r="B2556" s="502"/>
      <c r="C2556" s="631"/>
      <c r="D2556" s="631"/>
      <c r="E2556" s="631"/>
      <c r="F2556" s="631"/>
      <c r="G2556" s="631"/>
      <c r="H2556" s="631"/>
      <c r="I2556" s="631"/>
      <c r="J2556" s="631"/>
      <c r="M2556" s="554"/>
      <c r="N2556" s="554"/>
      <c r="O2556" s="554"/>
      <c r="R2556" s="490" t="str">
        <f t="shared" si="142"/>
        <v>DELETE</v>
      </c>
    </row>
    <row r="2557" spans="2:18" ht="36" customHeight="1" x14ac:dyDescent="0.5">
      <c r="B2557" s="641"/>
      <c r="C2557" s="649"/>
      <c r="D2557" s="649"/>
      <c r="E2557" s="649"/>
      <c r="F2557" s="649"/>
      <c r="G2557" s="649"/>
      <c r="H2557" s="649"/>
      <c r="I2557" s="649"/>
      <c r="J2557" s="649"/>
      <c r="K2557" s="457"/>
      <c r="L2557" s="457"/>
      <c r="M2557" s="557"/>
      <c r="N2557" s="557"/>
      <c r="O2557" s="557"/>
      <c r="P2557" s="551"/>
      <c r="Q2557" s="457"/>
      <c r="R2557" s="490" t="str">
        <f t="shared" si="142"/>
        <v>DELETE</v>
      </c>
    </row>
    <row r="2558" spans="2:18" ht="36" customHeight="1" x14ac:dyDescent="0.5">
      <c r="B2558" s="502"/>
      <c r="C2558" s="631"/>
      <c r="D2558" s="631"/>
      <c r="E2558" s="631"/>
      <c r="F2558" s="631"/>
      <c r="G2558" s="631"/>
      <c r="H2558" s="631"/>
      <c r="I2558" s="631"/>
      <c r="J2558" s="631"/>
      <c r="M2558" s="453">
        <f>Criteria!E22</f>
        <v>2026</v>
      </c>
      <c r="N2558" s="453"/>
      <c r="O2558" s="453">
        <f>Criteria!E27</f>
        <v>2025</v>
      </c>
      <c r="R2558" s="490" t="str">
        <f t="shared" si="142"/>
        <v>DELETE</v>
      </c>
    </row>
    <row r="2559" spans="2:18" ht="36" customHeight="1" x14ac:dyDescent="0.5">
      <c r="B2559" s="501"/>
      <c r="C2559" s="630"/>
      <c r="D2559" s="631"/>
      <c r="E2559" s="631"/>
      <c r="F2559" s="631"/>
      <c r="G2559" s="631"/>
      <c r="H2559" s="631"/>
      <c r="I2559" s="631"/>
      <c r="J2559" s="631"/>
      <c r="M2559" s="458"/>
      <c r="N2559" s="458"/>
      <c r="O2559" s="458"/>
      <c r="R2559" s="490" t="str">
        <f t="shared" si="142"/>
        <v>DELETE</v>
      </c>
    </row>
    <row r="2560" spans="2:18" ht="36" customHeight="1" x14ac:dyDescent="0.5">
      <c r="B2560" s="501">
        <f>MAX(B$871:B2559)+1</f>
        <v>28</v>
      </c>
      <c r="C2560" s="630" t="str">
        <f>IF(COUNTIF(TrialBalance!N367:N372,"&lt;0")&gt;1,"Bank overdrafts",IF(COUNTIF(TrialBalance!L367:L372,"&lt;0")&gt;1,"Bank overdrafts","Bank overdraft"))</f>
        <v>Bank overdraft</v>
      </c>
      <c r="D2560" s="631"/>
      <c r="E2560" s="631"/>
      <c r="F2560" s="631"/>
      <c r="G2560" s="631"/>
      <c r="H2560" s="631"/>
      <c r="I2560" s="631"/>
      <c r="J2560" s="631"/>
      <c r="M2560" s="458"/>
      <c r="N2560" s="458"/>
      <c r="O2560" s="458"/>
      <c r="R2560" s="490" t="str">
        <f t="shared" si="142"/>
        <v>DELETE</v>
      </c>
    </row>
    <row r="2561" spans="2:18" ht="36" customHeight="1" x14ac:dyDescent="0.5">
      <c r="B2561" s="501"/>
      <c r="C2561" s="630"/>
      <c r="D2561" s="631"/>
      <c r="E2561" s="631"/>
      <c r="F2561" s="631"/>
      <c r="G2561" s="631"/>
      <c r="H2561" s="631"/>
      <c r="I2561" s="631"/>
      <c r="J2561" s="631"/>
      <c r="M2561" s="458"/>
      <c r="N2561" s="458"/>
      <c r="O2561" s="458"/>
      <c r="R2561" s="490" t="str">
        <f t="shared" si="142"/>
        <v>DELETE</v>
      </c>
    </row>
    <row r="2562" spans="2:18" ht="36" customHeight="1" x14ac:dyDescent="0.5">
      <c r="B2562" s="501"/>
      <c r="C2562" s="631">
        <f>TrialBalance!C367</f>
        <v>0</v>
      </c>
      <c r="D2562" s="648"/>
      <c r="E2562" s="631"/>
      <c r="F2562" s="631"/>
      <c r="G2562" s="631"/>
      <c r="H2562" s="631"/>
      <c r="I2562" s="631"/>
      <c r="J2562" s="631"/>
      <c r="M2562" s="458">
        <f>IF(TrialBalance!L367&lt;0,-TrialBalance!L367,0)</f>
        <v>0</v>
      </c>
      <c r="N2562" s="458"/>
      <c r="O2562" s="458">
        <f>IF(TrialBalance!N367&lt;0,-TrialBalance!N367,0)</f>
        <v>0</v>
      </c>
      <c r="R2562" s="490" t="str">
        <f>IF(M2562+O2562=0,"DELETE"," ")</f>
        <v>DELETE</v>
      </c>
    </row>
    <row r="2563" spans="2:18" ht="36" customHeight="1" x14ac:dyDescent="0.5">
      <c r="B2563" s="501"/>
      <c r="C2563" s="631">
        <f>TrialBalance!C368</f>
        <v>0</v>
      </c>
      <c r="D2563" s="648"/>
      <c r="E2563" s="631"/>
      <c r="F2563" s="631"/>
      <c r="G2563" s="631"/>
      <c r="H2563" s="631"/>
      <c r="I2563" s="631"/>
      <c r="J2563" s="631"/>
      <c r="M2563" s="458">
        <f>IF(TrialBalance!L368&lt;0,-TrialBalance!L368,0)</f>
        <v>0</v>
      </c>
      <c r="N2563" s="458"/>
      <c r="O2563" s="458">
        <f>IF(TrialBalance!N368&lt;0,-TrialBalance!N368,0)</f>
        <v>0</v>
      </c>
      <c r="R2563" s="490" t="str">
        <f>IF(M2563+O2563=0,"DELETE"," ")</f>
        <v>DELETE</v>
      </c>
    </row>
    <row r="2564" spans="2:18" ht="36" customHeight="1" x14ac:dyDescent="0.5">
      <c r="B2564" s="501"/>
      <c r="C2564" s="631">
        <f>TrialBalance!C369</f>
        <v>0</v>
      </c>
      <c r="D2564" s="648"/>
      <c r="E2564" s="631"/>
      <c r="F2564" s="631"/>
      <c r="G2564" s="631"/>
      <c r="H2564" s="631"/>
      <c r="I2564" s="631"/>
      <c r="J2564" s="631"/>
      <c r="M2564" s="458">
        <f>IF(TrialBalance!L369&lt;0,-TrialBalance!L369,0)</f>
        <v>0</v>
      </c>
      <c r="N2564" s="458"/>
      <c r="O2564" s="458">
        <f>IF(TrialBalance!N369&lt;0,-TrialBalance!N369,0)</f>
        <v>0</v>
      </c>
      <c r="R2564" s="490" t="str">
        <f>IF(M2564+O2564=0,"DELETE"," ")</f>
        <v>DELETE</v>
      </c>
    </row>
    <row r="2565" spans="2:18" ht="36" customHeight="1" x14ac:dyDescent="0.5">
      <c r="B2565" s="501"/>
      <c r="C2565" s="631">
        <f>TrialBalance!C370</f>
        <v>0</v>
      </c>
      <c r="D2565" s="648"/>
      <c r="E2565" s="631"/>
      <c r="F2565" s="631"/>
      <c r="G2565" s="631"/>
      <c r="H2565" s="631"/>
      <c r="I2565" s="631"/>
      <c r="J2565" s="631"/>
      <c r="M2565" s="458">
        <f>IF(TrialBalance!L370&lt;0,-TrialBalance!L370,0)</f>
        <v>0</v>
      </c>
      <c r="N2565" s="458"/>
      <c r="O2565" s="458">
        <f>IF(TrialBalance!N370&lt;0,-TrialBalance!N370,0)</f>
        <v>0</v>
      </c>
      <c r="R2565" s="490" t="str">
        <f>IF(M2565+O2565=0,"DELETE"," ")</f>
        <v>DELETE</v>
      </c>
    </row>
    <row r="2566" spans="2:18" ht="36" customHeight="1" x14ac:dyDescent="0.5">
      <c r="B2566" s="501"/>
      <c r="C2566" s="631">
        <f>TrialBalance!C371</f>
        <v>0</v>
      </c>
      <c r="D2566" s="648"/>
      <c r="E2566" s="631"/>
      <c r="F2566" s="631"/>
      <c r="G2566" s="631"/>
      <c r="H2566" s="631"/>
      <c r="I2566" s="631"/>
      <c r="J2566" s="631"/>
      <c r="M2566" s="458">
        <f>IF(TrialBalance!L371&lt;0,-TrialBalance!L371,0)</f>
        <v>0</v>
      </c>
      <c r="N2566" s="458"/>
      <c r="O2566" s="458">
        <f>IF(TrialBalance!N371&lt;0,-TrialBalance!N371,0)</f>
        <v>0</v>
      </c>
      <c r="R2566" s="490" t="str">
        <f t="shared" ref="R2566:R2567" si="143">IF(M2566+O2566=0,"DELETE"," ")</f>
        <v>DELETE</v>
      </c>
    </row>
    <row r="2567" spans="2:18" ht="36" customHeight="1" x14ac:dyDescent="0.5">
      <c r="B2567" s="501"/>
      <c r="C2567" s="631">
        <f>TrialBalance!C372</f>
        <v>0</v>
      </c>
      <c r="D2567" s="648"/>
      <c r="E2567" s="631"/>
      <c r="F2567" s="631"/>
      <c r="G2567" s="631"/>
      <c r="H2567" s="631"/>
      <c r="I2567" s="631"/>
      <c r="J2567" s="631"/>
      <c r="M2567" s="458">
        <f>IF(TrialBalance!L372&lt;0,-TrialBalance!L372,0)</f>
        <v>0</v>
      </c>
      <c r="N2567" s="458"/>
      <c r="O2567" s="458">
        <f>IF(TrialBalance!N372&lt;0,-TrialBalance!N372,0)</f>
        <v>0</v>
      </c>
      <c r="R2567" s="490" t="str">
        <f t="shared" si="143"/>
        <v>DELETE</v>
      </c>
    </row>
    <row r="2568" spans="2:18" ht="9" customHeight="1" x14ac:dyDescent="0.5">
      <c r="B2568" s="501"/>
      <c r="C2568" s="630"/>
      <c r="D2568" s="631"/>
      <c r="E2568" s="631"/>
      <c r="F2568" s="631"/>
      <c r="G2568" s="631"/>
      <c r="H2568" s="631"/>
      <c r="I2568" s="631"/>
      <c r="J2568" s="631"/>
      <c r="M2568" s="461"/>
      <c r="N2568" s="461"/>
      <c r="O2568" s="461"/>
      <c r="R2568" s="490" t="str">
        <f t="shared" ref="R2568:R2576" si="144">R$2570</f>
        <v>DELETE</v>
      </c>
    </row>
    <row r="2569" spans="2:18" ht="9" customHeight="1" x14ac:dyDescent="0.5">
      <c r="B2569" s="501"/>
      <c r="C2569" s="630"/>
      <c r="D2569" s="631"/>
      <c r="E2569" s="631"/>
      <c r="F2569" s="631"/>
      <c r="G2569" s="631"/>
      <c r="H2569" s="631"/>
      <c r="I2569" s="631"/>
      <c r="J2569" s="631"/>
      <c r="M2569" s="458"/>
      <c r="N2569" s="458"/>
      <c r="O2569" s="458"/>
      <c r="R2569" s="490" t="str">
        <f t="shared" si="144"/>
        <v>DELETE</v>
      </c>
    </row>
    <row r="2570" spans="2:18" ht="36.75" customHeight="1" x14ac:dyDescent="0.5">
      <c r="B2570" s="501"/>
      <c r="C2570" s="630"/>
      <c r="D2570" s="631"/>
      <c r="E2570" s="631"/>
      <c r="F2570" s="631"/>
      <c r="G2570" s="631"/>
      <c r="H2570" s="631"/>
      <c r="I2570" s="631"/>
      <c r="J2570" s="631"/>
      <c r="M2570" s="458">
        <f>SUM(M2562:M2569)</f>
        <v>0</v>
      </c>
      <c r="N2570" s="458"/>
      <c r="O2570" s="458">
        <f>SUM(O2562:O2569)</f>
        <v>0</v>
      </c>
      <c r="R2570" s="490" t="str">
        <f>IF(M2570+O2570=0,"DELETE"," ")</f>
        <v>DELETE</v>
      </c>
    </row>
    <row r="2571" spans="2:18" ht="9" customHeight="1" thickBot="1" x14ac:dyDescent="0.55000000000000004">
      <c r="B2571" s="501"/>
      <c r="C2571" s="630"/>
      <c r="D2571" s="631"/>
      <c r="E2571" s="631"/>
      <c r="F2571" s="631"/>
      <c r="G2571" s="631"/>
      <c r="H2571" s="631"/>
      <c r="I2571" s="631"/>
      <c r="J2571" s="631"/>
      <c r="M2571" s="462"/>
      <c r="N2571" s="462"/>
      <c r="O2571" s="462"/>
      <c r="R2571" s="490" t="str">
        <f t="shared" si="144"/>
        <v>DELETE</v>
      </c>
    </row>
    <row r="2572" spans="2:18" ht="9" customHeight="1" thickTop="1" x14ac:dyDescent="0.5">
      <c r="B2572" s="501"/>
      <c r="C2572" s="630"/>
      <c r="D2572" s="631"/>
      <c r="E2572" s="631"/>
      <c r="F2572" s="631"/>
      <c r="G2572" s="631"/>
      <c r="H2572" s="631"/>
      <c r="I2572" s="631"/>
      <c r="J2572" s="631"/>
      <c r="M2572" s="475"/>
      <c r="N2572" s="475"/>
      <c r="O2572" s="475"/>
      <c r="R2572" s="490" t="str">
        <f t="shared" si="144"/>
        <v>DELETE</v>
      </c>
    </row>
    <row r="2573" spans="2:18" ht="36" customHeight="1" x14ac:dyDescent="0.5">
      <c r="B2573" s="501"/>
      <c r="C2573" s="630"/>
      <c r="D2573" s="631"/>
      <c r="E2573" s="631"/>
      <c r="F2573" s="631"/>
      <c r="G2573" s="631"/>
      <c r="H2573" s="631"/>
      <c r="I2573" s="631"/>
      <c r="J2573" s="631"/>
      <c r="M2573" s="458"/>
      <c r="N2573" s="458"/>
      <c r="O2573" s="458"/>
      <c r="R2573" s="490" t="str">
        <f t="shared" si="144"/>
        <v>DELETE</v>
      </c>
    </row>
    <row r="2574" spans="2:18" ht="36" customHeight="1" x14ac:dyDescent="0.5">
      <c r="B2574" s="501"/>
      <c r="C2574" s="630"/>
      <c r="D2574" s="631"/>
      <c r="E2574" s="631"/>
      <c r="F2574" s="631"/>
      <c r="G2574" s="631"/>
      <c r="H2574" s="631"/>
      <c r="I2574" s="631"/>
      <c r="J2574" s="631"/>
      <c r="M2574" s="458"/>
      <c r="N2574" s="458"/>
      <c r="O2574" s="458"/>
      <c r="R2574" s="490" t="str">
        <f t="shared" si="144"/>
        <v>DELETE</v>
      </c>
    </row>
    <row r="2575" spans="2:18" ht="36" customHeight="1" x14ac:dyDescent="0.5">
      <c r="B2575" s="501"/>
      <c r="C2575" s="630"/>
      <c r="D2575" s="631"/>
      <c r="E2575" s="631"/>
      <c r="F2575" s="631"/>
      <c r="G2575" s="631"/>
      <c r="H2575" s="631"/>
      <c r="I2575" s="631"/>
      <c r="J2575" s="631"/>
      <c r="M2575" s="475"/>
      <c r="N2575" s="475"/>
      <c r="O2575" s="475"/>
      <c r="P2575" s="545"/>
      <c r="R2575" s="490" t="str">
        <f t="shared" si="144"/>
        <v>DELETE</v>
      </c>
    </row>
    <row r="2576" spans="2:18" ht="36" customHeight="1" x14ac:dyDescent="0.5">
      <c r="B2576" s="502"/>
      <c r="C2576" s="631"/>
      <c r="D2576" s="631"/>
      <c r="E2576" s="631"/>
      <c r="F2576" s="631"/>
      <c r="G2576" s="631"/>
      <c r="H2576" s="631"/>
      <c r="I2576" s="631"/>
      <c r="J2576" s="631"/>
      <c r="M2576" s="541"/>
      <c r="N2576" s="541"/>
      <c r="O2576" s="541"/>
      <c r="R2576" s="490" t="str">
        <f t="shared" si="144"/>
        <v>DELETE</v>
      </c>
    </row>
    <row r="2577" spans="2:23" ht="36" customHeight="1" x14ac:dyDescent="0.5">
      <c r="B2577" s="502"/>
      <c r="C2577" s="631"/>
      <c r="D2577" s="631"/>
      <c r="E2577" s="631"/>
      <c r="F2577" s="631"/>
      <c r="G2577" s="631"/>
      <c r="H2577" s="631"/>
      <c r="I2577" s="631"/>
      <c r="J2577" s="631"/>
      <c r="M2577" s="541"/>
      <c r="N2577" s="541"/>
      <c r="O2577" s="458" t="s">
        <v>112</v>
      </c>
      <c r="Q2577" s="450">
        <f>MAX($Q$103:Q2576)+1</f>
        <v>68</v>
      </c>
      <c r="R2577" s="490" t="str">
        <f>R$2594</f>
        <v>DELETE</v>
      </c>
    </row>
    <row r="2578" spans="2:23" ht="36" customHeight="1" x14ac:dyDescent="0.5">
      <c r="B2578" s="502"/>
      <c r="C2578" s="631"/>
      <c r="D2578" s="630" t="str">
        <f>Criteria!E9</f>
        <v>ABC COMPANY (PROPRIETARY) LIMITED</v>
      </c>
      <c r="E2578" s="631"/>
      <c r="F2578" s="631"/>
      <c r="G2578" s="631"/>
      <c r="H2578" s="631"/>
      <c r="I2578" s="631"/>
      <c r="J2578" s="631"/>
      <c r="M2578" s="541"/>
      <c r="N2578" s="541"/>
      <c r="O2578" s="540"/>
      <c r="R2578" s="490" t="str">
        <f t="shared" ref="R2578:R2588" si="145">R$2594</f>
        <v>DELETE</v>
      </c>
    </row>
    <row r="2579" spans="2:23" ht="36" customHeight="1" x14ac:dyDescent="0.5">
      <c r="B2579" s="502"/>
      <c r="C2579" s="631"/>
      <c r="D2579" s="630" t="str">
        <f>Criteria!E10</f>
        <v>T/A SEAFRONT HOTEL, ABC RESTAURANT AND RENTAL PROPERTIES</v>
      </c>
      <c r="E2579" s="631"/>
      <c r="F2579" s="631"/>
      <c r="G2579" s="631"/>
      <c r="H2579" s="631"/>
      <c r="I2579" s="631"/>
      <c r="J2579" s="631"/>
      <c r="M2579" s="541"/>
      <c r="N2579" s="541"/>
      <c r="O2579" s="541"/>
      <c r="R2579" s="490" t="str">
        <f>IF(R$2594="DELETE","DELETE",IF(D2579=0,"DELETE"," "))</f>
        <v>DELETE</v>
      </c>
    </row>
    <row r="2580" spans="2:23" ht="36" customHeight="1" x14ac:dyDescent="0.5">
      <c r="B2580" s="502"/>
      <c r="C2580" s="631"/>
      <c r="D2580" s="631"/>
      <c r="E2580" s="631"/>
      <c r="F2580" s="631"/>
      <c r="G2580" s="631"/>
      <c r="H2580" s="631"/>
      <c r="I2580" s="631"/>
      <c r="J2580" s="631"/>
      <c r="M2580" s="541"/>
      <c r="N2580" s="541"/>
      <c r="O2580" s="541"/>
      <c r="R2580" s="490" t="str">
        <f t="shared" si="145"/>
        <v>DELETE</v>
      </c>
    </row>
    <row r="2581" spans="2:23" ht="36" customHeight="1" x14ac:dyDescent="0.5">
      <c r="B2581" s="502"/>
      <c r="C2581" s="631"/>
      <c r="D2581" s="630" t="s">
        <v>415</v>
      </c>
      <c r="E2581" s="631"/>
      <c r="F2581" s="631"/>
      <c r="G2581" s="631"/>
      <c r="H2581" s="631"/>
      <c r="I2581" s="631"/>
      <c r="J2581" s="631"/>
      <c r="M2581" s="541"/>
      <c r="N2581" s="541"/>
      <c r="O2581" s="541"/>
      <c r="R2581" s="490" t="str">
        <f t="shared" si="145"/>
        <v>DELETE</v>
      </c>
    </row>
    <row r="2582" spans="2:23" ht="36" customHeight="1" x14ac:dyDescent="0.5">
      <c r="B2582" s="502"/>
      <c r="C2582" s="631"/>
      <c r="D2582" s="630" t="str">
        <f>Criteria!E20</f>
        <v>28 FEBRUARY 2026</v>
      </c>
      <c r="E2582" s="631"/>
      <c r="F2582" s="631"/>
      <c r="G2582" s="631"/>
      <c r="H2582" s="631"/>
      <c r="I2582" s="631"/>
      <c r="J2582" s="631" t="s">
        <v>282</v>
      </c>
      <c r="M2582" s="541"/>
      <c r="N2582" s="541"/>
      <c r="O2582" s="541"/>
      <c r="R2582" s="490" t="str">
        <f t="shared" si="145"/>
        <v>DELETE</v>
      </c>
    </row>
    <row r="2583" spans="2:23" ht="36" customHeight="1" x14ac:dyDescent="0.5">
      <c r="B2583" s="502"/>
      <c r="C2583" s="631"/>
      <c r="D2583" s="630"/>
      <c r="E2583" s="631"/>
      <c r="F2583" s="631"/>
      <c r="G2583" s="631"/>
      <c r="H2583" s="631"/>
      <c r="I2583" s="631"/>
      <c r="J2583" s="631"/>
      <c r="M2583" s="541"/>
      <c r="N2583" s="541"/>
      <c r="O2583" s="541"/>
      <c r="R2583" s="490" t="str">
        <f t="shared" si="145"/>
        <v>DELETE</v>
      </c>
    </row>
    <row r="2584" spans="2:23" ht="36" customHeight="1" x14ac:dyDescent="0.5">
      <c r="B2584" s="640"/>
      <c r="C2584" s="652"/>
      <c r="D2584" s="649"/>
      <c r="E2584" s="649"/>
      <c r="F2584" s="649"/>
      <c r="G2584" s="649"/>
      <c r="H2584" s="649"/>
      <c r="I2584" s="649"/>
      <c r="J2584" s="649"/>
      <c r="K2584" s="457"/>
      <c r="L2584" s="457"/>
      <c r="M2584" s="459"/>
      <c r="N2584" s="459"/>
      <c r="O2584" s="459"/>
      <c r="P2584" s="551"/>
      <c r="Q2584" s="457"/>
      <c r="R2584" s="490" t="str">
        <f t="shared" si="145"/>
        <v>DELETE</v>
      </c>
    </row>
    <row r="2585" spans="2:23" ht="36" customHeight="1" x14ac:dyDescent="0.5">
      <c r="B2585" s="501"/>
      <c r="C2585" s="630"/>
      <c r="D2585" s="631"/>
      <c r="E2585" s="631"/>
      <c r="F2585" s="631"/>
      <c r="G2585" s="631"/>
      <c r="H2585" s="631"/>
      <c r="I2585" s="631"/>
      <c r="J2585" s="631"/>
      <c r="M2585" s="453">
        <f>Criteria!E22</f>
        <v>2026</v>
      </c>
      <c r="N2585" s="453"/>
      <c r="O2585" s="453">
        <f>Criteria!E27</f>
        <v>2025</v>
      </c>
      <c r="R2585" s="490" t="str">
        <f t="shared" si="145"/>
        <v>DELETE</v>
      </c>
    </row>
    <row r="2586" spans="2:23" ht="36" customHeight="1" x14ac:dyDescent="0.5">
      <c r="B2586" s="501"/>
      <c r="C2586" s="630"/>
      <c r="D2586" s="631"/>
      <c r="E2586" s="631"/>
      <c r="F2586" s="631"/>
      <c r="G2586" s="631"/>
      <c r="H2586" s="631"/>
      <c r="I2586" s="631"/>
      <c r="J2586" s="631"/>
      <c r="M2586" s="458"/>
      <c r="N2586" s="458"/>
      <c r="O2586" s="458"/>
      <c r="R2586" s="490" t="str">
        <f t="shared" si="145"/>
        <v>DELETE</v>
      </c>
    </row>
    <row r="2587" spans="2:23" ht="36" customHeight="1" x14ac:dyDescent="0.5">
      <c r="B2587" s="501">
        <f>MAX(B$871:B2586)+1</f>
        <v>29</v>
      </c>
      <c r="C2587" s="630" t="str">
        <f>IF(COUNTIF(TrialBalance!N375:N377,"&lt;0")&gt;1,"Short term loans",IF(COUNTIF(TrialBalance!L375:L377,"&lt;0")&gt;1,"Short term loans","Short term loan"))</f>
        <v>Short term loan</v>
      </c>
      <c r="D2587" s="631"/>
      <c r="E2587" s="631"/>
      <c r="F2587" s="631"/>
      <c r="G2587" s="631"/>
      <c r="H2587" s="631"/>
      <c r="I2587" s="631"/>
      <c r="J2587" s="631"/>
      <c r="M2587" s="458"/>
      <c r="N2587" s="458"/>
      <c r="O2587" s="458"/>
      <c r="R2587" s="490" t="str">
        <f t="shared" si="145"/>
        <v>DELETE</v>
      </c>
    </row>
    <row r="2588" spans="2:23" ht="36" customHeight="1" x14ac:dyDescent="0.5">
      <c r="B2588" s="501"/>
      <c r="C2588" s="630"/>
      <c r="D2588" s="631"/>
      <c r="E2588" s="631"/>
      <c r="F2588" s="631"/>
      <c r="G2588" s="631"/>
      <c r="H2588" s="631"/>
      <c r="I2588" s="631"/>
      <c r="J2588" s="631"/>
      <c r="M2588" s="458"/>
      <c r="N2588" s="458"/>
      <c r="O2588" s="458"/>
      <c r="R2588" s="490" t="str">
        <f t="shared" si="145"/>
        <v>DELETE</v>
      </c>
    </row>
    <row r="2589" spans="2:23" ht="36" customHeight="1" x14ac:dyDescent="0.5">
      <c r="B2589" s="501"/>
      <c r="C2589" s="631">
        <f>TrialBalance!C375</f>
        <v>0</v>
      </c>
      <c r="D2589" s="648"/>
      <c r="E2589" s="631"/>
      <c r="F2589" s="631"/>
      <c r="G2589" s="631"/>
      <c r="H2589" s="631"/>
      <c r="I2589" s="631"/>
      <c r="J2589" s="631"/>
      <c r="M2589" s="458">
        <f>-TrialBalance!L375</f>
        <v>0</v>
      </c>
      <c r="N2589" s="458"/>
      <c r="O2589" s="458">
        <f>-TrialBalance!N375</f>
        <v>0</v>
      </c>
      <c r="R2589" s="490" t="str">
        <f>IF(M2589+O2589=0,"DELETE"," ")</f>
        <v>DELETE</v>
      </c>
      <c r="S2589" s="495"/>
      <c r="T2589" s="495"/>
      <c r="U2589" s="495"/>
      <c r="V2589" s="498"/>
      <c r="W2589" s="498"/>
    </row>
    <row r="2590" spans="2:23" ht="36" customHeight="1" x14ac:dyDescent="0.5">
      <c r="B2590" s="501"/>
      <c r="C2590" s="631">
        <f>TrialBalance!C376</f>
        <v>0</v>
      </c>
      <c r="D2590" s="648"/>
      <c r="E2590" s="631"/>
      <c r="F2590" s="631"/>
      <c r="G2590" s="631"/>
      <c r="H2590" s="631"/>
      <c r="I2590" s="631"/>
      <c r="J2590" s="631"/>
      <c r="M2590" s="458">
        <f>-TrialBalance!L376</f>
        <v>0</v>
      </c>
      <c r="N2590" s="458"/>
      <c r="O2590" s="458">
        <f>-TrialBalance!N376</f>
        <v>0</v>
      </c>
      <c r="R2590" s="490" t="str">
        <f>IF(M2590+O2590=0,"DELETE"," ")</f>
        <v>DELETE</v>
      </c>
      <c r="S2590" s="495"/>
      <c r="T2590" s="495"/>
      <c r="U2590" s="495"/>
      <c r="V2590" s="498"/>
      <c r="W2590" s="498"/>
    </row>
    <row r="2591" spans="2:23" ht="36" customHeight="1" x14ac:dyDescent="0.5">
      <c r="B2591" s="501"/>
      <c r="C2591" s="631">
        <f>TrialBalance!C377</f>
        <v>0</v>
      </c>
      <c r="D2591" s="648"/>
      <c r="E2591" s="631"/>
      <c r="F2591" s="631"/>
      <c r="G2591" s="631"/>
      <c r="H2591" s="631"/>
      <c r="I2591" s="631"/>
      <c r="J2591" s="631"/>
      <c r="M2591" s="458">
        <f>-TrialBalance!L377</f>
        <v>0</v>
      </c>
      <c r="N2591" s="458"/>
      <c r="O2591" s="458">
        <f>-TrialBalance!N377</f>
        <v>0</v>
      </c>
      <c r="R2591" s="490" t="str">
        <f>IF(M2591+O2591=0,"DELETE"," ")</f>
        <v>DELETE</v>
      </c>
      <c r="S2591" s="495"/>
      <c r="T2591" s="495"/>
      <c r="U2591" s="495"/>
      <c r="V2591" s="498"/>
      <c r="W2591" s="498"/>
    </row>
    <row r="2592" spans="2:23" ht="9" customHeight="1" x14ac:dyDescent="0.5">
      <c r="B2592" s="501"/>
      <c r="C2592" s="630"/>
      <c r="D2592" s="631"/>
      <c r="E2592" s="631"/>
      <c r="F2592" s="631"/>
      <c r="G2592" s="631"/>
      <c r="H2592" s="631"/>
      <c r="I2592" s="631"/>
      <c r="J2592" s="631"/>
      <c r="M2592" s="461"/>
      <c r="N2592" s="461"/>
      <c r="O2592" s="461"/>
      <c r="R2592" s="490" t="str">
        <f t="shared" ref="R2592:R2600" si="146">R$2594</f>
        <v>DELETE</v>
      </c>
    </row>
    <row r="2593" spans="2:18" ht="9" customHeight="1" x14ac:dyDescent="0.5">
      <c r="B2593" s="501"/>
      <c r="C2593" s="630"/>
      <c r="D2593" s="631"/>
      <c r="E2593" s="631"/>
      <c r="F2593" s="631"/>
      <c r="G2593" s="631"/>
      <c r="H2593" s="631"/>
      <c r="I2593" s="631"/>
      <c r="J2593" s="631"/>
      <c r="M2593" s="458"/>
      <c r="N2593" s="458"/>
      <c r="O2593" s="458"/>
      <c r="R2593" s="490" t="str">
        <f t="shared" si="146"/>
        <v>DELETE</v>
      </c>
    </row>
    <row r="2594" spans="2:18" ht="36.75" customHeight="1" x14ac:dyDescent="0.5">
      <c r="B2594" s="501"/>
      <c r="C2594" s="630"/>
      <c r="D2594" s="631"/>
      <c r="E2594" s="631"/>
      <c r="F2594" s="631"/>
      <c r="G2594" s="631"/>
      <c r="H2594" s="631"/>
      <c r="I2594" s="631"/>
      <c r="J2594" s="631"/>
      <c r="M2594" s="458">
        <f>SUM(M2589:M2593)</f>
        <v>0</v>
      </c>
      <c r="N2594" s="458"/>
      <c r="O2594" s="458">
        <f>SUM(O2589:O2593)</f>
        <v>0</v>
      </c>
      <c r="R2594" s="490" t="str">
        <f>IF(M2594+O2594=0,"DELETE"," ")</f>
        <v>DELETE</v>
      </c>
    </row>
    <row r="2595" spans="2:18" ht="9" customHeight="1" thickBot="1" x14ac:dyDescent="0.55000000000000004">
      <c r="B2595" s="501"/>
      <c r="C2595" s="630"/>
      <c r="D2595" s="631"/>
      <c r="E2595" s="631"/>
      <c r="F2595" s="631"/>
      <c r="G2595" s="631"/>
      <c r="H2595" s="631"/>
      <c r="I2595" s="631"/>
      <c r="J2595" s="631"/>
      <c r="M2595" s="462"/>
      <c r="N2595" s="462"/>
      <c r="O2595" s="462"/>
      <c r="R2595" s="490" t="str">
        <f t="shared" si="146"/>
        <v>DELETE</v>
      </c>
    </row>
    <row r="2596" spans="2:18" ht="9" customHeight="1" thickTop="1" x14ac:dyDescent="0.5">
      <c r="B2596" s="501"/>
      <c r="C2596" s="630"/>
      <c r="D2596" s="631"/>
      <c r="E2596" s="631"/>
      <c r="F2596" s="631"/>
      <c r="G2596" s="631"/>
      <c r="H2596" s="631"/>
      <c r="I2596" s="631"/>
      <c r="J2596" s="631"/>
      <c r="M2596" s="475"/>
      <c r="N2596" s="475"/>
      <c r="O2596" s="475"/>
      <c r="R2596" s="490" t="str">
        <f t="shared" si="146"/>
        <v>DELETE</v>
      </c>
    </row>
    <row r="2597" spans="2:18" ht="36" customHeight="1" x14ac:dyDescent="0.5">
      <c r="B2597" s="501"/>
      <c r="C2597" s="630"/>
      <c r="D2597" s="631"/>
      <c r="E2597" s="631"/>
      <c r="F2597" s="631"/>
      <c r="G2597" s="631"/>
      <c r="H2597" s="631"/>
      <c r="I2597" s="631"/>
      <c r="J2597" s="631"/>
      <c r="M2597" s="458"/>
      <c r="N2597" s="458"/>
      <c r="O2597" s="458"/>
      <c r="R2597" s="490" t="str">
        <f t="shared" si="146"/>
        <v>DELETE</v>
      </c>
    </row>
    <row r="2598" spans="2:18" ht="36" customHeight="1" x14ac:dyDescent="0.5">
      <c r="B2598" s="501"/>
      <c r="C2598" s="630"/>
      <c r="D2598" s="631"/>
      <c r="E2598" s="631"/>
      <c r="F2598" s="631"/>
      <c r="G2598" s="631"/>
      <c r="H2598" s="631"/>
      <c r="I2598" s="631"/>
      <c r="J2598" s="631"/>
      <c r="M2598" s="458"/>
      <c r="N2598" s="458"/>
      <c r="O2598" s="458"/>
      <c r="R2598" s="490" t="str">
        <f t="shared" si="146"/>
        <v>DELETE</v>
      </c>
    </row>
    <row r="2599" spans="2:18" ht="36" customHeight="1" x14ac:dyDescent="0.5">
      <c r="B2599" s="501"/>
      <c r="C2599" s="630"/>
      <c r="D2599" s="631"/>
      <c r="E2599" s="631"/>
      <c r="F2599" s="631"/>
      <c r="G2599" s="631"/>
      <c r="H2599" s="631"/>
      <c r="I2599" s="631"/>
      <c r="J2599" s="631"/>
      <c r="M2599" s="475"/>
      <c r="N2599" s="475"/>
      <c r="O2599" s="475"/>
      <c r="P2599" s="545"/>
      <c r="R2599" s="490" t="str">
        <f t="shared" si="146"/>
        <v>DELETE</v>
      </c>
    </row>
    <row r="2600" spans="2:18" ht="36" customHeight="1" x14ac:dyDescent="0.5">
      <c r="B2600" s="502"/>
      <c r="C2600" s="631"/>
      <c r="D2600" s="631"/>
      <c r="E2600" s="631"/>
      <c r="F2600" s="631"/>
      <c r="G2600" s="631"/>
      <c r="H2600" s="631"/>
      <c r="I2600" s="631"/>
      <c r="J2600" s="631"/>
      <c r="M2600" s="541"/>
      <c r="N2600" s="541"/>
      <c r="O2600" s="541"/>
      <c r="R2600" s="490" t="str">
        <f t="shared" si="146"/>
        <v>DELETE</v>
      </c>
    </row>
    <row r="2601" spans="2:18" ht="36" customHeight="1" x14ac:dyDescent="0.5">
      <c r="B2601" s="502"/>
      <c r="C2601" s="631"/>
      <c r="D2601" s="631"/>
      <c r="E2601" s="631"/>
      <c r="F2601" s="631"/>
      <c r="G2601" s="631"/>
      <c r="H2601" s="631"/>
      <c r="I2601" s="631"/>
      <c r="J2601" s="631"/>
      <c r="M2601" s="541"/>
      <c r="N2601" s="541"/>
      <c r="O2601" s="458" t="s">
        <v>112</v>
      </c>
      <c r="Q2601" s="450">
        <f>MAX($Q$103:Q2600)+1</f>
        <v>69</v>
      </c>
      <c r="R2601" s="490" t="str">
        <f>R$2620</f>
        <v>DELETE</v>
      </c>
    </row>
    <row r="2602" spans="2:18" ht="36" customHeight="1" x14ac:dyDescent="0.5">
      <c r="B2602" s="502"/>
      <c r="C2602" s="631"/>
      <c r="D2602" s="630" t="str">
        <f>Criteria!E9</f>
        <v>ABC COMPANY (PROPRIETARY) LIMITED</v>
      </c>
      <c r="E2602" s="631"/>
      <c r="F2602" s="631"/>
      <c r="G2602" s="631"/>
      <c r="H2602" s="631"/>
      <c r="I2602" s="631"/>
      <c r="J2602" s="631"/>
      <c r="M2602" s="541"/>
      <c r="N2602" s="541"/>
      <c r="O2602" s="540"/>
      <c r="R2602" s="490" t="str">
        <f t="shared" ref="R2602:R2612" si="147">R$2620</f>
        <v>DELETE</v>
      </c>
    </row>
    <row r="2603" spans="2:18" ht="36" customHeight="1" x14ac:dyDescent="0.5">
      <c r="B2603" s="502"/>
      <c r="C2603" s="631"/>
      <c r="D2603" s="630" t="str">
        <f>Criteria!E10</f>
        <v>T/A SEAFRONT HOTEL, ABC RESTAURANT AND RENTAL PROPERTIES</v>
      </c>
      <c r="E2603" s="631"/>
      <c r="F2603" s="631"/>
      <c r="G2603" s="631"/>
      <c r="H2603" s="631"/>
      <c r="I2603" s="631"/>
      <c r="J2603" s="631"/>
      <c r="M2603" s="541"/>
      <c r="N2603" s="541"/>
      <c r="O2603" s="541"/>
      <c r="R2603" s="490" t="str">
        <f>IF(R$2620="DELETE","DELETE",IF(D2603=0,"DELETE"," "))</f>
        <v>DELETE</v>
      </c>
    </row>
    <row r="2604" spans="2:18" ht="36" customHeight="1" x14ac:dyDescent="0.5">
      <c r="B2604" s="502"/>
      <c r="C2604" s="631"/>
      <c r="D2604" s="631"/>
      <c r="E2604" s="631"/>
      <c r="F2604" s="631"/>
      <c r="G2604" s="631"/>
      <c r="H2604" s="631"/>
      <c r="I2604" s="631"/>
      <c r="J2604" s="631"/>
      <c r="M2604" s="541"/>
      <c r="N2604" s="541"/>
      <c r="O2604" s="541"/>
      <c r="R2604" s="490" t="str">
        <f t="shared" si="147"/>
        <v>DELETE</v>
      </c>
    </row>
    <row r="2605" spans="2:18" ht="36" customHeight="1" x14ac:dyDescent="0.5">
      <c r="B2605" s="502"/>
      <c r="C2605" s="631"/>
      <c r="D2605" s="630" t="s">
        <v>415</v>
      </c>
      <c r="E2605" s="631"/>
      <c r="F2605" s="631"/>
      <c r="G2605" s="631"/>
      <c r="H2605" s="631"/>
      <c r="I2605" s="631"/>
      <c r="J2605" s="631"/>
      <c r="M2605" s="541"/>
      <c r="N2605" s="541"/>
      <c r="O2605" s="541"/>
      <c r="R2605" s="490" t="str">
        <f t="shared" si="147"/>
        <v>DELETE</v>
      </c>
    </row>
    <row r="2606" spans="2:18" ht="36" customHeight="1" x14ac:dyDescent="0.5">
      <c r="B2606" s="502"/>
      <c r="C2606" s="631"/>
      <c r="D2606" s="630" t="str">
        <f>Criteria!E20</f>
        <v>28 FEBRUARY 2026</v>
      </c>
      <c r="E2606" s="631"/>
      <c r="F2606" s="631"/>
      <c r="G2606" s="631"/>
      <c r="H2606" s="631"/>
      <c r="I2606" s="631"/>
      <c r="J2606" s="631" t="s">
        <v>282</v>
      </c>
      <c r="M2606" s="541"/>
      <c r="N2606" s="541"/>
      <c r="O2606" s="541"/>
      <c r="R2606" s="490" t="str">
        <f t="shared" si="147"/>
        <v>DELETE</v>
      </c>
    </row>
    <row r="2607" spans="2:18" ht="36" customHeight="1" x14ac:dyDescent="0.5">
      <c r="B2607" s="502"/>
      <c r="C2607" s="631"/>
      <c r="D2607" s="630"/>
      <c r="E2607" s="631"/>
      <c r="F2607" s="631"/>
      <c r="G2607" s="631"/>
      <c r="H2607" s="631"/>
      <c r="I2607" s="631"/>
      <c r="J2607" s="631"/>
      <c r="M2607" s="541"/>
      <c r="N2607" s="541"/>
      <c r="O2607" s="541"/>
      <c r="R2607" s="490" t="str">
        <f t="shared" si="147"/>
        <v>DELETE</v>
      </c>
    </row>
    <row r="2608" spans="2:18" ht="36" customHeight="1" x14ac:dyDescent="0.5">
      <c r="B2608" s="640"/>
      <c r="C2608" s="652"/>
      <c r="D2608" s="649"/>
      <c r="E2608" s="649"/>
      <c r="F2608" s="649"/>
      <c r="G2608" s="649"/>
      <c r="H2608" s="649"/>
      <c r="I2608" s="649"/>
      <c r="J2608" s="649"/>
      <c r="K2608" s="457"/>
      <c r="L2608" s="457"/>
      <c r="M2608" s="459"/>
      <c r="N2608" s="459"/>
      <c r="O2608" s="459"/>
      <c r="P2608" s="551"/>
      <c r="Q2608" s="457"/>
      <c r="R2608" s="490" t="str">
        <f t="shared" si="147"/>
        <v>DELETE</v>
      </c>
    </row>
    <row r="2609" spans="2:18" ht="36" customHeight="1" x14ac:dyDescent="0.5">
      <c r="B2609" s="501"/>
      <c r="C2609" s="630"/>
      <c r="D2609" s="631"/>
      <c r="E2609" s="631"/>
      <c r="F2609" s="631"/>
      <c r="G2609" s="631"/>
      <c r="H2609" s="631"/>
      <c r="I2609" s="631"/>
      <c r="J2609" s="631"/>
      <c r="M2609" s="453">
        <f>Criteria!E22</f>
        <v>2026</v>
      </c>
      <c r="N2609" s="453"/>
      <c r="O2609" s="453">
        <f>Criteria!E27</f>
        <v>2025</v>
      </c>
      <c r="R2609" s="490" t="str">
        <f t="shared" si="147"/>
        <v>DELETE</v>
      </c>
    </row>
    <row r="2610" spans="2:18" ht="36" customHeight="1" x14ac:dyDescent="0.5">
      <c r="B2610" s="501"/>
      <c r="C2610" s="630"/>
      <c r="D2610" s="631"/>
      <c r="E2610" s="631"/>
      <c r="F2610" s="631"/>
      <c r="G2610" s="631"/>
      <c r="H2610" s="631"/>
      <c r="I2610" s="631"/>
      <c r="J2610" s="631"/>
      <c r="M2610" s="458"/>
      <c r="N2610" s="458"/>
      <c r="O2610" s="458"/>
      <c r="R2610" s="490" t="str">
        <f t="shared" si="147"/>
        <v>DELETE</v>
      </c>
    </row>
    <row r="2611" spans="2:18" ht="36" customHeight="1" x14ac:dyDescent="0.5">
      <c r="B2611" s="501">
        <f>MAX(B$871:B2610)+1</f>
        <v>30</v>
      </c>
      <c r="C2611" s="630" t="str">
        <f>IF(COUNTIF(TrialBalance!N393:N397,"&lt;0")&gt;1,"Provisions",IF(COUNTIF(TrialBalance!L393:L397,"&lt;0")&gt;1,"Provisions","Provision"))</f>
        <v>Provision</v>
      </c>
      <c r="D2611" s="631"/>
      <c r="E2611" s="631"/>
      <c r="F2611" s="631"/>
      <c r="G2611" s="631"/>
      <c r="H2611" s="631"/>
      <c r="I2611" s="631"/>
      <c r="J2611" s="631"/>
      <c r="M2611" s="458"/>
      <c r="N2611" s="458"/>
      <c r="O2611" s="458"/>
      <c r="R2611" s="490" t="str">
        <f t="shared" si="147"/>
        <v>DELETE</v>
      </c>
    </row>
    <row r="2612" spans="2:18" ht="36" customHeight="1" x14ac:dyDescent="0.5">
      <c r="B2612" s="501"/>
      <c r="C2612" s="630"/>
      <c r="D2612" s="631"/>
      <c r="E2612" s="631"/>
      <c r="F2612" s="631"/>
      <c r="G2612" s="631"/>
      <c r="H2612" s="631"/>
      <c r="I2612" s="631"/>
      <c r="J2612" s="631"/>
      <c r="M2612" s="458"/>
      <c r="N2612" s="458"/>
      <c r="O2612" s="458"/>
      <c r="R2612" s="490" t="str">
        <f t="shared" si="147"/>
        <v>DELETE</v>
      </c>
    </row>
    <row r="2613" spans="2:18" ht="36" customHeight="1" x14ac:dyDescent="0.5">
      <c r="B2613" s="501"/>
      <c r="C2613" s="631" t="str">
        <f>TrialBalance!C393</f>
        <v>Dividends' tax provision</v>
      </c>
      <c r="D2613" s="648"/>
      <c r="E2613" s="631"/>
      <c r="F2613" s="631"/>
      <c r="G2613" s="631"/>
      <c r="H2613" s="631"/>
      <c r="I2613" s="631"/>
      <c r="J2613" s="631"/>
      <c r="M2613" s="458">
        <f>-TrialBalance!L393</f>
        <v>0</v>
      </c>
      <c r="N2613" s="458"/>
      <c r="O2613" s="458">
        <f>-TrialBalance!N393</f>
        <v>0</v>
      </c>
      <c r="R2613" s="490" t="str">
        <f>IF(M2613+O2613=0,"DELETE"," ")</f>
        <v>DELETE</v>
      </c>
    </row>
    <row r="2614" spans="2:18" ht="36" customHeight="1" x14ac:dyDescent="0.5">
      <c r="B2614" s="501"/>
      <c r="C2614" s="631" t="str">
        <f>TrialBalance!C394</f>
        <v>Dividends payable</v>
      </c>
      <c r="D2614" s="648"/>
      <c r="E2614" s="631"/>
      <c r="F2614" s="631"/>
      <c r="G2614" s="631"/>
      <c r="H2614" s="631"/>
      <c r="I2614" s="631"/>
      <c r="J2614" s="631"/>
      <c r="M2614" s="458">
        <f>-TrialBalance!L394</f>
        <v>0</v>
      </c>
      <c r="N2614" s="458"/>
      <c r="O2614" s="458">
        <f>-TrialBalance!N394</f>
        <v>0</v>
      </c>
      <c r="R2614" s="490" t="str">
        <f>IF(M2614+O2614=0,"DELETE"," ")</f>
        <v>DELETE</v>
      </c>
    </row>
    <row r="2615" spans="2:18" ht="36" customHeight="1" x14ac:dyDescent="0.5">
      <c r="B2615" s="501"/>
      <c r="C2615" s="631" t="str">
        <f>TrialBalance!C395</f>
        <v>Provision for future expenses</v>
      </c>
      <c r="D2615" s="648"/>
      <c r="E2615" s="631"/>
      <c r="F2615" s="631"/>
      <c r="G2615" s="631"/>
      <c r="H2615" s="631"/>
      <c r="I2615" s="631"/>
      <c r="J2615" s="631"/>
      <c r="M2615" s="458">
        <f>-TrialBalance!L395</f>
        <v>0</v>
      </c>
      <c r="N2615" s="458"/>
      <c r="O2615" s="458">
        <f>-TrialBalance!N395</f>
        <v>0</v>
      </c>
      <c r="R2615" s="490" t="str">
        <f>IF(M2615+O2615=0,"DELETE"," ")</f>
        <v>DELETE</v>
      </c>
    </row>
    <row r="2616" spans="2:18" ht="36" customHeight="1" x14ac:dyDescent="0.5">
      <c r="B2616" s="501"/>
      <c r="C2616" s="631" t="str">
        <f>TrialBalance!C396</f>
        <v>Provision for insurance</v>
      </c>
      <c r="D2616" s="648"/>
      <c r="E2616" s="631"/>
      <c r="F2616" s="631"/>
      <c r="G2616" s="631"/>
      <c r="H2616" s="631"/>
      <c r="I2616" s="631"/>
      <c r="J2616" s="631"/>
      <c r="M2616" s="458">
        <f>-TrialBalance!L396</f>
        <v>0</v>
      </c>
      <c r="N2616" s="458"/>
      <c r="O2616" s="458">
        <f>-TrialBalance!N396</f>
        <v>0</v>
      </c>
      <c r="R2616" s="490" t="str">
        <f>IF(M2616+O2616=0,"DELETE"," ")</f>
        <v>DELETE</v>
      </c>
    </row>
    <row r="2617" spans="2:18" ht="36" customHeight="1" x14ac:dyDescent="0.5">
      <c r="B2617" s="501"/>
      <c r="C2617" s="631" t="str">
        <f>TrialBalance!C397</f>
        <v>Provision for salary bonus</v>
      </c>
      <c r="D2617" s="648"/>
      <c r="E2617" s="631"/>
      <c r="F2617" s="631"/>
      <c r="G2617" s="631"/>
      <c r="H2617" s="631"/>
      <c r="I2617" s="631"/>
      <c r="J2617" s="631"/>
      <c r="M2617" s="458">
        <f>-TrialBalance!L397</f>
        <v>0</v>
      </c>
      <c r="N2617" s="458"/>
      <c r="O2617" s="458">
        <f>-TrialBalance!N397</f>
        <v>0</v>
      </c>
      <c r="R2617" s="490" t="str">
        <f>IF(M2617+O2617=0,"DELETE"," ")</f>
        <v>DELETE</v>
      </c>
    </row>
    <row r="2618" spans="2:18" ht="9" customHeight="1" x14ac:dyDescent="0.5">
      <c r="B2618" s="501"/>
      <c r="C2618" s="630"/>
      <c r="D2618" s="631"/>
      <c r="E2618" s="631"/>
      <c r="F2618" s="631"/>
      <c r="G2618" s="631"/>
      <c r="H2618" s="631"/>
      <c r="I2618" s="631"/>
      <c r="J2618" s="631"/>
      <c r="M2618" s="461"/>
      <c r="N2618" s="461"/>
      <c r="O2618" s="461"/>
      <c r="R2618" s="490" t="str">
        <f t="shared" ref="R2618:R2626" si="148">R$2620</f>
        <v>DELETE</v>
      </c>
    </row>
    <row r="2619" spans="2:18" ht="9" customHeight="1" x14ac:dyDescent="0.5">
      <c r="B2619" s="501"/>
      <c r="C2619" s="630"/>
      <c r="D2619" s="631"/>
      <c r="E2619" s="631"/>
      <c r="F2619" s="631"/>
      <c r="G2619" s="631"/>
      <c r="H2619" s="631"/>
      <c r="I2619" s="631"/>
      <c r="J2619" s="631"/>
      <c r="M2619" s="458"/>
      <c r="N2619" s="458"/>
      <c r="O2619" s="458"/>
      <c r="R2619" s="490" t="str">
        <f t="shared" si="148"/>
        <v>DELETE</v>
      </c>
    </row>
    <row r="2620" spans="2:18" ht="36.75" customHeight="1" x14ac:dyDescent="0.5">
      <c r="B2620" s="501"/>
      <c r="C2620" s="630"/>
      <c r="D2620" s="631"/>
      <c r="E2620" s="631"/>
      <c r="F2620" s="631"/>
      <c r="G2620" s="631"/>
      <c r="H2620" s="631"/>
      <c r="I2620" s="631"/>
      <c r="J2620" s="631"/>
      <c r="M2620" s="458">
        <f>SUM(M2613:M2619)</f>
        <v>0</v>
      </c>
      <c r="N2620" s="458"/>
      <c r="O2620" s="458">
        <f>SUM(O2613:O2619)</f>
        <v>0</v>
      </c>
      <c r="R2620" s="490" t="str">
        <f>IF(M2620+O2620=0,"DELETE"," ")</f>
        <v>DELETE</v>
      </c>
    </row>
    <row r="2621" spans="2:18" ht="9" customHeight="1" thickBot="1" x14ac:dyDescent="0.55000000000000004">
      <c r="B2621" s="501"/>
      <c r="C2621" s="630"/>
      <c r="D2621" s="631"/>
      <c r="E2621" s="631"/>
      <c r="F2621" s="631"/>
      <c r="G2621" s="631"/>
      <c r="H2621" s="631"/>
      <c r="I2621" s="631"/>
      <c r="J2621" s="631"/>
      <c r="M2621" s="462"/>
      <c r="N2621" s="462"/>
      <c r="O2621" s="462"/>
      <c r="R2621" s="490" t="str">
        <f t="shared" si="148"/>
        <v>DELETE</v>
      </c>
    </row>
    <row r="2622" spans="2:18" ht="9" customHeight="1" thickTop="1" x14ac:dyDescent="0.5">
      <c r="B2622" s="501"/>
      <c r="C2622" s="630"/>
      <c r="D2622" s="631"/>
      <c r="E2622" s="631"/>
      <c r="F2622" s="631"/>
      <c r="G2622" s="631"/>
      <c r="H2622" s="631"/>
      <c r="I2622" s="631"/>
      <c r="J2622" s="631"/>
      <c r="M2622" s="475"/>
      <c r="N2622" s="475"/>
      <c r="O2622" s="475"/>
      <c r="R2622" s="490" t="str">
        <f t="shared" si="148"/>
        <v>DELETE</v>
      </c>
    </row>
    <row r="2623" spans="2:18" ht="36" customHeight="1" x14ac:dyDescent="0.5">
      <c r="B2623" s="501"/>
      <c r="C2623" s="630"/>
      <c r="D2623" s="631"/>
      <c r="E2623" s="631"/>
      <c r="F2623" s="631"/>
      <c r="G2623" s="631"/>
      <c r="H2623" s="631"/>
      <c r="I2623" s="631"/>
      <c r="J2623" s="631"/>
      <c r="M2623" s="458"/>
      <c r="N2623" s="458"/>
      <c r="O2623" s="458"/>
      <c r="R2623" s="490" t="str">
        <f t="shared" si="148"/>
        <v>DELETE</v>
      </c>
    </row>
    <row r="2624" spans="2:18" ht="36" customHeight="1" x14ac:dyDescent="0.5">
      <c r="B2624" s="501"/>
      <c r="C2624" s="630"/>
      <c r="D2624" s="631"/>
      <c r="E2624" s="631"/>
      <c r="F2624" s="631"/>
      <c r="G2624" s="631"/>
      <c r="H2624" s="631"/>
      <c r="I2624" s="631"/>
      <c r="J2624" s="631"/>
      <c r="M2624" s="458"/>
      <c r="N2624" s="458"/>
      <c r="O2624" s="458"/>
      <c r="R2624" s="490" t="str">
        <f t="shared" si="148"/>
        <v>DELETE</v>
      </c>
    </row>
    <row r="2625" spans="2:26" ht="36" customHeight="1" x14ac:dyDescent="0.5">
      <c r="B2625" s="501"/>
      <c r="C2625" s="630"/>
      <c r="D2625" s="631"/>
      <c r="E2625" s="631"/>
      <c r="F2625" s="631"/>
      <c r="G2625" s="631"/>
      <c r="H2625" s="631"/>
      <c r="I2625" s="631"/>
      <c r="J2625" s="631"/>
      <c r="M2625" s="475"/>
      <c r="N2625" s="475"/>
      <c r="O2625" s="475"/>
      <c r="P2625" s="545"/>
      <c r="R2625" s="490" t="str">
        <f t="shared" si="148"/>
        <v>DELETE</v>
      </c>
    </row>
    <row r="2626" spans="2:26" ht="36" customHeight="1" x14ac:dyDescent="0.5">
      <c r="B2626" s="501"/>
      <c r="C2626" s="630"/>
      <c r="D2626" s="631"/>
      <c r="E2626" s="631"/>
      <c r="F2626" s="631"/>
      <c r="G2626" s="631"/>
      <c r="H2626" s="631"/>
      <c r="I2626" s="631"/>
      <c r="J2626" s="631"/>
      <c r="M2626" s="458"/>
      <c r="N2626" s="458"/>
      <c r="O2626" s="458"/>
      <c r="R2626" s="490" t="str">
        <f t="shared" si="148"/>
        <v>DELETE</v>
      </c>
    </row>
    <row r="2627" spans="2:26" ht="36" customHeight="1" x14ac:dyDescent="0.5">
      <c r="B2627" s="501"/>
      <c r="C2627" s="630"/>
      <c r="D2627" s="631"/>
      <c r="E2627" s="631"/>
      <c r="F2627" s="631"/>
      <c r="G2627" s="631"/>
      <c r="H2627" s="631"/>
      <c r="I2627" s="631"/>
      <c r="J2627" s="631"/>
      <c r="M2627" s="458"/>
      <c r="N2627" s="458"/>
      <c r="O2627" s="458" t="s">
        <v>112</v>
      </c>
      <c r="Q2627" s="450">
        <f>MAX($Q$103:Q2626)+1</f>
        <v>70</v>
      </c>
      <c r="R2627" s="490" t="str">
        <f t="shared" ref="R2627:R2638" si="149">R$2648</f>
        <v>DELETE</v>
      </c>
    </row>
    <row r="2628" spans="2:26" ht="36" customHeight="1" x14ac:dyDescent="0.5">
      <c r="B2628" s="501"/>
      <c r="C2628" s="630"/>
      <c r="D2628" s="630" t="str">
        <f>Criteria!E9</f>
        <v>ABC COMPANY (PROPRIETARY) LIMITED</v>
      </c>
      <c r="E2628" s="631"/>
      <c r="F2628" s="631"/>
      <c r="G2628" s="631"/>
      <c r="H2628" s="631"/>
      <c r="I2628" s="631"/>
      <c r="J2628" s="631"/>
      <c r="M2628" s="541"/>
      <c r="N2628" s="541"/>
      <c r="O2628" s="540"/>
      <c r="R2628" s="490" t="str">
        <f t="shared" si="149"/>
        <v>DELETE</v>
      </c>
    </row>
    <row r="2629" spans="2:26" ht="36" customHeight="1" x14ac:dyDescent="0.5">
      <c r="B2629" s="501"/>
      <c r="C2629" s="630"/>
      <c r="D2629" s="630" t="str">
        <f>Criteria!E10</f>
        <v>T/A SEAFRONT HOTEL, ABC RESTAURANT AND RENTAL PROPERTIES</v>
      </c>
      <c r="E2629" s="631"/>
      <c r="F2629" s="631"/>
      <c r="G2629" s="631"/>
      <c r="H2629" s="631"/>
      <c r="I2629" s="631"/>
      <c r="J2629" s="631"/>
      <c r="M2629" s="541"/>
      <c r="N2629" s="541"/>
      <c r="O2629" s="541"/>
      <c r="R2629" s="490" t="str">
        <f>IF(R$2648="DELETE","DELETE",IF(D2629=0,"DELETE"," "))</f>
        <v>DELETE</v>
      </c>
    </row>
    <row r="2630" spans="2:26" ht="36" customHeight="1" x14ac:dyDescent="0.5">
      <c r="B2630" s="501"/>
      <c r="C2630" s="630"/>
      <c r="D2630" s="631"/>
      <c r="E2630" s="631"/>
      <c r="F2630" s="631"/>
      <c r="G2630" s="631"/>
      <c r="H2630" s="631"/>
      <c r="I2630" s="631"/>
      <c r="J2630" s="631"/>
      <c r="M2630" s="541"/>
      <c r="N2630" s="541"/>
      <c r="O2630" s="541"/>
      <c r="R2630" s="490" t="str">
        <f t="shared" si="149"/>
        <v>DELETE</v>
      </c>
    </row>
    <row r="2631" spans="2:26" ht="36" customHeight="1" x14ac:dyDescent="0.5">
      <c r="B2631" s="501"/>
      <c r="C2631" s="630"/>
      <c r="D2631" s="630" t="s">
        <v>415</v>
      </c>
      <c r="E2631" s="631"/>
      <c r="F2631" s="631"/>
      <c r="G2631" s="631"/>
      <c r="H2631" s="631"/>
      <c r="I2631" s="631"/>
      <c r="J2631" s="631"/>
      <c r="M2631" s="541"/>
      <c r="N2631" s="541"/>
      <c r="O2631" s="541"/>
      <c r="R2631" s="490" t="str">
        <f t="shared" si="149"/>
        <v>DELETE</v>
      </c>
    </row>
    <row r="2632" spans="2:26" ht="36" customHeight="1" x14ac:dyDescent="0.5">
      <c r="B2632" s="501"/>
      <c r="C2632" s="630"/>
      <c r="D2632" s="630" t="str">
        <f>Criteria!E20</f>
        <v>28 FEBRUARY 2026</v>
      </c>
      <c r="E2632" s="631"/>
      <c r="F2632" s="631"/>
      <c r="G2632" s="631"/>
      <c r="H2632" s="631"/>
      <c r="I2632" s="631"/>
      <c r="J2632" s="631" t="s">
        <v>282</v>
      </c>
      <c r="M2632" s="541"/>
      <c r="N2632" s="541"/>
      <c r="O2632" s="541"/>
      <c r="R2632" s="490" t="str">
        <f t="shared" si="149"/>
        <v>DELETE</v>
      </c>
    </row>
    <row r="2633" spans="2:26" ht="36" customHeight="1" x14ac:dyDescent="0.5">
      <c r="B2633" s="501"/>
      <c r="C2633" s="630"/>
      <c r="D2633" s="631"/>
      <c r="E2633" s="631"/>
      <c r="F2633" s="631"/>
      <c r="G2633" s="631"/>
      <c r="H2633" s="631"/>
      <c r="I2633" s="631"/>
      <c r="J2633" s="631"/>
      <c r="M2633" s="458"/>
      <c r="N2633" s="458"/>
      <c r="O2633" s="458"/>
      <c r="R2633" s="490" t="str">
        <f t="shared" si="149"/>
        <v>DELETE</v>
      </c>
    </row>
    <row r="2634" spans="2:26" ht="36" customHeight="1" x14ac:dyDescent="0.5">
      <c r="B2634" s="640"/>
      <c r="C2634" s="652"/>
      <c r="D2634" s="649"/>
      <c r="E2634" s="649"/>
      <c r="F2634" s="649"/>
      <c r="G2634" s="649"/>
      <c r="H2634" s="649"/>
      <c r="I2634" s="649"/>
      <c r="J2634" s="649"/>
      <c r="K2634" s="457"/>
      <c r="L2634" s="457"/>
      <c r="M2634" s="459"/>
      <c r="N2634" s="459"/>
      <c r="O2634" s="459"/>
      <c r="P2634" s="551"/>
      <c r="Q2634" s="457"/>
      <c r="R2634" s="490" t="str">
        <f t="shared" si="149"/>
        <v>DELETE</v>
      </c>
    </row>
    <row r="2635" spans="2:26" ht="36" customHeight="1" x14ac:dyDescent="0.5">
      <c r="B2635" s="501"/>
      <c r="C2635" s="630"/>
      <c r="D2635" s="631"/>
      <c r="E2635" s="631"/>
      <c r="F2635" s="631"/>
      <c r="G2635" s="631"/>
      <c r="H2635" s="631"/>
      <c r="I2635" s="631"/>
      <c r="J2635" s="631"/>
      <c r="M2635" s="453">
        <f>Criteria!E22</f>
        <v>2026</v>
      </c>
      <c r="N2635" s="453"/>
      <c r="O2635" s="453">
        <f>Criteria!E27</f>
        <v>2025</v>
      </c>
      <c r="P2635" s="545"/>
      <c r="R2635" s="490" t="str">
        <f t="shared" si="149"/>
        <v>DELETE</v>
      </c>
    </row>
    <row r="2636" spans="2:26" ht="36" customHeight="1" x14ac:dyDescent="0.5">
      <c r="B2636" s="501"/>
      <c r="C2636" s="630"/>
      <c r="D2636" s="631"/>
      <c r="E2636" s="631"/>
      <c r="F2636" s="631"/>
      <c r="G2636" s="631"/>
      <c r="H2636" s="631"/>
      <c r="I2636" s="631"/>
      <c r="J2636" s="631"/>
      <c r="M2636" s="475"/>
      <c r="N2636" s="475"/>
      <c r="O2636" s="475"/>
      <c r="P2636" s="545"/>
      <c r="R2636" s="490" t="str">
        <f t="shared" si="149"/>
        <v>DELETE</v>
      </c>
    </row>
    <row r="2637" spans="2:26" ht="36" customHeight="1" x14ac:dyDescent="0.5">
      <c r="B2637" s="501">
        <f>MAX(B$871:B2636)+1</f>
        <v>31</v>
      </c>
      <c r="C2637" s="636" t="str">
        <f>IF((Y2637+Z2637)=3,"Current tax liability/(asset)",(IF((Y2637+Z2637=4),"Current tax liability","Current tax asset")))</f>
        <v>Current tax liability</v>
      </c>
      <c r="D2637" s="648"/>
      <c r="E2637" s="631"/>
      <c r="F2637" s="631"/>
      <c r="G2637" s="631"/>
      <c r="H2637" s="631"/>
      <c r="I2637" s="631"/>
      <c r="J2637" s="631"/>
      <c r="M2637" s="475"/>
      <c r="N2637" s="475"/>
      <c r="O2637" s="475"/>
      <c r="P2637" s="545"/>
      <c r="R2637" s="490" t="str">
        <f t="shared" si="149"/>
        <v>DELETE</v>
      </c>
      <c r="Y2637" s="491">
        <f>IF(M2648&lt;0,1,IF(M2648=0,IF(O2648&lt;0,1,2),2))</f>
        <v>2</v>
      </c>
      <c r="Z2637" s="491">
        <f>IF(O2648&lt;0,1,IF(O2648=0,IF(M2648&lt;0,1,2),2))</f>
        <v>2</v>
      </c>
    </row>
    <row r="2638" spans="2:26" ht="36" customHeight="1" x14ac:dyDescent="0.5">
      <c r="B2638" s="501"/>
      <c r="C2638" s="636"/>
      <c r="D2638" s="648"/>
      <c r="E2638" s="631"/>
      <c r="F2638" s="631"/>
      <c r="G2638" s="631"/>
      <c r="H2638" s="631"/>
      <c r="I2638" s="631"/>
      <c r="J2638" s="631"/>
      <c r="M2638" s="475"/>
      <c r="N2638" s="475"/>
      <c r="O2638" s="475"/>
      <c r="P2638" s="545"/>
      <c r="R2638" s="490" t="str">
        <f t="shared" si="149"/>
        <v>DELETE</v>
      </c>
    </row>
    <row r="2639" spans="2:26" ht="36" customHeight="1" x14ac:dyDescent="0.5">
      <c r="B2639" s="501"/>
      <c r="C2639" s="632" t="str">
        <f>IF((Y2639+Z2639)=3,"Current tax liability/(asset) at the beginning of the year",(IF((Y2639+Z2639=4),"Current tax liability at the beginning of the year","Current tax asset at the beginning of the year")))</f>
        <v>Current tax liability at the beginning of the year</v>
      </c>
      <c r="D2639" s="648"/>
      <c r="E2639" s="631"/>
      <c r="F2639" s="631"/>
      <c r="G2639" s="631"/>
      <c r="H2639" s="631"/>
      <c r="I2639" s="631"/>
      <c r="J2639" s="631"/>
      <c r="M2639" s="475">
        <f>-TrialBalance!L386</f>
        <v>0</v>
      </c>
      <c r="N2639" s="475"/>
      <c r="O2639" s="475">
        <f>-TrialBalance!N386</f>
        <v>0</v>
      </c>
      <c r="P2639" s="545"/>
      <c r="R2639" s="490" t="str">
        <f>IF(M2639=0,IF(O2639=0,"DELETE"," ")," ")</f>
        <v>DELETE</v>
      </c>
      <c r="V2639" s="491" t="b">
        <f>M2639=O2648</f>
        <v>1</v>
      </c>
      <c r="Y2639" s="491">
        <f>IF(M2639&lt;0,1,IF(M2639=0,IF(O2639&lt;0,1,2),2))</f>
        <v>2</v>
      </c>
      <c r="Z2639" s="491">
        <f>IF(O2639&lt;0,1,IF(O2639=0,IF(M2639&lt;0,1,2),2))</f>
        <v>2</v>
      </c>
    </row>
    <row r="2640" spans="2:26" ht="36" customHeight="1" x14ac:dyDescent="0.5">
      <c r="B2640" s="501"/>
      <c r="C2640" s="631" t="s">
        <v>1432</v>
      </c>
      <c r="D2640" s="648"/>
      <c r="E2640" s="631"/>
      <c r="F2640" s="631"/>
      <c r="G2640" s="631"/>
      <c r="H2640" s="631"/>
      <c r="I2640" s="631"/>
      <c r="J2640" s="631"/>
      <c r="M2640" s="475">
        <f>-TrialBalance!L387</f>
        <v>0</v>
      </c>
      <c r="N2640" s="475"/>
      <c r="O2640" s="475">
        <f>-TrialBalance!N387</f>
        <v>0</v>
      </c>
      <c r="P2640" s="545"/>
      <c r="R2640" s="490" t="str">
        <f t="shared" ref="R2640:R2645" si="150">IF(M2640=0,IF(O2640=0,"DELETE"," ")," ")</f>
        <v>DELETE</v>
      </c>
      <c r="V2640" s="491" t="b">
        <f>M2640=M1515</f>
        <v>1</v>
      </c>
      <c r="X2640" s="491" t="b">
        <f>O2640=O1515</f>
        <v>1</v>
      </c>
    </row>
    <row r="2641" spans="2:26" ht="36" customHeight="1" x14ac:dyDescent="0.5">
      <c r="B2641" s="501"/>
      <c r="C2641" s="631" t="s">
        <v>1433</v>
      </c>
      <c r="D2641" s="648"/>
      <c r="E2641" s="631"/>
      <c r="F2641" s="631"/>
      <c r="G2641" s="631"/>
      <c r="H2641" s="631"/>
      <c r="I2641" s="631"/>
      <c r="J2641" s="631"/>
      <c r="M2641" s="475">
        <f>-TrialBalance!L388</f>
        <v>0</v>
      </c>
      <c r="N2641" s="475"/>
      <c r="O2641" s="475">
        <f>-TrialBalance!N388</f>
        <v>0</v>
      </c>
      <c r="P2641" s="545"/>
      <c r="R2641" s="490" t="str">
        <f t="shared" si="150"/>
        <v>DELETE</v>
      </c>
      <c r="V2641" s="491" t="b">
        <f>M2641=M1516</f>
        <v>1</v>
      </c>
      <c r="X2641" s="491" t="b">
        <f>O2641=O1516</f>
        <v>1</v>
      </c>
    </row>
    <row r="2642" spans="2:26" ht="36" customHeight="1" x14ac:dyDescent="0.5">
      <c r="B2642" s="501"/>
      <c r="C2642" s="631" t="s">
        <v>1434</v>
      </c>
      <c r="D2642" s="648"/>
      <c r="E2642" s="631"/>
      <c r="F2642" s="631"/>
      <c r="G2642" s="631"/>
      <c r="H2642" s="631"/>
      <c r="I2642" s="631"/>
      <c r="J2642" s="631"/>
      <c r="M2642" s="475">
        <f>-TrialBalance!L389</f>
        <v>0</v>
      </c>
      <c r="N2642" s="475"/>
      <c r="O2642" s="475">
        <f>-TrialBalance!N389</f>
        <v>0</v>
      </c>
      <c r="P2642" s="545"/>
      <c r="R2642" s="490" t="str">
        <f t="shared" si="150"/>
        <v>DELETE</v>
      </c>
    </row>
    <row r="2643" spans="2:26" ht="36" customHeight="1" x14ac:dyDescent="0.5">
      <c r="B2643" s="501"/>
      <c r="C2643" s="631" t="s">
        <v>1435</v>
      </c>
      <c r="D2643" s="648"/>
      <c r="E2643" s="631"/>
      <c r="F2643" s="631"/>
      <c r="G2643" s="631"/>
      <c r="H2643" s="631"/>
      <c r="I2643" s="631"/>
      <c r="J2643" s="631"/>
      <c r="M2643" s="475">
        <f>-TrialBalance!L390</f>
        <v>0</v>
      </c>
      <c r="N2643" s="475"/>
      <c r="O2643" s="475">
        <f>-TrialBalance!N390</f>
        <v>0</v>
      </c>
      <c r="P2643" s="545"/>
      <c r="R2643" s="490" t="str">
        <f t="shared" si="150"/>
        <v>DELETE</v>
      </c>
    </row>
    <row r="2644" spans="2:26" ht="36" customHeight="1" x14ac:dyDescent="0.5">
      <c r="B2644" s="501"/>
      <c r="C2644" s="631" t="s">
        <v>1436</v>
      </c>
      <c r="D2644" s="648"/>
      <c r="E2644" s="631"/>
      <c r="F2644" s="631"/>
      <c r="G2644" s="631"/>
      <c r="H2644" s="631"/>
      <c r="I2644" s="631"/>
      <c r="J2644" s="631"/>
      <c r="M2644" s="475">
        <f>-TrialBalance!L391</f>
        <v>0</v>
      </c>
      <c r="N2644" s="475"/>
      <c r="O2644" s="475">
        <f>-TrialBalance!N391</f>
        <v>0</v>
      </c>
      <c r="P2644" s="545"/>
      <c r="R2644" s="490" t="str">
        <f t="shared" si="150"/>
        <v>DELETE</v>
      </c>
    </row>
    <row r="2645" spans="2:26" ht="36" customHeight="1" x14ac:dyDescent="0.5">
      <c r="B2645" s="501"/>
      <c r="C2645" s="631" t="s">
        <v>1437</v>
      </c>
      <c r="D2645" s="648"/>
      <c r="E2645" s="631"/>
      <c r="F2645" s="631"/>
      <c r="G2645" s="631"/>
      <c r="H2645" s="631"/>
      <c r="I2645" s="631"/>
      <c r="J2645" s="631"/>
      <c r="M2645" s="475">
        <f>-TrialBalance!L392</f>
        <v>0</v>
      </c>
      <c r="N2645" s="475"/>
      <c r="O2645" s="475">
        <f>-TrialBalance!N392</f>
        <v>0</v>
      </c>
      <c r="P2645" s="545"/>
      <c r="R2645" s="490" t="str">
        <f t="shared" si="150"/>
        <v>DELETE</v>
      </c>
    </row>
    <row r="2646" spans="2:26" ht="9" customHeight="1" x14ac:dyDescent="0.5">
      <c r="B2646" s="501"/>
      <c r="C2646" s="631"/>
      <c r="D2646" s="648"/>
      <c r="E2646" s="631"/>
      <c r="F2646" s="631"/>
      <c r="G2646" s="631"/>
      <c r="H2646" s="631"/>
      <c r="I2646" s="631"/>
      <c r="J2646" s="631"/>
      <c r="M2646" s="461"/>
      <c r="N2646" s="461"/>
      <c r="O2646" s="461"/>
      <c r="P2646" s="545"/>
      <c r="R2646" s="490" t="str">
        <f>R$2648</f>
        <v>DELETE</v>
      </c>
    </row>
    <row r="2647" spans="2:26" ht="9" customHeight="1" x14ac:dyDescent="0.5">
      <c r="B2647" s="501"/>
      <c r="C2647" s="631"/>
      <c r="D2647" s="648"/>
      <c r="E2647" s="631"/>
      <c r="F2647" s="631"/>
      <c r="G2647" s="631"/>
      <c r="H2647" s="631"/>
      <c r="I2647" s="631"/>
      <c r="J2647" s="631"/>
      <c r="M2647" s="475"/>
      <c r="N2647" s="475"/>
      <c r="O2647" s="475"/>
      <c r="P2647" s="545"/>
      <c r="R2647" s="490" t="str">
        <f>R$2648</f>
        <v>DELETE</v>
      </c>
    </row>
    <row r="2648" spans="2:26" ht="36.75" customHeight="1" x14ac:dyDescent="0.5">
      <c r="B2648" s="501"/>
      <c r="C2648" s="632" t="str">
        <f>IF((Y2648+Z2648)=3,"Current tax liability/(asset) at the end of the year",(IF((Y2648+Z2648=4),"Current tax liability at the end of the year","Current tax asset at the end of the year")))</f>
        <v>Current tax liability at the end of the year</v>
      </c>
      <c r="D2648" s="648"/>
      <c r="E2648" s="631"/>
      <c r="F2648" s="631"/>
      <c r="G2648" s="631"/>
      <c r="H2648" s="631"/>
      <c r="I2648" s="631"/>
      <c r="J2648" s="631"/>
      <c r="M2648" s="475">
        <f>SUM(M2639:M2647)</f>
        <v>0</v>
      </c>
      <c r="N2648" s="475"/>
      <c r="O2648" s="475">
        <f>SUM(O2639:O2647)</f>
        <v>0</v>
      </c>
      <c r="P2648" s="545"/>
      <c r="R2648" s="490" t="str">
        <f>IF(M2648=0,IF(O2648=0,IF(COUNTIF(O2639:O2645,"&gt;0")&gt;0," ",IF(COUNTIF(M2639:M2645,"&gt;0")&gt;0," ","DELETE"))," ")," ")</f>
        <v>DELETE</v>
      </c>
      <c r="Y2648" s="491">
        <f>IF(M2648&lt;0,1,IF(M2648=0,IF(O2648&lt;0,1,2),2))</f>
        <v>2</v>
      </c>
      <c r="Z2648" s="491">
        <f>IF(O2648&lt;0,1,IF(O2648=0,IF(M2648&lt;0,1,2),2))</f>
        <v>2</v>
      </c>
    </row>
    <row r="2649" spans="2:26" ht="9" customHeight="1" thickBot="1" x14ac:dyDescent="0.55000000000000004">
      <c r="B2649" s="501"/>
      <c r="C2649" s="630"/>
      <c r="D2649" s="631"/>
      <c r="E2649" s="631"/>
      <c r="F2649" s="631"/>
      <c r="G2649" s="631"/>
      <c r="H2649" s="631"/>
      <c r="I2649" s="631"/>
      <c r="J2649" s="631"/>
      <c r="M2649" s="462"/>
      <c r="N2649" s="462"/>
      <c r="O2649" s="462"/>
      <c r="P2649" s="545"/>
      <c r="R2649" s="490" t="str">
        <f t="shared" ref="R2649:R2654" si="151">R$2648</f>
        <v>DELETE</v>
      </c>
    </row>
    <row r="2650" spans="2:26" ht="9" customHeight="1" thickTop="1" x14ac:dyDescent="0.5">
      <c r="B2650" s="501"/>
      <c r="C2650" s="630"/>
      <c r="D2650" s="631"/>
      <c r="E2650" s="631"/>
      <c r="F2650" s="631"/>
      <c r="G2650" s="631"/>
      <c r="H2650" s="631"/>
      <c r="I2650" s="631"/>
      <c r="J2650" s="631"/>
      <c r="M2650" s="475"/>
      <c r="N2650" s="475"/>
      <c r="O2650" s="475"/>
      <c r="P2650" s="545"/>
      <c r="R2650" s="490" t="str">
        <f t="shared" si="151"/>
        <v>DELETE</v>
      </c>
    </row>
    <row r="2651" spans="2:26" ht="36" customHeight="1" x14ac:dyDescent="0.5">
      <c r="B2651" s="501"/>
      <c r="C2651" s="630"/>
      <c r="D2651" s="631"/>
      <c r="E2651" s="631"/>
      <c r="F2651" s="631"/>
      <c r="G2651" s="631"/>
      <c r="H2651" s="631"/>
      <c r="I2651" s="631"/>
      <c r="J2651" s="631"/>
      <c r="M2651" s="475"/>
      <c r="N2651" s="475"/>
      <c r="O2651" s="475"/>
      <c r="P2651" s="545"/>
      <c r="R2651" s="490" t="str">
        <f t="shared" si="151"/>
        <v>DELETE</v>
      </c>
    </row>
    <row r="2652" spans="2:26" ht="36" customHeight="1" x14ac:dyDescent="0.5">
      <c r="B2652" s="501"/>
      <c r="C2652" s="630"/>
      <c r="D2652" s="631"/>
      <c r="E2652" s="631"/>
      <c r="F2652" s="631"/>
      <c r="G2652" s="631"/>
      <c r="H2652" s="631"/>
      <c r="I2652" s="631"/>
      <c r="J2652" s="631"/>
      <c r="M2652" s="475"/>
      <c r="N2652" s="475"/>
      <c r="O2652" s="475"/>
      <c r="P2652" s="545"/>
      <c r="R2652" s="490" t="str">
        <f t="shared" si="151"/>
        <v>DELETE</v>
      </c>
    </row>
    <row r="2653" spans="2:26" ht="36" customHeight="1" x14ac:dyDescent="0.5">
      <c r="B2653" s="501"/>
      <c r="C2653" s="630"/>
      <c r="D2653" s="631"/>
      <c r="E2653" s="631"/>
      <c r="F2653" s="631"/>
      <c r="G2653" s="631"/>
      <c r="H2653" s="631"/>
      <c r="I2653" s="631"/>
      <c r="J2653" s="631"/>
      <c r="M2653" s="475"/>
      <c r="N2653" s="475"/>
      <c r="O2653" s="475"/>
      <c r="P2653" s="545"/>
      <c r="R2653" s="490" t="str">
        <f t="shared" si="151"/>
        <v>DELETE</v>
      </c>
    </row>
    <row r="2654" spans="2:26" ht="36" customHeight="1" x14ac:dyDescent="0.5">
      <c r="B2654" s="501"/>
      <c r="C2654" s="630"/>
      <c r="D2654" s="631"/>
      <c r="E2654" s="631"/>
      <c r="F2654" s="631"/>
      <c r="G2654" s="631"/>
      <c r="H2654" s="631"/>
      <c r="I2654" s="631"/>
      <c r="J2654" s="631"/>
      <c r="M2654" s="458"/>
      <c r="N2654" s="458"/>
      <c r="O2654" s="458"/>
      <c r="R2654" s="490" t="str">
        <f t="shared" si="151"/>
        <v>DELETE</v>
      </c>
    </row>
    <row r="2655" spans="2:26" ht="36" customHeight="1" x14ac:dyDescent="0.5">
      <c r="B2655" s="501"/>
      <c r="C2655" s="630"/>
      <c r="D2655" s="631"/>
      <c r="E2655" s="631"/>
      <c r="F2655" s="631"/>
      <c r="G2655" s="631"/>
      <c r="H2655" s="631"/>
      <c r="I2655" s="631"/>
      <c r="J2655" s="631"/>
      <c r="M2655" s="458"/>
      <c r="N2655" s="458"/>
      <c r="O2655" s="458" t="s">
        <v>112</v>
      </c>
      <c r="Q2655" s="450">
        <f>MAX($Q$103:Q2654)+1</f>
        <v>71</v>
      </c>
      <c r="R2655" s="490" t="str">
        <f t="shared" ref="R2655:R2668" si="152">R$2674</f>
        <v>DELETE</v>
      </c>
    </row>
    <row r="2656" spans="2:26" ht="36" customHeight="1" x14ac:dyDescent="0.5">
      <c r="B2656" s="501"/>
      <c r="C2656" s="630"/>
      <c r="D2656" s="630" t="str">
        <f>Criteria!E9</f>
        <v>ABC COMPANY (PROPRIETARY) LIMITED</v>
      </c>
      <c r="E2656" s="631"/>
      <c r="F2656" s="631"/>
      <c r="G2656" s="631"/>
      <c r="H2656" s="631"/>
      <c r="I2656" s="631"/>
      <c r="J2656" s="631"/>
      <c r="M2656" s="541"/>
      <c r="N2656" s="541"/>
      <c r="O2656" s="540"/>
      <c r="R2656" s="490" t="str">
        <f t="shared" si="152"/>
        <v>DELETE</v>
      </c>
    </row>
    <row r="2657" spans="2:18" ht="36" customHeight="1" x14ac:dyDescent="0.5">
      <c r="B2657" s="501"/>
      <c r="C2657" s="630"/>
      <c r="D2657" s="630" t="str">
        <f>Criteria!E10</f>
        <v>T/A SEAFRONT HOTEL, ABC RESTAURANT AND RENTAL PROPERTIES</v>
      </c>
      <c r="E2657" s="631"/>
      <c r="F2657" s="631"/>
      <c r="G2657" s="631"/>
      <c r="H2657" s="631"/>
      <c r="I2657" s="631"/>
      <c r="J2657" s="631"/>
      <c r="M2657" s="541"/>
      <c r="N2657" s="541"/>
      <c r="O2657" s="541"/>
      <c r="R2657" s="490" t="str">
        <f>IF(R$2674="DELETE","DELETE",IF(D2657=0,"DELETE"," "))</f>
        <v>DELETE</v>
      </c>
    </row>
    <row r="2658" spans="2:18" ht="36" customHeight="1" x14ac:dyDescent="0.5">
      <c r="B2658" s="501"/>
      <c r="C2658" s="630"/>
      <c r="D2658" s="631"/>
      <c r="E2658" s="631"/>
      <c r="F2658" s="631"/>
      <c r="G2658" s="631"/>
      <c r="H2658" s="631"/>
      <c r="I2658" s="631"/>
      <c r="J2658" s="631"/>
      <c r="M2658" s="541"/>
      <c r="N2658" s="541"/>
      <c r="O2658" s="541"/>
      <c r="R2658" s="490" t="str">
        <f t="shared" si="152"/>
        <v>DELETE</v>
      </c>
    </row>
    <row r="2659" spans="2:18" ht="36" customHeight="1" x14ac:dyDescent="0.5">
      <c r="B2659" s="501"/>
      <c r="C2659" s="630"/>
      <c r="D2659" s="630" t="s">
        <v>415</v>
      </c>
      <c r="E2659" s="631"/>
      <c r="F2659" s="631"/>
      <c r="G2659" s="631"/>
      <c r="H2659" s="631"/>
      <c r="I2659" s="631"/>
      <c r="J2659" s="631"/>
      <c r="M2659" s="541"/>
      <c r="N2659" s="541"/>
      <c r="O2659" s="541"/>
      <c r="R2659" s="490" t="str">
        <f t="shared" si="152"/>
        <v>DELETE</v>
      </c>
    </row>
    <row r="2660" spans="2:18" ht="36" customHeight="1" x14ac:dyDescent="0.5">
      <c r="B2660" s="501"/>
      <c r="C2660" s="630"/>
      <c r="D2660" s="630" t="str">
        <f>Criteria!E20</f>
        <v>28 FEBRUARY 2026</v>
      </c>
      <c r="E2660" s="631"/>
      <c r="F2660" s="631"/>
      <c r="G2660" s="631"/>
      <c r="H2660" s="631"/>
      <c r="I2660" s="631"/>
      <c r="J2660" s="631" t="s">
        <v>282</v>
      </c>
      <c r="M2660" s="541"/>
      <c r="N2660" s="541"/>
      <c r="O2660" s="541"/>
      <c r="R2660" s="490" t="str">
        <f t="shared" si="152"/>
        <v>DELETE</v>
      </c>
    </row>
    <row r="2661" spans="2:18" ht="36" customHeight="1" x14ac:dyDescent="0.5">
      <c r="B2661" s="501"/>
      <c r="C2661" s="630"/>
      <c r="D2661" s="631"/>
      <c r="E2661" s="631"/>
      <c r="F2661" s="631"/>
      <c r="G2661" s="631"/>
      <c r="H2661" s="631"/>
      <c r="I2661" s="631"/>
      <c r="J2661" s="631"/>
      <c r="M2661" s="458"/>
      <c r="N2661" s="458"/>
      <c r="O2661" s="458"/>
      <c r="R2661" s="490" t="str">
        <f t="shared" si="152"/>
        <v>DELETE</v>
      </c>
    </row>
    <row r="2662" spans="2:18" ht="36" customHeight="1" x14ac:dyDescent="0.5">
      <c r="B2662" s="640"/>
      <c r="C2662" s="652"/>
      <c r="D2662" s="649"/>
      <c r="E2662" s="649"/>
      <c r="F2662" s="649"/>
      <c r="G2662" s="649"/>
      <c r="H2662" s="649"/>
      <c r="I2662" s="649"/>
      <c r="J2662" s="649"/>
      <c r="K2662" s="457"/>
      <c r="L2662" s="457"/>
      <c r="M2662" s="459"/>
      <c r="N2662" s="459"/>
      <c r="O2662" s="459"/>
      <c r="P2662" s="551"/>
      <c r="Q2662" s="457"/>
      <c r="R2662" s="490" t="str">
        <f t="shared" si="152"/>
        <v>DELETE</v>
      </c>
    </row>
    <row r="2663" spans="2:18" ht="36" customHeight="1" x14ac:dyDescent="0.5">
      <c r="B2663" s="501"/>
      <c r="C2663" s="630"/>
      <c r="D2663" s="631"/>
      <c r="E2663" s="631"/>
      <c r="F2663" s="631"/>
      <c r="G2663" s="631"/>
      <c r="H2663" s="631"/>
      <c r="I2663" s="631"/>
      <c r="J2663" s="631"/>
      <c r="M2663" s="453">
        <f>Criteria!E22</f>
        <v>2026</v>
      </c>
      <c r="N2663" s="453"/>
      <c r="O2663" s="453">
        <f>Criteria!E27</f>
        <v>2025</v>
      </c>
      <c r="P2663" s="545"/>
      <c r="R2663" s="490" t="str">
        <f t="shared" si="152"/>
        <v>DELETE</v>
      </c>
    </row>
    <row r="2664" spans="2:18" ht="36" customHeight="1" x14ac:dyDescent="0.5">
      <c r="B2664" s="501"/>
      <c r="C2664" s="630"/>
      <c r="D2664" s="631"/>
      <c r="E2664" s="631"/>
      <c r="F2664" s="631"/>
      <c r="G2664" s="631"/>
      <c r="H2664" s="631"/>
      <c r="I2664" s="631"/>
      <c r="J2664" s="631"/>
      <c r="M2664" s="475"/>
      <c r="N2664" s="475"/>
      <c r="O2664" s="475"/>
      <c r="P2664" s="545"/>
      <c r="R2664" s="490" t="str">
        <f t="shared" si="152"/>
        <v>DELETE</v>
      </c>
    </row>
    <row r="2665" spans="2:18" ht="36" customHeight="1" x14ac:dyDescent="0.5">
      <c r="B2665" s="501">
        <f>MAX(B$871:B2664)+1</f>
        <v>32</v>
      </c>
      <c r="C2665" s="630" t="s">
        <v>1528</v>
      </c>
      <c r="D2665" s="631"/>
      <c r="E2665" s="631"/>
      <c r="F2665" s="631"/>
      <c r="G2665" s="631"/>
      <c r="H2665" s="631"/>
      <c r="I2665" s="631"/>
      <c r="J2665" s="631"/>
      <c r="M2665" s="475"/>
      <c r="N2665" s="475"/>
      <c r="O2665" s="475"/>
      <c r="P2665" s="545"/>
      <c r="R2665" s="490" t="str">
        <f t="shared" si="152"/>
        <v>DELETE</v>
      </c>
    </row>
    <row r="2666" spans="2:18" ht="36" customHeight="1" x14ac:dyDescent="0.5">
      <c r="B2666" s="501"/>
      <c r="C2666" s="630"/>
      <c r="D2666" s="631"/>
      <c r="E2666" s="631"/>
      <c r="F2666" s="631"/>
      <c r="G2666" s="631"/>
      <c r="H2666" s="631"/>
      <c r="I2666" s="631"/>
      <c r="J2666" s="631"/>
      <c r="M2666" s="475"/>
      <c r="N2666" s="475"/>
      <c r="O2666" s="475"/>
      <c r="P2666" s="545"/>
      <c r="R2666" s="490" t="str">
        <f t="shared" si="152"/>
        <v>DELETE</v>
      </c>
    </row>
    <row r="2667" spans="2:18" ht="36" customHeight="1" x14ac:dyDescent="0.5">
      <c r="B2667" s="501"/>
      <c r="C2667" s="631" t="s">
        <v>1357</v>
      </c>
      <c r="D2667" s="648"/>
      <c r="E2667" s="631"/>
      <c r="F2667" s="631"/>
      <c r="G2667" s="631"/>
      <c r="H2667" s="631"/>
      <c r="I2667" s="631"/>
      <c r="J2667" s="631"/>
      <c r="M2667" s="475"/>
      <c r="N2667" s="475"/>
      <c r="O2667" s="475"/>
      <c r="P2667" s="545"/>
      <c r="R2667" s="490" t="str">
        <f t="shared" si="152"/>
        <v>DELETE</v>
      </c>
    </row>
    <row r="2668" spans="2:18" ht="36" customHeight="1" x14ac:dyDescent="0.5">
      <c r="B2668" s="501"/>
      <c r="C2668" s="630"/>
      <c r="D2668" s="631"/>
      <c r="E2668" s="631"/>
      <c r="F2668" s="631"/>
      <c r="G2668" s="631"/>
      <c r="H2668" s="631"/>
      <c r="I2668" s="631"/>
      <c r="J2668" s="631"/>
      <c r="M2668" s="475"/>
      <c r="N2668" s="475"/>
      <c r="O2668" s="475"/>
      <c r="P2668" s="545"/>
      <c r="R2668" s="490" t="str">
        <f t="shared" si="152"/>
        <v>DELETE</v>
      </c>
    </row>
    <row r="2669" spans="2:18" ht="36" customHeight="1" x14ac:dyDescent="0.5">
      <c r="B2669" s="501"/>
      <c r="C2669" s="631" t="s">
        <v>1358</v>
      </c>
      <c r="D2669" s="631"/>
      <c r="E2669" s="648"/>
      <c r="F2669" s="631"/>
      <c r="G2669" s="631"/>
      <c r="H2669" s="631"/>
      <c r="I2669" s="631"/>
      <c r="J2669" s="631"/>
      <c r="M2669" s="475">
        <f>Criteria!F387</f>
        <v>0</v>
      </c>
      <c r="N2669" s="475"/>
      <c r="O2669" s="475">
        <f>Criteria!G387</f>
        <v>0</v>
      </c>
      <c r="P2669" s="545"/>
      <c r="R2669" s="490" t="str">
        <f>IF(M2669+O2669=0,"DELETE"," ")</f>
        <v>DELETE</v>
      </c>
    </row>
    <row r="2670" spans="2:18" ht="36" customHeight="1" x14ac:dyDescent="0.5">
      <c r="B2670" s="501"/>
      <c r="C2670" s="631" t="s">
        <v>1359</v>
      </c>
      <c r="D2670" s="631"/>
      <c r="E2670" s="648"/>
      <c r="F2670" s="631"/>
      <c r="G2670" s="631"/>
      <c r="H2670" s="631"/>
      <c r="I2670" s="631"/>
      <c r="J2670" s="631"/>
      <c r="M2670" s="475">
        <f>Criteria!F388</f>
        <v>0</v>
      </c>
      <c r="N2670" s="475"/>
      <c r="O2670" s="475">
        <f>Criteria!G388</f>
        <v>0</v>
      </c>
      <c r="P2670" s="545"/>
      <c r="R2670" s="490" t="str">
        <f>IF(M2670+O2670=0,"DELETE"," ")</f>
        <v>DELETE</v>
      </c>
    </row>
    <row r="2671" spans="2:18" ht="36" customHeight="1" x14ac:dyDescent="0.5">
      <c r="B2671" s="501"/>
      <c r="C2671" s="631" t="s">
        <v>1360</v>
      </c>
      <c r="D2671" s="631"/>
      <c r="E2671" s="648"/>
      <c r="F2671" s="631"/>
      <c r="G2671" s="631"/>
      <c r="H2671" s="631"/>
      <c r="I2671" s="631"/>
      <c r="J2671" s="631"/>
      <c r="M2671" s="475">
        <f>Criteria!F389</f>
        <v>0</v>
      </c>
      <c r="N2671" s="475"/>
      <c r="O2671" s="475">
        <f>Criteria!G389</f>
        <v>0</v>
      </c>
      <c r="P2671" s="545"/>
      <c r="R2671" s="490" t="str">
        <f>IF(M2671+O2671=0,"DELETE"," ")</f>
        <v>DELETE</v>
      </c>
    </row>
    <row r="2672" spans="2:18" ht="9" customHeight="1" x14ac:dyDescent="0.5">
      <c r="B2672" s="501"/>
      <c r="C2672" s="630"/>
      <c r="D2672" s="631"/>
      <c r="E2672" s="631"/>
      <c r="F2672" s="631"/>
      <c r="G2672" s="631"/>
      <c r="H2672" s="631"/>
      <c r="I2672" s="631"/>
      <c r="J2672" s="631"/>
      <c r="M2672" s="461"/>
      <c r="N2672" s="461"/>
      <c r="O2672" s="461"/>
      <c r="P2672" s="545"/>
      <c r="R2672" s="490" t="str">
        <f>R$2674</f>
        <v>DELETE</v>
      </c>
    </row>
    <row r="2673" spans="2:18" ht="9" customHeight="1" x14ac:dyDescent="0.5">
      <c r="B2673" s="501"/>
      <c r="C2673" s="630"/>
      <c r="D2673" s="631"/>
      <c r="E2673" s="631"/>
      <c r="F2673" s="631"/>
      <c r="G2673" s="631"/>
      <c r="H2673" s="631"/>
      <c r="I2673" s="631"/>
      <c r="J2673" s="631"/>
      <c r="M2673" s="475"/>
      <c r="N2673" s="475"/>
      <c r="O2673" s="475"/>
      <c r="P2673" s="545"/>
      <c r="R2673" s="490" t="str">
        <f>R$2674</f>
        <v>DELETE</v>
      </c>
    </row>
    <row r="2674" spans="2:18" ht="36.75" customHeight="1" x14ac:dyDescent="0.5">
      <c r="B2674" s="501"/>
      <c r="C2674" s="630"/>
      <c r="D2674" s="631"/>
      <c r="E2674" s="631"/>
      <c r="F2674" s="631"/>
      <c r="G2674" s="631"/>
      <c r="H2674" s="631"/>
      <c r="I2674" s="631"/>
      <c r="J2674" s="631"/>
      <c r="M2674" s="475">
        <f>SUM(M2669:M2673)</f>
        <v>0</v>
      </c>
      <c r="N2674" s="475"/>
      <c r="O2674" s="475">
        <f>SUM(O2669:O2673)</f>
        <v>0</v>
      </c>
      <c r="P2674" s="545"/>
      <c r="R2674" s="490" t="str">
        <f>IF(M2674+O2674=0,"DELETE"," ")</f>
        <v>DELETE</v>
      </c>
    </row>
    <row r="2675" spans="2:18" ht="9" customHeight="1" thickBot="1" x14ac:dyDescent="0.55000000000000004">
      <c r="B2675" s="501"/>
      <c r="C2675" s="630"/>
      <c r="D2675" s="631"/>
      <c r="E2675" s="631"/>
      <c r="F2675" s="631"/>
      <c r="G2675" s="631"/>
      <c r="H2675" s="631"/>
      <c r="I2675" s="631"/>
      <c r="J2675" s="631"/>
      <c r="M2675" s="462"/>
      <c r="N2675" s="462"/>
      <c r="O2675" s="462"/>
      <c r="P2675" s="545"/>
      <c r="R2675" s="490" t="str">
        <f t="shared" ref="R2675:R2680" si="153">R$2674</f>
        <v>DELETE</v>
      </c>
    </row>
    <row r="2676" spans="2:18" ht="9" customHeight="1" thickTop="1" x14ac:dyDescent="0.5">
      <c r="B2676" s="501"/>
      <c r="C2676" s="630"/>
      <c r="D2676" s="631"/>
      <c r="E2676" s="631"/>
      <c r="F2676" s="631"/>
      <c r="G2676" s="631"/>
      <c r="H2676" s="631"/>
      <c r="I2676" s="631"/>
      <c r="J2676" s="631"/>
      <c r="M2676" s="475"/>
      <c r="N2676" s="475"/>
      <c r="O2676" s="475"/>
      <c r="P2676" s="545"/>
      <c r="R2676" s="490" t="str">
        <f t="shared" si="153"/>
        <v>DELETE</v>
      </c>
    </row>
    <row r="2677" spans="2:18" ht="36" customHeight="1" x14ac:dyDescent="0.5">
      <c r="B2677" s="501"/>
      <c r="C2677" s="630"/>
      <c r="D2677" s="631"/>
      <c r="E2677" s="631"/>
      <c r="F2677" s="631"/>
      <c r="G2677" s="631"/>
      <c r="H2677" s="631"/>
      <c r="I2677" s="631"/>
      <c r="J2677" s="631"/>
      <c r="M2677" s="475"/>
      <c r="N2677" s="475"/>
      <c r="O2677" s="475"/>
      <c r="P2677" s="545"/>
      <c r="R2677" s="490" t="str">
        <f t="shared" si="153"/>
        <v>DELETE</v>
      </c>
    </row>
    <row r="2678" spans="2:18" ht="36" customHeight="1" x14ac:dyDescent="0.5">
      <c r="B2678" s="501"/>
      <c r="C2678" s="630"/>
      <c r="D2678" s="631"/>
      <c r="E2678" s="631"/>
      <c r="F2678" s="631"/>
      <c r="G2678" s="631"/>
      <c r="H2678" s="631"/>
      <c r="I2678" s="631"/>
      <c r="J2678" s="631"/>
      <c r="M2678" s="475"/>
      <c r="N2678" s="475"/>
      <c r="O2678" s="475"/>
      <c r="P2678" s="545"/>
      <c r="R2678" s="490" t="str">
        <f t="shared" si="153"/>
        <v>DELETE</v>
      </c>
    </row>
    <row r="2679" spans="2:18" ht="36" customHeight="1" x14ac:dyDescent="0.5">
      <c r="B2679" s="501"/>
      <c r="C2679" s="630"/>
      <c r="D2679" s="631"/>
      <c r="E2679" s="631"/>
      <c r="F2679" s="631"/>
      <c r="G2679" s="631"/>
      <c r="H2679" s="631"/>
      <c r="I2679" s="631"/>
      <c r="J2679" s="631"/>
      <c r="M2679" s="475"/>
      <c r="N2679" s="475"/>
      <c r="O2679" s="475"/>
      <c r="P2679" s="545"/>
      <c r="R2679" s="490" t="str">
        <f t="shared" si="153"/>
        <v>DELETE</v>
      </c>
    </row>
    <row r="2680" spans="2:18" ht="36" customHeight="1" x14ac:dyDescent="0.5">
      <c r="B2680" s="501"/>
      <c r="C2680" s="630"/>
      <c r="D2680" s="631"/>
      <c r="E2680" s="631"/>
      <c r="F2680" s="631"/>
      <c r="G2680" s="631"/>
      <c r="H2680" s="631"/>
      <c r="I2680" s="631"/>
      <c r="J2680" s="631"/>
      <c r="M2680" s="458"/>
      <c r="N2680" s="458"/>
      <c r="O2680" s="458"/>
      <c r="R2680" s="490" t="str">
        <f t="shared" si="153"/>
        <v>DELETE</v>
      </c>
    </row>
    <row r="2681" spans="2:18" ht="36" customHeight="1" x14ac:dyDescent="0.5">
      <c r="B2681" s="501"/>
      <c r="C2681" s="630"/>
      <c r="D2681" s="631"/>
      <c r="E2681" s="631"/>
      <c r="F2681" s="631"/>
      <c r="G2681" s="631"/>
      <c r="H2681" s="631"/>
      <c r="I2681" s="631"/>
      <c r="J2681" s="631"/>
      <c r="M2681" s="458"/>
      <c r="N2681" s="458"/>
      <c r="O2681" s="458" t="s">
        <v>112</v>
      </c>
      <c r="Q2681" s="450">
        <f>MAX($Q$103:Q2680)+1</f>
        <v>72</v>
      </c>
      <c r="R2681" s="490" t="str">
        <f>IF(M2699+O2699+M2711+O2711=0,"DELETE"," ")</f>
        <v>DELETE</v>
      </c>
    </row>
    <row r="2682" spans="2:18" ht="36" customHeight="1" x14ac:dyDescent="0.5">
      <c r="B2682" s="501"/>
      <c r="C2682" s="630"/>
      <c r="D2682" s="630" t="str">
        <f>Criteria!E9</f>
        <v>ABC COMPANY (PROPRIETARY) LIMITED</v>
      </c>
      <c r="E2682" s="631"/>
      <c r="F2682" s="631"/>
      <c r="G2682" s="631"/>
      <c r="H2682" s="631"/>
      <c r="I2682" s="631"/>
      <c r="J2682" s="631"/>
      <c r="M2682" s="541"/>
      <c r="N2682" s="541"/>
      <c r="O2682" s="540"/>
      <c r="R2682" s="490" t="str">
        <f>R$2681</f>
        <v>DELETE</v>
      </c>
    </row>
    <row r="2683" spans="2:18" ht="36" customHeight="1" x14ac:dyDescent="0.5">
      <c r="B2683" s="501"/>
      <c r="C2683" s="630"/>
      <c r="D2683" s="630" t="str">
        <f>Criteria!E10</f>
        <v>T/A SEAFRONT HOTEL, ABC RESTAURANT AND RENTAL PROPERTIES</v>
      </c>
      <c r="E2683" s="631"/>
      <c r="F2683" s="631"/>
      <c r="G2683" s="631"/>
      <c r="H2683" s="631"/>
      <c r="I2683" s="631"/>
      <c r="J2683" s="631"/>
      <c r="M2683" s="541"/>
      <c r="N2683" s="541"/>
      <c r="O2683" s="541"/>
      <c r="R2683" s="490" t="str">
        <f>IF(R$2681="DELETE","DELETE",IF(D2683=0,"DELETE"," "))</f>
        <v>DELETE</v>
      </c>
    </row>
    <row r="2684" spans="2:18" ht="36" customHeight="1" x14ac:dyDescent="0.5">
      <c r="B2684" s="501"/>
      <c r="C2684" s="630"/>
      <c r="D2684" s="631"/>
      <c r="E2684" s="631"/>
      <c r="F2684" s="631"/>
      <c r="G2684" s="631"/>
      <c r="H2684" s="631"/>
      <c r="I2684" s="631"/>
      <c r="J2684" s="631"/>
      <c r="M2684" s="541"/>
      <c r="N2684" s="541"/>
      <c r="O2684" s="541"/>
      <c r="R2684" s="490" t="str">
        <f t="shared" ref="R2684:R2692" si="154">R$2681</f>
        <v>DELETE</v>
      </c>
    </row>
    <row r="2685" spans="2:18" ht="36" customHeight="1" x14ac:dyDescent="0.5">
      <c r="B2685" s="501"/>
      <c r="C2685" s="630"/>
      <c r="D2685" s="630" t="s">
        <v>415</v>
      </c>
      <c r="E2685" s="631"/>
      <c r="F2685" s="631"/>
      <c r="G2685" s="631"/>
      <c r="H2685" s="631"/>
      <c r="I2685" s="631"/>
      <c r="J2685" s="631"/>
      <c r="M2685" s="541"/>
      <c r="N2685" s="541"/>
      <c r="O2685" s="541"/>
      <c r="R2685" s="490" t="str">
        <f t="shared" si="154"/>
        <v>DELETE</v>
      </c>
    </row>
    <row r="2686" spans="2:18" ht="36" customHeight="1" x14ac:dyDescent="0.5">
      <c r="B2686" s="501"/>
      <c r="C2686" s="630"/>
      <c r="D2686" s="630" t="str">
        <f>Criteria!E20</f>
        <v>28 FEBRUARY 2026</v>
      </c>
      <c r="E2686" s="631"/>
      <c r="F2686" s="631"/>
      <c r="G2686" s="631"/>
      <c r="H2686" s="631"/>
      <c r="I2686" s="631"/>
      <c r="J2686" s="631" t="s">
        <v>282</v>
      </c>
      <c r="M2686" s="541"/>
      <c r="N2686" s="541"/>
      <c r="O2686" s="541"/>
      <c r="R2686" s="490" t="str">
        <f t="shared" si="154"/>
        <v>DELETE</v>
      </c>
    </row>
    <row r="2687" spans="2:18" ht="36" customHeight="1" x14ac:dyDescent="0.5">
      <c r="B2687" s="501"/>
      <c r="C2687" s="630"/>
      <c r="D2687" s="631"/>
      <c r="E2687" s="631"/>
      <c r="F2687" s="631"/>
      <c r="G2687" s="631"/>
      <c r="H2687" s="631"/>
      <c r="I2687" s="631"/>
      <c r="J2687" s="631"/>
      <c r="M2687" s="458"/>
      <c r="N2687" s="458"/>
      <c r="O2687" s="458"/>
      <c r="R2687" s="490" t="str">
        <f t="shared" si="154"/>
        <v>DELETE</v>
      </c>
    </row>
    <row r="2688" spans="2:18" ht="36" customHeight="1" x14ac:dyDescent="0.5">
      <c r="B2688" s="640"/>
      <c r="C2688" s="652"/>
      <c r="D2688" s="649"/>
      <c r="E2688" s="649"/>
      <c r="F2688" s="649"/>
      <c r="G2688" s="649"/>
      <c r="H2688" s="649"/>
      <c r="I2688" s="649"/>
      <c r="J2688" s="649"/>
      <c r="K2688" s="457"/>
      <c r="L2688" s="457"/>
      <c r="M2688" s="459"/>
      <c r="N2688" s="459"/>
      <c r="O2688" s="459"/>
      <c r="P2688" s="551"/>
      <c r="Q2688" s="457"/>
      <c r="R2688" s="490" t="str">
        <f t="shared" si="154"/>
        <v>DELETE</v>
      </c>
    </row>
    <row r="2689" spans="2:18" ht="36" customHeight="1" x14ac:dyDescent="0.5">
      <c r="B2689" s="501"/>
      <c r="C2689" s="630"/>
      <c r="D2689" s="631"/>
      <c r="E2689" s="631"/>
      <c r="F2689" s="631"/>
      <c r="G2689" s="631"/>
      <c r="H2689" s="631"/>
      <c r="I2689" s="631"/>
      <c r="J2689" s="631"/>
      <c r="M2689" s="453">
        <f>Criteria!E22</f>
        <v>2026</v>
      </c>
      <c r="N2689" s="453"/>
      <c r="O2689" s="453">
        <f>Criteria!E27</f>
        <v>2025</v>
      </c>
      <c r="P2689" s="545"/>
      <c r="R2689" s="490" t="str">
        <f t="shared" si="154"/>
        <v>DELETE</v>
      </c>
    </row>
    <row r="2690" spans="2:18" ht="36" customHeight="1" x14ac:dyDescent="0.5">
      <c r="B2690" s="501"/>
      <c r="C2690" s="630"/>
      <c r="D2690" s="631"/>
      <c r="E2690" s="631"/>
      <c r="F2690" s="631"/>
      <c r="G2690" s="631"/>
      <c r="H2690" s="631"/>
      <c r="I2690" s="631"/>
      <c r="J2690" s="631"/>
      <c r="M2690" s="475"/>
      <c r="N2690" s="475"/>
      <c r="O2690" s="475"/>
      <c r="P2690" s="545"/>
      <c r="R2690" s="490" t="str">
        <f t="shared" si="154"/>
        <v>DELETE</v>
      </c>
    </row>
    <row r="2691" spans="2:18" ht="36" customHeight="1" x14ac:dyDescent="0.5">
      <c r="B2691" s="501">
        <f>MAX(B$871:B2690)+1</f>
        <v>33</v>
      </c>
      <c r="C2691" s="630" t="s">
        <v>1529</v>
      </c>
      <c r="D2691" s="631"/>
      <c r="E2691" s="631"/>
      <c r="F2691" s="631"/>
      <c r="G2691" s="631"/>
      <c r="H2691" s="631"/>
      <c r="I2691" s="631"/>
      <c r="J2691" s="631"/>
      <c r="M2691" s="475"/>
      <c r="N2691" s="475"/>
      <c r="O2691" s="475"/>
      <c r="P2691" s="545"/>
      <c r="R2691" s="490" t="str">
        <f t="shared" si="154"/>
        <v>DELETE</v>
      </c>
    </row>
    <row r="2692" spans="2:18" ht="36" customHeight="1" x14ac:dyDescent="0.5">
      <c r="B2692" s="501"/>
      <c r="C2692" s="630"/>
      <c r="D2692" s="631"/>
      <c r="E2692" s="631"/>
      <c r="F2692" s="631"/>
      <c r="G2692" s="631"/>
      <c r="H2692" s="631"/>
      <c r="I2692" s="631"/>
      <c r="J2692" s="631"/>
      <c r="M2692" s="475"/>
      <c r="N2692" s="475"/>
      <c r="O2692" s="475"/>
      <c r="P2692" s="545"/>
      <c r="R2692" s="490" t="str">
        <f t="shared" si="154"/>
        <v>DELETE</v>
      </c>
    </row>
    <row r="2693" spans="2:18" ht="36" customHeight="1" x14ac:dyDescent="0.5">
      <c r="B2693" s="501"/>
      <c r="C2693" s="631" t="str">
        <f>Criteria!F394</f>
        <v>The company rents several sales offices under operating leases. The leases are for an</v>
      </c>
      <c r="D2693" s="648"/>
      <c r="E2693" s="631"/>
      <c r="F2693" s="631"/>
      <c r="G2693" s="631"/>
      <c r="H2693" s="631"/>
      <c r="I2693" s="631"/>
      <c r="J2693" s="631"/>
      <c r="M2693" s="475"/>
      <c r="N2693" s="475"/>
      <c r="O2693" s="475"/>
      <c r="P2693" s="545"/>
      <c r="R2693" s="490" t="str">
        <f>IF(C2693=0,"DELETE"," ")</f>
        <v xml:space="preserve"> </v>
      </c>
    </row>
    <row r="2694" spans="2:18" ht="36" customHeight="1" x14ac:dyDescent="0.5">
      <c r="B2694" s="501"/>
      <c r="C2694" s="631" t="str">
        <f>Criteria!F395</f>
        <v>average period of five years, with fixed rentals over the same period.</v>
      </c>
      <c r="D2694" s="648"/>
      <c r="E2694" s="631"/>
      <c r="F2694" s="631"/>
      <c r="G2694" s="631"/>
      <c r="H2694" s="631"/>
      <c r="I2694" s="631"/>
      <c r="J2694" s="631"/>
      <c r="M2694" s="475"/>
      <c r="N2694" s="475"/>
      <c r="O2694" s="475"/>
      <c r="P2694" s="545"/>
      <c r="R2694" s="490" t="str">
        <f>IF(C2694=0,"DELETE"," ")</f>
        <v xml:space="preserve"> </v>
      </c>
    </row>
    <row r="2695" spans="2:18" ht="36" customHeight="1" x14ac:dyDescent="0.5">
      <c r="B2695" s="501"/>
      <c r="C2695" s="631" t="str">
        <f>Criteria!F396</f>
        <v>The company also leases office equipment for an average period of 3 years, with fixed</v>
      </c>
      <c r="D2695" s="648"/>
      <c r="E2695" s="631"/>
      <c r="F2695" s="631"/>
      <c r="G2695" s="631"/>
      <c r="H2695" s="631"/>
      <c r="I2695" s="631"/>
      <c r="J2695" s="631"/>
      <c r="M2695" s="475"/>
      <c r="N2695" s="475"/>
      <c r="O2695" s="475"/>
      <c r="P2695" s="545"/>
      <c r="R2695" s="490" t="str">
        <f>IF(C2695=0,"DELETE"," ")</f>
        <v xml:space="preserve"> </v>
      </c>
    </row>
    <row r="2696" spans="2:18" ht="36" customHeight="1" x14ac:dyDescent="0.5">
      <c r="B2696" s="501"/>
      <c r="C2696" s="631" t="str">
        <f>Criteria!F397</f>
        <v>rentals over the same period.</v>
      </c>
      <c r="D2696" s="648"/>
      <c r="E2696" s="631"/>
      <c r="F2696" s="631"/>
      <c r="G2696" s="631"/>
      <c r="H2696" s="631"/>
      <c r="I2696" s="631"/>
      <c r="J2696" s="631"/>
      <c r="M2696" s="475"/>
      <c r="N2696" s="475"/>
      <c r="O2696" s="475"/>
      <c r="P2696" s="545"/>
      <c r="R2696" s="490" t="str">
        <f>IF(C2696=0,"DELETE"," ")</f>
        <v xml:space="preserve"> </v>
      </c>
    </row>
    <row r="2697" spans="2:18" ht="36" customHeight="1" x14ac:dyDescent="0.5">
      <c r="B2697" s="501"/>
      <c r="C2697" s="631"/>
      <c r="D2697" s="648"/>
      <c r="E2697" s="631"/>
      <c r="F2697" s="631"/>
      <c r="G2697" s="631"/>
      <c r="H2697" s="631"/>
      <c r="I2697" s="631"/>
      <c r="J2697" s="631"/>
      <c r="M2697" s="475"/>
      <c r="N2697" s="475"/>
      <c r="O2697" s="475"/>
      <c r="P2697" s="545"/>
      <c r="R2697" s="490" t="str">
        <f>R2693</f>
        <v xml:space="preserve"> </v>
      </c>
    </row>
    <row r="2698" spans="2:18" ht="36" customHeight="1" x14ac:dyDescent="0.5">
      <c r="B2698" s="501"/>
      <c r="C2698" s="631" t="s">
        <v>1573</v>
      </c>
      <c r="D2698" s="648"/>
      <c r="E2698" s="631"/>
      <c r="F2698" s="631"/>
      <c r="G2698" s="631"/>
      <c r="H2698" s="631"/>
      <c r="I2698" s="631"/>
      <c r="J2698" s="631"/>
      <c r="M2698" s="475"/>
      <c r="N2698" s="475"/>
      <c r="O2698" s="475"/>
      <c r="P2698" s="545"/>
      <c r="R2698" s="490" t="str">
        <f>IF(M2699+O2699=0,"DELETE"," ")</f>
        <v>DELETE</v>
      </c>
    </row>
    <row r="2699" spans="2:18" ht="36" customHeight="1" x14ac:dyDescent="0.5">
      <c r="B2699" s="501"/>
      <c r="C2699" s="631" t="s">
        <v>1574</v>
      </c>
      <c r="D2699" s="648"/>
      <c r="E2699" s="631"/>
      <c r="F2699" s="631"/>
      <c r="G2699" s="631"/>
      <c r="H2699" s="631"/>
      <c r="I2699" s="631"/>
      <c r="J2699" s="631"/>
      <c r="M2699" s="475">
        <f>TrialBalance!L49+TrialBalanceA!I49+TrialBalanceB!I49+TrialBalanceC!I49+SUM(TrialBalance!L61:L63)+SUM(TrialBalanceA!I61:I63)+SUM(TrialBalanceB!I61:I63)+SUM(TrialBalanceC!I61:I63)</f>
        <v>0</v>
      </c>
      <c r="N2699" s="475"/>
      <c r="O2699" s="475">
        <f>TrialBalance!N49+TrialBalanceA!K49+TrialBalanceB!K49+TrialBalanceC!K49+SUM(TrialBalance!N61:N63)+SUM(TrialBalanceA!K61:K63)+SUM(TrialBalanceB!K61:K63)+SUM(TrialBalanceC!K61:K63)</f>
        <v>0</v>
      </c>
      <c r="P2699" s="545"/>
      <c r="R2699" s="490" t="str">
        <f>IF(M2699+O2699=0,"DELETE"," ")</f>
        <v>DELETE</v>
      </c>
    </row>
    <row r="2700" spans="2:18" ht="9" customHeight="1" thickBot="1" x14ac:dyDescent="0.55000000000000004">
      <c r="B2700" s="501"/>
      <c r="C2700" s="631"/>
      <c r="D2700" s="648"/>
      <c r="E2700" s="631"/>
      <c r="F2700" s="631"/>
      <c r="G2700" s="631"/>
      <c r="H2700" s="631"/>
      <c r="I2700" s="631"/>
      <c r="J2700" s="631"/>
      <c r="M2700" s="462"/>
      <c r="N2700" s="462"/>
      <c r="O2700" s="462"/>
      <c r="P2700" s="545"/>
      <c r="R2700" s="490" t="str">
        <f>R$2699</f>
        <v>DELETE</v>
      </c>
    </row>
    <row r="2701" spans="2:18" ht="9" customHeight="1" thickTop="1" x14ac:dyDescent="0.5">
      <c r="B2701" s="501"/>
      <c r="C2701" s="631"/>
      <c r="D2701" s="648"/>
      <c r="E2701" s="631"/>
      <c r="F2701" s="631"/>
      <c r="G2701" s="631"/>
      <c r="H2701" s="631"/>
      <c r="I2701" s="631"/>
      <c r="J2701" s="631"/>
      <c r="M2701" s="475"/>
      <c r="N2701" s="475"/>
      <c r="O2701" s="475"/>
      <c r="P2701" s="545"/>
      <c r="R2701" s="490" t="str">
        <f>R$2699</f>
        <v>DELETE</v>
      </c>
    </row>
    <row r="2702" spans="2:18" ht="36" customHeight="1" x14ac:dyDescent="0.5">
      <c r="B2702" s="501"/>
      <c r="C2702" s="631"/>
      <c r="D2702" s="648"/>
      <c r="E2702" s="631"/>
      <c r="F2702" s="631"/>
      <c r="G2702" s="631"/>
      <c r="H2702" s="631"/>
      <c r="I2702" s="631"/>
      <c r="J2702" s="631"/>
      <c r="M2702" s="475"/>
      <c r="N2702" s="475"/>
      <c r="O2702" s="475"/>
      <c r="P2702" s="545"/>
      <c r="R2702" s="490" t="str">
        <f t="shared" ref="R2702" si="155">R$2681</f>
        <v>DELETE</v>
      </c>
    </row>
    <row r="2703" spans="2:18" ht="36" customHeight="1" x14ac:dyDescent="0.5">
      <c r="B2703" s="501"/>
      <c r="C2703" s="631" t="s">
        <v>1577</v>
      </c>
      <c r="D2703" s="648"/>
      <c r="E2703" s="631"/>
      <c r="F2703" s="631"/>
      <c r="G2703" s="631"/>
      <c r="H2703" s="631"/>
      <c r="I2703" s="631"/>
      <c r="J2703" s="631"/>
      <c r="M2703" s="475"/>
      <c r="N2703" s="475"/>
      <c r="O2703" s="475"/>
      <c r="P2703" s="545"/>
      <c r="R2703" s="490" t="str">
        <f t="shared" ref="R2703:R2705" si="156">R$2711</f>
        <v>DELETE</v>
      </c>
    </row>
    <row r="2704" spans="2:18" ht="36" customHeight="1" x14ac:dyDescent="0.5">
      <c r="B2704" s="501"/>
      <c r="C2704" s="631" t="s">
        <v>1365</v>
      </c>
      <c r="D2704" s="648"/>
      <c r="E2704" s="631"/>
      <c r="F2704" s="631"/>
      <c r="G2704" s="631"/>
      <c r="H2704" s="631"/>
      <c r="I2704" s="631"/>
      <c r="J2704" s="631"/>
      <c r="M2704" s="475"/>
      <c r="N2704" s="475"/>
      <c r="O2704" s="475"/>
      <c r="P2704" s="545"/>
      <c r="R2704" s="490" t="str">
        <f t="shared" si="156"/>
        <v>DELETE</v>
      </c>
    </row>
    <row r="2705" spans="2:18" ht="36" customHeight="1" x14ac:dyDescent="0.5">
      <c r="B2705" s="501"/>
      <c r="C2705" s="630"/>
      <c r="D2705" s="631"/>
      <c r="E2705" s="631"/>
      <c r="F2705" s="631"/>
      <c r="G2705" s="631"/>
      <c r="H2705" s="631"/>
      <c r="I2705" s="631"/>
      <c r="J2705" s="631"/>
      <c r="M2705" s="475"/>
      <c r="N2705" s="475"/>
      <c r="O2705" s="475"/>
      <c r="P2705" s="545"/>
      <c r="R2705" s="490" t="str">
        <f t="shared" si="156"/>
        <v>DELETE</v>
      </c>
    </row>
    <row r="2706" spans="2:18" ht="36" customHeight="1" x14ac:dyDescent="0.5">
      <c r="B2706" s="501"/>
      <c r="C2706" s="631" t="s">
        <v>1358</v>
      </c>
      <c r="D2706" s="631"/>
      <c r="E2706" s="648"/>
      <c r="F2706" s="631"/>
      <c r="G2706" s="631"/>
      <c r="H2706" s="631"/>
      <c r="I2706" s="631"/>
      <c r="J2706" s="631"/>
      <c r="M2706" s="475">
        <f>Criteria!F399</f>
        <v>0</v>
      </c>
      <c r="N2706" s="475"/>
      <c r="O2706" s="475">
        <f>Criteria!G399</f>
        <v>0</v>
      </c>
      <c r="P2706" s="545"/>
      <c r="R2706" s="490" t="str">
        <f t="shared" ref="R2706:R2707" si="157">IF(M2706+O2706=0,"DELETE"," ")</f>
        <v>DELETE</v>
      </c>
    </row>
    <row r="2707" spans="2:18" ht="36" customHeight="1" x14ac:dyDescent="0.5">
      <c r="B2707" s="501"/>
      <c r="C2707" s="631" t="s">
        <v>1359</v>
      </c>
      <c r="D2707" s="631"/>
      <c r="E2707" s="648"/>
      <c r="F2707" s="631"/>
      <c r="G2707" s="631"/>
      <c r="H2707" s="631"/>
      <c r="I2707" s="631"/>
      <c r="J2707" s="631"/>
      <c r="M2707" s="475">
        <f>Criteria!F400</f>
        <v>0</v>
      </c>
      <c r="N2707" s="475"/>
      <c r="O2707" s="475">
        <f>Criteria!G400</f>
        <v>0</v>
      </c>
      <c r="P2707" s="545"/>
      <c r="R2707" s="490" t="str">
        <f t="shared" si="157"/>
        <v>DELETE</v>
      </c>
    </row>
    <row r="2708" spans="2:18" ht="36" customHeight="1" x14ac:dyDescent="0.5">
      <c r="B2708" s="501"/>
      <c r="C2708" s="631" t="s">
        <v>1360</v>
      </c>
      <c r="D2708" s="631"/>
      <c r="E2708" s="648"/>
      <c r="F2708" s="631"/>
      <c r="G2708" s="631"/>
      <c r="H2708" s="631"/>
      <c r="I2708" s="631"/>
      <c r="J2708" s="631"/>
      <c r="M2708" s="475">
        <f>Criteria!F401</f>
        <v>0</v>
      </c>
      <c r="N2708" s="475"/>
      <c r="O2708" s="475">
        <f>Criteria!G401</f>
        <v>0</v>
      </c>
      <c r="P2708" s="545"/>
      <c r="R2708" s="490" t="str">
        <f>IF(M2708+O2708=0,"DELETE"," ")</f>
        <v>DELETE</v>
      </c>
    </row>
    <row r="2709" spans="2:18" ht="9" customHeight="1" x14ac:dyDescent="0.5">
      <c r="B2709" s="501"/>
      <c r="C2709" s="630"/>
      <c r="D2709" s="631"/>
      <c r="E2709" s="631"/>
      <c r="F2709" s="631"/>
      <c r="G2709" s="631"/>
      <c r="H2709" s="631"/>
      <c r="I2709" s="631"/>
      <c r="J2709" s="631"/>
      <c r="M2709" s="461"/>
      <c r="N2709" s="461"/>
      <c r="O2709" s="461"/>
      <c r="P2709" s="545"/>
      <c r="R2709" s="490" t="str">
        <f>R$2711</f>
        <v>DELETE</v>
      </c>
    </row>
    <row r="2710" spans="2:18" ht="9" customHeight="1" x14ac:dyDescent="0.5">
      <c r="B2710" s="501"/>
      <c r="C2710" s="630"/>
      <c r="D2710" s="631"/>
      <c r="E2710" s="631"/>
      <c r="F2710" s="631"/>
      <c r="G2710" s="631"/>
      <c r="H2710" s="631"/>
      <c r="I2710" s="631"/>
      <c r="J2710" s="631"/>
      <c r="M2710" s="475"/>
      <c r="N2710" s="475"/>
      <c r="O2710" s="475"/>
      <c r="P2710" s="545"/>
      <c r="R2710" s="490" t="str">
        <f>R$2711</f>
        <v>DELETE</v>
      </c>
    </row>
    <row r="2711" spans="2:18" ht="36.75" customHeight="1" x14ac:dyDescent="0.5">
      <c r="B2711" s="501"/>
      <c r="C2711" s="630"/>
      <c r="D2711" s="631"/>
      <c r="E2711" s="631"/>
      <c r="F2711" s="631"/>
      <c r="G2711" s="631"/>
      <c r="H2711" s="631"/>
      <c r="I2711" s="631"/>
      <c r="J2711" s="631"/>
      <c r="M2711" s="475">
        <f>SUM(M2706:M2710)</f>
        <v>0</v>
      </c>
      <c r="N2711" s="475"/>
      <c r="O2711" s="475">
        <f>SUM(O2706:O2710)</f>
        <v>0</v>
      </c>
      <c r="P2711" s="545"/>
      <c r="R2711" s="490" t="str">
        <f>IF(M2711+O2711=0,"DELETE"," ")</f>
        <v>DELETE</v>
      </c>
    </row>
    <row r="2712" spans="2:18" ht="9" customHeight="1" thickBot="1" x14ac:dyDescent="0.55000000000000004">
      <c r="B2712" s="501"/>
      <c r="C2712" s="630"/>
      <c r="D2712" s="631"/>
      <c r="E2712" s="631"/>
      <c r="F2712" s="631"/>
      <c r="G2712" s="631"/>
      <c r="H2712" s="631"/>
      <c r="I2712" s="631"/>
      <c r="J2712" s="631"/>
      <c r="M2712" s="462"/>
      <c r="N2712" s="462"/>
      <c r="O2712" s="462"/>
      <c r="P2712" s="545"/>
      <c r="R2712" s="490" t="str">
        <f t="shared" ref="R2712:R2713" si="158">R$2711</f>
        <v>DELETE</v>
      </c>
    </row>
    <row r="2713" spans="2:18" ht="9" customHeight="1" thickTop="1" x14ac:dyDescent="0.5">
      <c r="B2713" s="501"/>
      <c r="C2713" s="630"/>
      <c r="D2713" s="631"/>
      <c r="E2713" s="631"/>
      <c r="F2713" s="631"/>
      <c r="G2713" s="631"/>
      <c r="H2713" s="631"/>
      <c r="I2713" s="631"/>
      <c r="J2713" s="631"/>
      <c r="M2713" s="475"/>
      <c r="N2713" s="475"/>
      <c r="O2713" s="475"/>
      <c r="P2713" s="545"/>
      <c r="R2713" s="490" t="str">
        <f t="shared" si="158"/>
        <v>DELETE</v>
      </c>
    </row>
    <row r="2714" spans="2:18" ht="36" customHeight="1" x14ac:dyDescent="0.5">
      <c r="B2714" s="501"/>
      <c r="C2714" s="630"/>
      <c r="D2714" s="631"/>
      <c r="E2714" s="631"/>
      <c r="F2714" s="631"/>
      <c r="G2714" s="631"/>
      <c r="H2714" s="631"/>
      <c r="I2714" s="631"/>
      <c r="J2714" s="631"/>
      <c r="M2714" s="475"/>
      <c r="N2714" s="475"/>
      <c r="O2714" s="475"/>
      <c r="P2714" s="545"/>
      <c r="R2714" s="490" t="str">
        <f t="shared" ref="R2714:R2717" si="159">R$2681</f>
        <v>DELETE</v>
      </c>
    </row>
    <row r="2715" spans="2:18" ht="36" customHeight="1" x14ac:dyDescent="0.5">
      <c r="B2715" s="501"/>
      <c r="C2715" s="630"/>
      <c r="D2715" s="631"/>
      <c r="E2715" s="631"/>
      <c r="F2715" s="631"/>
      <c r="G2715" s="631"/>
      <c r="H2715" s="631"/>
      <c r="I2715" s="631"/>
      <c r="J2715" s="631"/>
      <c r="M2715" s="475"/>
      <c r="N2715" s="475"/>
      <c r="O2715" s="475"/>
      <c r="P2715" s="545"/>
      <c r="R2715" s="490" t="str">
        <f t="shared" si="159"/>
        <v>DELETE</v>
      </c>
    </row>
    <row r="2716" spans="2:18" ht="36" customHeight="1" x14ac:dyDescent="0.5">
      <c r="B2716" s="501"/>
      <c r="C2716" s="630"/>
      <c r="D2716" s="631"/>
      <c r="E2716" s="631"/>
      <c r="F2716" s="631"/>
      <c r="G2716" s="631"/>
      <c r="H2716" s="631"/>
      <c r="I2716" s="631"/>
      <c r="J2716" s="631"/>
      <c r="M2716" s="475"/>
      <c r="N2716" s="475"/>
      <c r="O2716" s="475"/>
      <c r="P2716" s="545"/>
      <c r="R2716" s="490" t="str">
        <f t="shared" si="159"/>
        <v>DELETE</v>
      </c>
    </row>
    <row r="2717" spans="2:18" ht="36" customHeight="1" x14ac:dyDescent="0.5">
      <c r="B2717" s="501"/>
      <c r="C2717" s="630"/>
      <c r="D2717" s="631"/>
      <c r="E2717" s="631"/>
      <c r="F2717" s="631"/>
      <c r="G2717" s="631"/>
      <c r="H2717" s="631"/>
      <c r="I2717" s="631"/>
      <c r="J2717" s="631"/>
      <c r="M2717" s="458"/>
      <c r="N2717" s="458"/>
      <c r="O2717" s="458"/>
      <c r="R2717" s="490" t="str">
        <f t="shared" si="159"/>
        <v>DELETE</v>
      </c>
    </row>
    <row r="2718" spans="2:18" ht="36" customHeight="1" x14ac:dyDescent="0.5">
      <c r="B2718" s="501"/>
      <c r="C2718" s="630"/>
      <c r="D2718" s="631"/>
      <c r="E2718" s="631"/>
      <c r="F2718" s="631"/>
      <c r="G2718" s="631"/>
      <c r="H2718" s="631"/>
      <c r="I2718" s="631"/>
      <c r="J2718" s="631"/>
      <c r="M2718" s="458"/>
      <c r="N2718" s="458"/>
      <c r="O2718" s="458" t="s">
        <v>112</v>
      </c>
      <c r="Q2718" s="450">
        <f>MAX($Q$103:Q2717)+1</f>
        <v>73</v>
      </c>
    </row>
    <row r="2719" spans="2:18" ht="36" customHeight="1" x14ac:dyDescent="0.5">
      <c r="B2719" s="502"/>
      <c r="C2719" s="631"/>
      <c r="D2719" s="630" t="str">
        <f>Criteria!E9</f>
        <v>ABC COMPANY (PROPRIETARY) LIMITED</v>
      </c>
      <c r="E2719" s="631"/>
      <c r="F2719" s="631"/>
      <c r="G2719" s="631"/>
      <c r="H2719" s="631"/>
      <c r="I2719" s="631"/>
      <c r="J2719" s="631"/>
      <c r="M2719" s="541"/>
      <c r="N2719" s="541"/>
      <c r="O2719" s="540"/>
    </row>
    <row r="2720" spans="2:18" ht="36" customHeight="1" x14ac:dyDescent="0.5">
      <c r="B2720" s="502"/>
      <c r="C2720" s="631"/>
      <c r="D2720" s="630" t="str">
        <f>Criteria!E10</f>
        <v>T/A SEAFRONT HOTEL, ABC RESTAURANT AND RENTAL PROPERTIES</v>
      </c>
      <c r="E2720" s="631"/>
      <c r="F2720" s="631"/>
      <c r="G2720" s="631"/>
      <c r="H2720" s="631"/>
      <c r="I2720" s="631"/>
      <c r="J2720" s="631"/>
      <c r="M2720" s="541"/>
      <c r="N2720" s="541"/>
      <c r="O2720" s="541"/>
      <c r="R2720" s="490" t="str">
        <f>IF(D2720=0,"DELETE"," ")</f>
        <v xml:space="preserve"> </v>
      </c>
    </row>
    <row r="2721" spans="2:26" ht="36" customHeight="1" x14ac:dyDescent="0.5">
      <c r="B2721" s="502"/>
      <c r="C2721" s="631"/>
      <c r="D2721" s="631"/>
      <c r="E2721" s="631"/>
      <c r="F2721" s="631"/>
      <c r="G2721" s="631"/>
      <c r="H2721" s="631"/>
      <c r="I2721" s="631"/>
      <c r="J2721" s="631"/>
      <c r="M2721" s="541"/>
      <c r="N2721" s="541"/>
      <c r="O2721" s="541"/>
    </row>
    <row r="2722" spans="2:26" ht="36" customHeight="1" x14ac:dyDescent="0.5">
      <c r="B2722" s="502"/>
      <c r="C2722" s="631"/>
      <c r="D2722" s="630" t="s">
        <v>415</v>
      </c>
      <c r="E2722" s="631"/>
      <c r="F2722" s="631"/>
      <c r="G2722" s="631"/>
      <c r="H2722" s="631"/>
      <c r="I2722" s="631"/>
      <c r="J2722" s="631"/>
      <c r="M2722" s="541"/>
      <c r="N2722" s="541"/>
      <c r="O2722" s="541"/>
    </row>
    <row r="2723" spans="2:26" ht="36" customHeight="1" x14ac:dyDescent="0.5">
      <c r="B2723" s="502"/>
      <c r="C2723" s="631"/>
      <c r="D2723" s="630" t="str">
        <f>Criteria!E20</f>
        <v>28 FEBRUARY 2026</v>
      </c>
      <c r="E2723" s="631"/>
      <c r="F2723" s="631"/>
      <c r="G2723" s="631"/>
      <c r="H2723" s="631"/>
      <c r="I2723" s="631"/>
      <c r="J2723" s="631" t="s">
        <v>282</v>
      </c>
      <c r="M2723" s="541"/>
      <c r="N2723" s="541"/>
      <c r="O2723" s="541"/>
    </row>
    <row r="2724" spans="2:26" ht="36" customHeight="1" x14ac:dyDescent="0.5">
      <c r="B2724" s="502"/>
      <c r="C2724" s="631"/>
      <c r="D2724" s="630"/>
      <c r="E2724" s="631"/>
      <c r="F2724" s="631"/>
      <c r="G2724" s="631"/>
      <c r="H2724" s="631"/>
      <c r="I2724" s="631"/>
      <c r="J2724" s="631"/>
      <c r="M2724" s="541"/>
      <c r="N2724" s="541"/>
      <c r="O2724" s="541"/>
    </row>
    <row r="2725" spans="2:26" ht="36" customHeight="1" x14ac:dyDescent="0.5">
      <c r="B2725" s="640"/>
      <c r="C2725" s="652"/>
      <c r="D2725" s="649"/>
      <c r="E2725" s="649"/>
      <c r="F2725" s="649"/>
      <c r="G2725" s="649"/>
      <c r="H2725" s="649"/>
      <c r="I2725" s="649"/>
      <c r="J2725" s="649"/>
      <c r="K2725" s="457"/>
      <c r="L2725" s="457"/>
      <c r="M2725" s="459"/>
      <c r="N2725" s="459"/>
      <c r="O2725" s="459"/>
      <c r="P2725" s="551"/>
      <c r="Q2725" s="457"/>
    </row>
    <row r="2726" spans="2:26" ht="36" customHeight="1" x14ac:dyDescent="0.5">
      <c r="B2726" s="501"/>
      <c r="C2726" s="630"/>
      <c r="D2726" s="631"/>
      <c r="E2726" s="631"/>
      <c r="F2726" s="631"/>
      <c r="G2726" s="631"/>
      <c r="H2726" s="631"/>
      <c r="I2726" s="631"/>
      <c r="J2726" s="631"/>
      <c r="M2726" s="453">
        <f>Criteria!E22</f>
        <v>2026</v>
      </c>
      <c r="N2726" s="453"/>
      <c r="O2726" s="453">
        <f>Criteria!E27</f>
        <v>2025</v>
      </c>
    </row>
    <row r="2727" spans="2:26" ht="36" customHeight="1" x14ac:dyDescent="0.5">
      <c r="B2727" s="501"/>
      <c r="C2727" s="630"/>
      <c r="D2727" s="631"/>
      <c r="E2727" s="631"/>
      <c r="F2727" s="631"/>
      <c r="G2727" s="631"/>
      <c r="H2727" s="631"/>
      <c r="I2727" s="631"/>
      <c r="J2727" s="631"/>
      <c r="M2727" s="458"/>
      <c r="N2727" s="458"/>
      <c r="O2727" s="458"/>
    </row>
    <row r="2728" spans="2:26" ht="36" customHeight="1" x14ac:dyDescent="0.5">
      <c r="B2728" s="501">
        <f>MAX(B$871:B2727)+1</f>
        <v>34</v>
      </c>
      <c r="C2728" s="636" t="str">
        <f>IF((Y2728+Z2728)=3,"Reconciliation of operating profit/(loss) before taxation",(IF((Y2728+Z2728=4),"Reconciliation of operating profit before taxation","Reconciliation of operating loss before taxation")))</f>
        <v>Reconciliation of operating profit before taxation</v>
      </c>
      <c r="D2728" s="631"/>
      <c r="E2728" s="631"/>
      <c r="F2728" s="631"/>
      <c r="G2728" s="631"/>
      <c r="H2728" s="631"/>
      <c r="I2728" s="631"/>
      <c r="J2728" s="631"/>
      <c r="M2728" s="458"/>
      <c r="N2728" s="458"/>
      <c r="O2728" s="458"/>
      <c r="Y2728" s="491">
        <f>IF(SUM(S611:S626)&lt;0,1,IF(SUM(S611:S626)=0,IF(SUM(U611:U626)&lt;0,1,2),2))</f>
        <v>2</v>
      </c>
      <c r="Z2728" s="491">
        <f>IF(SUM(U611:U626)&lt;0,1,IF(SUM(U611:U626)=0,IF(SUM(S611:S626)&lt;0,1,2),2))</f>
        <v>2</v>
      </c>
    </row>
    <row r="2729" spans="2:26" ht="36" customHeight="1" x14ac:dyDescent="0.5">
      <c r="B2729" s="501"/>
      <c r="C2729" s="630" t="s">
        <v>1530</v>
      </c>
      <c r="D2729" s="631"/>
      <c r="E2729" s="631"/>
      <c r="F2729" s="631"/>
      <c r="G2729" s="631"/>
      <c r="H2729" s="631"/>
      <c r="I2729" s="631"/>
      <c r="J2729" s="631"/>
      <c r="M2729" s="458"/>
      <c r="N2729" s="458"/>
      <c r="O2729" s="458"/>
    </row>
    <row r="2730" spans="2:26" ht="36" customHeight="1" x14ac:dyDescent="0.5">
      <c r="B2730" s="501"/>
      <c r="C2730" s="630"/>
      <c r="D2730" s="631"/>
      <c r="E2730" s="631"/>
      <c r="F2730" s="631"/>
      <c r="G2730" s="631"/>
      <c r="H2730" s="631"/>
      <c r="I2730" s="631"/>
      <c r="J2730" s="631"/>
      <c r="M2730" s="458"/>
      <c r="N2730" s="458"/>
      <c r="O2730" s="458"/>
    </row>
    <row r="2731" spans="2:26" ht="36" customHeight="1" x14ac:dyDescent="0.5">
      <c r="B2731" s="501"/>
      <c r="C2731" s="632" t="str">
        <f>IF((Y2731+Z2731)=3,"Operating profit / (loss)",(IF((Y2731+Z2731=4),"Operating profit","Operating loss")))</f>
        <v>Operating profit</v>
      </c>
      <c r="D2731" s="648"/>
      <c r="E2731" s="631"/>
      <c r="F2731" s="631"/>
      <c r="G2731" s="631"/>
      <c r="H2731" s="631"/>
      <c r="I2731" s="631"/>
      <c r="J2731" s="631"/>
      <c r="M2731" s="458">
        <f>SUM(S611:S625)</f>
        <v>0</v>
      </c>
      <c r="N2731" s="458"/>
      <c r="O2731" s="458">
        <f>SUM(U611:U625)</f>
        <v>0</v>
      </c>
      <c r="S2731" s="496">
        <f>M2731</f>
        <v>0</v>
      </c>
      <c r="T2731" s="496"/>
      <c r="U2731" s="496">
        <f>O2731</f>
        <v>0</v>
      </c>
      <c r="V2731" s="496"/>
      <c r="W2731" s="496"/>
      <c r="X2731" s="496"/>
      <c r="Y2731" s="491">
        <f>IF(SUM(S611:S626)&lt;0,1,IF(SUM(S611:S626)=0,IF(SUM(U611:U626)&lt;0,1,2),2))</f>
        <v>2</v>
      </c>
      <c r="Z2731" s="491">
        <f>IF(SUM(U611:U626)&lt;0,1,IF(SUM(U611:U626)=0,IF(SUM(S611:S626)&lt;0,1,2),2))</f>
        <v>2</v>
      </c>
    </row>
    <row r="2732" spans="2:26" ht="36" customHeight="1" x14ac:dyDescent="0.5">
      <c r="B2732" s="501"/>
      <c r="C2732" s="631" t="s">
        <v>248</v>
      </c>
      <c r="D2732" s="648"/>
      <c r="E2732" s="631"/>
      <c r="F2732" s="631"/>
      <c r="G2732" s="631"/>
      <c r="H2732" s="631"/>
      <c r="I2732" s="631"/>
      <c r="J2732" s="631"/>
      <c r="M2732" s="458">
        <f>SUM(M2734:M2741)</f>
        <v>0</v>
      </c>
      <c r="N2732" s="458"/>
      <c r="O2732" s="458">
        <f>SUM(O2734:O2741)</f>
        <v>0</v>
      </c>
      <c r="R2732" s="490" t="str">
        <f>IF(COUNTIF(O2735:O2740,"&gt;0")+COUNTIF(M2735:M2740,"&gt;0")+COUNTIF(O2735:O2740,"&lt;0")+COUNTIF(M2735:M2740,"&lt;0")&gt;0," ","DELETE")</f>
        <v>DELETE</v>
      </c>
      <c r="S2732" s="496">
        <f>M2732</f>
        <v>0</v>
      </c>
      <c r="T2732" s="496"/>
      <c r="U2732" s="496">
        <f>O2732</f>
        <v>0</v>
      </c>
      <c r="V2732" s="496"/>
      <c r="W2732" s="496"/>
      <c r="X2732" s="496"/>
    </row>
    <row r="2733" spans="2:26" ht="9" customHeight="1" x14ac:dyDescent="0.5">
      <c r="B2733" s="501"/>
      <c r="C2733" s="631"/>
      <c r="D2733" s="648"/>
      <c r="E2733" s="631"/>
      <c r="F2733" s="631"/>
      <c r="G2733" s="631"/>
      <c r="H2733" s="631"/>
      <c r="I2733" s="631"/>
      <c r="J2733" s="631"/>
      <c r="M2733" s="458"/>
      <c r="N2733" s="458"/>
      <c r="O2733" s="458"/>
      <c r="R2733" s="490" t="str">
        <f>R2732</f>
        <v>DELETE</v>
      </c>
    </row>
    <row r="2734" spans="2:26" ht="9" customHeight="1" x14ac:dyDescent="0.5">
      <c r="B2734" s="501"/>
      <c r="C2734" s="631"/>
      <c r="D2734" s="648"/>
      <c r="E2734" s="631"/>
      <c r="F2734" s="631"/>
      <c r="G2734" s="631"/>
      <c r="H2734" s="631"/>
      <c r="I2734" s="631"/>
      <c r="J2734" s="631"/>
      <c r="M2734" s="578"/>
      <c r="N2734" s="459"/>
      <c r="O2734" s="579"/>
      <c r="R2734" s="490" t="str">
        <f>R2732</f>
        <v>DELETE</v>
      </c>
    </row>
    <row r="2735" spans="2:26" ht="36" customHeight="1" x14ac:dyDescent="0.5">
      <c r="B2735" s="501"/>
      <c r="C2735" s="631" t="s">
        <v>1258</v>
      </c>
      <c r="D2735" s="648"/>
      <c r="E2735" s="631"/>
      <c r="F2735" s="631"/>
      <c r="G2735" s="631"/>
      <c r="H2735" s="631"/>
      <c r="I2735" s="631"/>
      <c r="J2735" s="631"/>
      <c r="M2735" s="580">
        <f>TrialBalance!L141+TrialBalanceA!I141+TrialBalanceB!I141+TrialBalanceC!I141</f>
        <v>0</v>
      </c>
      <c r="N2735" s="475"/>
      <c r="O2735" s="581">
        <f>TrialBalance!N141+TrialBalanceA!K141+TrialBalanceB!K141+TrialBalanceC!K141</f>
        <v>0</v>
      </c>
      <c r="R2735" s="490" t="str">
        <f t="shared" ref="R2735:R2740" si="160">IF(M2735=0,IF(O2735=0,"DELETE"," ")," ")</f>
        <v>DELETE</v>
      </c>
    </row>
    <row r="2736" spans="2:26" ht="36" customHeight="1" x14ac:dyDescent="0.5">
      <c r="B2736" s="501"/>
      <c r="C2736" s="631" t="s">
        <v>1255</v>
      </c>
      <c r="D2736" s="648"/>
      <c r="E2736" s="631"/>
      <c r="F2736" s="631"/>
      <c r="G2736" s="631"/>
      <c r="H2736" s="631"/>
      <c r="I2736" s="631"/>
      <c r="J2736" s="631"/>
      <c r="M2736" s="580">
        <f>TrialBalance!L140+TrialBalanceA!I140+TrialBalanceB!I140+TrialBalanceC!I140</f>
        <v>0</v>
      </c>
      <c r="N2736" s="475"/>
      <c r="O2736" s="581">
        <f>TrialBalance!N140+TrialBalanceA!K140+TrialBalanceB!K140+TrialBalanceC!K140</f>
        <v>0</v>
      </c>
      <c r="R2736" s="490" t="str">
        <f t="shared" si="160"/>
        <v>DELETE</v>
      </c>
    </row>
    <row r="2737" spans="2:26" ht="36" customHeight="1" x14ac:dyDescent="0.5">
      <c r="B2737" s="501"/>
      <c r="C2737" s="631" t="s">
        <v>304</v>
      </c>
      <c r="D2737" s="648"/>
      <c r="E2737" s="631"/>
      <c r="F2737" s="631"/>
      <c r="G2737" s="631"/>
      <c r="H2737" s="631"/>
      <c r="I2737" s="631"/>
      <c r="J2737" s="631"/>
      <c r="M2737" s="580">
        <f>SUM(TrialBalance!L44:L46)+SUM(TrialBalance!L110:L111)+SUM(TrialBalanceA!I44:I46)+SUM(TrialBalanceA!I110:I111)+SUM(TrialBalanceB!I44:I46)+SUM(TrialBalanceB!I110:I111)+SUM(TrialBalanceC!I44:I46)+SUM(TrialBalanceC!I110:I111)</f>
        <v>0</v>
      </c>
      <c r="N2737" s="475"/>
      <c r="O2737" s="581">
        <f>SUM(TrialBalance!N44:N46)+SUM(TrialBalance!N110:N111)+SUM(TrialBalanceA!K44:K46)+SUM(TrialBalanceA!K110:K111)+SUM(TrialBalanceB!K44:K46)+SUM(TrialBalanceB!K110:K111)+SUM(TrialBalanceC!K44:K46)+SUM(TrialBalanceC!K110:K111)</f>
        <v>0</v>
      </c>
      <c r="R2737" s="490" t="str">
        <f t="shared" si="160"/>
        <v>DELETE</v>
      </c>
    </row>
    <row r="2738" spans="2:26" ht="36" customHeight="1" x14ac:dyDescent="0.5">
      <c r="B2738" s="501"/>
      <c r="C2738" s="631" t="s">
        <v>1256</v>
      </c>
      <c r="D2738" s="648"/>
      <c r="E2738" s="631"/>
      <c r="F2738" s="631"/>
      <c r="G2738" s="631"/>
      <c r="H2738" s="631"/>
      <c r="I2738" s="631"/>
      <c r="J2738" s="631"/>
      <c r="M2738" s="580">
        <f>TrialBalance!L156+TrialBalanceA!I156+TrialBalanceB!I156+TrialBalanceC!I156</f>
        <v>0</v>
      </c>
      <c r="N2738" s="475"/>
      <c r="O2738" s="581">
        <f>TrialBalance!N156+TrialBalanceA!K156+TrialBalanceB!K156+TrialBalanceC!K156</f>
        <v>0</v>
      </c>
      <c r="R2738" s="490" t="str">
        <f t="shared" si="160"/>
        <v>DELETE</v>
      </c>
    </row>
    <row r="2739" spans="2:26" ht="36" customHeight="1" x14ac:dyDescent="0.5">
      <c r="B2739" s="501"/>
      <c r="C2739" s="631" t="s">
        <v>588</v>
      </c>
      <c r="D2739" s="648"/>
      <c r="E2739" s="631"/>
      <c r="F2739" s="631"/>
      <c r="G2739" s="631"/>
      <c r="H2739" s="631"/>
      <c r="I2739" s="631"/>
      <c r="J2739" s="631"/>
      <c r="M2739" s="580">
        <f>IF(TrialBalance!L94&gt;0,TrialBalance!L94,0)+IF(TrialBalanceA!I94&gt;0,TrialBalanceA!I94,0)+IF(TrialBalanceB!I94&gt;0,TrialBalanceB!I94,0)+IF(TrialBalanceC!I94&gt;0,TrialBalanceC!I94,0)</f>
        <v>0</v>
      </c>
      <c r="N2739" s="475"/>
      <c r="O2739" s="581">
        <f>IF(TrialBalance!N94&gt;0,TrialBalance!N94,0)+IF(TrialBalanceA!K94&gt;0,TrialBalanceA!K94,0)+IF(TrialBalanceB!K94&gt;0,TrialBalanceB!K94,0)+IF(TrialBalanceC!K94&gt;0,TrialBalanceC!K94,0)</f>
        <v>0</v>
      </c>
      <c r="R2739" s="490" t="str">
        <f t="shared" si="160"/>
        <v>DELETE</v>
      </c>
    </row>
    <row r="2740" spans="2:26" ht="36" customHeight="1" x14ac:dyDescent="0.5">
      <c r="B2740" s="501"/>
      <c r="C2740" s="631" t="s">
        <v>1309</v>
      </c>
      <c r="D2740" s="648"/>
      <c r="E2740" s="631"/>
      <c r="F2740" s="631"/>
      <c r="G2740" s="631"/>
      <c r="H2740" s="631"/>
      <c r="I2740" s="631"/>
      <c r="J2740" s="631"/>
      <c r="M2740" s="580">
        <f>TrialBalance!L33+TrialBalanceA!I33+TrialBalanceB!I33+TrialBalanceC!I33</f>
        <v>0</v>
      </c>
      <c r="N2740" s="475"/>
      <c r="O2740" s="581">
        <f>TrialBalance!N33+TrialBalanceA!K33+TrialBalanceB!K33+TrialBalanceC!K33</f>
        <v>0</v>
      </c>
      <c r="R2740" s="490" t="str">
        <f t="shared" si="160"/>
        <v>DELETE</v>
      </c>
    </row>
    <row r="2741" spans="2:26" ht="9" customHeight="1" x14ac:dyDescent="0.5">
      <c r="B2741" s="501"/>
      <c r="C2741" s="631"/>
      <c r="D2741" s="648"/>
      <c r="E2741" s="631"/>
      <c r="F2741" s="631"/>
      <c r="G2741" s="631"/>
      <c r="H2741" s="631"/>
      <c r="I2741" s="631"/>
      <c r="J2741" s="631"/>
      <c r="M2741" s="460"/>
      <c r="N2741" s="461"/>
      <c r="O2741" s="582"/>
      <c r="R2741" s="490" t="str">
        <f>R2732</f>
        <v>DELETE</v>
      </c>
    </row>
    <row r="2742" spans="2:26" ht="10.5" customHeight="1" x14ac:dyDescent="0.5">
      <c r="B2742" s="501"/>
      <c r="C2742" s="631"/>
      <c r="D2742" s="648"/>
      <c r="E2742" s="631"/>
      <c r="F2742" s="631"/>
      <c r="G2742" s="631"/>
      <c r="H2742" s="631"/>
      <c r="I2742" s="631"/>
      <c r="J2742" s="631"/>
      <c r="M2742" s="461"/>
      <c r="N2742" s="461"/>
      <c r="O2742" s="461"/>
      <c r="R2742" s="490" t="str">
        <f>R2732</f>
        <v>DELETE</v>
      </c>
    </row>
    <row r="2743" spans="2:26" ht="9" customHeight="1" x14ac:dyDescent="0.5">
      <c r="B2743" s="501"/>
      <c r="C2743" s="631"/>
      <c r="D2743" s="648"/>
      <c r="E2743" s="631"/>
      <c r="F2743" s="631"/>
      <c r="G2743" s="631"/>
      <c r="H2743" s="631"/>
      <c r="I2743" s="631"/>
      <c r="J2743" s="631"/>
      <c r="M2743" s="458"/>
      <c r="N2743" s="458"/>
      <c r="O2743" s="458"/>
      <c r="R2743" s="490" t="str">
        <f>R2732</f>
        <v>DELETE</v>
      </c>
    </row>
    <row r="2744" spans="2:26" ht="36" customHeight="1" x14ac:dyDescent="0.5">
      <c r="B2744" s="501"/>
      <c r="C2744" s="631"/>
      <c r="D2744" s="648"/>
      <c r="E2744" s="631"/>
      <c r="F2744" s="631"/>
      <c r="G2744" s="631"/>
      <c r="H2744" s="631"/>
      <c r="I2744" s="631"/>
      <c r="J2744" s="631"/>
      <c r="M2744" s="458">
        <f>M2731+M2732</f>
        <v>0</v>
      </c>
      <c r="N2744" s="458"/>
      <c r="O2744" s="458">
        <f>O2731+O2732</f>
        <v>0</v>
      </c>
      <c r="R2744" s="490" t="str">
        <f>R2732</f>
        <v>DELETE</v>
      </c>
    </row>
    <row r="2745" spans="2:26" ht="36" customHeight="1" x14ac:dyDescent="0.5">
      <c r="B2745" s="501"/>
      <c r="C2745" s="631" t="s">
        <v>108</v>
      </c>
      <c r="D2745" s="648"/>
      <c r="E2745" s="631"/>
      <c r="F2745" s="631"/>
      <c r="G2745" s="631"/>
      <c r="H2745" s="631"/>
      <c r="I2745" s="631"/>
      <c r="J2745" s="631"/>
      <c r="M2745" s="458">
        <f>SUM(M2748:M2750)</f>
        <v>0</v>
      </c>
      <c r="N2745" s="458"/>
      <c r="O2745" s="458">
        <f>SUM(O2748:O2750)</f>
        <v>0</v>
      </c>
      <c r="S2745" s="496">
        <f>M2745</f>
        <v>0</v>
      </c>
      <c r="T2745" s="496"/>
      <c r="U2745" s="496">
        <f>O2745</f>
        <v>0</v>
      </c>
      <c r="V2745" s="496"/>
      <c r="W2745" s="496"/>
      <c r="X2745" s="496"/>
    </row>
    <row r="2746" spans="2:26" ht="9" customHeight="1" x14ac:dyDescent="0.5">
      <c r="B2746" s="501"/>
      <c r="C2746" s="631"/>
      <c r="D2746" s="648"/>
      <c r="E2746" s="631"/>
      <c r="F2746" s="631"/>
      <c r="G2746" s="631"/>
      <c r="H2746" s="631"/>
      <c r="I2746" s="631"/>
      <c r="J2746" s="631"/>
      <c r="M2746" s="458"/>
      <c r="N2746" s="458"/>
      <c r="O2746" s="458"/>
    </row>
    <row r="2747" spans="2:26" ht="9" customHeight="1" x14ac:dyDescent="0.5">
      <c r="B2747" s="501"/>
      <c r="C2747" s="631"/>
      <c r="D2747" s="648"/>
      <c r="E2747" s="631"/>
      <c r="F2747" s="631"/>
      <c r="G2747" s="631"/>
      <c r="H2747" s="631"/>
      <c r="I2747" s="631"/>
      <c r="J2747" s="631"/>
      <c r="M2747" s="578"/>
      <c r="N2747" s="459"/>
      <c r="O2747" s="579"/>
    </row>
    <row r="2748" spans="2:26" ht="36" customHeight="1" x14ac:dyDescent="0.5">
      <c r="B2748" s="501"/>
      <c r="C2748" s="632" t="str">
        <f>IF((Y2748+Z2748)=3,"(Increase) / Decrease in inventories",(IF((Y2748+Z2748=4),"Decrease in inventories","Increase in inventories")))</f>
        <v>Decrease in inventories</v>
      </c>
      <c r="D2748" s="648"/>
      <c r="E2748" s="631"/>
      <c r="F2748" s="631"/>
      <c r="G2748" s="631"/>
      <c r="H2748" s="631"/>
      <c r="I2748" s="631"/>
      <c r="J2748" s="631"/>
      <c r="M2748" s="580">
        <f>SUM(TrialBalance!N354:N358)-SUM(TrialBalance!L354:L358)</f>
        <v>0</v>
      </c>
      <c r="N2748" s="458"/>
      <c r="O2748" s="581">
        <f>Criteria!F408</f>
        <v>0</v>
      </c>
      <c r="Y2748" s="491">
        <f>IF(M2748&lt;0,1,IF(M2748=0,IF(O2748&lt;0,1,2),2))</f>
        <v>2</v>
      </c>
      <c r="Z2748" s="491">
        <f>IF(O2748&lt;0,1,IF(O2748=0,IF(M2748&lt;0,1,2),2))</f>
        <v>2</v>
      </c>
    </row>
    <row r="2749" spans="2:26" ht="36" customHeight="1" x14ac:dyDescent="0.5">
      <c r="B2749" s="501"/>
      <c r="C2749" s="632" t="str">
        <f>IF((Y2749+Z2749)=3,"(Increase) / Decrease in accounts receivable",(IF((Y2749+Z2749=4),"Decrease in accounts receivable","Increase in accounts receivable")))</f>
        <v>Decrease in accounts receivable</v>
      </c>
      <c r="D2749" s="648"/>
      <c r="E2749" s="631"/>
      <c r="F2749" s="631"/>
      <c r="G2749" s="631"/>
      <c r="H2749" s="631"/>
      <c r="I2749" s="631"/>
      <c r="J2749" s="631"/>
      <c r="M2749" s="580">
        <f>SUM(TrialBalance!N359:N365)-SUM(TrialBalance!L359:L365)</f>
        <v>0</v>
      </c>
      <c r="N2749" s="458"/>
      <c r="O2749" s="581">
        <f>Criteria!F409</f>
        <v>0</v>
      </c>
      <c r="Y2749" s="491">
        <f>IF(M2749&lt;0,1,IF(M2749=0,IF(O2749&lt;0,1,2),2))</f>
        <v>2</v>
      </c>
      <c r="Z2749" s="491">
        <f>IF(O2749&lt;0,1,IF(O2749=0,IF(M2749&lt;0,1,2),2))</f>
        <v>2</v>
      </c>
    </row>
    <row r="2750" spans="2:26" ht="36" customHeight="1" x14ac:dyDescent="0.5">
      <c r="B2750" s="501"/>
      <c r="C2750" s="632" t="str">
        <f>IF((Y2750+Z2750)=3,"Increase / (Decrease) in accounts payable",(IF((Y2750+Z2750=4),"Increase in accounts payable","Decrease in accounts payable")))</f>
        <v>Increase in accounts payable</v>
      </c>
      <c r="D2750" s="648"/>
      <c r="E2750" s="631"/>
      <c r="F2750" s="631"/>
      <c r="G2750" s="631"/>
      <c r="H2750" s="631"/>
      <c r="I2750" s="631"/>
      <c r="J2750" s="631"/>
      <c r="M2750" s="580">
        <f>SUM(TrialBalance!N379:N384)+SUM(TrialBalance!N395:N399)-SUM(TrialBalance!L379:L384)-SUM(TrialBalance!L395:L399)</f>
        <v>0</v>
      </c>
      <c r="N2750" s="458"/>
      <c r="O2750" s="581">
        <f>Criteria!F410</f>
        <v>0</v>
      </c>
      <c r="Y2750" s="491">
        <f>IF(M2750&lt;0,1,IF(M2750=0,IF(O2750&lt;0,1,2),2))</f>
        <v>2</v>
      </c>
      <c r="Z2750" s="491">
        <f>IF(O2750&lt;0,1,IF(O2750=0,IF(M2750&lt;0,1,2),2))</f>
        <v>2</v>
      </c>
    </row>
    <row r="2751" spans="2:26" ht="9" customHeight="1" x14ac:dyDescent="0.5">
      <c r="B2751" s="501"/>
      <c r="C2751" s="631"/>
      <c r="D2751" s="648"/>
      <c r="E2751" s="631"/>
      <c r="F2751" s="631"/>
      <c r="G2751" s="631"/>
      <c r="H2751" s="631"/>
      <c r="I2751" s="631"/>
      <c r="J2751" s="631"/>
      <c r="M2751" s="460"/>
      <c r="N2751" s="461"/>
      <c r="O2751" s="582"/>
    </row>
    <row r="2752" spans="2:26" ht="9" customHeight="1" x14ac:dyDescent="0.5">
      <c r="B2752" s="501"/>
      <c r="C2752" s="631"/>
      <c r="D2752" s="648"/>
      <c r="E2752" s="631"/>
      <c r="F2752" s="631"/>
      <c r="G2752" s="631"/>
      <c r="H2752" s="631"/>
      <c r="I2752" s="631"/>
      <c r="J2752" s="631"/>
      <c r="M2752" s="458"/>
      <c r="N2752" s="458"/>
      <c r="O2752" s="458"/>
    </row>
    <row r="2753" spans="2:23" ht="9" customHeight="1" x14ac:dyDescent="0.5">
      <c r="B2753" s="501"/>
      <c r="C2753" s="631"/>
      <c r="D2753" s="648"/>
      <c r="E2753" s="631"/>
      <c r="F2753" s="631"/>
      <c r="G2753" s="631"/>
      <c r="H2753" s="631"/>
      <c r="I2753" s="631"/>
      <c r="J2753" s="631"/>
      <c r="M2753" s="461"/>
      <c r="N2753" s="461"/>
      <c r="O2753" s="461"/>
    </row>
    <row r="2754" spans="2:23" ht="9" customHeight="1" x14ac:dyDescent="0.5">
      <c r="B2754" s="501"/>
      <c r="C2754" s="631"/>
      <c r="D2754" s="648"/>
      <c r="E2754" s="631"/>
      <c r="F2754" s="631"/>
      <c r="G2754" s="631"/>
      <c r="H2754" s="631"/>
      <c r="I2754" s="631"/>
      <c r="J2754" s="631"/>
      <c r="M2754" s="458"/>
      <c r="N2754" s="458"/>
      <c r="O2754" s="458"/>
    </row>
    <row r="2755" spans="2:23" ht="36.75" customHeight="1" x14ac:dyDescent="0.5">
      <c r="B2755" s="501"/>
      <c r="C2755" s="631" t="s">
        <v>247</v>
      </c>
      <c r="D2755" s="648"/>
      <c r="E2755" s="631"/>
      <c r="F2755" s="631"/>
      <c r="G2755" s="631"/>
      <c r="H2755" s="631"/>
      <c r="I2755" s="631"/>
      <c r="J2755" s="631"/>
      <c r="M2755" s="458">
        <f>SUM(S2731:S2752)</f>
        <v>0</v>
      </c>
      <c r="N2755" s="458"/>
      <c r="O2755" s="458">
        <f>SUM(U2731:U2752)</f>
        <v>0</v>
      </c>
      <c r="V2755" s="495"/>
      <c r="W2755" s="495"/>
    </row>
    <row r="2756" spans="2:23" ht="9" customHeight="1" thickBot="1" x14ac:dyDescent="0.55000000000000004">
      <c r="B2756" s="501"/>
      <c r="C2756" s="630"/>
      <c r="D2756" s="631"/>
      <c r="E2756" s="631"/>
      <c r="F2756" s="631"/>
      <c r="G2756" s="631"/>
      <c r="H2756" s="631"/>
      <c r="I2756" s="631"/>
      <c r="J2756" s="631"/>
      <c r="M2756" s="462"/>
      <c r="N2756" s="462"/>
      <c r="O2756" s="462"/>
    </row>
    <row r="2757" spans="2:23" ht="9" customHeight="1" thickTop="1" x14ac:dyDescent="0.5">
      <c r="B2757" s="501"/>
      <c r="C2757" s="630"/>
      <c r="D2757" s="631"/>
      <c r="E2757" s="631"/>
      <c r="F2757" s="631"/>
      <c r="G2757" s="631"/>
      <c r="H2757" s="631"/>
      <c r="I2757" s="631"/>
      <c r="J2757" s="631"/>
      <c r="M2757" s="475"/>
      <c r="N2757" s="475"/>
      <c r="O2757" s="475"/>
    </row>
    <row r="2758" spans="2:23" ht="36" customHeight="1" x14ac:dyDescent="0.5">
      <c r="B2758" s="502"/>
      <c r="C2758" s="631"/>
      <c r="D2758" s="631"/>
      <c r="E2758" s="631"/>
      <c r="F2758" s="631"/>
      <c r="G2758" s="631"/>
      <c r="H2758" s="631"/>
      <c r="I2758" s="631"/>
      <c r="J2758" s="631"/>
      <c r="M2758" s="458"/>
      <c r="N2758" s="458"/>
      <c r="O2758" s="458"/>
    </row>
    <row r="2759" spans="2:23" ht="36" customHeight="1" x14ac:dyDescent="0.5">
      <c r="B2759" s="502"/>
      <c r="C2759" s="631"/>
      <c r="D2759" s="631"/>
      <c r="E2759" s="631"/>
      <c r="F2759" s="631"/>
      <c r="G2759" s="631"/>
      <c r="H2759" s="631"/>
      <c r="I2759" s="631"/>
      <c r="J2759" s="631"/>
      <c r="M2759" s="458"/>
      <c r="N2759" s="458"/>
      <c r="O2759" s="458"/>
    </row>
    <row r="2760" spans="2:23" ht="36" customHeight="1" x14ac:dyDescent="0.5">
      <c r="B2760" s="502"/>
      <c r="C2760" s="631"/>
      <c r="D2760" s="631"/>
      <c r="E2760" s="631"/>
      <c r="F2760" s="631"/>
      <c r="G2760" s="631"/>
      <c r="H2760" s="631"/>
      <c r="I2760" s="631"/>
      <c r="J2760" s="631"/>
      <c r="M2760" s="475"/>
      <c r="N2760" s="475"/>
      <c r="O2760" s="475"/>
      <c r="P2760" s="545"/>
    </row>
    <row r="2761" spans="2:23" ht="36" customHeight="1" x14ac:dyDescent="0.5">
      <c r="B2761" s="502"/>
      <c r="C2761" s="631"/>
      <c r="D2761" s="631"/>
      <c r="E2761" s="631"/>
      <c r="F2761" s="631"/>
      <c r="G2761" s="631"/>
      <c r="H2761" s="631"/>
      <c r="I2761" s="631"/>
      <c r="J2761" s="631"/>
      <c r="M2761" s="541"/>
      <c r="N2761" s="541"/>
      <c r="O2761" s="541"/>
    </row>
    <row r="2762" spans="2:23" ht="36" customHeight="1" x14ac:dyDescent="0.5">
      <c r="B2762" s="502"/>
      <c r="C2762" s="631"/>
      <c r="D2762" s="631"/>
      <c r="E2762" s="631"/>
      <c r="F2762" s="631"/>
      <c r="G2762" s="631"/>
      <c r="H2762" s="631"/>
      <c r="I2762" s="631"/>
      <c r="J2762" s="631"/>
      <c r="M2762" s="541"/>
      <c r="N2762" s="541"/>
      <c r="O2762" s="458" t="s">
        <v>112</v>
      </c>
      <c r="Q2762" s="450">
        <f>MAX($Q$103:Q2761)+1</f>
        <v>74</v>
      </c>
    </row>
    <row r="2763" spans="2:23" ht="36" customHeight="1" x14ac:dyDescent="0.5">
      <c r="B2763" s="502"/>
      <c r="C2763" s="631"/>
      <c r="D2763" s="630" t="str">
        <f>Criteria!E9</f>
        <v>ABC COMPANY (PROPRIETARY) LIMITED</v>
      </c>
      <c r="E2763" s="631"/>
      <c r="F2763" s="631"/>
      <c r="G2763" s="631"/>
      <c r="H2763" s="631"/>
      <c r="I2763" s="631"/>
      <c r="J2763" s="631"/>
      <c r="M2763" s="541"/>
      <c r="N2763" s="541"/>
      <c r="O2763" s="540"/>
    </row>
    <row r="2764" spans="2:23" ht="36" customHeight="1" x14ac:dyDescent="0.5">
      <c r="B2764" s="502"/>
      <c r="C2764" s="631"/>
      <c r="D2764" s="630" t="str">
        <f>Criteria!E10</f>
        <v>T/A SEAFRONT HOTEL, ABC RESTAURANT AND RENTAL PROPERTIES</v>
      </c>
      <c r="E2764" s="631"/>
      <c r="F2764" s="631"/>
      <c r="G2764" s="631"/>
      <c r="H2764" s="631"/>
      <c r="I2764" s="631"/>
      <c r="J2764" s="631"/>
      <c r="M2764" s="541"/>
      <c r="N2764" s="541"/>
      <c r="O2764" s="541"/>
      <c r="R2764" s="490" t="str">
        <f>IF(D2764=0,"DELETE"," ")</f>
        <v xml:space="preserve"> </v>
      </c>
    </row>
    <row r="2765" spans="2:23" ht="36" customHeight="1" x14ac:dyDescent="0.5">
      <c r="B2765" s="502"/>
      <c r="C2765" s="631"/>
      <c r="D2765" s="631"/>
      <c r="E2765" s="631"/>
      <c r="F2765" s="631"/>
      <c r="G2765" s="631"/>
      <c r="H2765" s="631"/>
      <c r="I2765" s="631"/>
      <c r="J2765" s="631"/>
      <c r="M2765" s="541"/>
      <c r="N2765" s="541"/>
      <c r="O2765" s="541"/>
    </row>
    <row r="2766" spans="2:23" ht="36" customHeight="1" x14ac:dyDescent="0.5">
      <c r="B2766" s="502"/>
      <c r="C2766" s="631"/>
      <c r="D2766" s="630" t="s">
        <v>415</v>
      </c>
      <c r="E2766" s="631"/>
      <c r="F2766" s="631"/>
      <c r="G2766" s="631"/>
      <c r="H2766" s="631"/>
      <c r="I2766" s="631"/>
      <c r="J2766" s="631"/>
      <c r="M2766" s="541"/>
      <c r="N2766" s="541"/>
      <c r="O2766" s="541"/>
    </row>
    <row r="2767" spans="2:23" ht="36" customHeight="1" x14ac:dyDescent="0.5">
      <c r="B2767" s="502"/>
      <c r="C2767" s="631"/>
      <c r="D2767" s="630" t="str">
        <f>Criteria!E20</f>
        <v>28 FEBRUARY 2026</v>
      </c>
      <c r="E2767" s="631"/>
      <c r="F2767" s="631"/>
      <c r="G2767" s="631"/>
      <c r="H2767" s="631"/>
      <c r="I2767" s="631"/>
      <c r="J2767" s="631" t="s">
        <v>282</v>
      </c>
      <c r="M2767" s="541"/>
      <c r="N2767" s="541"/>
      <c r="O2767" s="541"/>
    </row>
    <row r="2768" spans="2:23" ht="36" customHeight="1" x14ac:dyDescent="0.5">
      <c r="B2768" s="502"/>
      <c r="C2768" s="631"/>
      <c r="D2768" s="631"/>
      <c r="E2768" s="631"/>
      <c r="F2768" s="631"/>
      <c r="G2768" s="631"/>
      <c r="H2768" s="631"/>
      <c r="I2768" s="631"/>
      <c r="J2768" s="631"/>
      <c r="M2768" s="541"/>
      <c r="N2768" s="541"/>
      <c r="O2768" s="541"/>
    </row>
    <row r="2769" spans="2:18" ht="36" customHeight="1" x14ac:dyDescent="0.5">
      <c r="B2769" s="641"/>
      <c r="C2769" s="649"/>
      <c r="D2769" s="649"/>
      <c r="E2769" s="649"/>
      <c r="F2769" s="649"/>
      <c r="G2769" s="649"/>
      <c r="H2769" s="649"/>
      <c r="I2769" s="649"/>
      <c r="J2769" s="649"/>
      <c r="K2769" s="457"/>
      <c r="L2769" s="457"/>
      <c r="M2769" s="557"/>
      <c r="N2769" s="557"/>
      <c r="O2769" s="557"/>
      <c r="P2769" s="551"/>
      <c r="Q2769" s="457"/>
    </row>
    <row r="2770" spans="2:18" ht="36" customHeight="1" x14ac:dyDescent="0.5">
      <c r="B2770" s="501">
        <f>MAX(B$871:B2769)+1</f>
        <v>35</v>
      </c>
      <c r="C2770" s="636" t="s">
        <v>1531</v>
      </c>
      <c r="D2770" s="631"/>
      <c r="E2770" s="631"/>
      <c r="F2770" s="631"/>
      <c r="G2770" s="631"/>
      <c r="H2770" s="631"/>
      <c r="I2770" s="631"/>
      <c r="J2770" s="631"/>
      <c r="M2770" s="555"/>
      <c r="N2770" s="555"/>
      <c r="O2770" s="555"/>
      <c r="P2770" s="545"/>
    </row>
    <row r="2771" spans="2:18" ht="36" customHeight="1" x14ac:dyDescent="0.5">
      <c r="B2771" s="502"/>
      <c r="C2771" s="631"/>
      <c r="D2771" s="631"/>
      <c r="E2771" s="631"/>
      <c r="F2771" s="631"/>
      <c r="G2771" s="631"/>
      <c r="H2771" s="631"/>
      <c r="I2771" s="631"/>
      <c r="J2771" s="631"/>
      <c r="M2771" s="555"/>
      <c r="N2771" s="555"/>
      <c r="O2771" s="555"/>
      <c r="P2771" s="545"/>
    </row>
    <row r="2772" spans="2:18" ht="36" customHeight="1" x14ac:dyDescent="0.5">
      <c r="B2772" s="502"/>
      <c r="C2772" s="631" t="str">
        <f>IF(Criteria!E24="Yes","The company entered into transactions with related parties in the ordinary course of","The company entered into transactions with related parties in the ordinary course of")</f>
        <v>The company entered into transactions with related parties in the ordinary course of</v>
      </c>
      <c r="D2772" s="631"/>
      <c r="E2772" s="631"/>
      <c r="F2772" s="631"/>
      <c r="G2772" s="631"/>
      <c r="H2772" s="631"/>
      <c r="I2772" s="631"/>
      <c r="J2772" s="631"/>
      <c r="M2772" s="555"/>
      <c r="N2772" s="555"/>
      <c r="O2772" s="555"/>
      <c r="P2772" s="545"/>
    </row>
    <row r="2773" spans="2:18" ht="36" customHeight="1" x14ac:dyDescent="0.5">
      <c r="B2773" s="502"/>
      <c r="C2773" s="631" t="str">
        <f>IF(Criteria!E24="Yes","business.","business, the nature of which was consistent with those previously reported.")</f>
        <v>business, the nature of which was consistent with those previously reported.</v>
      </c>
      <c r="D2773" s="631"/>
      <c r="E2773" s="631"/>
      <c r="F2773" s="631"/>
      <c r="G2773" s="631"/>
      <c r="H2773" s="631"/>
      <c r="I2773" s="631"/>
      <c r="J2773" s="631"/>
      <c r="M2773" s="555"/>
      <c r="N2773" s="555"/>
      <c r="O2773" s="555"/>
      <c r="P2773" s="545"/>
      <c r="R2773" s="490" t="str">
        <f>IF(C2773=" ","DELETE"," ")</f>
        <v xml:space="preserve"> </v>
      </c>
    </row>
    <row r="2774" spans="2:18" ht="36" customHeight="1" x14ac:dyDescent="0.5">
      <c r="B2774" s="502"/>
      <c r="C2774" s="631"/>
      <c r="D2774" s="631"/>
      <c r="E2774" s="631"/>
      <c r="F2774" s="631"/>
      <c r="G2774" s="631"/>
      <c r="H2774" s="631"/>
      <c r="I2774" s="631"/>
      <c r="J2774" s="631"/>
      <c r="M2774" s="555"/>
      <c r="N2774" s="555"/>
      <c r="O2774" s="555"/>
      <c r="P2774" s="545"/>
    </row>
    <row r="2775" spans="2:18" ht="36" customHeight="1" x14ac:dyDescent="0.5">
      <c r="B2775" s="502"/>
      <c r="C2775" s="650" t="s">
        <v>1007</v>
      </c>
      <c r="D2775" s="631"/>
      <c r="E2775" s="631"/>
      <c r="F2775" s="631"/>
      <c r="G2775" s="631"/>
      <c r="H2775" s="631"/>
      <c r="I2775" s="631"/>
      <c r="J2775" s="650" t="s">
        <v>998</v>
      </c>
      <c r="M2775" s="555"/>
      <c r="N2775" s="555"/>
      <c r="O2775" s="555"/>
      <c r="P2775" s="545"/>
    </row>
    <row r="2776" spans="2:18" ht="36" customHeight="1" x14ac:dyDescent="0.5">
      <c r="B2776" s="502"/>
      <c r="C2776" s="631" t="str">
        <f>Criteria!E41</f>
        <v>A Director</v>
      </c>
      <c r="D2776" s="648"/>
      <c r="E2776" s="631"/>
      <c r="F2776" s="631"/>
      <c r="G2776" s="631"/>
      <c r="H2776" s="631"/>
      <c r="I2776" s="631"/>
      <c r="J2776" s="631" t="s">
        <v>999</v>
      </c>
      <c r="M2776" s="555"/>
      <c r="N2776" s="555"/>
      <c r="O2776" s="555"/>
      <c r="P2776" s="545"/>
      <c r="R2776" s="490" t="str">
        <f>IF(C2776=0,"DELETE"," ")</f>
        <v xml:space="preserve"> </v>
      </c>
    </row>
    <row r="2777" spans="2:18" ht="36" customHeight="1" x14ac:dyDescent="0.5">
      <c r="B2777" s="502"/>
      <c r="C2777" s="631" t="str">
        <f>Criteria!E42</f>
        <v>B Director</v>
      </c>
      <c r="D2777" s="648"/>
      <c r="E2777" s="631"/>
      <c r="F2777" s="631"/>
      <c r="G2777" s="631"/>
      <c r="H2777" s="631"/>
      <c r="I2777" s="631"/>
      <c r="J2777" s="631" t="s">
        <v>999</v>
      </c>
      <c r="M2777" s="555"/>
      <c r="N2777" s="555"/>
      <c r="O2777" s="555"/>
      <c r="P2777" s="545"/>
      <c r="R2777" s="490" t="str">
        <f>IF(C2777=0,"DELETE"," ")</f>
        <v xml:space="preserve"> </v>
      </c>
    </row>
    <row r="2778" spans="2:18" ht="36" customHeight="1" x14ac:dyDescent="0.5">
      <c r="B2778" s="502"/>
      <c r="C2778" s="631">
        <f>Criteria!E43</f>
        <v>0</v>
      </c>
      <c r="D2778" s="648"/>
      <c r="E2778" s="631"/>
      <c r="F2778" s="631"/>
      <c r="G2778" s="631"/>
      <c r="H2778" s="631"/>
      <c r="I2778" s="631"/>
      <c r="J2778" s="631" t="s">
        <v>999</v>
      </c>
      <c r="M2778" s="555"/>
      <c r="N2778" s="555"/>
      <c r="O2778" s="555"/>
      <c r="P2778" s="545"/>
      <c r="R2778" s="490" t="str">
        <f>IF(C2778=0,"DELETE"," ")</f>
        <v>DELETE</v>
      </c>
    </row>
    <row r="2779" spans="2:18" ht="36" customHeight="1" x14ac:dyDescent="0.5">
      <c r="B2779" s="502"/>
      <c r="C2779" s="631">
        <f>Criteria!E44</f>
        <v>0</v>
      </c>
      <c r="D2779" s="648"/>
      <c r="E2779" s="631"/>
      <c r="F2779" s="631"/>
      <c r="G2779" s="631"/>
      <c r="H2779" s="631"/>
      <c r="I2779" s="631"/>
      <c r="J2779" s="631" t="s">
        <v>999</v>
      </c>
      <c r="M2779" s="555"/>
      <c r="N2779" s="555"/>
      <c r="O2779" s="555"/>
      <c r="P2779" s="545"/>
      <c r="R2779" s="490" t="str">
        <f>IF(C2779=0,"DELETE"," ")</f>
        <v>DELETE</v>
      </c>
    </row>
    <row r="2780" spans="2:18" ht="36" customHeight="1" x14ac:dyDescent="0.5">
      <c r="B2780" s="502"/>
      <c r="C2780" s="631">
        <f>Criteria!E45</f>
        <v>0</v>
      </c>
      <c r="D2780" s="648"/>
      <c r="E2780" s="631"/>
      <c r="F2780" s="631"/>
      <c r="G2780" s="631"/>
      <c r="H2780" s="631"/>
      <c r="I2780" s="631"/>
      <c r="J2780" s="631" t="s">
        <v>999</v>
      </c>
      <c r="M2780" s="555"/>
      <c r="N2780" s="555"/>
      <c r="O2780" s="555"/>
      <c r="P2780" s="545"/>
      <c r="R2780" s="490" t="str">
        <f>IF(C2780=0,"DELETE"," ")</f>
        <v>DELETE</v>
      </c>
    </row>
    <row r="2781" spans="2:18" ht="36" customHeight="1" x14ac:dyDescent="0.5">
      <c r="B2781" s="502"/>
      <c r="C2781" s="631"/>
      <c r="D2781" s="631"/>
      <c r="E2781" s="631"/>
      <c r="F2781" s="631"/>
      <c r="G2781" s="631"/>
      <c r="H2781" s="631"/>
      <c r="I2781" s="631"/>
      <c r="J2781" s="631"/>
      <c r="M2781" s="555"/>
      <c r="N2781" s="555"/>
      <c r="O2781" s="555"/>
      <c r="P2781" s="545"/>
    </row>
    <row r="2782" spans="2:18" ht="36" customHeight="1" x14ac:dyDescent="0.5">
      <c r="B2782" s="502"/>
      <c r="C2782" s="631" t="str">
        <f>CONCATENATE("The details of ",IF(MAX(Criteria!I41:I45)&gt;1,"directors' remuneration","the director's remuneration")," are comprehensively disclosed in Note ",B1250," of the")</f>
        <v>The details of directors' remuneration are comprehensively disclosed in Note 5 of the</v>
      </c>
      <c r="D2782" s="631"/>
      <c r="E2782" s="631"/>
      <c r="F2782" s="631"/>
      <c r="G2782" s="631"/>
      <c r="H2782" s="631"/>
      <c r="I2782" s="631"/>
      <c r="J2782" s="631"/>
      <c r="M2782" s="555"/>
      <c r="N2782" s="555"/>
      <c r="O2782" s="555"/>
      <c r="P2782" s="545"/>
    </row>
    <row r="2783" spans="2:18" ht="36" customHeight="1" x14ac:dyDescent="0.5">
      <c r="B2783" s="502"/>
      <c r="C2783" s="631" t="s">
        <v>1737</v>
      </c>
      <c r="D2783" s="631"/>
      <c r="E2783" s="631"/>
      <c r="F2783" s="631"/>
      <c r="G2783" s="631"/>
      <c r="H2783" s="631"/>
      <c r="I2783" s="631"/>
      <c r="J2783" s="631"/>
      <c r="M2783" s="555"/>
      <c r="N2783" s="555"/>
      <c r="O2783" s="555"/>
      <c r="P2783" s="545"/>
    </row>
    <row r="2784" spans="2:18" ht="36" customHeight="1" x14ac:dyDescent="0.5">
      <c r="B2784" s="502"/>
      <c r="C2784" s="631"/>
      <c r="D2784" s="631"/>
      <c r="E2784" s="631"/>
      <c r="F2784" s="631"/>
      <c r="G2784" s="631"/>
      <c r="H2784" s="631"/>
      <c r="I2784" s="631"/>
      <c r="J2784" s="631"/>
      <c r="M2784" s="555"/>
      <c r="N2784" s="555"/>
      <c r="O2784" s="555"/>
      <c r="P2784" s="545"/>
    </row>
    <row r="2785" spans="2:18" ht="36" customHeight="1" x14ac:dyDescent="0.5">
      <c r="B2785" s="502"/>
      <c r="C2785" s="631" t="str">
        <f>IF(SUM(Criteria!G528:H528)&gt;0,"Related party balances and transactions with entities with control, joint control or","There were no related party balances outstanding at year end and no further transactions")</f>
        <v>There were no related party balances outstanding at year end and no further transactions</v>
      </c>
      <c r="D2785" s="631"/>
      <c r="E2785" s="631"/>
      <c r="F2785" s="631"/>
      <c r="G2785" s="631"/>
      <c r="H2785" s="631"/>
      <c r="I2785" s="631"/>
      <c r="J2785" s="631"/>
      <c r="M2785" s="555"/>
      <c r="N2785" s="555"/>
      <c r="O2785" s="555"/>
      <c r="P2785" s="545"/>
    </row>
    <row r="2786" spans="2:18" ht="36" customHeight="1" x14ac:dyDescent="0.5">
      <c r="B2786" s="502"/>
      <c r="C2786" s="631" t="str">
        <f>IF(SUM(Criteria!G528:H528)&gt;0,"significant influence over the company are as follows:","with entities with control, joint control or significant influence over the company.")</f>
        <v>with entities with control, joint control or significant influence over the company.</v>
      </c>
      <c r="D2786" s="631"/>
      <c r="E2786" s="631"/>
      <c r="F2786" s="631"/>
      <c r="G2786" s="631"/>
      <c r="H2786" s="631"/>
      <c r="I2786" s="631"/>
      <c r="J2786" s="631"/>
      <c r="M2786" s="555"/>
      <c r="N2786" s="555"/>
      <c r="O2786" s="555"/>
      <c r="P2786" s="545"/>
    </row>
    <row r="2787" spans="2:18" ht="36" customHeight="1" x14ac:dyDescent="0.5">
      <c r="B2787" s="502"/>
      <c r="C2787" s="631"/>
      <c r="D2787" s="631"/>
      <c r="E2787" s="631"/>
      <c r="F2787" s="631"/>
      <c r="G2787" s="631"/>
      <c r="H2787" s="631"/>
      <c r="I2787" s="631"/>
      <c r="J2787" s="631"/>
      <c r="L2787" s="669" t="s">
        <v>767</v>
      </c>
      <c r="M2787" s="669"/>
      <c r="N2787" s="669"/>
      <c r="O2787" s="669" t="s">
        <v>106</v>
      </c>
      <c r="P2787" s="669"/>
      <c r="R2787" s="490" t="str">
        <f>IF(SUM(Criteria!G528:H528)&gt;0," ","DELETE")</f>
        <v>DELETE</v>
      </c>
    </row>
    <row r="2788" spans="2:18" ht="36" customHeight="1" x14ac:dyDescent="0.5">
      <c r="B2788" s="502"/>
      <c r="C2788" s="650" t="s">
        <v>1000</v>
      </c>
      <c r="D2788" s="631"/>
      <c r="E2788" s="631"/>
      <c r="F2788" s="631"/>
      <c r="G2788" s="631"/>
      <c r="H2788" s="631"/>
      <c r="I2788" s="631"/>
      <c r="J2788" s="631"/>
      <c r="L2788" s="668" t="s">
        <v>1004</v>
      </c>
      <c r="M2788" s="668"/>
      <c r="N2788" s="668"/>
      <c r="O2788" s="668" t="s">
        <v>1001</v>
      </c>
      <c r="P2788" s="668"/>
      <c r="R2788" s="490" t="str">
        <f>R2787</f>
        <v>DELETE</v>
      </c>
    </row>
    <row r="2789" spans="2:18" ht="36" customHeight="1" x14ac:dyDescent="0.5">
      <c r="B2789" s="502"/>
      <c r="C2789" s="631"/>
      <c r="D2789" s="631"/>
      <c r="E2789" s="631"/>
      <c r="F2789" s="631"/>
      <c r="G2789" s="631"/>
      <c r="H2789" s="631"/>
      <c r="I2789" s="631"/>
      <c r="J2789" s="631"/>
      <c r="M2789" s="555"/>
      <c r="N2789" s="555"/>
      <c r="O2789" s="555"/>
      <c r="P2789" s="545"/>
    </row>
    <row r="2790" spans="2:18" ht="36" customHeight="1" x14ac:dyDescent="0.5">
      <c r="B2790" s="502"/>
      <c r="C2790" s="631">
        <f>Criteria!C528</f>
        <v>0</v>
      </c>
      <c r="D2790" s="631"/>
      <c r="E2790" s="631"/>
      <c r="F2790" s="631"/>
      <c r="G2790" s="631"/>
      <c r="H2790" s="631"/>
      <c r="I2790" s="631"/>
      <c r="J2790" s="631"/>
      <c r="M2790" s="555">
        <f>-Criteria!F528</f>
        <v>0</v>
      </c>
      <c r="N2790" s="555"/>
      <c r="O2790" s="555">
        <f>Criteria!E528</f>
        <v>0</v>
      </c>
      <c r="P2790" s="545"/>
      <c r="R2790" s="490" t="str">
        <f>IF(M2790=0,IF(O2790=0,"DELETE"," ")," ")</f>
        <v>DELETE</v>
      </c>
    </row>
    <row r="2791" spans="2:18" ht="36" customHeight="1" x14ac:dyDescent="0.5">
      <c r="B2791" s="502"/>
      <c r="C2791" s="631">
        <f>Criteria!C529</f>
        <v>0</v>
      </c>
      <c r="D2791" s="631"/>
      <c r="E2791" s="631"/>
      <c r="F2791" s="631"/>
      <c r="G2791" s="631"/>
      <c r="H2791" s="631"/>
      <c r="I2791" s="631"/>
      <c r="J2791" s="631"/>
      <c r="M2791" s="555">
        <f>-Criteria!F529</f>
        <v>0</v>
      </c>
      <c r="N2791" s="555"/>
      <c r="O2791" s="555">
        <f>Criteria!E529</f>
        <v>0</v>
      </c>
      <c r="P2791" s="545"/>
      <c r="R2791" s="490" t="str">
        <f t="shared" ref="R2791:R2799" si="161">IF(M2791=0,IF(O2791=0,"DELETE"," ")," ")</f>
        <v>DELETE</v>
      </c>
    </row>
    <row r="2792" spans="2:18" ht="36" customHeight="1" x14ac:dyDescent="0.5">
      <c r="B2792" s="502"/>
      <c r="C2792" s="631">
        <f>Criteria!C530</f>
        <v>0</v>
      </c>
      <c r="D2792" s="631"/>
      <c r="E2792" s="631"/>
      <c r="F2792" s="631"/>
      <c r="G2792" s="631"/>
      <c r="H2792" s="631"/>
      <c r="I2792" s="631"/>
      <c r="J2792" s="631"/>
      <c r="M2792" s="555">
        <f>-Criteria!F530</f>
        <v>0</v>
      </c>
      <c r="N2792" s="555"/>
      <c r="O2792" s="555">
        <f>Criteria!E530</f>
        <v>0</v>
      </c>
      <c r="P2792" s="545"/>
      <c r="R2792" s="490" t="str">
        <f t="shared" si="161"/>
        <v>DELETE</v>
      </c>
    </row>
    <row r="2793" spans="2:18" ht="36" customHeight="1" x14ac:dyDescent="0.5">
      <c r="B2793" s="502"/>
      <c r="C2793" s="631">
        <f>Criteria!C531</f>
        <v>0</v>
      </c>
      <c r="D2793" s="631"/>
      <c r="E2793" s="631"/>
      <c r="F2793" s="631"/>
      <c r="G2793" s="631"/>
      <c r="H2793" s="631"/>
      <c r="I2793" s="631"/>
      <c r="J2793" s="631"/>
      <c r="M2793" s="555">
        <f>-Criteria!F531</f>
        <v>0</v>
      </c>
      <c r="N2793" s="555"/>
      <c r="O2793" s="555">
        <f>Criteria!E531</f>
        <v>0</v>
      </c>
      <c r="P2793" s="545"/>
      <c r="R2793" s="490" t="str">
        <f t="shared" si="161"/>
        <v>DELETE</v>
      </c>
    </row>
    <row r="2794" spans="2:18" ht="36" customHeight="1" x14ac:dyDescent="0.5">
      <c r="B2794" s="502"/>
      <c r="C2794" s="631">
        <f>Criteria!C532</f>
        <v>0</v>
      </c>
      <c r="D2794" s="631"/>
      <c r="E2794" s="631"/>
      <c r="F2794" s="631"/>
      <c r="G2794" s="631"/>
      <c r="H2794" s="631"/>
      <c r="I2794" s="631"/>
      <c r="J2794" s="631"/>
      <c r="M2794" s="555">
        <f>-Criteria!F532</f>
        <v>0</v>
      </c>
      <c r="N2794" s="555"/>
      <c r="O2794" s="555">
        <f>Criteria!E532</f>
        <v>0</v>
      </c>
      <c r="P2794" s="545"/>
      <c r="R2794" s="490" t="str">
        <f t="shared" si="161"/>
        <v>DELETE</v>
      </c>
    </row>
    <row r="2795" spans="2:18" ht="36" customHeight="1" x14ac:dyDescent="0.5">
      <c r="B2795" s="502"/>
      <c r="C2795" s="631">
        <f>Criteria!C533</f>
        <v>0</v>
      </c>
      <c r="D2795" s="631"/>
      <c r="E2795" s="631"/>
      <c r="F2795" s="631"/>
      <c r="G2795" s="631"/>
      <c r="H2795" s="631"/>
      <c r="I2795" s="631"/>
      <c r="J2795" s="631"/>
      <c r="M2795" s="555">
        <f>-Criteria!F533</f>
        <v>0</v>
      </c>
      <c r="N2795" s="555"/>
      <c r="O2795" s="555">
        <f>Criteria!E533</f>
        <v>0</v>
      </c>
      <c r="P2795" s="545"/>
      <c r="R2795" s="490" t="str">
        <f t="shared" si="161"/>
        <v>DELETE</v>
      </c>
    </row>
    <row r="2796" spans="2:18" ht="36" customHeight="1" x14ac:dyDescent="0.5">
      <c r="B2796" s="502"/>
      <c r="C2796" s="631">
        <f>Criteria!C534</f>
        <v>0</v>
      </c>
      <c r="D2796" s="631"/>
      <c r="E2796" s="631"/>
      <c r="F2796" s="631"/>
      <c r="G2796" s="631"/>
      <c r="H2796" s="631"/>
      <c r="I2796" s="631"/>
      <c r="J2796" s="631"/>
      <c r="M2796" s="555">
        <f>-Criteria!F534</f>
        <v>0</v>
      </c>
      <c r="N2796" s="555"/>
      <c r="O2796" s="555">
        <f>Criteria!E534</f>
        <v>0</v>
      </c>
      <c r="P2796" s="545"/>
      <c r="R2796" s="490" t="str">
        <f t="shared" si="161"/>
        <v>DELETE</v>
      </c>
    </row>
    <row r="2797" spans="2:18" ht="36" customHeight="1" x14ac:dyDescent="0.5">
      <c r="B2797" s="502"/>
      <c r="C2797" s="631">
        <f>Criteria!C535</f>
        <v>0</v>
      </c>
      <c r="D2797" s="631"/>
      <c r="E2797" s="631"/>
      <c r="F2797" s="631"/>
      <c r="G2797" s="631"/>
      <c r="H2797" s="631"/>
      <c r="I2797" s="631"/>
      <c r="J2797" s="631"/>
      <c r="M2797" s="555">
        <f>-Criteria!F535</f>
        <v>0</v>
      </c>
      <c r="N2797" s="555"/>
      <c r="O2797" s="555">
        <f>Criteria!E535</f>
        <v>0</v>
      </c>
      <c r="P2797" s="545"/>
      <c r="R2797" s="490" t="str">
        <f t="shared" si="161"/>
        <v>DELETE</v>
      </c>
    </row>
    <row r="2798" spans="2:18" ht="36" customHeight="1" x14ac:dyDescent="0.5">
      <c r="B2798" s="502"/>
      <c r="C2798" s="631">
        <f>Criteria!C536</f>
        <v>0</v>
      </c>
      <c r="D2798" s="631"/>
      <c r="E2798" s="631"/>
      <c r="F2798" s="631"/>
      <c r="G2798" s="631"/>
      <c r="H2798" s="631"/>
      <c r="I2798" s="631"/>
      <c r="J2798" s="631"/>
      <c r="M2798" s="555">
        <f>-Criteria!F536</f>
        <v>0</v>
      </c>
      <c r="N2798" s="555"/>
      <c r="O2798" s="555">
        <f>Criteria!E536</f>
        <v>0</v>
      </c>
      <c r="P2798" s="545"/>
      <c r="R2798" s="490" t="str">
        <f t="shared" si="161"/>
        <v>DELETE</v>
      </c>
    </row>
    <row r="2799" spans="2:18" ht="36" customHeight="1" x14ac:dyDescent="0.5">
      <c r="B2799" s="502"/>
      <c r="C2799" s="631">
        <f>Criteria!C537</f>
        <v>0</v>
      </c>
      <c r="D2799" s="631"/>
      <c r="E2799" s="631"/>
      <c r="F2799" s="631"/>
      <c r="G2799" s="631"/>
      <c r="H2799" s="631"/>
      <c r="I2799" s="631"/>
      <c r="J2799" s="631"/>
      <c r="M2799" s="555">
        <f>-Criteria!F537</f>
        <v>0</v>
      </c>
      <c r="N2799" s="555"/>
      <c r="O2799" s="555">
        <f>Criteria!E537</f>
        <v>0</v>
      </c>
      <c r="P2799" s="545"/>
      <c r="R2799" s="490" t="str">
        <f t="shared" si="161"/>
        <v>DELETE</v>
      </c>
    </row>
    <row r="2800" spans="2:18" ht="36" customHeight="1" x14ac:dyDescent="0.5">
      <c r="B2800" s="502"/>
      <c r="C2800" s="631"/>
      <c r="D2800" s="631"/>
      <c r="E2800" s="631"/>
      <c r="F2800" s="631"/>
      <c r="G2800" s="631"/>
      <c r="H2800" s="631"/>
      <c r="I2800" s="631"/>
      <c r="J2800" s="631"/>
      <c r="M2800" s="555"/>
      <c r="N2800" s="555"/>
      <c r="O2800" s="555"/>
      <c r="P2800" s="545"/>
    </row>
    <row r="2801" spans="2:24" ht="36" customHeight="1" x14ac:dyDescent="0.5">
      <c r="B2801" s="502"/>
      <c r="C2801" s="631"/>
      <c r="D2801" s="631"/>
      <c r="E2801" s="631"/>
      <c r="F2801" s="631"/>
      <c r="G2801" s="631"/>
      <c r="H2801" s="631"/>
      <c r="I2801" s="631"/>
      <c r="J2801" s="631"/>
      <c r="M2801" s="555"/>
      <c r="N2801" s="555"/>
      <c r="O2801" s="555"/>
      <c r="P2801" s="545"/>
    </row>
    <row r="2802" spans="2:24" ht="36" customHeight="1" x14ac:dyDescent="0.5">
      <c r="B2802" s="502"/>
      <c r="C2802" s="631"/>
      <c r="D2802" s="631"/>
      <c r="E2802" s="631"/>
      <c r="F2802" s="631"/>
      <c r="G2802" s="631"/>
      <c r="H2802" s="631"/>
      <c r="I2802" s="631"/>
      <c r="J2802" s="631"/>
      <c r="M2802" s="555"/>
      <c r="N2802" s="555"/>
      <c r="O2802" s="555"/>
      <c r="P2802" s="545"/>
    </row>
    <row r="2803" spans="2:24" ht="36" customHeight="1" x14ac:dyDescent="0.5">
      <c r="C2803" s="631"/>
      <c r="D2803" s="631"/>
      <c r="E2803" s="631"/>
      <c r="F2803" s="631"/>
      <c r="G2803" s="631"/>
      <c r="H2803" s="631"/>
      <c r="I2803" s="631"/>
      <c r="J2803" s="631"/>
      <c r="M2803" s="546"/>
      <c r="N2803" s="541"/>
      <c r="O2803" s="546"/>
    </row>
    <row r="2804" spans="2:24" ht="36" customHeight="1" x14ac:dyDescent="0.5">
      <c r="C2804" s="520"/>
      <c r="D2804" s="631"/>
      <c r="E2804" s="631"/>
      <c r="F2804" s="631"/>
      <c r="G2804" s="631"/>
      <c r="H2804" s="631"/>
      <c r="I2804" s="631"/>
      <c r="J2804" s="631"/>
      <c r="M2804" s="541"/>
      <c r="N2804" s="541"/>
      <c r="O2804" s="458" t="s">
        <v>112</v>
      </c>
      <c r="Q2804" s="450">
        <f>MAX($Q$103:Q2803)+1</f>
        <v>75</v>
      </c>
    </row>
    <row r="2805" spans="2:24" ht="36" customHeight="1" x14ac:dyDescent="0.5">
      <c r="C2805" s="520"/>
      <c r="D2805" s="615" t="str">
        <f>Criteria!E9</f>
        <v>ABC COMPANY (PROPRIETARY) LIMITED</v>
      </c>
      <c r="E2805" s="616"/>
      <c r="F2805" s="616"/>
      <c r="G2805" s="616"/>
      <c r="H2805" s="616"/>
      <c r="I2805" s="616"/>
      <c r="J2805" s="616"/>
      <c r="M2805" s="541"/>
      <c r="N2805" s="541"/>
      <c r="O2805" s="540"/>
    </row>
    <row r="2806" spans="2:24" ht="36" customHeight="1" x14ac:dyDescent="0.5">
      <c r="C2806" s="520"/>
      <c r="D2806" s="615" t="str">
        <f>IF(Criteria!E13=0," ",CONCATENATE("T/A ",Criteria!E13))</f>
        <v>T/A SEAFRONT HOTEL</v>
      </c>
      <c r="E2806" s="616"/>
      <c r="F2806" s="616"/>
      <c r="G2806" s="616"/>
      <c r="H2806" s="616"/>
      <c r="I2806" s="616"/>
      <c r="J2806" s="616"/>
      <c r="M2806" s="541"/>
      <c r="N2806" s="541"/>
      <c r="O2806" s="541"/>
      <c r="R2806" s="490" t="str">
        <f>IF(Criteria!E13=0,"DELETE"," ")</f>
        <v xml:space="preserve"> </v>
      </c>
    </row>
    <row r="2807" spans="2:24" ht="36" customHeight="1" x14ac:dyDescent="0.5">
      <c r="C2807" s="520"/>
      <c r="D2807" s="616"/>
      <c r="E2807" s="616"/>
      <c r="F2807" s="616"/>
      <c r="G2807" s="616"/>
      <c r="H2807" s="616"/>
      <c r="I2807" s="616"/>
      <c r="J2807" s="616"/>
      <c r="M2807" s="541"/>
      <c r="N2807" s="541"/>
      <c r="O2807" s="541"/>
    </row>
    <row r="2808" spans="2:24" ht="36" customHeight="1" x14ac:dyDescent="0.5">
      <c r="C2808" s="520"/>
      <c r="D2808" s="615" t="s">
        <v>109</v>
      </c>
      <c r="E2808" s="616"/>
      <c r="F2808" s="616"/>
      <c r="G2808" s="616"/>
      <c r="H2808" s="616"/>
      <c r="I2808" s="616"/>
      <c r="J2808" s="616"/>
      <c r="M2808" s="541"/>
      <c r="N2808" s="541"/>
      <c r="O2808" s="541"/>
    </row>
    <row r="2809" spans="2:24" ht="36" customHeight="1" x14ac:dyDescent="0.5">
      <c r="C2809" s="520"/>
      <c r="D2809" s="615" t="str">
        <f>Criteria!E20</f>
        <v>28 FEBRUARY 2026</v>
      </c>
      <c r="E2809" s="616"/>
      <c r="F2809" s="616"/>
      <c r="G2809" s="616"/>
      <c r="H2809" s="616"/>
      <c r="I2809" s="616"/>
      <c r="J2809" s="616"/>
      <c r="M2809" s="541"/>
      <c r="N2809" s="541"/>
      <c r="O2809" s="541"/>
    </row>
    <row r="2810" spans="2:24" ht="36" customHeight="1" x14ac:dyDescent="0.5">
      <c r="C2810" s="520"/>
      <c r="D2810" s="616"/>
      <c r="E2810" s="616"/>
      <c r="F2810" s="616"/>
      <c r="G2810" s="616"/>
      <c r="H2810" s="616"/>
      <c r="I2810" s="616"/>
      <c r="J2810" s="616"/>
      <c r="M2810" s="541"/>
      <c r="N2810" s="541"/>
      <c r="O2810" s="541"/>
    </row>
    <row r="2811" spans="2:24" ht="36" customHeight="1" x14ac:dyDescent="0.5">
      <c r="C2811" s="520"/>
      <c r="D2811" s="634"/>
      <c r="E2811" s="634"/>
      <c r="F2811" s="634"/>
      <c r="G2811" s="634"/>
      <c r="H2811" s="634"/>
      <c r="I2811" s="634"/>
      <c r="J2811" s="634"/>
      <c r="K2811" s="457"/>
      <c r="L2811" s="457"/>
      <c r="M2811" s="557"/>
      <c r="N2811" s="557"/>
      <c r="O2811" s="557"/>
      <c r="P2811" s="551"/>
      <c r="Q2811" s="457"/>
    </row>
    <row r="2812" spans="2:24" ht="36" customHeight="1" x14ac:dyDescent="0.5">
      <c r="C2812" s="520"/>
      <c r="D2812" s="616"/>
      <c r="E2812" s="616"/>
      <c r="F2812" s="616"/>
      <c r="G2812" s="616"/>
      <c r="H2812" s="616"/>
      <c r="I2812" s="616"/>
      <c r="J2812" s="645"/>
      <c r="K2812" s="450" t="s">
        <v>1494</v>
      </c>
      <c r="L2812" s="450"/>
      <c r="M2812" s="453">
        <f>Criteria!E22</f>
        <v>2026</v>
      </c>
      <c r="N2812" s="453"/>
      <c r="O2812" s="453">
        <f>Criteria!E27</f>
        <v>2025</v>
      </c>
      <c r="P2812" s="454"/>
    </row>
    <row r="2813" spans="2:24" ht="36" customHeight="1" x14ac:dyDescent="0.5">
      <c r="C2813" s="520"/>
      <c r="D2813" s="616"/>
      <c r="E2813" s="616"/>
      <c r="F2813" s="616"/>
      <c r="G2813" s="616"/>
      <c r="H2813" s="616"/>
      <c r="I2813" s="616"/>
      <c r="J2813" s="645"/>
      <c r="K2813" s="450"/>
      <c r="L2813" s="450"/>
      <c r="M2813" s="458"/>
      <c r="N2813" s="458"/>
      <c r="O2813" s="458"/>
      <c r="P2813" s="454"/>
    </row>
    <row r="2814" spans="2:24" ht="36" customHeight="1" x14ac:dyDescent="0.45">
      <c r="D2814" s="615" t="s">
        <v>1194</v>
      </c>
      <c r="E2814" s="616"/>
      <c r="F2814" s="616"/>
      <c r="G2814" s="616"/>
      <c r="H2814" s="616"/>
      <c r="I2814" s="616"/>
      <c r="J2814" s="645"/>
      <c r="K2814" s="450"/>
      <c r="L2814" s="450"/>
      <c r="M2814" s="458">
        <f>-SUM(TrialBalance!L5:L10)</f>
        <v>0</v>
      </c>
      <c r="N2814" s="458"/>
      <c r="O2814" s="458">
        <f>-SUM(TrialBalance!N5:N10)</f>
        <v>0</v>
      </c>
      <c r="P2814" s="454"/>
      <c r="R2814" s="490" t="str">
        <f>IF(M2814+O2814=0,IF(M2816+O2816=0," ","DELETE")," ")</f>
        <v xml:space="preserve"> </v>
      </c>
      <c r="S2814" s="495">
        <f>M2814</f>
        <v>0</v>
      </c>
      <c r="T2814" s="495"/>
      <c r="U2814" s="495">
        <f>O2814</f>
        <v>0</v>
      </c>
      <c r="V2814" s="495"/>
      <c r="W2814" s="495"/>
      <c r="X2814" s="495"/>
    </row>
    <row r="2815" spans="2:24" ht="36" customHeight="1" x14ac:dyDescent="0.45">
      <c r="D2815" s="615"/>
      <c r="E2815" s="616"/>
      <c r="F2815" s="616"/>
      <c r="G2815" s="616"/>
      <c r="H2815" s="616"/>
      <c r="I2815" s="616"/>
      <c r="J2815" s="645"/>
      <c r="K2815" s="450"/>
      <c r="L2815" s="450"/>
      <c r="M2815" s="458"/>
      <c r="N2815" s="458"/>
      <c r="O2815" s="458"/>
      <c r="P2815" s="454"/>
      <c r="R2815" s="490" t="str">
        <f>R2814</f>
        <v xml:space="preserve"> </v>
      </c>
      <c r="S2815" s="495"/>
      <c r="T2815" s="495"/>
      <c r="U2815" s="495"/>
      <c r="V2815" s="495"/>
      <c r="W2815" s="495"/>
      <c r="X2815" s="495"/>
    </row>
    <row r="2816" spans="2:24" ht="36" customHeight="1" x14ac:dyDescent="0.45">
      <c r="D2816" s="615" t="s">
        <v>398</v>
      </c>
      <c r="E2816" s="616"/>
      <c r="F2816" s="616"/>
      <c r="G2816" s="616"/>
      <c r="H2816" s="616"/>
      <c r="I2816" s="616"/>
      <c r="J2816" s="645"/>
      <c r="K2816" s="450"/>
      <c r="L2816" s="450"/>
      <c r="M2816" s="458">
        <f>-TrialBalance!L11</f>
        <v>0</v>
      </c>
      <c r="N2816" s="458"/>
      <c r="O2816" s="458">
        <f>-TrialBalance!N11</f>
        <v>0</v>
      </c>
      <c r="P2816" s="454"/>
      <c r="R2816" s="490" t="str">
        <f>IF(M2816+O2816=0,"DELETE"," ")</f>
        <v>DELETE</v>
      </c>
      <c r="S2816" s="495">
        <f>M2816</f>
        <v>0</v>
      </c>
      <c r="T2816" s="495"/>
      <c r="U2816" s="495">
        <f>O2816</f>
        <v>0</v>
      </c>
      <c r="V2816" s="495"/>
      <c r="W2816" s="495"/>
      <c r="X2816" s="495"/>
    </row>
    <row r="2817" spans="3:26" ht="36" customHeight="1" x14ac:dyDescent="0.45">
      <c r="D2817" s="615"/>
      <c r="E2817" s="616"/>
      <c r="F2817" s="616"/>
      <c r="G2817" s="616"/>
      <c r="H2817" s="616"/>
      <c r="I2817" s="616"/>
      <c r="J2817" s="645"/>
      <c r="K2817" s="450"/>
      <c r="L2817" s="450"/>
      <c r="M2817" s="458"/>
      <c r="N2817" s="458"/>
      <c r="O2817" s="458"/>
      <c r="P2817" s="454"/>
      <c r="R2817" s="490" t="str">
        <f>R2816</f>
        <v>DELETE</v>
      </c>
    </row>
    <row r="2818" spans="3:26" ht="36" customHeight="1" x14ac:dyDescent="0.45">
      <c r="D2818" s="615" t="s">
        <v>1119</v>
      </c>
      <c r="E2818" s="616"/>
      <c r="F2818" s="616"/>
      <c r="G2818" s="616"/>
      <c r="H2818" s="616"/>
      <c r="I2818" s="616"/>
      <c r="J2818" s="645"/>
      <c r="K2818" s="450"/>
      <c r="L2818" s="450"/>
      <c r="M2818" s="458">
        <f>SUM(M2821:M2828)</f>
        <v>0</v>
      </c>
      <c r="N2818" s="458"/>
      <c r="O2818" s="458">
        <f>SUM(O2821:O2828)</f>
        <v>0</v>
      </c>
      <c r="P2818" s="454"/>
      <c r="R2818" s="490" t="str">
        <f>IF(M2818=0,IF(O2818=0,"DELETE"," ")," ")</f>
        <v>DELETE</v>
      </c>
      <c r="S2818" s="495">
        <f>-M2818</f>
        <v>0</v>
      </c>
      <c r="T2818" s="495"/>
      <c r="U2818" s="495">
        <f>-O2818</f>
        <v>0</v>
      </c>
      <c r="V2818" s="495"/>
      <c r="W2818" s="495"/>
      <c r="X2818" s="495"/>
    </row>
    <row r="2819" spans="3:26" ht="9" customHeight="1" x14ac:dyDescent="0.45">
      <c r="C2819" s="575"/>
      <c r="D2819" s="616"/>
      <c r="E2819" s="616"/>
      <c r="F2819" s="616"/>
      <c r="G2819" s="616"/>
      <c r="H2819" s="616"/>
      <c r="I2819" s="616"/>
      <c r="J2819" s="645"/>
      <c r="K2819" s="450"/>
      <c r="L2819" s="450"/>
      <c r="M2819" s="458"/>
      <c r="N2819" s="458"/>
      <c r="O2819" s="458"/>
      <c r="P2819" s="454"/>
      <c r="R2819" s="490" t="str">
        <f>R2818</f>
        <v>DELETE</v>
      </c>
    </row>
    <row r="2820" spans="3:26" ht="9" customHeight="1" x14ac:dyDescent="0.45">
      <c r="C2820" s="575"/>
      <c r="D2820" s="616"/>
      <c r="E2820" s="616"/>
      <c r="F2820" s="616"/>
      <c r="G2820" s="616"/>
      <c r="H2820" s="616"/>
      <c r="I2820" s="616"/>
      <c r="J2820" s="645"/>
      <c r="K2820" s="450"/>
      <c r="L2820" s="450"/>
      <c r="M2820" s="578"/>
      <c r="N2820" s="459"/>
      <c r="O2820" s="579"/>
      <c r="P2820" s="454"/>
      <c r="R2820" s="490" t="str">
        <f>R2819</f>
        <v>DELETE</v>
      </c>
    </row>
    <row r="2821" spans="3:26" ht="36" customHeight="1" x14ac:dyDescent="0.45">
      <c r="C2821" s="575"/>
      <c r="D2821" s="616" t="s">
        <v>563</v>
      </c>
      <c r="E2821" s="616"/>
      <c r="F2821" s="616"/>
      <c r="G2821" s="616"/>
      <c r="H2821" s="616"/>
      <c r="I2821" s="616"/>
      <c r="J2821" s="645"/>
      <c r="K2821" s="450"/>
      <c r="L2821" s="450"/>
      <c r="M2821" s="580">
        <f>SUM(TrialBalance!L13:L16)</f>
        <v>0</v>
      </c>
      <c r="N2821" s="458"/>
      <c r="O2821" s="581">
        <f>SUM(TrialBalance!N13:N16)</f>
        <v>0</v>
      </c>
      <c r="P2821" s="454"/>
      <c r="R2821" s="490" t="str">
        <f t="shared" ref="R2821:R2828" si="162">IF(M2821+O2821=0,"DELETE"," ")</f>
        <v>DELETE</v>
      </c>
    </row>
    <row r="2822" spans="3:26" ht="36" customHeight="1" x14ac:dyDescent="0.45">
      <c r="C2822" s="575"/>
      <c r="D2822" s="616" t="s">
        <v>301</v>
      </c>
      <c r="E2822" s="616"/>
      <c r="F2822" s="616"/>
      <c r="G2822" s="616"/>
      <c r="H2822" s="616"/>
      <c r="I2822" s="616"/>
      <c r="J2822" s="645"/>
      <c r="K2822" s="450"/>
      <c r="L2822" s="450"/>
      <c r="M2822" s="580">
        <f>TrialBalance!L17</f>
        <v>0</v>
      </c>
      <c r="N2822" s="458"/>
      <c r="O2822" s="581">
        <f>TrialBalance!N17</f>
        <v>0</v>
      </c>
      <c r="P2822" s="454"/>
      <c r="R2822" s="490" t="str">
        <f t="shared" si="162"/>
        <v>DELETE</v>
      </c>
    </row>
    <row r="2823" spans="3:26" ht="36" customHeight="1" x14ac:dyDescent="0.45">
      <c r="C2823" s="575"/>
      <c r="D2823" s="616">
        <f>TrialBalance!C18</f>
        <v>0</v>
      </c>
      <c r="E2823" s="616"/>
      <c r="F2823" s="616"/>
      <c r="G2823" s="616"/>
      <c r="H2823" s="616"/>
      <c r="I2823" s="616"/>
      <c r="J2823" s="645"/>
      <c r="K2823" s="450"/>
      <c r="L2823" s="450"/>
      <c r="M2823" s="580">
        <f>TrialBalance!L18</f>
        <v>0</v>
      </c>
      <c r="N2823" s="458"/>
      <c r="O2823" s="581">
        <f>TrialBalance!N18</f>
        <v>0</v>
      </c>
      <c r="P2823" s="454"/>
      <c r="R2823" s="490" t="str">
        <f t="shared" si="162"/>
        <v>DELETE</v>
      </c>
    </row>
    <row r="2824" spans="3:26" ht="36" customHeight="1" x14ac:dyDescent="0.45">
      <c r="C2824" s="575"/>
      <c r="D2824" s="616">
        <f>TrialBalance!C19</f>
        <v>0</v>
      </c>
      <c r="E2824" s="616"/>
      <c r="F2824" s="616"/>
      <c r="G2824" s="616"/>
      <c r="H2824" s="616"/>
      <c r="I2824" s="616"/>
      <c r="J2824" s="645"/>
      <c r="K2824" s="450"/>
      <c r="L2824" s="450"/>
      <c r="M2824" s="580">
        <f>TrialBalance!L19</f>
        <v>0</v>
      </c>
      <c r="N2824" s="458"/>
      <c r="O2824" s="581">
        <f>TrialBalance!N19</f>
        <v>0</v>
      </c>
      <c r="P2824" s="454"/>
      <c r="R2824" s="490" t="str">
        <f t="shared" si="162"/>
        <v>DELETE</v>
      </c>
    </row>
    <row r="2825" spans="3:26" ht="36" customHeight="1" x14ac:dyDescent="0.45">
      <c r="C2825" s="575"/>
      <c r="D2825" s="616">
        <f>TrialBalance!C20</f>
        <v>0</v>
      </c>
      <c r="E2825" s="616"/>
      <c r="F2825" s="616"/>
      <c r="G2825" s="616"/>
      <c r="H2825" s="616"/>
      <c r="I2825" s="616"/>
      <c r="J2825" s="645"/>
      <c r="K2825" s="450"/>
      <c r="L2825" s="450"/>
      <c r="M2825" s="580">
        <f>TrialBalance!L20</f>
        <v>0</v>
      </c>
      <c r="N2825" s="458"/>
      <c r="O2825" s="581">
        <f>TrialBalance!N20</f>
        <v>0</v>
      </c>
      <c r="P2825" s="454"/>
      <c r="R2825" s="490" t="str">
        <f t="shared" si="162"/>
        <v>DELETE</v>
      </c>
    </row>
    <row r="2826" spans="3:26" ht="36" customHeight="1" x14ac:dyDescent="0.45">
      <c r="C2826" s="575"/>
      <c r="D2826" s="616">
        <f>TrialBalance!C21</f>
        <v>0</v>
      </c>
      <c r="E2826" s="616"/>
      <c r="F2826" s="616"/>
      <c r="G2826" s="616"/>
      <c r="H2826" s="616"/>
      <c r="I2826" s="616"/>
      <c r="J2826" s="645"/>
      <c r="K2826" s="450"/>
      <c r="L2826" s="450"/>
      <c r="M2826" s="580">
        <f>TrialBalance!L21</f>
        <v>0</v>
      </c>
      <c r="N2826" s="458"/>
      <c r="O2826" s="581">
        <f>TrialBalance!N21</f>
        <v>0</v>
      </c>
      <c r="P2826" s="454"/>
      <c r="R2826" s="490" t="str">
        <f t="shared" si="162"/>
        <v>DELETE</v>
      </c>
    </row>
    <row r="2827" spans="3:26" ht="36" customHeight="1" x14ac:dyDescent="0.45">
      <c r="C2827" s="575"/>
      <c r="D2827" s="616">
        <f>TrialBalance!C22</f>
        <v>0</v>
      </c>
      <c r="E2827" s="616"/>
      <c r="F2827" s="616"/>
      <c r="G2827" s="616"/>
      <c r="H2827" s="616"/>
      <c r="I2827" s="616"/>
      <c r="J2827" s="645"/>
      <c r="K2827" s="450"/>
      <c r="L2827" s="450"/>
      <c r="M2827" s="580">
        <f>TrialBalance!L22</f>
        <v>0</v>
      </c>
      <c r="N2827" s="458"/>
      <c r="O2827" s="581">
        <f>TrialBalance!N22</f>
        <v>0</v>
      </c>
      <c r="P2827" s="454"/>
      <c r="R2827" s="490" t="str">
        <f t="shared" si="162"/>
        <v>DELETE</v>
      </c>
    </row>
    <row r="2828" spans="3:26" ht="36" customHeight="1" x14ac:dyDescent="0.45">
      <c r="C2828" s="575"/>
      <c r="D2828" s="616" t="s">
        <v>564</v>
      </c>
      <c r="E2828" s="616"/>
      <c r="F2828" s="616"/>
      <c r="G2828" s="616"/>
      <c r="H2828" s="616"/>
      <c r="I2828" s="616"/>
      <c r="J2828" s="645"/>
      <c r="K2828" s="450"/>
      <c r="L2828" s="450"/>
      <c r="M2828" s="580">
        <f>SUM(TrialBalance!L23:L26)</f>
        <v>0</v>
      </c>
      <c r="N2828" s="458"/>
      <c r="O2828" s="581">
        <f>SUM(TrialBalance!N23:N26)</f>
        <v>0</v>
      </c>
      <c r="P2828" s="454"/>
      <c r="R2828" s="490" t="str">
        <f t="shared" si="162"/>
        <v>DELETE</v>
      </c>
    </row>
    <row r="2829" spans="3:26" ht="9" customHeight="1" x14ac:dyDescent="0.45">
      <c r="C2829" s="575"/>
      <c r="D2829" s="616"/>
      <c r="E2829" s="616"/>
      <c r="F2829" s="616"/>
      <c r="G2829" s="616"/>
      <c r="H2829" s="616"/>
      <c r="I2829" s="616"/>
      <c r="J2829" s="645"/>
      <c r="K2829" s="450"/>
      <c r="L2829" s="450"/>
      <c r="M2829" s="460"/>
      <c r="N2829" s="461"/>
      <c r="O2829" s="582"/>
      <c r="P2829" s="454"/>
      <c r="R2829" s="490" t="str">
        <f>R2818</f>
        <v>DELETE</v>
      </c>
    </row>
    <row r="2830" spans="3:26" ht="9" customHeight="1" x14ac:dyDescent="0.45">
      <c r="C2830" s="575"/>
      <c r="D2830" s="616"/>
      <c r="E2830" s="616"/>
      <c r="F2830" s="616"/>
      <c r="G2830" s="616"/>
      <c r="H2830" s="616"/>
      <c r="I2830" s="616"/>
      <c r="J2830" s="645"/>
      <c r="K2830" s="450"/>
      <c r="L2830" s="450"/>
      <c r="M2830" s="461"/>
      <c r="N2830" s="461"/>
      <c r="O2830" s="461"/>
      <c r="P2830" s="454"/>
      <c r="R2830" s="490" t="str">
        <f>R2818</f>
        <v>DELETE</v>
      </c>
    </row>
    <row r="2831" spans="3:26" ht="9" customHeight="1" x14ac:dyDescent="0.45">
      <c r="C2831" s="575"/>
      <c r="D2831" s="616"/>
      <c r="E2831" s="616"/>
      <c r="F2831" s="616"/>
      <c r="G2831" s="616"/>
      <c r="H2831" s="616"/>
      <c r="I2831" s="616"/>
      <c r="J2831" s="645"/>
      <c r="K2831" s="450"/>
      <c r="L2831" s="450"/>
      <c r="M2831" s="458"/>
      <c r="N2831" s="458"/>
      <c r="O2831" s="458"/>
      <c r="P2831" s="454"/>
      <c r="R2831" s="490" t="str">
        <f>R2830</f>
        <v>DELETE</v>
      </c>
    </row>
    <row r="2832" spans="3:26" ht="36" customHeight="1" x14ac:dyDescent="0.45">
      <c r="D2832" s="637" t="str">
        <f>IF((Y2832+Z2832)=3,"Gross profit/(loss)",(IF((Y2832+Z2832=4),"Gross profit","Gross loss")))</f>
        <v>Gross profit</v>
      </c>
      <c r="E2832" s="616"/>
      <c r="F2832" s="616"/>
      <c r="G2832" s="616"/>
      <c r="H2832" s="616"/>
      <c r="I2832" s="616"/>
      <c r="J2832" s="645"/>
      <c r="K2832" s="450"/>
      <c r="L2832" s="450"/>
      <c r="M2832" s="458">
        <f>SUM(S2814:S2829)</f>
        <v>0</v>
      </c>
      <c r="N2832" s="458"/>
      <c r="O2832" s="458">
        <f>SUM(U2814:U2829)</f>
        <v>0</v>
      </c>
      <c r="P2832" s="454"/>
      <c r="R2832" s="490" t="str">
        <f>R2831</f>
        <v>DELETE</v>
      </c>
      <c r="Y2832" s="491">
        <f>IF(M2832&lt;0,1,IF(M2832=0,IF(O2832&lt;0,1,2),2))</f>
        <v>2</v>
      </c>
      <c r="Z2832" s="491">
        <f>IF(O2832&lt;0,1,IF(O2832=0,IF(M2832&lt;0,1,2),2))</f>
        <v>2</v>
      </c>
    </row>
    <row r="2833" spans="3:24" ht="36" customHeight="1" x14ac:dyDescent="0.45">
      <c r="C2833" s="575"/>
      <c r="D2833" s="616"/>
      <c r="E2833" s="616"/>
      <c r="F2833" s="616"/>
      <c r="G2833" s="616"/>
      <c r="H2833" s="616"/>
      <c r="I2833" s="616"/>
      <c r="J2833" s="645"/>
      <c r="K2833" s="450"/>
      <c r="L2833" s="450"/>
      <c r="M2833" s="458"/>
      <c r="N2833" s="458"/>
      <c r="O2833" s="458"/>
      <c r="P2833" s="454"/>
      <c r="R2833" s="490" t="str">
        <f>R2832</f>
        <v>DELETE</v>
      </c>
    </row>
    <row r="2834" spans="3:24" ht="36" customHeight="1" x14ac:dyDescent="0.45">
      <c r="D2834" s="615" t="s">
        <v>1491</v>
      </c>
      <c r="E2834" s="616"/>
      <c r="F2834" s="616"/>
      <c r="G2834" s="616"/>
      <c r="H2834" s="616"/>
      <c r="I2834" s="616"/>
      <c r="J2834" s="645"/>
      <c r="K2834" s="450"/>
      <c r="L2834" s="450"/>
      <c r="M2834" s="458">
        <f>SUM(M2836:M2843)</f>
        <v>0</v>
      </c>
      <c r="N2834" s="458"/>
      <c r="O2834" s="458">
        <f>SUM(O2836:O2843)</f>
        <v>0</v>
      </c>
      <c r="P2834" s="454"/>
      <c r="R2834" s="490" t="str">
        <f>IF(M2834+O2834=0,"DELETE"," ")</f>
        <v>DELETE</v>
      </c>
      <c r="S2834" s="495">
        <f>M2834</f>
        <v>0</v>
      </c>
      <c r="T2834" s="495"/>
      <c r="U2834" s="495">
        <f>O2834</f>
        <v>0</v>
      </c>
    </row>
    <row r="2835" spans="3:24" ht="9" customHeight="1" x14ac:dyDescent="0.45">
      <c r="C2835" s="575"/>
      <c r="D2835" s="616"/>
      <c r="E2835" s="616"/>
      <c r="F2835" s="616"/>
      <c r="G2835" s="616"/>
      <c r="H2835" s="616"/>
      <c r="I2835" s="616"/>
      <c r="J2835" s="645"/>
      <c r="K2835" s="450"/>
      <c r="L2835" s="450"/>
      <c r="M2835" s="458"/>
      <c r="N2835" s="458"/>
      <c r="O2835" s="458"/>
      <c r="P2835" s="454"/>
      <c r="R2835" s="490" t="str">
        <f>R2834</f>
        <v>DELETE</v>
      </c>
    </row>
    <row r="2836" spans="3:24" ht="9" customHeight="1" x14ac:dyDescent="0.45">
      <c r="C2836" s="575"/>
      <c r="D2836" s="616"/>
      <c r="E2836" s="616"/>
      <c r="F2836" s="616"/>
      <c r="G2836" s="616"/>
      <c r="H2836" s="616"/>
      <c r="I2836" s="616"/>
      <c r="J2836" s="645"/>
      <c r="K2836" s="450"/>
      <c r="L2836" s="450"/>
      <c r="M2836" s="578"/>
      <c r="N2836" s="459"/>
      <c r="O2836" s="579"/>
      <c r="P2836" s="454"/>
      <c r="R2836" s="490" t="str">
        <f>R2834</f>
        <v>DELETE</v>
      </c>
    </row>
    <row r="2837" spans="3:24" ht="36" customHeight="1" x14ac:dyDescent="0.45">
      <c r="C2837" s="575"/>
      <c r="D2837" s="616" t="str">
        <f>TrialBalance!C28</f>
        <v>Insurance claims - Seafront Hotel</v>
      </c>
      <c r="E2837" s="616"/>
      <c r="F2837" s="616"/>
      <c r="G2837" s="616"/>
      <c r="H2837" s="616"/>
      <c r="I2837" s="616"/>
      <c r="J2837" s="645"/>
      <c r="K2837" s="450"/>
      <c r="L2837" s="450"/>
      <c r="M2837" s="580">
        <f>-TrialBalance!L28</f>
        <v>0</v>
      </c>
      <c r="N2837" s="458"/>
      <c r="O2837" s="581">
        <f>-TrialBalance!N28</f>
        <v>0</v>
      </c>
      <c r="P2837" s="454"/>
      <c r="R2837" s="490" t="str">
        <f t="shared" ref="R2837:R2842" si="163">IF(M2837+O2837=0,"DELETE"," ")</f>
        <v>DELETE</v>
      </c>
    </row>
    <row r="2838" spans="3:24" ht="36" customHeight="1" x14ac:dyDescent="0.45">
      <c r="C2838" s="575"/>
      <c r="D2838" s="616" t="str">
        <f>TrialBalance!C29</f>
        <v>Government grants received</v>
      </c>
      <c r="E2838" s="616"/>
      <c r="F2838" s="616"/>
      <c r="G2838" s="616"/>
      <c r="H2838" s="616"/>
      <c r="I2838" s="616"/>
      <c r="J2838" s="645"/>
      <c r="K2838" s="450"/>
      <c r="L2838" s="450"/>
      <c r="M2838" s="580">
        <f>-TrialBalance!L29</f>
        <v>0</v>
      </c>
      <c r="N2838" s="458"/>
      <c r="O2838" s="581">
        <f>-TrialBalance!N29</f>
        <v>0</v>
      </c>
      <c r="P2838" s="454"/>
      <c r="R2838" s="490" t="str">
        <f t="shared" si="163"/>
        <v>DELETE</v>
      </c>
    </row>
    <row r="2839" spans="3:24" ht="36" customHeight="1" x14ac:dyDescent="0.45">
      <c r="C2839" s="575"/>
      <c r="D2839" s="616">
        <f>TrialBalance!C30</f>
        <v>0</v>
      </c>
      <c r="E2839" s="616"/>
      <c r="F2839" s="616"/>
      <c r="G2839" s="616"/>
      <c r="H2839" s="616"/>
      <c r="I2839" s="616"/>
      <c r="J2839" s="645"/>
      <c r="K2839" s="450"/>
      <c r="L2839" s="450"/>
      <c r="M2839" s="580">
        <f>-TrialBalance!L30</f>
        <v>0</v>
      </c>
      <c r="N2839" s="458"/>
      <c r="O2839" s="581">
        <f>-TrialBalance!N30</f>
        <v>0</v>
      </c>
      <c r="P2839" s="454"/>
      <c r="R2839" s="490" t="str">
        <f t="shared" si="163"/>
        <v>DELETE</v>
      </c>
    </row>
    <row r="2840" spans="3:24" ht="36" customHeight="1" x14ac:dyDescent="0.45">
      <c r="C2840" s="575"/>
      <c r="D2840" s="616">
        <f>TrialBalance!C31</f>
        <v>0</v>
      </c>
      <c r="E2840" s="616"/>
      <c r="F2840" s="616"/>
      <c r="G2840" s="616"/>
      <c r="H2840" s="616"/>
      <c r="I2840" s="616"/>
      <c r="J2840" s="645"/>
      <c r="K2840" s="450"/>
      <c r="L2840" s="450"/>
      <c r="M2840" s="580">
        <f>-TrialBalance!L31</f>
        <v>0</v>
      </c>
      <c r="N2840" s="458"/>
      <c r="O2840" s="581">
        <f>-TrialBalance!N31</f>
        <v>0</v>
      </c>
      <c r="P2840" s="454"/>
      <c r="R2840" s="490" t="str">
        <f t="shared" si="163"/>
        <v>DELETE</v>
      </c>
    </row>
    <row r="2841" spans="3:24" ht="36" customHeight="1" x14ac:dyDescent="0.45">
      <c r="C2841" s="575"/>
      <c r="D2841" s="616">
        <f>TrialBalance!C32</f>
        <v>0</v>
      </c>
      <c r="E2841" s="616"/>
      <c r="F2841" s="616"/>
      <c r="G2841" s="616"/>
      <c r="H2841" s="616"/>
      <c r="I2841" s="616"/>
      <c r="J2841" s="645"/>
      <c r="K2841" s="450"/>
      <c r="L2841" s="450"/>
      <c r="M2841" s="580">
        <f>-TrialBalance!L32</f>
        <v>0</v>
      </c>
      <c r="N2841" s="458"/>
      <c r="O2841" s="581">
        <f>-TrialBalance!N32</f>
        <v>0</v>
      </c>
      <c r="P2841" s="454"/>
      <c r="R2841" s="490" t="str">
        <f t="shared" si="163"/>
        <v>DELETE</v>
      </c>
    </row>
    <row r="2842" spans="3:24" ht="36" customHeight="1" x14ac:dyDescent="0.45">
      <c r="C2842" s="575"/>
      <c r="D2842" s="616" t="str">
        <f>TrialBalance!C33</f>
        <v>Recoupment of depreciation</v>
      </c>
      <c r="E2842" s="616"/>
      <c r="F2842" s="616"/>
      <c r="G2842" s="616"/>
      <c r="H2842" s="616"/>
      <c r="I2842" s="616"/>
      <c r="J2842" s="645"/>
      <c r="K2842" s="450"/>
      <c r="L2842" s="450"/>
      <c r="M2842" s="580">
        <f>-TrialBalance!L33</f>
        <v>0</v>
      </c>
      <c r="N2842" s="458"/>
      <c r="O2842" s="581">
        <f>-TrialBalance!N33</f>
        <v>0</v>
      </c>
      <c r="P2842" s="454"/>
      <c r="R2842" s="490" t="str">
        <f t="shared" si="163"/>
        <v>DELETE</v>
      </c>
    </row>
    <row r="2843" spans="3:24" ht="9" customHeight="1" x14ac:dyDescent="0.45">
      <c r="C2843" s="575"/>
      <c r="D2843" s="616"/>
      <c r="E2843" s="616"/>
      <c r="F2843" s="616"/>
      <c r="G2843" s="616"/>
      <c r="H2843" s="616"/>
      <c r="I2843" s="616"/>
      <c r="J2843" s="645"/>
      <c r="K2843" s="450"/>
      <c r="L2843" s="450"/>
      <c r="M2843" s="460"/>
      <c r="N2843" s="461"/>
      <c r="O2843" s="582"/>
      <c r="P2843" s="454"/>
      <c r="R2843" s="490" t="str">
        <f>R2834</f>
        <v>DELETE</v>
      </c>
    </row>
    <row r="2844" spans="3:24" ht="9" customHeight="1" x14ac:dyDescent="0.45">
      <c r="C2844" s="575"/>
      <c r="D2844" s="616"/>
      <c r="E2844" s="616"/>
      <c r="F2844" s="616"/>
      <c r="G2844" s="616"/>
      <c r="H2844" s="616"/>
      <c r="I2844" s="616"/>
      <c r="J2844" s="645"/>
      <c r="K2844" s="450"/>
      <c r="L2844" s="450"/>
      <c r="M2844" s="479"/>
      <c r="N2844" s="479"/>
      <c r="O2844" s="479"/>
      <c r="P2844" s="454"/>
      <c r="R2844" s="490" t="str">
        <f>R2843</f>
        <v>DELETE</v>
      </c>
    </row>
    <row r="2845" spans="3:24" ht="9" customHeight="1" x14ac:dyDescent="0.45">
      <c r="C2845" s="575"/>
      <c r="D2845" s="616"/>
      <c r="E2845" s="616"/>
      <c r="F2845" s="616"/>
      <c r="G2845" s="616"/>
      <c r="H2845" s="616"/>
      <c r="I2845" s="616"/>
      <c r="J2845" s="645"/>
      <c r="K2845" s="450"/>
      <c r="L2845" s="450"/>
      <c r="M2845" s="458"/>
      <c r="N2845" s="458"/>
      <c r="O2845" s="458"/>
      <c r="P2845" s="454"/>
      <c r="R2845" s="490" t="str">
        <f>R2844</f>
        <v>DELETE</v>
      </c>
    </row>
    <row r="2846" spans="3:24" ht="36" customHeight="1" x14ac:dyDescent="0.45">
      <c r="C2846" s="575"/>
      <c r="D2846" s="616"/>
      <c r="E2846" s="616"/>
      <c r="F2846" s="616"/>
      <c r="G2846" s="616"/>
      <c r="H2846" s="616"/>
      <c r="I2846" s="616"/>
      <c r="J2846" s="645"/>
      <c r="K2846" s="450"/>
      <c r="L2846" s="450"/>
      <c r="M2846" s="458">
        <f>SUM(S2814:S2834)</f>
        <v>0</v>
      </c>
      <c r="N2846" s="458"/>
      <c r="O2846" s="458">
        <f>SUM(U2814:U2834)</f>
        <v>0</v>
      </c>
      <c r="P2846" s="454"/>
      <c r="R2846" s="490" t="str">
        <f>R2834</f>
        <v>DELETE</v>
      </c>
    </row>
    <row r="2847" spans="3:24" ht="36" customHeight="1" x14ac:dyDescent="0.45">
      <c r="C2847" s="575"/>
      <c r="D2847" s="616"/>
      <c r="E2847" s="616"/>
      <c r="F2847" s="616"/>
      <c r="G2847" s="616"/>
      <c r="H2847" s="616"/>
      <c r="I2847" s="616"/>
      <c r="J2847" s="645"/>
      <c r="K2847" s="450"/>
      <c r="L2847" s="450"/>
      <c r="M2847" s="458"/>
      <c r="N2847" s="458"/>
      <c r="O2847" s="458"/>
      <c r="P2847" s="454"/>
      <c r="R2847" s="490" t="str">
        <f>R2846</f>
        <v>DELETE</v>
      </c>
    </row>
    <row r="2848" spans="3:24" ht="36" customHeight="1" x14ac:dyDescent="0.45">
      <c r="D2848" s="615" t="s">
        <v>1532</v>
      </c>
      <c r="E2848" s="616"/>
      <c r="F2848" s="616"/>
      <c r="G2848" s="616"/>
      <c r="H2848" s="616"/>
      <c r="I2848" s="616"/>
      <c r="J2848" s="645"/>
      <c r="K2848" s="450"/>
      <c r="L2848" s="450"/>
      <c r="M2848" s="458">
        <f>SUM(M2850:M2879)</f>
        <v>0</v>
      </c>
      <c r="N2848" s="458"/>
      <c r="O2848" s="458">
        <f>SUM(O2850:O2879)</f>
        <v>0</v>
      </c>
      <c r="P2848" s="454"/>
      <c r="R2848" s="490" t="str">
        <f>IF(M2848+O2848=0,"DELETE"," ")</f>
        <v>DELETE</v>
      </c>
      <c r="S2848" s="495">
        <f>-M2848</f>
        <v>0</v>
      </c>
      <c r="T2848" s="495"/>
      <c r="U2848" s="495">
        <f>-O2848</f>
        <v>0</v>
      </c>
      <c r="V2848" s="495"/>
      <c r="W2848" s="495"/>
      <c r="X2848" s="495"/>
    </row>
    <row r="2849" spans="3:24" ht="9" customHeight="1" x14ac:dyDescent="0.45">
      <c r="C2849" s="575"/>
      <c r="D2849" s="616"/>
      <c r="E2849" s="616"/>
      <c r="F2849" s="616"/>
      <c r="G2849" s="616"/>
      <c r="H2849" s="616"/>
      <c r="I2849" s="616"/>
      <c r="J2849" s="645"/>
      <c r="K2849" s="450"/>
      <c r="L2849" s="450"/>
      <c r="M2849" s="458"/>
      <c r="N2849" s="458"/>
      <c r="O2849" s="458"/>
      <c r="P2849" s="454"/>
      <c r="R2849" s="490" t="str">
        <f>R2848</f>
        <v>DELETE</v>
      </c>
    </row>
    <row r="2850" spans="3:24" ht="9" customHeight="1" x14ac:dyDescent="0.45">
      <c r="C2850" s="575"/>
      <c r="D2850" s="616"/>
      <c r="E2850" s="616"/>
      <c r="F2850" s="616"/>
      <c r="G2850" s="616"/>
      <c r="H2850" s="616"/>
      <c r="I2850" s="616"/>
      <c r="J2850" s="645"/>
      <c r="K2850" s="450"/>
      <c r="L2850" s="450"/>
      <c r="M2850" s="578"/>
      <c r="N2850" s="459"/>
      <c r="O2850" s="579"/>
      <c r="P2850" s="454"/>
      <c r="R2850" s="490" t="str">
        <f>R2849</f>
        <v>DELETE</v>
      </c>
    </row>
    <row r="2851" spans="3:24" ht="36" customHeight="1" x14ac:dyDescent="0.45">
      <c r="C2851" s="575"/>
      <c r="D2851" s="616" t="s">
        <v>302</v>
      </c>
      <c r="E2851" s="616"/>
      <c r="F2851" s="616"/>
      <c r="G2851" s="616"/>
      <c r="H2851" s="616"/>
      <c r="I2851" s="616"/>
      <c r="J2851" s="645"/>
      <c r="K2851" s="450"/>
      <c r="L2851" s="450"/>
      <c r="M2851" s="580">
        <f>TrialBalance!L40</f>
        <v>0</v>
      </c>
      <c r="N2851" s="458"/>
      <c r="O2851" s="581">
        <f>TrialBalance!N40</f>
        <v>0</v>
      </c>
      <c r="P2851" s="454"/>
      <c r="R2851" s="490" t="str">
        <f t="shared" ref="R2851:R2869" si="164">IF(M2851+O2851=0,"DELETE"," ")</f>
        <v>DELETE</v>
      </c>
    </row>
    <row r="2852" spans="3:24" ht="36" customHeight="1" x14ac:dyDescent="0.45">
      <c r="C2852" s="575"/>
      <c r="D2852" s="616" t="s">
        <v>831</v>
      </c>
      <c r="E2852" s="616"/>
      <c r="F2852" s="616"/>
      <c r="G2852" s="616"/>
      <c r="H2852" s="616"/>
      <c r="I2852" s="616"/>
      <c r="J2852" s="645"/>
      <c r="K2852" s="450"/>
      <c r="L2852" s="450"/>
      <c r="M2852" s="580">
        <f>TrialBalance!L41</f>
        <v>0</v>
      </c>
      <c r="N2852" s="458"/>
      <c r="O2852" s="581">
        <f>TrialBalance!N41</f>
        <v>0</v>
      </c>
      <c r="P2852" s="454"/>
      <c r="R2852" s="490" t="str">
        <f t="shared" si="164"/>
        <v>DELETE</v>
      </c>
    </row>
    <row r="2853" spans="3:24" ht="36" customHeight="1" x14ac:dyDescent="0.45">
      <c r="C2853" s="575"/>
      <c r="D2853" s="616" t="s">
        <v>303</v>
      </c>
      <c r="E2853" s="616"/>
      <c r="F2853" s="616"/>
      <c r="G2853" s="616"/>
      <c r="H2853" s="616"/>
      <c r="I2853" s="616"/>
      <c r="J2853" s="645"/>
      <c r="K2853" s="450"/>
      <c r="L2853" s="450"/>
      <c r="M2853" s="580">
        <f>TrialBalance!L42</f>
        <v>0</v>
      </c>
      <c r="N2853" s="458"/>
      <c r="O2853" s="581">
        <f>TrialBalance!N42</f>
        <v>0</v>
      </c>
      <c r="P2853" s="454"/>
      <c r="R2853" s="490" t="str">
        <f t="shared" si="164"/>
        <v>DELETE</v>
      </c>
    </row>
    <row r="2854" spans="3:24" ht="36" customHeight="1" x14ac:dyDescent="0.45">
      <c r="C2854" s="575"/>
      <c r="D2854" s="616" t="s">
        <v>304</v>
      </c>
      <c r="E2854" s="616"/>
      <c r="F2854" s="616"/>
      <c r="G2854" s="616"/>
      <c r="H2854" s="616"/>
      <c r="I2854" s="616"/>
      <c r="J2854" s="645"/>
      <c r="K2854" s="450">
        <f>B$1250</f>
        <v>5</v>
      </c>
      <c r="L2854" s="450"/>
      <c r="M2854" s="580">
        <f>SUM(TrialBalance!L44:L46)</f>
        <v>0</v>
      </c>
      <c r="N2854" s="458"/>
      <c r="O2854" s="581">
        <f>SUM(TrialBalance!N44:N46)</f>
        <v>0</v>
      </c>
      <c r="P2854" s="454"/>
      <c r="R2854" s="490" t="str">
        <f t="shared" si="164"/>
        <v>DELETE</v>
      </c>
    </row>
    <row r="2855" spans="3:24" ht="36" customHeight="1" x14ac:dyDescent="0.45">
      <c r="C2855" s="575"/>
      <c r="D2855" s="616" t="s">
        <v>565</v>
      </c>
      <c r="E2855" s="616"/>
      <c r="F2855" s="616"/>
      <c r="G2855" s="616"/>
      <c r="H2855" s="616"/>
      <c r="I2855" s="616"/>
      <c r="J2855" s="645"/>
      <c r="K2855" s="450"/>
      <c r="L2855" s="450"/>
      <c r="M2855" s="580">
        <f>TrialBalance!L47</f>
        <v>0</v>
      </c>
      <c r="N2855" s="458"/>
      <c r="O2855" s="581">
        <f>TrialBalance!N47</f>
        <v>0</v>
      </c>
      <c r="P2855" s="454"/>
      <c r="R2855" s="490" t="str">
        <f t="shared" si="164"/>
        <v>DELETE</v>
      </c>
      <c r="S2855" s="496"/>
      <c r="T2855" s="496"/>
      <c r="U2855" s="496"/>
      <c r="V2855" s="496"/>
      <c r="W2855" s="496"/>
      <c r="X2855" s="496"/>
    </row>
    <row r="2856" spans="3:24" ht="36" customHeight="1" x14ac:dyDescent="0.45">
      <c r="C2856" s="575"/>
      <c r="D2856" s="616" t="s">
        <v>871</v>
      </c>
      <c r="E2856" s="616"/>
      <c r="F2856" s="616"/>
      <c r="G2856" s="616"/>
      <c r="H2856" s="616"/>
      <c r="I2856" s="616"/>
      <c r="J2856" s="645"/>
      <c r="K2856" s="450"/>
      <c r="L2856" s="450"/>
      <c r="M2856" s="580">
        <f>TrialBalance!L48</f>
        <v>0</v>
      </c>
      <c r="N2856" s="458"/>
      <c r="O2856" s="581">
        <f>TrialBalance!N48</f>
        <v>0</v>
      </c>
      <c r="P2856" s="454"/>
      <c r="R2856" s="490" t="str">
        <f t="shared" si="164"/>
        <v>DELETE</v>
      </c>
    </row>
    <row r="2857" spans="3:24" ht="36" customHeight="1" x14ac:dyDescent="0.45">
      <c r="C2857" s="575"/>
      <c r="D2857" s="616" t="s">
        <v>69</v>
      </c>
      <c r="E2857" s="616"/>
      <c r="F2857" s="616"/>
      <c r="G2857" s="616"/>
      <c r="H2857" s="616"/>
      <c r="I2857" s="616"/>
      <c r="J2857" s="645"/>
      <c r="K2857" s="450"/>
      <c r="L2857" s="450"/>
      <c r="M2857" s="580">
        <f>TrialBalance!L49</f>
        <v>0</v>
      </c>
      <c r="N2857" s="458"/>
      <c r="O2857" s="581">
        <f>TrialBalance!N49</f>
        <v>0</v>
      </c>
      <c r="P2857" s="454"/>
      <c r="R2857" s="490" t="str">
        <f t="shared" si="164"/>
        <v>DELETE</v>
      </c>
    </row>
    <row r="2858" spans="3:24" ht="36" customHeight="1" x14ac:dyDescent="0.45">
      <c r="C2858" s="575"/>
      <c r="D2858" s="616" t="s">
        <v>305</v>
      </c>
      <c r="E2858" s="616"/>
      <c r="F2858" s="616"/>
      <c r="G2858" s="616"/>
      <c r="H2858" s="616"/>
      <c r="I2858" s="616"/>
      <c r="J2858" s="645"/>
      <c r="K2858" s="450"/>
      <c r="L2858" s="450"/>
      <c r="M2858" s="580">
        <f>TrialBalance!L50</f>
        <v>0</v>
      </c>
      <c r="N2858" s="458"/>
      <c r="O2858" s="581">
        <f>TrialBalance!N50</f>
        <v>0</v>
      </c>
      <c r="P2858" s="454"/>
      <c r="R2858" s="490" t="str">
        <f t="shared" si="164"/>
        <v>DELETE</v>
      </c>
    </row>
    <row r="2859" spans="3:24" ht="36" customHeight="1" x14ac:dyDescent="0.45">
      <c r="C2859" s="575"/>
      <c r="D2859" s="616" t="s">
        <v>587</v>
      </c>
      <c r="E2859" s="616"/>
      <c r="F2859" s="616"/>
      <c r="G2859" s="616"/>
      <c r="H2859" s="616"/>
      <c r="I2859" s="616"/>
      <c r="J2859" s="645"/>
      <c r="K2859" s="450"/>
      <c r="L2859" s="450"/>
      <c r="M2859" s="580">
        <f>SUM(TrialBalance!L51:L52)</f>
        <v>0</v>
      </c>
      <c r="N2859" s="458"/>
      <c r="O2859" s="581">
        <f>SUM(TrialBalance!N51:N52)</f>
        <v>0</v>
      </c>
      <c r="P2859" s="454"/>
      <c r="R2859" s="490" t="str">
        <f t="shared" si="164"/>
        <v>DELETE</v>
      </c>
    </row>
    <row r="2860" spans="3:24" ht="36" customHeight="1" x14ac:dyDescent="0.45">
      <c r="C2860" s="575"/>
      <c r="D2860" s="616" t="s">
        <v>585</v>
      </c>
      <c r="E2860" s="616"/>
      <c r="F2860" s="616"/>
      <c r="G2860" s="616"/>
      <c r="H2860" s="616"/>
      <c r="I2860" s="616"/>
      <c r="J2860" s="645"/>
      <c r="K2860" s="450"/>
      <c r="L2860" s="450"/>
      <c r="M2860" s="580">
        <f>TrialBalance!L53</f>
        <v>0</v>
      </c>
      <c r="N2860" s="458"/>
      <c r="O2860" s="581">
        <f>TrialBalance!N53</f>
        <v>0</v>
      </c>
      <c r="P2860" s="454"/>
      <c r="R2860" s="490" t="str">
        <f t="shared" si="164"/>
        <v>DELETE</v>
      </c>
    </row>
    <row r="2861" spans="3:24" ht="36" customHeight="1" x14ac:dyDescent="0.45">
      <c r="C2861" s="575"/>
      <c r="D2861" s="616" t="s">
        <v>566</v>
      </c>
      <c r="E2861" s="616"/>
      <c r="F2861" s="616"/>
      <c r="G2861" s="616"/>
      <c r="H2861" s="616"/>
      <c r="I2861" s="616"/>
      <c r="J2861" s="645"/>
      <c r="K2861" s="450"/>
      <c r="L2861" s="450"/>
      <c r="M2861" s="580">
        <f>SUM(TrialBalance!L55:L59)</f>
        <v>0</v>
      </c>
      <c r="N2861" s="458"/>
      <c r="O2861" s="581">
        <f>SUM(TrialBalance!N55:N59)</f>
        <v>0</v>
      </c>
      <c r="P2861" s="454"/>
      <c r="R2861" s="490" t="str">
        <f t="shared" si="164"/>
        <v>DELETE</v>
      </c>
    </row>
    <row r="2862" spans="3:24" ht="36" customHeight="1" x14ac:dyDescent="0.45">
      <c r="C2862" s="575"/>
      <c r="D2862" s="616" t="s">
        <v>547</v>
      </c>
      <c r="E2862" s="616"/>
      <c r="F2862" s="616"/>
      <c r="G2862" s="616"/>
      <c r="H2862" s="616"/>
      <c r="I2862" s="616"/>
      <c r="J2862" s="645"/>
      <c r="K2862" s="450">
        <f>B$1250</f>
        <v>5</v>
      </c>
      <c r="L2862" s="450"/>
      <c r="M2862" s="580">
        <f>SUM(TrialBalance!L61:L63)</f>
        <v>0</v>
      </c>
      <c r="N2862" s="458"/>
      <c r="O2862" s="581">
        <f>SUM(TrialBalance!N61:N63)</f>
        <v>0</v>
      </c>
      <c r="P2862" s="454"/>
      <c r="R2862" s="490" t="str">
        <f t="shared" si="164"/>
        <v>DELETE</v>
      </c>
      <c r="X2862" s="495"/>
    </row>
    <row r="2863" spans="3:24" ht="36" customHeight="1" x14ac:dyDescent="0.45">
      <c r="C2863" s="575"/>
      <c r="D2863" s="616" t="s">
        <v>77</v>
      </c>
      <c r="E2863" s="616"/>
      <c r="F2863" s="616"/>
      <c r="G2863" s="616"/>
      <c r="H2863" s="616"/>
      <c r="I2863" s="616"/>
      <c r="J2863" s="645"/>
      <c r="K2863" s="450"/>
      <c r="L2863" s="450"/>
      <c r="M2863" s="580">
        <f>TrialBalance!L64</f>
        <v>0</v>
      </c>
      <c r="N2863" s="458"/>
      <c r="O2863" s="581">
        <f>TrialBalance!N64</f>
        <v>0</v>
      </c>
      <c r="P2863" s="454"/>
      <c r="R2863" s="490" t="str">
        <f t="shared" si="164"/>
        <v>DELETE</v>
      </c>
    </row>
    <row r="2864" spans="3:24" ht="36" customHeight="1" x14ac:dyDescent="0.45">
      <c r="C2864" s="575"/>
      <c r="D2864" s="616" t="s">
        <v>1756</v>
      </c>
      <c r="E2864" s="616"/>
      <c r="F2864" s="616"/>
      <c r="G2864" s="616"/>
      <c r="H2864" s="616"/>
      <c r="I2864" s="616"/>
      <c r="J2864" s="645"/>
      <c r="K2864" s="450"/>
      <c r="L2864" s="450"/>
      <c r="M2864" s="580">
        <f>TrialBalance!L65</f>
        <v>0</v>
      </c>
      <c r="N2864" s="458"/>
      <c r="O2864" s="581">
        <f>TrialBalance!N65</f>
        <v>0</v>
      </c>
      <c r="P2864" s="454"/>
      <c r="R2864" s="490" t="str">
        <f>IF(M2864+O2864=0,"DELETE"," ")</f>
        <v>DELETE</v>
      </c>
    </row>
    <row r="2865" spans="3:18" ht="36" customHeight="1" x14ac:dyDescent="0.45">
      <c r="C2865" s="575"/>
      <c r="D2865" s="616" t="s">
        <v>286</v>
      </c>
      <c r="E2865" s="616"/>
      <c r="F2865" s="616"/>
      <c r="G2865" s="616"/>
      <c r="H2865" s="616"/>
      <c r="I2865" s="616"/>
      <c r="J2865" s="645"/>
      <c r="K2865" s="450"/>
      <c r="L2865" s="450"/>
      <c r="M2865" s="580">
        <f>SUM(TrialBalance!L66:L68)</f>
        <v>0</v>
      </c>
      <c r="N2865" s="458"/>
      <c r="O2865" s="581">
        <f>SUM(TrialBalance!N66:N68)</f>
        <v>0</v>
      </c>
      <c r="P2865" s="454"/>
      <c r="R2865" s="490" t="str">
        <f t="shared" si="164"/>
        <v>DELETE</v>
      </c>
    </row>
    <row r="2866" spans="3:18" ht="36" customHeight="1" x14ac:dyDescent="0.45">
      <c r="C2866" s="575"/>
      <c r="D2866" s="616" t="s">
        <v>872</v>
      </c>
      <c r="E2866" s="616"/>
      <c r="F2866" s="616"/>
      <c r="G2866" s="616"/>
      <c r="H2866" s="616"/>
      <c r="I2866" s="616"/>
      <c r="J2866" s="645"/>
      <c r="K2866" s="450"/>
      <c r="L2866" s="450"/>
      <c r="M2866" s="580">
        <f>SUM(TrialBalance!L69:L70)</f>
        <v>0</v>
      </c>
      <c r="N2866" s="458"/>
      <c r="O2866" s="581">
        <f>SUM(TrialBalance!N69:N70)</f>
        <v>0</v>
      </c>
      <c r="P2866" s="454"/>
      <c r="R2866" s="490" t="str">
        <f t="shared" si="164"/>
        <v>DELETE</v>
      </c>
    </row>
    <row r="2867" spans="3:18" ht="36" customHeight="1" x14ac:dyDescent="0.45">
      <c r="C2867" s="575"/>
      <c r="D2867" s="616" t="s">
        <v>287</v>
      </c>
      <c r="E2867" s="616"/>
      <c r="F2867" s="616"/>
      <c r="G2867" s="616"/>
      <c r="H2867" s="616"/>
      <c r="I2867" s="616"/>
      <c r="J2867" s="645"/>
      <c r="K2867" s="450"/>
      <c r="L2867" s="450"/>
      <c r="M2867" s="580">
        <f>TrialBalance!L71</f>
        <v>0</v>
      </c>
      <c r="N2867" s="458"/>
      <c r="O2867" s="581">
        <f>TrialBalance!N71</f>
        <v>0</v>
      </c>
      <c r="P2867" s="454"/>
      <c r="R2867" s="490" t="str">
        <f t="shared" si="164"/>
        <v>DELETE</v>
      </c>
    </row>
    <row r="2868" spans="3:18" ht="36" customHeight="1" x14ac:dyDescent="0.45">
      <c r="C2868" s="575"/>
      <c r="D2868" s="616" t="s">
        <v>425</v>
      </c>
      <c r="E2868" s="616"/>
      <c r="F2868" s="616"/>
      <c r="G2868" s="616"/>
      <c r="H2868" s="616"/>
      <c r="I2868" s="616"/>
      <c r="J2868" s="645"/>
      <c r="K2868" s="450"/>
      <c r="L2868" s="450"/>
      <c r="M2868" s="580">
        <f>TrialBalance!L72</f>
        <v>0</v>
      </c>
      <c r="N2868" s="458"/>
      <c r="O2868" s="581">
        <f>TrialBalance!N72</f>
        <v>0</v>
      </c>
      <c r="P2868" s="454"/>
      <c r="R2868" s="490" t="str">
        <f t="shared" si="164"/>
        <v>DELETE</v>
      </c>
    </row>
    <row r="2869" spans="3:18" ht="36" customHeight="1" x14ac:dyDescent="0.45">
      <c r="C2869" s="575"/>
      <c r="D2869" s="616">
        <f>TrialBalance!C73</f>
        <v>0</v>
      </c>
      <c r="E2869" s="616"/>
      <c r="F2869" s="616"/>
      <c r="G2869" s="616"/>
      <c r="H2869" s="616"/>
      <c r="I2869" s="616"/>
      <c r="J2869" s="645"/>
      <c r="K2869" s="450"/>
      <c r="L2869" s="450"/>
      <c r="M2869" s="580">
        <f>TrialBalance!L73</f>
        <v>0</v>
      </c>
      <c r="N2869" s="458"/>
      <c r="O2869" s="581">
        <f>TrialBalance!N73</f>
        <v>0</v>
      </c>
      <c r="P2869" s="454"/>
      <c r="R2869" s="490" t="str">
        <f t="shared" si="164"/>
        <v>DELETE</v>
      </c>
    </row>
    <row r="2870" spans="3:18" ht="36" customHeight="1" x14ac:dyDescent="0.45">
      <c r="C2870" s="575"/>
      <c r="D2870" s="616">
        <f>TrialBalance!C74</f>
        <v>0</v>
      </c>
      <c r="E2870" s="616"/>
      <c r="F2870" s="616"/>
      <c r="G2870" s="616"/>
      <c r="H2870" s="616"/>
      <c r="I2870" s="616"/>
      <c r="J2870" s="645"/>
      <c r="K2870" s="450"/>
      <c r="L2870" s="450"/>
      <c r="M2870" s="580">
        <f>TrialBalance!L74</f>
        <v>0</v>
      </c>
      <c r="N2870" s="458"/>
      <c r="O2870" s="581">
        <f>TrialBalance!N74</f>
        <v>0</v>
      </c>
      <c r="P2870" s="454"/>
      <c r="R2870" s="490" t="str">
        <f t="shared" ref="R2870:R2878" si="165">IF(M2870+O2870=0,"DELETE"," ")</f>
        <v>DELETE</v>
      </c>
    </row>
    <row r="2871" spans="3:18" ht="36" customHeight="1" x14ac:dyDescent="0.45">
      <c r="C2871" s="575"/>
      <c r="D2871" s="616">
        <f>TrialBalance!C75</f>
        <v>0</v>
      </c>
      <c r="E2871" s="616"/>
      <c r="F2871" s="616"/>
      <c r="G2871" s="616"/>
      <c r="H2871" s="616"/>
      <c r="I2871" s="616"/>
      <c r="J2871" s="645"/>
      <c r="K2871" s="450"/>
      <c r="L2871" s="450"/>
      <c r="M2871" s="580">
        <f>TrialBalance!L75</f>
        <v>0</v>
      </c>
      <c r="N2871" s="458"/>
      <c r="O2871" s="581">
        <f>TrialBalance!N75</f>
        <v>0</v>
      </c>
      <c r="P2871" s="454"/>
      <c r="R2871" s="490" t="str">
        <f t="shared" si="165"/>
        <v>DELETE</v>
      </c>
    </row>
    <row r="2872" spans="3:18" ht="36" customHeight="1" x14ac:dyDescent="0.45">
      <c r="C2872" s="575"/>
      <c r="D2872" s="616">
        <f>TrialBalance!C76</f>
        <v>0</v>
      </c>
      <c r="E2872" s="616"/>
      <c r="F2872" s="616"/>
      <c r="G2872" s="616"/>
      <c r="H2872" s="616"/>
      <c r="I2872" s="616"/>
      <c r="J2872" s="645"/>
      <c r="K2872" s="450"/>
      <c r="L2872" s="450"/>
      <c r="M2872" s="580">
        <f>TrialBalance!L76</f>
        <v>0</v>
      </c>
      <c r="N2872" s="458"/>
      <c r="O2872" s="581">
        <f>TrialBalance!N76</f>
        <v>0</v>
      </c>
      <c r="P2872" s="454"/>
      <c r="R2872" s="490" t="str">
        <f t="shared" si="165"/>
        <v>DELETE</v>
      </c>
    </row>
    <row r="2873" spans="3:18" ht="36" customHeight="1" x14ac:dyDescent="0.45">
      <c r="C2873" s="575"/>
      <c r="D2873" s="616">
        <f>TrialBalance!C77</f>
        <v>0</v>
      </c>
      <c r="E2873" s="616"/>
      <c r="F2873" s="616"/>
      <c r="G2873" s="616"/>
      <c r="H2873" s="616"/>
      <c r="I2873" s="616"/>
      <c r="J2873" s="645"/>
      <c r="K2873" s="450"/>
      <c r="L2873" s="450"/>
      <c r="M2873" s="580">
        <f>TrialBalance!L77</f>
        <v>0</v>
      </c>
      <c r="N2873" s="458"/>
      <c r="O2873" s="581">
        <f>TrialBalance!N77</f>
        <v>0</v>
      </c>
      <c r="P2873" s="454"/>
      <c r="R2873" s="490" t="str">
        <f t="shared" si="165"/>
        <v>DELETE</v>
      </c>
    </row>
    <row r="2874" spans="3:18" ht="36" customHeight="1" x14ac:dyDescent="0.45">
      <c r="C2874" s="575"/>
      <c r="D2874" s="616">
        <f>TrialBalance!C78</f>
        <v>0</v>
      </c>
      <c r="E2874" s="616"/>
      <c r="F2874" s="616"/>
      <c r="G2874" s="616"/>
      <c r="H2874" s="616"/>
      <c r="I2874" s="616"/>
      <c r="J2874" s="645"/>
      <c r="K2874" s="450"/>
      <c r="L2874" s="450"/>
      <c r="M2874" s="580">
        <f>TrialBalance!L78</f>
        <v>0</v>
      </c>
      <c r="N2874" s="458"/>
      <c r="O2874" s="581">
        <f>TrialBalance!N78</f>
        <v>0</v>
      </c>
      <c r="P2874" s="454"/>
      <c r="R2874" s="490" t="str">
        <f t="shared" si="165"/>
        <v>DELETE</v>
      </c>
    </row>
    <row r="2875" spans="3:18" ht="36" customHeight="1" x14ac:dyDescent="0.45">
      <c r="C2875" s="575"/>
      <c r="D2875" s="616">
        <f>TrialBalance!C79</f>
        <v>0</v>
      </c>
      <c r="E2875" s="616"/>
      <c r="F2875" s="616"/>
      <c r="G2875" s="616"/>
      <c r="H2875" s="616"/>
      <c r="I2875" s="616"/>
      <c r="J2875" s="645"/>
      <c r="K2875" s="450"/>
      <c r="L2875" s="450"/>
      <c r="M2875" s="580">
        <f>TrialBalance!L79</f>
        <v>0</v>
      </c>
      <c r="N2875" s="458"/>
      <c r="O2875" s="581">
        <f>TrialBalance!N79</f>
        <v>0</v>
      </c>
      <c r="P2875" s="454"/>
      <c r="R2875" s="490" t="str">
        <f t="shared" si="165"/>
        <v>DELETE</v>
      </c>
    </row>
    <row r="2876" spans="3:18" ht="36" customHeight="1" x14ac:dyDescent="0.45">
      <c r="C2876" s="575"/>
      <c r="D2876" s="616">
        <f>TrialBalance!C80</f>
        <v>0</v>
      </c>
      <c r="E2876" s="616"/>
      <c r="F2876" s="616"/>
      <c r="G2876" s="616"/>
      <c r="H2876" s="616"/>
      <c r="I2876" s="616"/>
      <c r="J2876" s="645"/>
      <c r="K2876" s="450"/>
      <c r="L2876" s="450"/>
      <c r="M2876" s="580">
        <f>TrialBalance!L80</f>
        <v>0</v>
      </c>
      <c r="N2876" s="458"/>
      <c r="O2876" s="581">
        <f>TrialBalance!N80</f>
        <v>0</v>
      </c>
      <c r="P2876" s="454"/>
      <c r="R2876" s="490" t="str">
        <f t="shared" si="165"/>
        <v>DELETE</v>
      </c>
    </row>
    <row r="2877" spans="3:18" ht="36" customHeight="1" x14ac:dyDescent="0.45">
      <c r="C2877" s="575"/>
      <c r="D2877" s="616">
        <f>TrialBalance!C81</f>
        <v>0</v>
      </c>
      <c r="E2877" s="616"/>
      <c r="F2877" s="616"/>
      <c r="G2877" s="616"/>
      <c r="H2877" s="616"/>
      <c r="I2877" s="616"/>
      <c r="J2877" s="645"/>
      <c r="K2877" s="450"/>
      <c r="L2877" s="450"/>
      <c r="M2877" s="580">
        <f>TrialBalance!L81</f>
        <v>0</v>
      </c>
      <c r="N2877" s="458"/>
      <c r="O2877" s="581">
        <f>TrialBalance!N81</f>
        <v>0</v>
      </c>
      <c r="P2877" s="454"/>
      <c r="R2877" s="490" t="str">
        <f t="shared" si="165"/>
        <v>DELETE</v>
      </c>
    </row>
    <row r="2878" spans="3:18" ht="36" customHeight="1" x14ac:dyDescent="0.45">
      <c r="C2878" s="575"/>
      <c r="D2878" s="616">
        <f>TrialBalance!C82</f>
        <v>0</v>
      </c>
      <c r="E2878" s="616"/>
      <c r="F2878" s="616"/>
      <c r="G2878" s="616"/>
      <c r="H2878" s="616"/>
      <c r="I2878" s="616"/>
      <c r="J2878" s="645"/>
      <c r="K2878" s="450"/>
      <c r="L2878" s="450"/>
      <c r="M2878" s="580">
        <f>TrialBalance!L82</f>
        <v>0</v>
      </c>
      <c r="N2878" s="458"/>
      <c r="O2878" s="581">
        <f>TrialBalance!N82</f>
        <v>0</v>
      </c>
      <c r="P2878" s="454"/>
      <c r="R2878" s="490" t="str">
        <f t="shared" si="165"/>
        <v>DELETE</v>
      </c>
    </row>
    <row r="2879" spans="3:18" ht="9" customHeight="1" x14ac:dyDescent="0.45">
      <c r="C2879" s="575"/>
      <c r="D2879" s="616"/>
      <c r="E2879" s="616"/>
      <c r="F2879" s="616"/>
      <c r="G2879" s="616"/>
      <c r="H2879" s="616"/>
      <c r="I2879" s="616"/>
      <c r="J2879" s="645"/>
      <c r="K2879" s="450"/>
      <c r="L2879" s="450"/>
      <c r="M2879" s="460"/>
      <c r="N2879" s="461"/>
      <c r="O2879" s="582"/>
      <c r="P2879" s="454"/>
      <c r="R2879" s="490" t="str">
        <f>R2848</f>
        <v>DELETE</v>
      </c>
    </row>
    <row r="2880" spans="3:18" ht="9" customHeight="1" x14ac:dyDescent="0.45">
      <c r="C2880" s="575"/>
      <c r="D2880" s="616"/>
      <c r="E2880" s="616"/>
      <c r="F2880" s="616"/>
      <c r="G2880" s="616"/>
      <c r="H2880" s="616"/>
      <c r="I2880" s="616"/>
      <c r="J2880" s="645"/>
      <c r="K2880" s="450"/>
      <c r="L2880" s="450"/>
      <c r="M2880" s="461"/>
      <c r="N2880" s="461"/>
      <c r="O2880" s="461"/>
      <c r="P2880" s="454"/>
    </row>
    <row r="2881" spans="3:26" ht="9" customHeight="1" x14ac:dyDescent="0.45">
      <c r="C2881" s="575"/>
      <c r="D2881" s="616"/>
      <c r="E2881" s="616"/>
      <c r="F2881" s="616"/>
      <c r="G2881" s="616"/>
      <c r="H2881" s="616"/>
      <c r="I2881" s="616"/>
      <c r="J2881" s="645"/>
      <c r="K2881" s="450"/>
      <c r="L2881" s="450"/>
      <c r="M2881" s="458"/>
      <c r="N2881" s="458"/>
      <c r="O2881" s="458"/>
      <c r="P2881" s="454"/>
    </row>
    <row r="2882" spans="3:26" ht="36" customHeight="1" x14ac:dyDescent="0.45">
      <c r="D2882" s="637" t="str">
        <f>IF((Y2882+Z2882)=3,"Operating profit/(loss)",(IF((Y2882+Z2882=4),"Operating profit","Operating loss")))</f>
        <v>Operating profit</v>
      </c>
      <c r="E2882" s="616"/>
      <c r="F2882" s="616"/>
      <c r="G2882" s="616"/>
      <c r="H2882" s="616"/>
      <c r="I2882" s="616"/>
      <c r="J2882" s="645"/>
      <c r="K2882" s="450"/>
      <c r="L2882" s="450"/>
      <c r="M2882" s="458">
        <f>SUM(S2814:S2880)</f>
        <v>0</v>
      </c>
      <c r="N2882" s="458"/>
      <c r="O2882" s="458">
        <f>SUM(U2814:U2880)</f>
        <v>0</v>
      </c>
      <c r="P2882" s="454"/>
      <c r="Y2882" s="491">
        <f>IF(M2882&lt;0,1,IF(M2882=0,IF(O2882&lt;0,1,2),2))</f>
        <v>2</v>
      </c>
      <c r="Z2882" s="491">
        <f>IF(O2882&lt;0,1,IF(O2882=0,IF(M2882&lt;0,1,2),2))</f>
        <v>2</v>
      </c>
    </row>
    <row r="2883" spans="3:26" ht="36" customHeight="1" x14ac:dyDescent="0.45">
      <c r="C2883" s="575"/>
      <c r="D2883" s="616"/>
      <c r="E2883" s="616" t="s">
        <v>289</v>
      </c>
      <c r="F2883" s="616"/>
      <c r="G2883" s="616"/>
      <c r="H2883" s="616"/>
      <c r="I2883" s="616"/>
      <c r="J2883" s="645"/>
      <c r="K2883" s="450"/>
      <c r="L2883" s="450"/>
      <c r="M2883" s="458"/>
      <c r="N2883" s="458"/>
      <c r="O2883" s="458"/>
      <c r="P2883" s="454"/>
    </row>
    <row r="2884" spans="3:26" ht="36" customHeight="1" x14ac:dyDescent="0.45">
      <c r="C2884" s="575"/>
      <c r="D2884" s="616"/>
      <c r="E2884" s="616"/>
      <c r="F2884" s="616"/>
      <c r="G2884" s="616"/>
      <c r="H2884" s="616"/>
      <c r="I2884" s="616"/>
      <c r="J2884" s="645"/>
      <c r="K2884" s="450"/>
      <c r="L2884" s="450"/>
      <c r="M2884" s="458"/>
      <c r="N2884" s="458"/>
      <c r="O2884" s="458"/>
      <c r="P2884" s="454"/>
    </row>
    <row r="2885" spans="3:26" ht="36" customHeight="1" x14ac:dyDescent="0.45">
      <c r="C2885" s="575"/>
      <c r="D2885" s="616"/>
      <c r="E2885" s="616"/>
      <c r="F2885" s="616"/>
      <c r="G2885" s="616"/>
      <c r="H2885" s="616"/>
      <c r="I2885" s="616"/>
      <c r="J2885" s="645"/>
      <c r="K2885" s="450"/>
      <c r="L2885" s="450"/>
      <c r="M2885" s="458"/>
      <c r="N2885" s="458"/>
      <c r="O2885" s="458"/>
      <c r="P2885" s="454"/>
    </row>
    <row r="2886" spans="3:26" ht="36" customHeight="1" x14ac:dyDescent="0.45">
      <c r="C2886" s="575"/>
      <c r="D2886" s="616"/>
      <c r="E2886" s="616"/>
      <c r="F2886" s="616"/>
      <c r="G2886" s="616"/>
      <c r="H2886" s="616"/>
      <c r="I2886" s="616"/>
      <c r="J2886" s="645"/>
      <c r="K2886" s="450"/>
      <c r="L2886" s="450"/>
      <c r="M2886" s="475"/>
      <c r="N2886" s="475"/>
      <c r="O2886" s="475"/>
      <c r="P2886" s="521"/>
    </row>
    <row r="2887" spans="3:26" ht="36" customHeight="1" x14ac:dyDescent="0.45">
      <c r="C2887" s="575"/>
      <c r="D2887" s="616"/>
      <c r="E2887" s="616"/>
      <c r="F2887" s="616"/>
      <c r="G2887" s="616"/>
      <c r="H2887" s="616"/>
      <c r="I2887" s="616"/>
      <c r="J2887" s="645"/>
      <c r="K2887" s="450"/>
      <c r="L2887" s="450"/>
      <c r="M2887" s="458"/>
      <c r="N2887" s="458"/>
      <c r="O2887" s="458"/>
      <c r="P2887" s="454"/>
    </row>
    <row r="2888" spans="3:26" ht="36" customHeight="1" x14ac:dyDescent="0.45">
      <c r="C2888" s="575"/>
      <c r="D2888" s="616"/>
      <c r="E2888" s="616"/>
      <c r="F2888" s="616"/>
      <c r="G2888" s="616"/>
      <c r="H2888" s="616"/>
      <c r="I2888" s="616"/>
      <c r="J2888" s="645"/>
      <c r="K2888" s="450"/>
      <c r="L2888" s="450"/>
      <c r="M2888" s="458"/>
      <c r="N2888" s="458"/>
      <c r="O2888" s="458" t="s">
        <v>112</v>
      </c>
      <c r="P2888" s="454"/>
      <c r="Q2888" s="450">
        <f>MAX($Q$103:Q2887)+1</f>
        <v>76</v>
      </c>
    </row>
    <row r="2889" spans="3:26" ht="36" customHeight="1" x14ac:dyDescent="0.45">
      <c r="C2889" s="575"/>
      <c r="D2889" s="615" t="str">
        <f>Criteria!E9</f>
        <v>ABC COMPANY (PROPRIETARY) LIMITED</v>
      </c>
      <c r="E2889" s="616"/>
      <c r="F2889" s="616"/>
      <c r="G2889" s="616"/>
      <c r="H2889" s="616"/>
      <c r="I2889" s="616"/>
      <c r="J2889" s="645"/>
      <c r="K2889" s="450"/>
      <c r="L2889" s="450"/>
      <c r="M2889" s="458"/>
      <c r="N2889" s="458"/>
      <c r="O2889" s="540"/>
    </row>
    <row r="2890" spans="3:26" ht="36" customHeight="1" x14ac:dyDescent="0.45">
      <c r="C2890" s="575"/>
      <c r="D2890" s="615" t="str">
        <f>IF(Criteria!E13=0," ",CONCATENATE("T/A ",Criteria!E13))</f>
        <v>T/A SEAFRONT HOTEL</v>
      </c>
      <c r="E2890" s="616"/>
      <c r="F2890" s="616"/>
      <c r="G2890" s="616"/>
      <c r="H2890" s="616"/>
      <c r="I2890" s="616"/>
      <c r="J2890" s="645"/>
      <c r="K2890" s="450"/>
      <c r="L2890" s="450"/>
      <c r="M2890" s="458"/>
      <c r="N2890" s="458"/>
      <c r="O2890" s="458"/>
      <c r="P2890" s="454"/>
      <c r="R2890" s="490" t="str">
        <f>IF(Criteria!E13=0,"DELETE"," ")</f>
        <v xml:space="preserve"> </v>
      </c>
    </row>
    <row r="2891" spans="3:26" ht="36" customHeight="1" x14ac:dyDescent="0.45">
      <c r="C2891" s="575"/>
      <c r="D2891" s="616"/>
      <c r="E2891" s="616"/>
      <c r="F2891" s="616"/>
      <c r="G2891" s="616"/>
      <c r="H2891" s="616"/>
      <c r="I2891" s="616"/>
      <c r="J2891" s="645"/>
      <c r="K2891" s="450"/>
      <c r="L2891" s="450"/>
      <c r="M2891" s="458"/>
      <c r="N2891" s="458"/>
      <c r="O2891" s="458"/>
      <c r="P2891" s="454"/>
    </row>
    <row r="2892" spans="3:26" ht="36" customHeight="1" x14ac:dyDescent="0.45">
      <c r="C2892" s="575"/>
      <c r="D2892" s="615" t="s">
        <v>109</v>
      </c>
      <c r="E2892" s="616"/>
      <c r="F2892" s="616"/>
      <c r="G2892" s="616"/>
      <c r="H2892" s="616"/>
      <c r="I2892" s="616"/>
      <c r="J2892" s="645"/>
      <c r="K2892" s="450"/>
      <c r="L2892" s="450"/>
      <c r="M2892" s="458"/>
      <c r="N2892" s="458"/>
      <c r="O2892" s="458"/>
      <c r="P2892" s="454"/>
    </row>
    <row r="2893" spans="3:26" ht="36" customHeight="1" x14ac:dyDescent="0.45">
      <c r="C2893" s="575"/>
      <c r="D2893" s="615" t="str">
        <f>D2809</f>
        <v>28 FEBRUARY 2026</v>
      </c>
      <c r="E2893" s="616"/>
      <c r="F2893" s="616"/>
      <c r="G2893" s="616"/>
      <c r="H2893" s="616"/>
      <c r="I2893" s="616"/>
      <c r="J2893" s="616" t="s">
        <v>118</v>
      </c>
      <c r="K2893" s="450"/>
      <c r="L2893" s="450"/>
      <c r="M2893" s="458"/>
      <c r="N2893" s="458"/>
      <c r="O2893" s="458"/>
      <c r="P2893" s="454"/>
    </row>
    <row r="2894" spans="3:26" ht="36" customHeight="1" x14ac:dyDescent="0.45">
      <c r="C2894" s="575"/>
      <c r="D2894" s="616"/>
      <c r="E2894" s="616"/>
      <c r="F2894" s="616"/>
      <c r="G2894" s="616"/>
      <c r="H2894" s="616"/>
      <c r="I2894" s="616"/>
      <c r="J2894" s="645"/>
      <c r="K2894" s="467"/>
      <c r="L2894" s="467"/>
      <c r="M2894" s="461"/>
      <c r="N2894" s="461"/>
      <c r="O2894" s="461"/>
      <c r="P2894" s="454"/>
    </row>
    <row r="2895" spans="3:26" ht="36" customHeight="1" x14ac:dyDescent="0.45">
      <c r="C2895" s="575"/>
      <c r="D2895" s="634"/>
      <c r="E2895" s="634"/>
      <c r="F2895" s="634"/>
      <c r="G2895" s="634"/>
      <c r="H2895" s="634"/>
      <c r="I2895" s="634"/>
      <c r="J2895" s="647"/>
      <c r="M2895" s="541"/>
      <c r="N2895" s="541"/>
      <c r="O2895" s="541"/>
      <c r="P2895" s="486"/>
      <c r="Q2895" s="457"/>
    </row>
    <row r="2896" spans="3:26" ht="36" customHeight="1" x14ac:dyDescent="0.45">
      <c r="C2896" s="575"/>
      <c r="D2896" s="616"/>
      <c r="E2896" s="616"/>
      <c r="F2896" s="616"/>
      <c r="G2896" s="616"/>
      <c r="H2896" s="616"/>
      <c r="I2896" s="616"/>
      <c r="J2896" s="645"/>
      <c r="K2896" s="450" t="s">
        <v>1494</v>
      </c>
      <c r="L2896" s="450"/>
      <c r="M2896" s="453">
        <f>Criteria!E22</f>
        <v>2026</v>
      </c>
      <c r="N2896" s="453"/>
      <c r="O2896" s="453">
        <f>Criteria!E27</f>
        <v>2025</v>
      </c>
      <c r="P2896" s="454"/>
    </row>
    <row r="2897" spans="3:26" ht="36" customHeight="1" x14ac:dyDescent="0.45">
      <c r="C2897" s="575"/>
      <c r="D2897" s="616"/>
      <c r="E2897" s="616"/>
      <c r="F2897" s="616"/>
      <c r="G2897" s="616"/>
      <c r="H2897" s="616"/>
      <c r="I2897" s="616"/>
      <c r="J2897" s="645"/>
      <c r="K2897" s="450"/>
      <c r="L2897" s="450"/>
      <c r="M2897" s="458"/>
      <c r="N2897" s="458"/>
      <c r="O2897" s="458"/>
      <c r="P2897" s="454"/>
    </row>
    <row r="2898" spans="3:26" ht="36" customHeight="1" x14ac:dyDescent="0.45">
      <c r="D2898" s="637" t="str">
        <f>IF((Y2898+Z2898)=3,"Operating profit/(loss)",(IF((Y2898+Z2898=4),"Operating profit","Operating loss")))</f>
        <v>Operating profit</v>
      </c>
      <c r="E2898" s="616"/>
      <c r="F2898" s="616"/>
      <c r="G2898" s="616"/>
      <c r="H2898" s="616"/>
      <c r="I2898" s="616"/>
      <c r="J2898" s="645"/>
      <c r="K2898" s="450"/>
      <c r="L2898" s="450"/>
      <c r="M2898" s="458">
        <f>SUM(S2814:S2879)</f>
        <v>0</v>
      </c>
      <c r="N2898" s="458"/>
      <c r="O2898" s="458">
        <f>SUM(U2814:U2879)</f>
        <v>0</v>
      </c>
      <c r="P2898" s="454"/>
      <c r="V2898" s="491" t="b">
        <f>M2898=M2882</f>
        <v>1</v>
      </c>
      <c r="X2898" s="491" t="b">
        <f>O2898=O2882</f>
        <v>1</v>
      </c>
      <c r="Y2898" s="491">
        <f>IF(M2898&lt;0,1,IF(M2898=0,IF(O2898&lt;0,1,2),2))</f>
        <v>2</v>
      </c>
      <c r="Z2898" s="491">
        <f>IF(O2898&lt;0,1,IF(O2898=0,IF(M2898&lt;0,1,2),2))</f>
        <v>2</v>
      </c>
    </row>
    <row r="2899" spans="3:26" ht="36" customHeight="1" x14ac:dyDescent="0.45">
      <c r="C2899" s="575"/>
      <c r="D2899" s="616"/>
      <c r="E2899" s="616" t="s">
        <v>290</v>
      </c>
      <c r="F2899" s="616"/>
      <c r="G2899" s="616"/>
      <c r="H2899" s="616"/>
      <c r="I2899" s="616"/>
      <c r="J2899" s="645"/>
      <c r="K2899" s="450"/>
      <c r="L2899" s="450"/>
      <c r="M2899" s="458"/>
      <c r="N2899" s="458"/>
      <c r="O2899" s="458"/>
      <c r="P2899" s="454"/>
    </row>
    <row r="2900" spans="3:26" ht="36" customHeight="1" x14ac:dyDescent="0.45">
      <c r="C2900" s="575"/>
      <c r="D2900" s="616"/>
      <c r="E2900" s="616"/>
      <c r="F2900" s="616"/>
      <c r="G2900" s="616"/>
      <c r="H2900" s="616"/>
      <c r="I2900" s="616"/>
      <c r="J2900" s="645"/>
      <c r="K2900" s="450"/>
      <c r="L2900" s="450"/>
      <c r="M2900" s="458"/>
      <c r="N2900" s="458"/>
      <c r="O2900" s="458"/>
      <c r="P2900" s="454"/>
    </row>
    <row r="2901" spans="3:26" ht="36" customHeight="1" x14ac:dyDescent="0.45">
      <c r="D2901" s="615" t="s">
        <v>1533</v>
      </c>
      <c r="E2901" s="616"/>
      <c r="F2901" s="616"/>
      <c r="G2901" s="616"/>
      <c r="H2901" s="616"/>
      <c r="I2901" s="616"/>
      <c r="J2901" s="645"/>
      <c r="K2901" s="450"/>
      <c r="L2901" s="450"/>
      <c r="M2901" s="458">
        <f>SUM(M2904:M2938)</f>
        <v>0</v>
      </c>
      <c r="N2901" s="458"/>
      <c r="O2901" s="458">
        <f>SUM(O2904:O2938)</f>
        <v>0</v>
      </c>
      <c r="P2901" s="454"/>
      <c r="R2901" s="490" t="str">
        <f>IF(M2901+O2901=0,"DELETE"," ")</f>
        <v>DELETE</v>
      </c>
      <c r="S2901" s="495">
        <f>-M2901</f>
        <v>0</v>
      </c>
      <c r="T2901" s="495"/>
      <c r="U2901" s="495">
        <f>-O2901</f>
        <v>0</v>
      </c>
      <c r="V2901" s="495"/>
      <c r="W2901" s="495"/>
      <c r="X2901" s="495"/>
    </row>
    <row r="2902" spans="3:26" ht="9" customHeight="1" x14ac:dyDescent="0.45">
      <c r="C2902" s="575"/>
      <c r="D2902" s="616"/>
      <c r="E2902" s="616"/>
      <c r="F2902" s="616"/>
      <c r="G2902" s="616"/>
      <c r="H2902" s="616"/>
      <c r="I2902" s="616"/>
      <c r="J2902" s="645"/>
      <c r="K2902" s="450"/>
      <c r="L2902" s="450"/>
      <c r="M2902" s="458"/>
      <c r="N2902" s="458"/>
      <c r="O2902" s="458"/>
      <c r="P2902" s="454"/>
      <c r="R2902" s="490" t="str">
        <f>R2901</f>
        <v>DELETE</v>
      </c>
    </row>
    <row r="2903" spans="3:26" ht="9" customHeight="1" x14ac:dyDescent="0.45">
      <c r="C2903" s="575"/>
      <c r="D2903" s="616"/>
      <c r="E2903" s="616"/>
      <c r="F2903" s="616"/>
      <c r="G2903" s="616"/>
      <c r="H2903" s="616"/>
      <c r="I2903" s="616"/>
      <c r="J2903" s="645"/>
      <c r="K2903" s="450"/>
      <c r="L2903" s="450"/>
      <c r="M2903" s="578"/>
      <c r="N2903" s="459"/>
      <c r="O2903" s="579"/>
      <c r="P2903" s="454"/>
      <c r="R2903" s="490" t="str">
        <f>R2902</f>
        <v>DELETE</v>
      </c>
    </row>
    <row r="2904" spans="3:26" ht="36" customHeight="1" x14ac:dyDescent="0.45">
      <c r="C2904" s="575"/>
      <c r="D2904" s="616" t="s">
        <v>233</v>
      </c>
      <c r="E2904" s="616"/>
      <c r="F2904" s="616"/>
      <c r="G2904" s="616"/>
      <c r="H2904" s="616"/>
      <c r="I2904" s="616"/>
      <c r="J2904" s="645"/>
      <c r="K2904" s="450"/>
      <c r="L2904" s="450"/>
      <c r="M2904" s="580">
        <f>SUM(TrialBalance!L102:L102)</f>
        <v>0</v>
      </c>
      <c r="N2904" s="458"/>
      <c r="O2904" s="581">
        <f>SUM(TrialBalance!N102:N102)</f>
        <v>0</v>
      </c>
      <c r="P2904" s="454"/>
      <c r="R2904" s="490" t="str">
        <f t="shared" ref="R2904:R2931" si="166">IF(M2904+O2904=0,"DELETE"," ")</f>
        <v>DELETE</v>
      </c>
    </row>
    <row r="2905" spans="3:26" ht="36" customHeight="1" x14ac:dyDescent="0.45">
      <c r="C2905" s="575"/>
      <c r="D2905" s="616" t="s">
        <v>729</v>
      </c>
      <c r="E2905" s="616"/>
      <c r="F2905" s="616"/>
      <c r="G2905" s="616"/>
      <c r="H2905" s="616"/>
      <c r="I2905" s="616"/>
      <c r="J2905" s="645"/>
      <c r="K2905" s="450"/>
      <c r="L2905" s="450"/>
      <c r="M2905" s="580">
        <f>SUM(TrialBalance!L99:L101)</f>
        <v>0</v>
      </c>
      <c r="N2905" s="458"/>
      <c r="O2905" s="581">
        <f>SUM(TrialBalance!N99:N101)</f>
        <v>0</v>
      </c>
      <c r="P2905" s="454"/>
      <c r="R2905" s="490" t="str">
        <f t="shared" si="166"/>
        <v>DELETE</v>
      </c>
    </row>
    <row r="2906" spans="3:26" ht="36" customHeight="1" x14ac:dyDescent="0.45">
      <c r="C2906" s="575"/>
      <c r="D2906" s="616" t="s">
        <v>237</v>
      </c>
      <c r="E2906" s="616"/>
      <c r="F2906" s="616"/>
      <c r="G2906" s="616"/>
      <c r="H2906" s="616"/>
      <c r="I2906" s="616"/>
      <c r="J2906" s="645"/>
      <c r="K2906" s="450"/>
      <c r="L2906" s="450"/>
      <c r="M2906" s="580">
        <f>TrialBalance!L104</f>
        <v>0</v>
      </c>
      <c r="N2906" s="458"/>
      <c r="O2906" s="581">
        <f>TrialBalance!N104</f>
        <v>0</v>
      </c>
      <c r="P2906" s="454"/>
      <c r="R2906" s="490" t="str">
        <f t="shared" ref="R2906" si="167">IF(M2906+O2906=0,"DELETE"," ")</f>
        <v>DELETE</v>
      </c>
    </row>
    <row r="2907" spans="3:26" ht="36" customHeight="1" x14ac:dyDescent="0.45">
      <c r="C2907" s="575"/>
      <c r="D2907" s="616" t="s">
        <v>235</v>
      </c>
      <c r="E2907" s="616"/>
      <c r="F2907" s="616"/>
      <c r="G2907" s="616"/>
      <c r="H2907" s="616"/>
      <c r="I2907" s="616"/>
      <c r="J2907" s="645"/>
      <c r="K2907" s="450"/>
      <c r="L2907" s="450"/>
      <c r="M2907" s="580">
        <f>TrialBalance!L103</f>
        <v>0</v>
      </c>
      <c r="N2907" s="458"/>
      <c r="O2907" s="581">
        <f>TrialBalance!N103</f>
        <v>0</v>
      </c>
      <c r="P2907" s="454"/>
      <c r="R2907" s="490" t="str">
        <f t="shared" si="166"/>
        <v>DELETE</v>
      </c>
    </row>
    <row r="2908" spans="3:26" ht="36" customHeight="1" x14ac:dyDescent="0.45">
      <c r="C2908" s="575"/>
      <c r="D2908" s="616" t="s">
        <v>291</v>
      </c>
      <c r="E2908" s="616"/>
      <c r="F2908" s="616"/>
      <c r="G2908" s="616"/>
      <c r="H2908" s="616"/>
      <c r="I2908" s="616"/>
      <c r="J2908" s="645"/>
      <c r="K2908" s="450"/>
      <c r="L2908" s="450"/>
      <c r="M2908" s="580">
        <f>TrialBalance!L105</f>
        <v>0</v>
      </c>
      <c r="N2908" s="458"/>
      <c r="O2908" s="581">
        <f>TrialBalance!N105</f>
        <v>0</v>
      </c>
      <c r="P2908" s="454"/>
      <c r="R2908" s="490" t="str">
        <f t="shared" si="166"/>
        <v>DELETE</v>
      </c>
    </row>
    <row r="2909" spans="3:26" ht="36" customHeight="1" x14ac:dyDescent="0.45">
      <c r="C2909" s="575"/>
      <c r="D2909" s="616" t="s">
        <v>240</v>
      </c>
      <c r="E2909" s="616"/>
      <c r="F2909" s="616"/>
      <c r="G2909" s="616"/>
      <c r="H2909" s="616"/>
      <c r="I2909" s="616"/>
      <c r="J2909" s="645"/>
      <c r="K2909" s="450"/>
      <c r="L2909" s="450"/>
      <c r="M2909" s="580">
        <f>TrialBalance!L106</f>
        <v>0</v>
      </c>
      <c r="N2909" s="458"/>
      <c r="O2909" s="581">
        <f>TrialBalance!N106</f>
        <v>0</v>
      </c>
      <c r="P2909" s="454"/>
      <c r="R2909" s="490" t="str">
        <f t="shared" si="166"/>
        <v>DELETE</v>
      </c>
    </row>
    <row r="2910" spans="3:26" ht="36" customHeight="1" x14ac:dyDescent="0.45">
      <c r="C2910" s="575"/>
      <c r="D2910" s="616" t="s">
        <v>873</v>
      </c>
      <c r="E2910" s="616"/>
      <c r="F2910" s="616"/>
      <c r="G2910" s="616"/>
      <c r="H2910" s="616"/>
      <c r="I2910" s="616"/>
      <c r="J2910" s="645"/>
      <c r="K2910" s="450"/>
      <c r="L2910" s="450"/>
      <c r="M2910" s="580">
        <f>TrialBalance!L107</f>
        <v>0</v>
      </c>
      <c r="N2910" s="458"/>
      <c r="O2910" s="581">
        <f>TrialBalance!N107</f>
        <v>0</v>
      </c>
      <c r="P2910" s="454"/>
      <c r="R2910" s="490" t="str">
        <f t="shared" ref="R2910" si="168">IF(M2910+O2910=0,"DELETE"," ")</f>
        <v>DELETE</v>
      </c>
    </row>
    <row r="2911" spans="3:26" ht="36" customHeight="1" x14ac:dyDescent="0.45">
      <c r="C2911" s="575"/>
      <c r="D2911" s="616" t="s">
        <v>1759</v>
      </c>
      <c r="E2911" s="616"/>
      <c r="F2911" s="616"/>
      <c r="G2911" s="616"/>
      <c r="H2911" s="616"/>
      <c r="I2911" s="616"/>
      <c r="J2911" s="645"/>
      <c r="K2911" s="450"/>
      <c r="L2911" s="450"/>
      <c r="M2911" s="580">
        <f>TrialBalance!L108</f>
        <v>0</v>
      </c>
      <c r="N2911" s="458"/>
      <c r="O2911" s="581">
        <f>TrialBalance!N108</f>
        <v>0</v>
      </c>
      <c r="P2911" s="454"/>
      <c r="R2911" s="490" t="str">
        <f t="shared" ref="R2911" si="169">IF(M2911+O2911=0,"DELETE"," ")</f>
        <v>DELETE</v>
      </c>
    </row>
    <row r="2912" spans="3:26" ht="36" customHeight="1" x14ac:dyDescent="0.45">
      <c r="C2912" s="575"/>
      <c r="D2912" s="616" t="s">
        <v>304</v>
      </c>
      <c r="E2912" s="616"/>
      <c r="F2912" s="616"/>
      <c r="G2912" s="616"/>
      <c r="H2912" s="616"/>
      <c r="I2912" s="616"/>
      <c r="J2912" s="645"/>
      <c r="K2912" s="450">
        <f>B$1250</f>
        <v>5</v>
      </c>
      <c r="L2912" s="450"/>
      <c r="M2912" s="580">
        <f>SUM(TrialBalance!L110:L111)</f>
        <v>0</v>
      </c>
      <c r="N2912" s="458"/>
      <c r="O2912" s="581">
        <f>SUM(TrialBalance!N110:N111)</f>
        <v>0</v>
      </c>
      <c r="P2912" s="454"/>
      <c r="R2912" s="490" t="str">
        <f t="shared" si="166"/>
        <v>DELETE</v>
      </c>
    </row>
    <row r="2913" spans="3:18" ht="36" customHeight="1" x14ac:dyDescent="0.45">
      <c r="C2913" s="575"/>
      <c r="D2913" s="616" t="str">
        <f>IF(MAX(Criteria!I41:I45)&gt;1,"Directors' remuneration","Director's remuneration")</f>
        <v>Directors' remuneration</v>
      </c>
      <c r="E2913" s="616"/>
      <c r="F2913" s="616"/>
      <c r="G2913" s="616"/>
      <c r="H2913" s="616"/>
      <c r="I2913" s="616"/>
      <c r="J2913" s="645"/>
      <c r="K2913" s="450">
        <f>B$1250</f>
        <v>5</v>
      </c>
      <c r="L2913" s="450"/>
      <c r="M2913" s="580">
        <f>SUM(TrialBalance!L113:L117)</f>
        <v>0</v>
      </c>
      <c r="N2913" s="458"/>
      <c r="O2913" s="581">
        <f>SUM(TrialBalance!N113:N117)</f>
        <v>0</v>
      </c>
      <c r="P2913" s="454"/>
      <c r="R2913" s="490" t="str">
        <f t="shared" si="166"/>
        <v>DELETE</v>
      </c>
    </row>
    <row r="2914" spans="3:18" ht="36" customHeight="1" x14ac:dyDescent="0.45">
      <c r="C2914" s="575"/>
      <c r="D2914" s="616" t="s">
        <v>292</v>
      </c>
      <c r="E2914" s="616"/>
      <c r="F2914" s="616"/>
      <c r="G2914" s="616"/>
      <c r="H2914" s="616"/>
      <c r="I2914" s="616"/>
      <c r="J2914" s="645"/>
      <c r="K2914" s="450"/>
      <c r="L2914" s="450"/>
      <c r="M2914" s="580">
        <f>TrialBalance!L118</f>
        <v>0</v>
      </c>
      <c r="N2914" s="458"/>
      <c r="O2914" s="581">
        <f>TrialBalance!N118</f>
        <v>0</v>
      </c>
      <c r="P2914" s="454"/>
      <c r="R2914" s="490" t="str">
        <f t="shared" si="166"/>
        <v>DELETE</v>
      </c>
    </row>
    <row r="2915" spans="3:18" ht="36" customHeight="1" x14ac:dyDescent="0.45">
      <c r="C2915" s="575"/>
      <c r="D2915" s="616" t="s">
        <v>408</v>
      </c>
      <c r="E2915" s="616"/>
      <c r="F2915" s="616"/>
      <c r="G2915" s="616"/>
      <c r="H2915" s="616"/>
      <c r="I2915" s="616"/>
      <c r="J2915" s="645"/>
      <c r="K2915" s="450"/>
      <c r="L2915" s="450"/>
      <c r="M2915" s="580">
        <f>TrialBalance!L119</f>
        <v>0</v>
      </c>
      <c r="N2915" s="458"/>
      <c r="O2915" s="581">
        <f>TrialBalance!N119</f>
        <v>0</v>
      </c>
      <c r="P2915" s="454"/>
      <c r="R2915" s="490" t="str">
        <f t="shared" si="166"/>
        <v>DELETE</v>
      </c>
    </row>
    <row r="2916" spans="3:18" ht="36" customHeight="1" x14ac:dyDescent="0.45">
      <c r="C2916" s="575"/>
      <c r="D2916" s="616" t="s">
        <v>357</v>
      </c>
      <c r="E2916" s="616"/>
      <c r="F2916" s="616"/>
      <c r="G2916" s="616"/>
      <c r="H2916" s="616"/>
      <c r="I2916" s="616"/>
      <c r="J2916" s="645"/>
      <c r="K2916" s="450"/>
      <c r="L2916" s="450"/>
      <c r="M2916" s="580">
        <f>TrialBalance!L120</f>
        <v>0</v>
      </c>
      <c r="N2916" s="458"/>
      <c r="O2916" s="581">
        <f>TrialBalance!N120</f>
        <v>0</v>
      </c>
      <c r="P2916" s="454"/>
      <c r="R2916" s="490" t="str">
        <f t="shared" ref="R2916" si="170">IF(M2916+O2916=0,"DELETE"," ")</f>
        <v>DELETE</v>
      </c>
    </row>
    <row r="2917" spans="3:18" ht="36" customHeight="1" x14ac:dyDescent="0.45">
      <c r="C2917" s="575"/>
      <c r="D2917" s="616" t="s">
        <v>410</v>
      </c>
      <c r="E2917" s="616"/>
      <c r="F2917" s="616"/>
      <c r="G2917" s="616"/>
      <c r="H2917" s="616"/>
      <c r="I2917" s="616"/>
      <c r="J2917" s="645"/>
      <c r="K2917" s="450"/>
      <c r="L2917" s="450"/>
      <c r="M2917" s="580">
        <f>TrialBalance!L121</f>
        <v>0</v>
      </c>
      <c r="N2917" s="458"/>
      <c r="O2917" s="581">
        <f>TrialBalance!N121</f>
        <v>0</v>
      </c>
      <c r="P2917" s="454"/>
      <c r="R2917" s="490" t="str">
        <f t="shared" si="166"/>
        <v>DELETE</v>
      </c>
    </row>
    <row r="2918" spans="3:18" ht="36" customHeight="1" x14ac:dyDescent="0.45">
      <c r="C2918" s="575"/>
      <c r="D2918" s="616" t="str">
        <f>TrialBalance!C156</f>
        <v>Impairment losses</v>
      </c>
      <c r="E2918" s="616"/>
      <c r="F2918" s="616"/>
      <c r="G2918" s="616"/>
      <c r="H2918" s="616"/>
      <c r="I2918" s="616"/>
      <c r="J2918" s="645"/>
      <c r="K2918" s="450"/>
      <c r="L2918" s="450"/>
      <c r="M2918" s="580">
        <f>TrialBalance!L156</f>
        <v>0</v>
      </c>
      <c r="N2918" s="458"/>
      <c r="O2918" s="581">
        <f>TrialBalance!N156</f>
        <v>0</v>
      </c>
      <c r="P2918" s="454"/>
      <c r="R2918" s="490" t="str">
        <f t="shared" ref="R2918" si="171">IF(M2918+O2918=0,"DELETE"," ")</f>
        <v>DELETE</v>
      </c>
    </row>
    <row r="2919" spans="3:18" ht="36" customHeight="1" x14ac:dyDescent="0.45">
      <c r="C2919" s="575"/>
      <c r="D2919" s="616" t="s">
        <v>561</v>
      </c>
      <c r="E2919" s="616"/>
      <c r="F2919" s="616"/>
      <c r="G2919" s="616"/>
      <c r="H2919" s="616"/>
      <c r="I2919" s="616"/>
      <c r="J2919" s="645"/>
      <c r="K2919" s="450"/>
      <c r="L2919" s="450"/>
      <c r="M2919" s="580">
        <f>TrialBalance!L122+TrialBalance!L123</f>
        <v>0</v>
      </c>
      <c r="N2919" s="458"/>
      <c r="O2919" s="581">
        <f>TrialBalance!N122+TrialBalance!N123</f>
        <v>0</v>
      </c>
      <c r="P2919" s="454"/>
      <c r="R2919" s="490" t="str">
        <f t="shared" si="166"/>
        <v>DELETE</v>
      </c>
    </row>
    <row r="2920" spans="3:18" ht="36" customHeight="1" x14ac:dyDescent="0.45">
      <c r="C2920" s="575"/>
      <c r="D2920" s="616" t="s">
        <v>588</v>
      </c>
      <c r="E2920" s="616"/>
      <c r="F2920" s="616"/>
      <c r="G2920" s="616"/>
      <c r="H2920" s="616"/>
      <c r="I2920" s="616"/>
      <c r="J2920" s="645"/>
      <c r="K2920" s="450"/>
      <c r="L2920" s="450"/>
      <c r="M2920" s="580">
        <f>IF(TrialBalance!L94&gt;0,TrialBalance!L94,0)</f>
        <v>0</v>
      </c>
      <c r="N2920" s="458"/>
      <c r="O2920" s="581">
        <f>IF(TrialBalance!N94&gt;0,TrialBalance!N94,0)</f>
        <v>0</v>
      </c>
      <c r="P2920" s="454"/>
      <c r="R2920" s="490" t="str">
        <f t="shared" ref="R2920" si="172">IF(M2920+O2920=0,"DELETE"," ")</f>
        <v>DELETE</v>
      </c>
    </row>
    <row r="2921" spans="3:18" ht="36" customHeight="1" x14ac:dyDescent="0.45">
      <c r="C2921" s="575"/>
      <c r="D2921" s="616" t="s">
        <v>874</v>
      </c>
      <c r="E2921" s="616"/>
      <c r="F2921" s="616"/>
      <c r="G2921" s="616"/>
      <c r="H2921" s="616"/>
      <c r="I2921" s="616"/>
      <c r="J2921" s="645"/>
      <c r="K2921" s="450"/>
      <c r="L2921" s="450"/>
      <c r="M2921" s="580">
        <f>TrialBalance!L124</f>
        <v>0</v>
      </c>
      <c r="N2921" s="458"/>
      <c r="O2921" s="581">
        <f>TrialBalance!N124</f>
        <v>0</v>
      </c>
      <c r="P2921" s="454"/>
      <c r="R2921" s="490" t="str">
        <f t="shared" si="166"/>
        <v>DELETE</v>
      </c>
    </row>
    <row r="2922" spans="3:18" ht="36" customHeight="1" x14ac:dyDescent="0.45">
      <c r="C2922" s="575"/>
      <c r="D2922" s="616" t="s">
        <v>293</v>
      </c>
      <c r="E2922" s="616"/>
      <c r="F2922" s="616"/>
      <c r="G2922" s="616"/>
      <c r="H2922" s="616"/>
      <c r="I2922" s="616"/>
      <c r="J2922" s="645"/>
      <c r="K2922" s="450"/>
      <c r="L2922" s="450"/>
      <c r="M2922" s="580">
        <f>TrialBalance!L125</f>
        <v>0</v>
      </c>
      <c r="N2922" s="458"/>
      <c r="O2922" s="581">
        <f>TrialBalance!N125</f>
        <v>0</v>
      </c>
      <c r="P2922" s="454"/>
      <c r="R2922" s="490" t="str">
        <f t="shared" si="166"/>
        <v>DELETE</v>
      </c>
    </row>
    <row r="2923" spans="3:18" ht="36" customHeight="1" x14ac:dyDescent="0.45">
      <c r="C2923" s="575"/>
      <c r="D2923" s="616" t="s">
        <v>286</v>
      </c>
      <c r="E2923" s="616"/>
      <c r="F2923" s="616"/>
      <c r="G2923" s="616"/>
      <c r="H2923" s="616"/>
      <c r="I2923" s="616"/>
      <c r="J2923" s="645"/>
      <c r="K2923" s="450"/>
      <c r="L2923" s="450"/>
      <c r="M2923" s="580">
        <f>SUM(TrialBalance!L126:L127)</f>
        <v>0</v>
      </c>
      <c r="N2923" s="458"/>
      <c r="O2923" s="581">
        <f>SUM(TrialBalance!N126:N127)</f>
        <v>0</v>
      </c>
      <c r="P2923" s="454"/>
      <c r="R2923" s="490" t="str">
        <f t="shared" si="166"/>
        <v>DELETE</v>
      </c>
    </row>
    <row r="2924" spans="3:18" ht="36" customHeight="1" x14ac:dyDescent="0.45">
      <c r="C2924" s="575"/>
      <c r="D2924" s="616" t="s">
        <v>294</v>
      </c>
      <c r="E2924" s="616"/>
      <c r="F2924" s="616"/>
      <c r="G2924" s="616"/>
      <c r="H2924" s="616"/>
      <c r="I2924" s="616"/>
      <c r="J2924" s="645"/>
      <c r="K2924" s="450"/>
      <c r="L2924" s="450"/>
      <c r="M2924" s="580">
        <f>TrialBalance!L128</f>
        <v>0</v>
      </c>
      <c r="N2924" s="458"/>
      <c r="O2924" s="581">
        <f>TrialBalance!N128</f>
        <v>0</v>
      </c>
      <c r="P2924" s="454"/>
      <c r="R2924" s="490" t="str">
        <f t="shared" si="166"/>
        <v>DELETE</v>
      </c>
    </row>
    <row r="2925" spans="3:18" ht="36" customHeight="1" x14ac:dyDescent="0.45">
      <c r="C2925" s="575"/>
      <c r="D2925" s="616" t="s">
        <v>875</v>
      </c>
      <c r="E2925" s="616"/>
      <c r="F2925" s="616"/>
      <c r="G2925" s="616"/>
      <c r="H2925" s="616"/>
      <c r="I2925" s="616"/>
      <c r="J2925" s="645"/>
      <c r="K2925" s="450"/>
      <c r="L2925" s="450"/>
      <c r="M2925" s="580">
        <f>TrialBalance!L129</f>
        <v>0</v>
      </c>
      <c r="N2925" s="458"/>
      <c r="O2925" s="581">
        <f>TrialBalance!N129</f>
        <v>0</v>
      </c>
      <c r="P2925" s="454"/>
      <c r="R2925" s="490" t="str">
        <f t="shared" si="166"/>
        <v>DELETE</v>
      </c>
    </row>
    <row r="2926" spans="3:18" ht="36" customHeight="1" x14ac:dyDescent="0.45">
      <c r="C2926" s="575"/>
      <c r="D2926" s="616" t="s">
        <v>94</v>
      </c>
      <c r="E2926" s="616"/>
      <c r="F2926" s="616"/>
      <c r="G2926" s="616"/>
      <c r="H2926" s="616"/>
      <c r="I2926" s="616"/>
      <c r="J2926" s="645"/>
      <c r="K2926" s="450"/>
      <c r="L2926" s="450"/>
      <c r="M2926" s="580">
        <f>TrialBalance!L130</f>
        <v>0</v>
      </c>
      <c r="N2926" s="458"/>
      <c r="O2926" s="581">
        <f>TrialBalance!N130</f>
        <v>0</v>
      </c>
      <c r="P2926" s="454"/>
      <c r="R2926" s="490" t="str">
        <f t="shared" si="166"/>
        <v>DELETE</v>
      </c>
    </row>
    <row r="2927" spans="3:18" ht="36" customHeight="1" x14ac:dyDescent="0.45">
      <c r="C2927" s="575"/>
      <c r="D2927" s="616">
        <f>TrialBalance!C131</f>
        <v>0</v>
      </c>
      <c r="E2927" s="616"/>
      <c r="F2927" s="616"/>
      <c r="G2927" s="616"/>
      <c r="H2927" s="616"/>
      <c r="I2927" s="616"/>
      <c r="J2927" s="645"/>
      <c r="K2927" s="450"/>
      <c r="L2927" s="450"/>
      <c r="M2927" s="580">
        <f>TrialBalance!L131</f>
        <v>0</v>
      </c>
      <c r="N2927" s="458"/>
      <c r="O2927" s="581">
        <f>TrialBalance!N131</f>
        <v>0</v>
      </c>
      <c r="P2927" s="454"/>
      <c r="R2927" s="490" t="str">
        <f t="shared" si="166"/>
        <v>DELETE</v>
      </c>
    </row>
    <row r="2928" spans="3:18" ht="36" customHeight="1" x14ac:dyDescent="0.45">
      <c r="C2928" s="575"/>
      <c r="D2928" s="616">
        <f>TrialBalance!C132</f>
        <v>0</v>
      </c>
      <c r="E2928" s="616"/>
      <c r="F2928" s="616"/>
      <c r="G2928" s="616"/>
      <c r="H2928" s="616"/>
      <c r="I2928" s="616"/>
      <c r="J2928" s="645"/>
      <c r="K2928" s="450"/>
      <c r="L2928" s="450"/>
      <c r="M2928" s="580">
        <f>TrialBalance!L132</f>
        <v>0</v>
      </c>
      <c r="N2928" s="458"/>
      <c r="O2928" s="581">
        <f>TrialBalance!N132</f>
        <v>0</v>
      </c>
      <c r="P2928" s="454"/>
      <c r="R2928" s="490" t="str">
        <f t="shared" si="166"/>
        <v>DELETE</v>
      </c>
    </row>
    <row r="2929" spans="3:26" ht="36" customHeight="1" x14ac:dyDescent="0.45">
      <c r="C2929" s="575"/>
      <c r="D2929" s="616">
        <f>TrialBalance!C133</f>
        <v>0</v>
      </c>
      <c r="E2929" s="616"/>
      <c r="F2929" s="616"/>
      <c r="G2929" s="616"/>
      <c r="H2929" s="616"/>
      <c r="I2929" s="616"/>
      <c r="J2929" s="645"/>
      <c r="K2929" s="450"/>
      <c r="L2929" s="450"/>
      <c r="M2929" s="580">
        <f>TrialBalance!L133</f>
        <v>0</v>
      </c>
      <c r="N2929" s="458"/>
      <c r="O2929" s="581">
        <f>TrialBalance!N133</f>
        <v>0</v>
      </c>
      <c r="P2929" s="454"/>
      <c r="R2929" s="490" t="str">
        <f>IF(M2929+O2929=0,"DELETE"," ")</f>
        <v>DELETE</v>
      </c>
    </row>
    <row r="2930" spans="3:26" ht="36" customHeight="1" x14ac:dyDescent="0.45">
      <c r="C2930" s="575"/>
      <c r="D2930" s="616">
        <f>TrialBalance!C134</f>
        <v>0</v>
      </c>
      <c r="E2930" s="616"/>
      <c r="F2930" s="616"/>
      <c r="G2930" s="616"/>
      <c r="H2930" s="616"/>
      <c r="I2930" s="616"/>
      <c r="J2930" s="645"/>
      <c r="K2930" s="450"/>
      <c r="L2930" s="450"/>
      <c r="M2930" s="580">
        <f>TrialBalance!L134</f>
        <v>0</v>
      </c>
      <c r="N2930" s="458"/>
      <c r="O2930" s="581">
        <f>TrialBalance!N134</f>
        <v>0</v>
      </c>
      <c r="P2930" s="454"/>
      <c r="R2930" s="490" t="str">
        <f t="shared" si="166"/>
        <v>DELETE</v>
      </c>
    </row>
    <row r="2931" spans="3:26" ht="36" customHeight="1" x14ac:dyDescent="0.45">
      <c r="C2931" s="575"/>
      <c r="D2931" s="616">
        <f>TrialBalance!C135</f>
        <v>0</v>
      </c>
      <c r="E2931" s="616"/>
      <c r="F2931" s="616"/>
      <c r="G2931" s="616"/>
      <c r="H2931" s="616"/>
      <c r="I2931" s="616"/>
      <c r="J2931" s="645"/>
      <c r="K2931" s="450"/>
      <c r="L2931" s="450"/>
      <c r="M2931" s="580">
        <f>TrialBalance!L135</f>
        <v>0</v>
      </c>
      <c r="N2931" s="458"/>
      <c r="O2931" s="581">
        <f>TrialBalance!N135</f>
        <v>0</v>
      </c>
      <c r="P2931" s="454"/>
      <c r="R2931" s="490" t="str">
        <f t="shared" si="166"/>
        <v>DELETE</v>
      </c>
    </row>
    <row r="2932" spans="3:26" ht="36" customHeight="1" x14ac:dyDescent="0.45">
      <c r="C2932" s="575"/>
      <c r="D2932" s="616">
        <f>TrialBalance!C136</f>
        <v>0</v>
      </c>
      <c r="E2932" s="616"/>
      <c r="F2932" s="616"/>
      <c r="G2932" s="616"/>
      <c r="H2932" s="616"/>
      <c r="I2932" s="616"/>
      <c r="J2932" s="645"/>
      <c r="K2932" s="450"/>
      <c r="L2932" s="450"/>
      <c r="M2932" s="580">
        <f>TrialBalance!L136</f>
        <v>0</v>
      </c>
      <c r="N2932" s="458"/>
      <c r="O2932" s="581">
        <f>TrialBalance!N136</f>
        <v>0</v>
      </c>
      <c r="P2932" s="454"/>
      <c r="R2932" s="490" t="str">
        <f t="shared" ref="R2932:R2935" si="173">IF(M2932+O2932=0,"DELETE"," ")</f>
        <v>DELETE</v>
      </c>
    </row>
    <row r="2933" spans="3:26" ht="36" customHeight="1" x14ac:dyDescent="0.45">
      <c r="C2933" s="575"/>
      <c r="D2933" s="616">
        <f>TrialBalance!C137</f>
        <v>0</v>
      </c>
      <c r="E2933" s="616"/>
      <c r="F2933" s="616"/>
      <c r="G2933" s="616"/>
      <c r="H2933" s="616"/>
      <c r="I2933" s="616"/>
      <c r="J2933" s="645"/>
      <c r="K2933" s="450"/>
      <c r="L2933" s="450"/>
      <c r="M2933" s="580">
        <f>TrialBalance!L137</f>
        <v>0</v>
      </c>
      <c r="N2933" s="458"/>
      <c r="O2933" s="581">
        <f>TrialBalance!N137</f>
        <v>0</v>
      </c>
      <c r="P2933" s="454"/>
      <c r="R2933" s="490" t="str">
        <f t="shared" si="173"/>
        <v>DELETE</v>
      </c>
    </row>
    <row r="2934" spans="3:26" ht="36" customHeight="1" x14ac:dyDescent="0.45">
      <c r="C2934" s="575"/>
      <c r="D2934" s="616">
        <f>TrialBalance!C138</f>
        <v>0</v>
      </c>
      <c r="E2934" s="616"/>
      <c r="F2934" s="616"/>
      <c r="G2934" s="616"/>
      <c r="H2934" s="616"/>
      <c r="I2934" s="616"/>
      <c r="J2934" s="645"/>
      <c r="K2934" s="450"/>
      <c r="L2934" s="450"/>
      <c r="M2934" s="580">
        <f>TrialBalance!L138</f>
        <v>0</v>
      </c>
      <c r="N2934" s="458"/>
      <c r="O2934" s="581">
        <f>TrialBalance!N138</f>
        <v>0</v>
      </c>
      <c r="P2934" s="454"/>
      <c r="R2934" s="490" t="str">
        <f t="shared" si="173"/>
        <v>DELETE</v>
      </c>
    </row>
    <row r="2935" spans="3:26" ht="36" customHeight="1" x14ac:dyDescent="0.45">
      <c r="C2935" s="575"/>
      <c r="D2935" s="616">
        <f>TrialBalance!C139</f>
        <v>0</v>
      </c>
      <c r="E2935" s="616"/>
      <c r="F2935" s="616"/>
      <c r="G2935" s="616"/>
      <c r="H2935" s="616"/>
      <c r="I2935" s="616"/>
      <c r="J2935" s="645"/>
      <c r="K2935" s="450"/>
      <c r="L2935" s="450"/>
      <c r="M2935" s="580">
        <f>TrialBalance!L139</f>
        <v>0</v>
      </c>
      <c r="N2935" s="458"/>
      <c r="O2935" s="581">
        <f>TrialBalance!N139</f>
        <v>0</v>
      </c>
      <c r="P2935" s="454"/>
      <c r="R2935" s="490" t="str">
        <f t="shared" si="173"/>
        <v>DELETE</v>
      </c>
    </row>
    <row r="2936" spans="3:26" ht="36" customHeight="1" x14ac:dyDescent="0.45">
      <c r="C2936" s="575"/>
      <c r="D2936" s="616" t="str">
        <f>TrialBalance!C140</f>
        <v>Amortisation of prepaid lease agreement</v>
      </c>
      <c r="E2936" s="616"/>
      <c r="F2936" s="616"/>
      <c r="G2936" s="616"/>
      <c r="H2936" s="616"/>
      <c r="I2936" s="616"/>
      <c r="J2936" s="645"/>
      <c r="K2936" s="450"/>
      <c r="L2936" s="450"/>
      <c r="M2936" s="580">
        <f>TrialBalance!L140</f>
        <v>0</v>
      </c>
      <c r="N2936" s="458"/>
      <c r="O2936" s="581">
        <f>TrialBalance!N140</f>
        <v>0</v>
      </c>
      <c r="P2936" s="454"/>
      <c r="R2936" s="490" t="str">
        <f t="shared" ref="R2936" si="174">IF(M2936+O2936=0,"DELETE"," ")</f>
        <v>DELETE</v>
      </c>
    </row>
    <row r="2937" spans="3:26" ht="36" customHeight="1" x14ac:dyDescent="0.45">
      <c r="C2937" s="575"/>
      <c r="D2937" s="616" t="str">
        <f>TrialBalance!C141</f>
        <v>Amortisation of goodwill</v>
      </c>
      <c r="E2937" s="616"/>
      <c r="F2937" s="616"/>
      <c r="G2937" s="616"/>
      <c r="H2937" s="616"/>
      <c r="I2937" s="616"/>
      <c r="J2937" s="645"/>
      <c r="K2937" s="450"/>
      <c r="L2937" s="450"/>
      <c r="M2937" s="580">
        <f>TrialBalance!L141</f>
        <v>0</v>
      </c>
      <c r="N2937" s="458"/>
      <c r="O2937" s="581">
        <f>TrialBalance!N141</f>
        <v>0</v>
      </c>
      <c r="P2937" s="454"/>
      <c r="R2937" s="490" t="str">
        <f t="shared" ref="R2937" si="175">IF(M2937+O2937=0,"DELETE"," ")</f>
        <v>DELETE</v>
      </c>
    </row>
    <row r="2938" spans="3:26" ht="9" customHeight="1" x14ac:dyDescent="0.45">
      <c r="C2938" s="575"/>
      <c r="D2938" s="616"/>
      <c r="E2938" s="616"/>
      <c r="F2938" s="616"/>
      <c r="G2938" s="616"/>
      <c r="H2938" s="616"/>
      <c r="I2938" s="616"/>
      <c r="J2938" s="645"/>
      <c r="K2938" s="450"/>
      <c r="L2938" s="450"/>
      <c r="M2938" s="460"/>
      <c r="N2938" s="461"/>
      <c r="O2938" s="582"/>
      <c r="P2938" s="454"/>
      <c r="R2938" s="490" t="str">
        <f>R2901</f>
        <v>DELETE</v>
      </c>
    </row>
    <row r="2939" spans="3:26" ht="9" customHeight="1" x14ac:dyDescent="0.45">
      <c r="C2939" s="575"/>
      <c r="D2939" s="616"/>
      <c r="E2939" s="616"/>
      <c r="F2939" s="616"/>
      <c r="G2939" s="616"/>
      <c r="H2939" s="616"/>
      <c r="I2939" s="616"/>
      <c r="J2939" s="645"/>
      <c r="K2939" s="450"/>
      <c r="L2939" s="450"/>
      <c r="M2939" s="461"/>
      <c r="N2939" s="461"/>
      <c r="O2939" s="461"/>
      <c r="P2939" s="454"/>
    </row>
    <row r="2940" spans="3:26" ht="9" customHeight="1" x14ac:dyDescent="0.45">
      <c r="C2940" s="575"/>
      <c r="D2940" s="616"/>
      <c r="E2940" s="616"/>
      <c r="F2940" s="616"/>
      <c r="G2940" s="616"/>
      <c r="H2940" s="616"/>
      <c r="I2940" s="616"/>
      <c r="J2940" s="645"/>
      <c r="K2940" s="450"/>
      <c r="L2940" s="450"/>
      <c r="M2940" s="458"/>
      <c r="N2940" s="458"/>
      <c r="O2940" s="458"/>
      <c r="P2940" s="454"/>
    </row>
    <row r="2941" spans="3:26" ht="36" customHeight="1" x14ac:dyDescent="0.45">
      <c r="D2941" s="637" t="str">
        <f>IF((Y2941+Z2941)=3,"Operating profit/(loss) for the year",(IF((Y2941+Z2941=4),"Operating profit for the year","Operating loss for the year")))</f>
        <v>Operating profit for the year</v>
      </c>
      <c r="E2941" s="616"/>
      <c r="F2941" s="616"/>
      <c r="G2941" s="616"/>
      <c r="H2941" s="616"/>
      <c r="I2941" s="616"/>
      <c r="J2941" s="645"/>
      <c r="K2941" s="450">
        <f>B1250</f>
        <v>5</v>
      </c>
      <c r="L2941" s="450"/>
      <c r="M2941" s="458">
        <f>SUM(S2814:S2938)</f>
        <v>0</v>
      </c>
      <c r="N2941" s="458"/>
      <c r="O2941" s="458">
        <f>SUM(U2814:U2938)</f>
        <v>0</v>
      </c>
      <c r="P2941" s="454"/>
      <c r="Y2941" s="491">
        <f>IF(M2941&lt;0,1,IF(M2941=0,IF(O2941&lt;0,1,2),2))</f>
        <v>2</v>
      </c>
      <c r="Z2941" s="491">
        <f>IF(O2941&lt;0,1,IF(O2941=0,IF(M2941&lt;0,1,2),2))</f>
        <v>2</v>
      </c>
    </row>
    <row r="2942" spans="3:26" ht="36" customHeight="1" x14ac:dyDescent="0.45">
      <c r="C2942" s="575"/>
      <c r="D2942" s="616"/>
      <c r="E2942" s="616"/>
      <c r="F2942" s="616"/>
      <c r="G2942" s="616"/>
      <c r="H2942" s="616"/>
      <c r="I2942" s="616"/>
      <c r="J2942" s="645"/>
      <c r="K2942" s="450"/>
      <c r="L2942" s="450"/>
      <c r="M2942" s="458"/>
      <c r="N2942" s="458"/>
      <c r="O2942" s="458"/>
      <c r="P2942" s="454"/>
    </row>
    <row r="2943" spans="3:26" ht="36" customHeight="1" x14ac:dyDescent="0.45">
      <c r="D2943" s="616" t="s">
        <v>225</v>
      </c>
      <c r="E2943" s="616"/>
      <c r="F2943" s="616"/>
      <c r="G2943" s="616"/>
      <c r="H2943" s="616"/>
      <c r="I2943" s="616"/>
      <c r="J2943" s="645"/>
      <c r="K2943" s="450">
        <f>B1364</f>
        <v>6</v>
      </c>
      <c r="L2943" s="450"/>
      <c r="M2943" s="458">
        <f>-SUM(TrialBalance!L83:L93)-SUM(TrialBalance!L95:L96)+IF(TrialBalance!L94&lt;0,-TrialBalance!L94,0)</f>
        <v>0</v>
      </c>
      <c r="N2943" s="458"/>
      <c r="O2943" s="458">
        <f>-SUM(TrialBalance!N83:N93)-SUM(TrialBalance!N95:N96)+IF(TrialBalance!N94&lt;0,-TrialBalance!N94,0)</f>
        <v>0</v>
      </c>
      <c r="P2943" s="454"/>
      <c r="R2943" s="490" t="str">
        <f>IF(M2943+O2943=0,"DELETE"," ")</f>
        <v>DELETE</v>
      </c>
      <c r="S2943" s="495">
        <f>M2943</f>
        <v>0</v>
      </c>
      <c r="T2943" s="495"/>
      <c r="U2943" s="495">
        <f>O2943</f>
        <v>0</v>
      </c>
      <c r="V2943" s="495"/>
      <c r="W2943" s="495"/>
      <c r="X2943" s="495"/>
    </row>
    <row r="2944" spans="3:26" ht="36" customHeight="1" x14ac:dyDescent="0.45">
      <c r="D2944" s="616"/>
      <c r="E2944" s="616"/>
      <c r="F2944" s="616"/>
      <c r="G2944" s="616"/>
      <c r="H2944" s="616"/>
      <c r="I2944" s="616"/>
      <c r="J2944" s="645"/>
      <c r="K2944" s="450"/>
      <c r="L2944" s="450"/>
      <c r="M2944" s="458"/>
      <c r="N2944" s="458"/>
      <c r="O2944" s="458"/>
      <c r="P2944" s="454"/>
      <c r="R2944" s="490" t="str">
        <f>R2943</f>
        <v>DELETE</v>
      </c>
      <c r="S2944" s="495"/>
      <c r="T2944" s="495"/>
      <c r="U2944" s="495"/>
      <c r="V2944" s="495"/>
      <c r="W2944" s="495"/>
      <c r="X2944" s="495"/>
    </row>
    <row r="2945" spans="3:26" ht="36" customHeight="1" x14ac:dyDescent="0.45">
      <c r="D2945" s="616" t="s">
        <v>1534</v>
      </c>
      <c r="E2945" s="616"/>
      <c r="F2945" s="616"/>
      <c r="G2945" s="616"/>
      <c r="H2945" s="616"/>
      <c r="I2945" s="616"/>
      <c r="J2945" s="645"/>
      <c r="K2945" s="450">
        <f>B1423</f>
        <v>7</v>
      </c>
      <c r="L2945" s="450"/>
      <c r="M2945" s="458">
        <f>SUM(TrialBalance!L144:L154)</f>
        <v>0</v>
      </c>
      <c r="N2945" s="458"/>
      <c r="O2945" s="458">
        <f>SUM(TrialBalance!N144:N154)</f>
        <v>0</v>
      </c>
      <c r="P2945" s="454"/>
      <c r="R2945" s="490" t="str">
        <f>IF(M2945+O2945=0,"DELETE"," ")</f>
        <v>DELETE</v>
      </c>
      <c r="S2945" s="495">
        <f>-M2945</f>
        <v>0</v>
      </c>
      <c r="T2945" s="495"/>
      <c r="U2945" s="495">
        <f>-O2945</f>
        <v>0</v>
      </c>
      <c r="V2945" s="495"/>
      <c r="W2945" s="495"/>
      <c r="X2945" s="495"/>
    </row>
    <row r="2946" spans="3:26" ht="9" customHeight="1" x14ac:dyDescent="0.45">
      <c r="C2946" s="575"/>
      <c r="D2946" s="616"/>
      <c r="E2946" s="616"/>
      <c r="F2946" s="616"/>
      <c r="G2946" s="616"/>
      <c r="H2946" s="616"/>
      <c r="I2946" s="616"/>
      <c r="J2946" s="645"/>
      <c r="K2946" s="450"/>
      <c r="L2946" s="450"/>
      <c r="M2946" s="461"/>
      <c r="N2946" s="461"/>
      <c r="O2946" s="461"/>
      <c r="P2946" s="454"/>
    </row>
    <row r="2947" spans="3:26" ht="9" customHeight="1" x14ac:dyDescent="0.45">
      <c r="C2947" s="575"/>
      <c r="D2947" s="616"/>
      <c r="E2947" s="616"/>
      <c r="F2947" s="616"/>
      <c r="G2947" s="616"/>
      <c r="H2947" s="616"/>
      <c r="I2947" s="616"/>
      <c r="J2947" s="645"/>
      <c r="K2947" s="450"/>
      <c r="L2947" s="450"/>
      <c r="M2947" s="458"/>
      <c r="N2947" s="458"/>
      <c r="O2947" s="458"/>
      <c r="P2947" s="454"/>
    </row>
    <row r="2948" spans="3:26" ht="36" customHeight="1" x14ac:dyDescent="0.45">
      <c r="D2948" s="637" t="str">
        <f>IF((Y2948+Z2948)=3,"Profit/(Loss) before taxation",(IF((Y2948+Z2948=4),"Profit before taxation","Loss before taxation")))</f>
        <v>Profit before taxation</v>
      </c>
      <c r="E2948" s="616"/>
      <c r="F2948" s="616"/>
      <c r="G2948" s="616"/>
      <c r="H2948" s="616"/>
      <c r="I2948" s="616"/>
      <c r="J2948" s="645"/>
      <c r="K2948" s="450"/>
      <c r="L2948" s="450"/>
      <c r="M2948" s="458">
        <f>SUM(S2814:S2947)</f>
        <v>0</v>
      </c>
      <c r="N2948" s="458"/>
      <c r="O2948" s="458">
        <f>SUM(U2814:U2947)</f>
        <v>0</v>
      </c>
      <c r="P2948" s="454"/>
      <c r="Y2948" s="491">
        <f>IF(M2948&lt;0,1,IF(M2948=0,IF(O2948&lt;0,1,2),2))</f>
        <v>2</v>
      </c>
      <c r="Z2948" s="491">
        <f>IF(O2948&lt;0,1,IF(O2948=0,IF(M2948&lt;0,1,2),2))</f>
        <v>2</v>
      </c>
    </row>
    <row r="2949" spans="3:26" ht="36" customHeight="1" x14ac:dyDescent="0.45">
      <c r="C2949" s="610"/>
      <c r="D2949" s="616"/>
      <c r="E2949" s="616"/>
      <c r="F2949" s="616"/>
      <c r="G2949" s="616"/>
      <c r="H2949" s="616"/>
      <c r="I2949" s="616"/>
      <c r="J2949" s="645"/>
      <c r="K2949" s="450"/>
      <c r="L2949" s="450"/>
      <c r="M2949" s="458"/>
      <c r="N2949" s="458"/>
      <c r="O2949" s="458"/>
      <c r="P2949" s="454"/>
    </row>
    <row r="2950" spans="3:26" ht="36" customHeight="1" x14ac:dyDescent="0.45">
      <c r="D2950" s="637" t="s">
        <v>1535</v>
      </c>
      <c r="E2950" s="616"/>
      <c r="F2950" s="616"/>
      <c r="G2950" s="616"/>
      <c r="H2950" s="616"/>
      <c r="I2950" s="616"/>
      <c r="J2950" s="645"/>
      <c r="K2950" s="450"/>
      <c r="L2950" s="450"/>
      <c r="M2950" s="458"/>
      <c r="N2950" s="458"/>
      <c r="O2950" s="458"/>
      <c r="P2950" s="454"/>
      <c r="R2950" s="490" t="str">
        <f>IF(COUNTIF(M2951:M2953,"=0")=3,IF(COUNTIF(O2951:O2953,"=0")=3,"DELETE"," ")," ")</f>
        <v>DELETE</v>
      </c>
    </row>
    <row r="2951" spans="3:26" ht="36" customHeight="1" x14ac:dyDescent="0.45">
      <c r="C2951" s="610"/>
      <c r="D2951" s="628" t="str">
        <f>IF((Y2951+Z2951)=3,CONCATENATE("Net profit/(loss) - ",Criteria!H14),(IF((Y2951+Z2951=4),CONCATENATE("Net profit - ",Criteria!H14),CONCATENATE("Net loss - ",Criteria!H14))))</f>
        <v>Net profit - ABC Restaurant</v>
      </c>
      <c r="E2951" s="616"/>
      <c r="F2951" s="616"/>
      <c r="G2951" s="616"/>
      <c r="H2951" s="616"/>
      <c r="I2951" s="616"/>
      <c r="J2951" s="616"/>
      <c r="K2951" s="448" t="s">
        <v>698</v>
      </c>
      <c r="M2951" s="458">
        <f>-TrialBalance!L35</f>
        <v>0</v>
      </c>
      <c r="N2951" s="458"/>
      <c r="O2951" s="458">
        <f>-TrialBalance!N35</f>
        <v>0</v>
      </c>
      <c r="R2951" s="490" t="str">
        <f>IF(M2951=0,IF(O2951=0,"DELETE"," ")," ")</f>
        <v>DELETE</v>
      </c>
      <c r="S2951" s="495">
        <f>M2951</f>
        <v>0</v>
      </c>
      <c r="U2951" s="495">
        <f>O2951</f>
        <v>0</v>
      </c>
      <c r="Y2951" s="491">
        <f>IF(M2951&lt;0,1,IF(M2951=0,IF(O2951&lt;0,1,2),2))</f>
        <v>2</v>
      </c>
      <c r="Z2951" s="491">
        <f>IF(O2951&lt;0,1,IF(O2951=0,IF(M2951&lt;0,1,2),2))</f>
        <v>2</v>
      </c>
    </row>
    <row r="2952" spans="3:26" ht="36" customHeight="1" x14ac:dyDescent="0.45">
      <c r="C2952" s="610"/>
      <c r="D2952" s="628" t="str">
        <f>IF((Y2952+Z2952)=3,CONCATENATE("Net profit/(loss) - ",Criteria!H15),(IF((Y2952+Z2952=4),CONCATENATE("Net profit - ",Criteria!H15),CONCATENATE("Net loss - ",Criteria!H15))))</f>
        <v>Net profit - Rental Properties</v>
      </c>
      <c r="E2952" s="616"/>
      <c r="F2952" s="616"/>
      <c r="G2952" s="616"/>
      <c r="H2952" s="616"/>
      <c r="I2952" s="616"/>
      <c r="J2952" s="616"/>
      <c r="K2952" s="448" t="s">
        <v>699</v>
      </c>
      <c r="M2952" s="458">
        <f>-TrialBalance!L36</f>
        <v>0</v>
      </c>
      <c r="N2952" s="458"/>
      <c r="O2952" s="458">
        <f>-TrialBalance!N36</f>
        <v>0</v>
      </c>
      <c r="R2952" s="490" t="str">
        <f t="shared" ref="R2952:R2953" si="176">IF(M2952=0,IF(O2952=0,"DELETE"," ")," ")</f>
        <v>DELETE</v>
      </c>
      <c r="S2952" s="495">
        <f t="shared" ref="S2952:S2953" si="177">M2952</f>
        <v>0</v>
      </c>
      <c r="U2952" s="495">
        <f t="shared" ref="U2952:U2953" si="178">O2952</f>
        <v>0</v>
      </c>
      <c r="Y2952" s="491">
        <f t="shared" ref="Y2952:Y2953" si="179">IF(M2952&lt;0,1,IF(M2952=0,IF(O2952&lt;0,1,2),2))</f>
        <v>2</v>
      </c>
      <c r="Z2952" s="491">
        <f t="shared" ref="Z2952:Z2953" si="180">IF(O2952&lt;0,1,IF(O2952=0,IF(M2952&lt;0,1,2),2))</f>
        <v>2</v>
      </c>
    </row>
    <row r="2953" spans="3:26" ht="36" customHeight="1" x14ac:dyDescent="0.45">
      <c r="C2953" s="610"/>
      <c r="D2953" s="628" t="str">
        <f>IF((Y2953+Z2953)=3,CONCATENATE("Net profit/(loss) - ",Criteria!H16),(IF((Y2953+Z2953=4),CONCATENATE("Net profit - ",Criteria!H16),CONCATENATE("Net loss - ",Criteria!H16))))</f>
        <v xml:space="preserve">Net profit - </v>
      </c>
      <c r="E2953" s="616"/>
      <c r="F2953" s="616"/>
      <c r="G2953" s="616"/>
      <c r="H2953" s="616"/>
      <c r="I2953" s="616"/>
      <c r="J2953" s="616"/>
      <c r="K2953" s="448" t="s">
        <v>700</v>
      </c>
      <c r="M2953" s="458">
        <f>-TrialBalance!L37</f>
        <v>0</v>
      </c>
      <c r="N2953" s="458"/>
      <c r="O2953" s="458">
        <f>-TrialBalance!N37</f>
        <v>0</v>
      </c>
      <c r="R2953" s="490" t="str">
        <f t="shared" si="176"/>
        <v>DELETE</v>
      </c>
      <c r="S2953" s="495">
        <f t="shared" si="177"/>
        <v>0</v>
      </c>
      <c r="U2953" s="495">
        <f t="shared" si="178"/>
        <v>0</v>
      </c>
      <c r="Y2953" s="491">
        <f t="shared" si="179"/>
        <v>2</v>
      </c>
      <c r="Z2953" s="491">
        <f t="shared" si="180"/>
        <v>2</v>
      </c>
    </row>
    <row r="2954" spans="3:26" ht="9" customHeight="1" x14ac:dyDescent="0.45">
      <c r="C2954" s="610"/>
      <c r="D2954" s="616"/>
      <c r="E2954" s="616"/>
      <c r="F2954" s="616"/>
      <c r="G2954" s="616"/>
      <c r="H2954" s="616"/>
      <c r="I2954" s="616"/>
      <c r="J2954" s="645"/>
      <c r="K2954" s="450"/>
      <c r="L2954" s="450"/>
      <c r="M2954" s="461"/>
      <c r="N2954" s="461"/>
      <c r="O2954" s="461"/>
      <c r="P2954" s="454"/>
      <c r="R2954" s="490" t="str">
        <f>R2956</f>
        <v>DELETE</v>
      </c>
    </row>
    <row r="2955" spans="3:26" ht="9" customHeight="1" x14ac:dyDescent="0.45">
      <c r="C2955" s="610"/>
      <c r="D2955" s="616"/>
      <c r="E2955" s="616"/>
      <c r="F2955" s="616"/>
      <c r="G2955" s="616"/>
      <c r="H2955" s="616"/>
      <c r="I2955" s="616"/>
      <c r="J2955" s="645"/>
      <c r="K2955" s="450"/>
      <c r="L2955" s="450"/>
      <c r="M2955" s="458"/>
      <c r="N2955" s="458"/>
      <c r="O2955" s="458"/>
      <c r="P2955" s="454"/>
      <c r="R2955" s="490" t="str">
        <f>R2956</f>
        <v>DELETE</v>
      </c>
    </row>
    <row r="2956" spans="3:26" ht="36" customHeight="1" x14ac:dyDescent="0.45">
      <c r="C2956" s="610"/>
      <c r="D2956" s="616"/>
      <c r="E2956" s="616"/>
      <c r="F2956" s="616"/>
      <c r="G2956" s="616"/>
      <c r="H2956" s="616"/>
      <c r="I2956" s="616"/>
      <c r="J2956" s="645"/>
      <c r="K2956" s="450"/>
      <c r="L2956" s="450"/>
      <c r="M2956" s="458">
        <f>SUM(S2814:S2954)</f>
        <v>0</v>
      </c>
      <c r="N2956" s="458"/>
      <c r="O2956" s="458">
        <f>SUM(U2814:U2954)</f>
        <v>0</v>
      </c>
      <c r="P2956" s="454"/>
      <c r="R2956" s="490" t="str">
        <f>R2950</f>
        <v>DELETE</v>
      </c>
    </row>
    <row r="2957" spans="3:26" ht="36" customHeight="1" x14ac:dyDescent="0.45">
      <c r="C2957" s="575"/>
      <c r="D2957" s="616"/>
      <c r="E2957" s="616"/>
      <c r="F2957" s="616"/>
      <c r="G2957" s="616"/>
      <c r="H2957" s="616"/>
      <c r="I2957" s="616"/>
      <c r="J2957" s="645"/>
      <c r="K2957" s="450"/>
      <c r="L2957" s="450"/>
      <c r="M2957" s="458"/>
      <c r="N2957" s="458"/>
      <c r="O2957" s="458"/>
      <c r="P2957" s="454"/>
      <c r="R2957" s="490" t="str">
        <f>R2956</f>
        <v>DELETE</v>
      </c>
      <c r="V2957" s="498"/>
      <c r="W2957" s="498"/>
      <c r="X2957" s="498"/>
    </row>
    <row r="2958" spans="3:26" ht="36" customHeight="1" x14ac:dyDescent="0.45">
      <c r="D2958" s="616" t="s">
        <v>1536</v>
      </c>
      <c r="E2958" s="616"/>
      <c r="F2958" s="616"/>
      <c r="G2958" s="616"/>
      <c r="H2958" s="616"/>
      <c r="I2958" s="616"/>
      <c r="J2958" s="645"/>
      <c r="K2958" s="450">
        <f>B1508</f>
        <v>9</v>
      </c>
      <c r="L2958" s="450"/>
      <c r="M2958" s="458">
        <f>SUM(TrialBalance!L158:L163)</f>
        <v>0</v>
      </c>
      <c r="N2958" s="458"/>
      <c r="O2958" s="458">
        <f>SUM(TrialBalance!N158:N163)</f>
        <v>0</v>
      </c>
      <c r="P2958" s="454"/>
      <c r="S2958" s="495">
        <f>-M2958</f>
        <v>0</v>
      </c>
      <c r="T2958" s="495"/>
      <c r="U2958" s="495">
        <f>-O2958</f>
        <v>0</v>
      </c>
      <c r="V2958" s="491" t="b">
        <f>M2958=M1529</f>
        <v>1</v>
      </c>
      <c r="X2958" s="491" t="b">
        <f>O2958=O1529</f>
        <v>1</v>
      </c>
    </row>
    <row r="2959" spans="3:26" ht="8.25" customHeight="1" x14ac:dyDescent="0.45">
      <c r="D2959" s="615"/>
      <c r="E2959" s="616"/>
      <c r="F2959" s="616"/>
      <c r="G2959" s="616"/>
      <c r="H2959" s="616"/>
      <c r="I2959" s="616"/>
      <c r="J2959" s="645"/>
      <c r="K2959" s="450"/>
      <c r="L2959" s="450"/>
      <c r="M2959" s="461"/>
      <c r="N2959" s="461"/>
      <c r="O2959" s="461"/>
      <c r="P2959" s="454"/>
      <c r="R2959" s="490" t="str">
        <f t="shared" ref="R2959:R2961" si="181">R$2963</f>
        <v>DELETE</v>
      </c>
      <c r="S2959" s="495"/>
      <c r="T2959" s="495"/>
      <c r="U2959" s="495"/>
    </row>
    <row r="2960" spans="3:26" ht="8.25" customHeight="1" x14ac:dyDescent="0.45">
      <c r="D2960" s="615"/>
      <c r="E2960" s="616"/>
      <c r="F2960" s="616"/>
      <c r="G2960" s="616"/>
      <c r="H2960" s="616"/>
      <c r="I2960" s="616"/>
      <c r="J2960" s="645"/>
      <c r="K2960" s="450"/>
      <c r="L2960" s="450"/>
      <c r="M2960" s="458"/>
      <c r="N2960" s="458"/>
      <c r="O2960" s="458"/>
      <c r="P2960" s="454"/>
      <c r="R2960" s="490" t="str">
        <f t="shared" si="181"/>
        <v>DELETE</v>
      </c>
      <c r="S2960" s="495"/>
      <c r="T2960" s="495"/>
      <c r="U2960" s="495"/>
    </row>
    <row r="2961" spans="3:26" ht="36" customHeight="1" x14ac:dyDescent="0.45">
      <c r="D2961" s="615"/>
      <c r="E2961" s="616"/>
      <c r="F2961" s="616"/>
      <c r="G2961" s="616"/>
      <c r="H2961" s="616"/>
      <c r="I2961" s="616"/>
      <c r="J2961" s="645"/>
      <c r="K2961" s="450"/>
      <c r="L2961" s="450"/>
      <c r="M2961" s="458">
        <f>SUM(S2814:S2959)</f>
        <v>0</v>
      </c>
      <c r="N2961" s="458"/>
      <c r="O2961" s="458">
        <f>SUM(U2814:U2959)</f>
        <v>0</v>
      </c>
      <c r="P2961" s="454"/>
      <c r="R2961" s="490" t="str">
        <f t="shared" si="181"/>
        <v>DELETE</v>
      </c>
      <c r="S2961" s="495"/>
      <c r="T2961" s="495"/>
      <c r="U2961" s="495"/>
    </row>
    <row r="2962" spans="3:26" ht="36" customHeight="1" x14ac:dyDescent="0.45">
      <c r="D2962" s="615"/>
      <c r="E2962" s="616"/>
      <c r="F2962" s="616"/>
      <c r="G2962" s="616"/>
      <c r="H2962" s="616"/>
      <c r="I2962" s="616"/>
      <c r="J2962" s="645"/>
      <c r="K2962" s="450"/>
      <c r="L2962" s="450"/>
      <c r="M2962" s="458"/>
      <c r="N2962" s="458"/>
      <c r="O2962" s="458"/>
      <c r="P2962" s="454"/>
      <c r="R2962" s="490" t="str">
        <f>R$2963</f>
        <v>DELETE</v>
      </c>
      <c r="S2962" s="495"/>
      <c r="T2962" s="495"/>
      <c r="U2962" s="495"/>
    </row>
    <row r="2963" spans="3:26" ht="36" customHeight="1" x14ac:dyDescent="0.45">
      <c r="D2963" s="616" t="s">
        <v>1745</v>
      </c>
      <c r="E2963" s="616"/>
      <c r="F2963" s="616"/>
      <c r="G2963" s="616"/>
      <c r="H2963" s="616"/>
      <c r="I2963" s="616"/>
      <c r="J2963" s="645"/>
      <c r="K2963" s="450">
        <f>B1487</f>
        <v>8</v>
      </c>
      <c r="L2963" s="450"/>
      <c r="M2963" s="458">
        <f>-TrialBalance!L97</f>
        <v>0</v>
      </c>
      <c r="N2963" s="458"/>
      <c r="O2963" s="458">
        <f>-TrialBalance!N97</f>
        <v>0</v>
      </c>
      <c r="P2963" s="454"/>
      <c r="R2963" s="490" t="str">
        <f>IF(M2963=0,IF(O2963=0,"DELETE"," ")," ")</f>
        <v>DELETE</v>
      </c>
      <c r="S2963" s="495">
        <f>M2963</f>
        <v>0</v>
      </c>
      <c r="T2963" s="495"/>
      <c r="U2963" s="495">
        <f>O2963</f>
        <v>0</v>
      </c>
      <c r="V2963" s="491" t="b">
        <f>M2963=M1492</f>
        <v>1</v>
      </c>
      <c r="X2963" s="491" t="b">
        <f>O2963=O1492</f>
        <v>1</v>
      </c>
    </row>
    <row r="2964" spans="3:26" ht="9" customHeight="1" x14ac:dyDescent="0.45">
      <c r="C2964" s="575"/>
      <c r="D2964" s="616"/>
      <c r="E2964" s="616"/>
      <c r="F2964" s="616"/>
      <c r="G2964" s="616"/>
      <c r="H2964" s="616"/>
      <c r="I2964" s="616"/>
      <c r="J2964" s="645"/>
      <c r="K2964" s="450"/>
      <c r="L2964" s="450"/>
      <c r="M2964" s="461"/>
      <c r="N2964" s="461"/>
      <c r="O2964" s="461"/>
      <c r="P2964" s="454"/>
    </row>
    <row r="2965" spans="3:26" ht="9" customHeight="1" x14ac:dyDescent="0.45">
      <c r="C2965" s="575"/>
      <c r="D2965" s="616"/>
      <c r="E2965" s="616"/>
      <c r="F2965" s="616"/>
      <c r="G2965" s="616"/>
      <c r="H2965" s="616"/>
      <c r="I2965" s="616"/>
      <c r="J2965" s="645"/>
      <c r="K2965" s="450"/>
      <c r="L2965" s="450"/>
      <c r="M2965" s="458"/>
      <c r="N2965" s="458"/>
      <c r="O2965" s="458"/>
      <c r="P2965" s="454"/>
    </row>
    <row r="2966" spans="3:26" ht="36.75" customHeight="1" x14ac:dyDescent="0.45">
      <c r="D2966" s="637" t="str">
        <f>IF((Y2966+Z2966)=3,"Total comprehensive income/(loss) for the year",(IF((Y2966+Z2966=4),"Total comprehensive income for the year","Total comprehensive loss for the year")))</f>
        <v>Total comprehensive income for the year</v>
      </c>
      <c r="E2966" s="616"/>
      <c r="F2966" s="616"/>
      <c r="G2966" s="616"/>
      <c r="H2966" s="616"/>
      <c r="I2966" s="616"/>
      <c r="J2966" s="645"/>
      <c r="K2966" s="450"/>
      <c r="L2966" s="450"/>
      <c r="M2966" s="458">
        <f>SUM(S2814:S2964)</f>
        <v>0</v>
      </c>
      <c r="N2966" s="458"/>
      <c r="O2966" s="458">
        <f>SUM(U2814:U2964)</f>
        <v>0</v>
      </c>
      <c r="P2966" s="454"/>
      <c r="V2966" s="491" t="b">
        <f>-SUM(TrialBalance!L5:L163)=FS!M2966</f>
        <v>1</v>
      </c>
      <c r="X2966" s="491" t="b">
        <f>-SUM(TrialBalance!N5:N163)=FS!O2966</f>
        <v>1</v>
      </c>
      <c r="Y2966" s="491">
        <f>IF(M2966&lt;0,1,IF(M2966=0,IF(O2966&lt;0,1,2),2))</f>
        <v>2</v>
      </c>
      <c r="Z2966" s="491">
        <f>IF(O2966&lt;0,1,IF(O2966=0,IF(M2966&lt;0,1,2),2))</f>
        <v>2</v>
      </c>
    </row>
    <row r="2967" spans="3:26" ht="9" customHeight="1" thickBot="1" x14ac:dyDescent="0.5">
      <c r="C2967" s="575"/>
      <c r="D2967" s="616"/>
      <c r="E2967" s="616"/>
      <c r="F2967" s="616"/>
      <c r="G2967" s="616"/>
      <c r="H2967" s="616"/>
      <c r="I2967" s="616"/>
      <c r="J2967" s="645"/>
      <c r="K2967" s="450"/>
      <c r="L2967" s="450"/>
      <c r="M2967" s="462"/>
      <c r="N2967" s="462"/>
      <c r="O2967" s="462"/>
      <c r="P2967" s="454"/>
    </row>
    <row r="2968" spans="3:26" ht="9" customHeight="1" thickTop="1" x14ac:dyDescent="0.45">
      <c r="C2968" s="575"/>
      <c r="D2968" s="616"/>
      <c r="E2968" s="616"/>
      <c r="F2968" s="616"/>
      <c r="G2968" s="616"/>
      <c r="H2968" s="616"/>
      <c r="I2968" s="616"/>
      <c r="J2968" s="645"/>
      <c r="K2968" s="450"/>
      <c r="L2968" s="450"/>
      <c r="M2968" s="458"/>
      <c r="N2968" s="458"/>
      <c r="O2968" s="458"/>
      <c r="P2968" s="454"/>
    </row>
    <row r="2969" spans="3:26" ht="36" customHeight="1" x14ac:dyDescent="0.45">
      <c r="C2969" s="575"/>
      <c r="D2969" s="616"/>
      <c r="E2969" s="616"/>
      <c r="F2969" s="616"/>
      <c r="G2969" s="616"/>
      <c r="H2969" s="616"/>
      <c r="I2969" s="616"/>
      <c r="J2969" s="645"/>
      <c r="K2969" s="450"/>
      <c r="L2969" s="450"/>
      <c r="M2969" s="458"/>
      <c r="N2969" s="458"/>
      <c r="O2969" s="458"/>
      <c r="P2969" s="454"/>
    </row>
    <row r="2970" spans="3:26" ht="36" customHeight="1" x14ac:dyDescent="0.5">
      <c r="C2970" s="520"/>
      <c r="D2970" s="616"/>
      <c r="E2970" s="616"/>
      <c r="F2970" s="616"/>
      <c r="G2970" s="616"/>
      <c r="H2970" s="616"/>
      <c r="I2970" s="616"/>
      <c r="J2970" s="616"/>
      <c r="M2970" s="555"/>
      <c r="N2970" s="555"/>
      <c r="O2970" s="555"/>
      <c r="P2970" s="545"/>
    </row>
    <row r="2971" spans="3:26" ht="36" customHeight="1" x14ac:dyDescent="0.5">
      <c r="C2971" s="520"/>
      <c r="D2971" s="616"/>
      <c r="E2971" s="616"/>
      <c r="F2971" s="616"/>
      <c r="G2971" s="616"/>
      <c r="H2971" s="616"/>
      <c r="I2971" s="616"/>
      <c r="J2971" s="616"/>
      <c r="M2971" s="541"/>
      <c r="N2971" s="541"/>
      <c r="O2971" s="541"/>
    </row>
    <row r="2972" spans="3:26" ht="36" customHeight="1" x14ac:dyDescent="0.5">
      <c r="C2972" s="520"/>
      <c r="D2972" s="616"/>
      <c r="E2972" s="616"/>
      <c r="F2972" s="616"/>
      <c r="G2972" s="616"/>
      <c r="H2972" s="616"/>
      <c r="I2972" s="616"/>
      <c r="J2972" s="616"/>
      <c r="M2972" s="541"/>
      <c r="N2972" s="541"/>
      <c r="O2972" s="458" t="s">
        <v>112</v>
      </c>
      <c r="Q2972" s="450">
        <f>MAX($Q$103:Q2971)+1</f>
        <v>77</v>
      </c>
    </row>
    <row r="2973" spans="3:26" ht="36" customHeight="1" x14ac:dyDescent="0.5">
      <c r="C2973" s="520"/>
      <c r="D2973" s="615" t="str">
        <f>Criteria!E9</f>
        <v>ABC COMPANY (PROPRIETARY) LIMITED</v>
      </c>
      <c r="E2973" s="616"/>
      <c r="F2973" s="616"/>
      <c r="G2973" s="616"/>
      <c r="H2973" s="616"/>
      <c r="I2973" s="616"/>
      <c r="J2973" s="616"/>
      <c r="M2973" s="541"/>
      <c r="N2973" s="541"/>
      <c r="O2973" s="540"/>
    </row>
    <row r="2974" spans="3:26" ht="36" customHeight="1" x14ac:dyDescent="0.5">
      <c r="C2974" s="520"/>
      <c r="D2974" s="615" t="str">
        <f>Criteria!E10</f>
        <v>T/A SEAFRONT HOTEL, ABC RESTAURANT AND RENTAL PROPERTIES</v>
      </c>
      <c r="E2974" s="616"/>
      <c r="F2974" s="616"/>
      <c r="G2974" s="616"/>
      <c r="H2974" s="616"/>
      <c r="I2974" s="616"/>
      <c r="J2974" s="616"/>
      <c r="M2974" s="541"/>
      <c r="N2974" s="541"/>
      <c r="O2974" s="541"/>
      <c r="R2974" s="490" t="str">
        <f>IF(D2974=0,"DELETE"," ")</f>
        <v xml:space="preserve"> </v>
      </c>
    </row>
    <row r="2975" spans="3:26" ht="36" customHeight="1" x14ac:dyDescent="0.5">
      <c r="C2975" s="520"/>
      <c r="D2975" s="616"/>
      <c r="E2975" s="616"/>
      <c r="F2975" s="616"/>
      <c r="G2975" s="616"/>
      <c r="H2975" s="616"/>
      <c r="I2975" s="616"/>
      <c r="J2975" s="616"/>
      <c r="M2975" s="541"/>
      <c r="N2975" s="541"/>
      <c r="O2975" s="541"/>
    </row>
    <row r="2976" spans="3:26" ht="36" customHeight="1" x14ac:dyDescent="0.5">
      <c r="C2976" s="520"/>
      <c r="D2976" s="615" t="s">
        <v>295</v>
      </c>
      <c r="E2976" s="616"/>
      <c r="F2976" s="616"/>
      <c r="G2976" s="616"/>
      <c r="H2976" s="616"/>
      <c r="I2976" s="616"/>
      <c r="J2976" s="616"/>
      <c r="M2976" s="541"/>
      <c r="N2976" s="541"/>
      <c r="O2976" s="541"/>
    </row>
    <row r="2977" spans="3:20" ht="36" customHeight="1" x14ac:dyDescent="0.5">
      <c r="C2977" s="520"/>
      <c r="D2977" s="615" t="str">
        <f>Criteria!E20</f>
        <v>28 FEBRUARY 2026</v>
      </c>
      <c r="E2977" s="616"/>
      <c r="F2977" s="616"/>
      <c r="G2977" s="616"/>
      <c r="H2977" s="616"/>
      <c r="I2977" s="616"/>
      <c r="J2977" s="616"/>
      <c r="M2977" s="541"/>
      <c r="N2977" s="541"/>
      <c r="O2977" s="541"/>
    </row>
    <row r="2978" spans="3:20" ht="36" customHeight="1" x14ac:dyDescent="0.5">
      <c r="C2978" s="520"/>
      <c r="D2978" s="616"/>
      <c r="E2978" s="616"/>
      <c r="F2978" s="616"/>
      <c r="G2978" s="616"/>
      <c r="H2978" s="616"/>
      <c r="I2978" s="616"/>
      <c r="J2978" s="616"/>
      <c r="M2978" s="541"/>
      <c r="N2978" s="541"/>
      <c r="O2978" s="541"/>
    </row>
    <row r="2979" spans="3:20" ht="36" customHeight="1" x14ac:dyDescent="0.5">
      <c r="C2979" s="520"/>
      <c r="D2979" s="634"/>
      <c r="E2979" s="634"/>
      <c r="F2979" s="634"/>
      <c r="G2979" s="634"/>
      <c r="H2979" s="634"/>
      <c r="I2979" s="634"/>
      <c r="J2979" s="634"/>
      <c r="K2979" s="457"/>
      <c r="L2979" s="457"/>
      <c r="M2979" s="557"/>
      <c r="N2979" s="557"/>
      <c r="O2979" s="557"/>
      <c r="P2979" s="551"/>
      <c r="Q2979" s="457"/>
    </row>
    <row r="2980" spans="3:20" ht="36" customHeight="1" x14ac:dyDescent="0.5">
      <c r="C2980" s="520"/>
      <c r="D2980" s="616"/>
      <c r="E2980" s="616"/>
      <c r="F2980" s="616"/>
      <c r="G2980" s="616"/>
      <c r="H2980" s="616"/>
      <c r="I2980" s="616"/>
      <c r="J2980" s="616"/>
      <c r="M2980" s="541"/>
      <c r="N2980" s="541"/>
      <c r="O2980" s="541"/>
    </row>
    <row r="2981" spans="3:20" ht="36" customHeight="1" x14ac:dyDescent="0.5">
      <c r="C2981" s="520"/>
      <c r="D2981" s="616" t="str">
        <f>IF(O2981&lt;0,"Net loss before taxation","Net profit before taxation")</f>
        <v>Net profit before taxation</v>
      </c>
      <c r="E2981" s="616"/>
      <c r="F2981" s="616"/>
      <c r="G2981" s="616"/>
      <c r="H2981" s="616"/>
      <c r="I2981" s="616"/>
      <c r="J2981" s="616"/>
      <c r="M2981" s="541"/>
      <c r="N2981" s="541"/>
      <c r="O2981" s="541">
        <f>M634</f>
        <v>0</v>
      </c>
      <c r="S2981" s="496">
        <f>O2981</f>
        <v>0</v>
      </c>
      <c r="T2981" s="496"/>
    </row>
    <row r="2982" spans="3:20" ht="36" customHeight="1" x14ac:dyDescent="0.5">
      <c r="C2982" s="520"/>
      <c r="D2982" s="616"/>
      <c r="E2982" s="616"/>
      <c r="F2982" s="616"/>
      <c r="G2982" s="616"/>
      <c r="H2982" s="616"/>
      <c r="I2982" s="616"/>
      <c r="J2982" s="616"/>
      <c r="M2982" s="541"/>
      <c r="N2982" s="541"/>
      <c r="O2982" s="541"/>
    </row>
    <row r="2983" spans="3:20" ht="36" customHeight="1" x14ac:dyDescent="0.5">
      <c r="C2983" s="520"/>
      <c r="D2983" s="615" t="s">
        <v>1537</v>
      </c>
      <c r="E2983" s="616"/>
      <c r="F2983" s="616"/>
      <c r="G2983" s="616"/>
      <c r="H2983" s="616"/>
      <c r="I2983" s="616"/>
      <c r="J2983" s="616"/>
      <c r="M2983" s="541"/>
      <c r="N2983" s="541"/>
      <c r="O2983" s="541">
        <f>SUM(M2983:M2999)</f>
        <v>0</v>
      </c>
      <c r="R2983" s="490" t="str">
        <f>IF(O2983=0,"DELETE"," ")</f>
        <v>DELETE</v>
      </c>
      <c r="S2983" s="496">
        <f>O2983</f>
        <v>0</v>
      </c>
      <c r="T2983" s="496"/>
    </row>
    <row r="2984" spans="3:20" ht="36" customHeight="1" x14ac:dyDescent="0.5">
      <c r="C2984" s="520"/>
      <c r="D2984" s="616" t="s">
        <v>1258</v>
      </c>
      <c r="E2984" s="616"/>
      <c r="F2984" s="616"/>
      <c r="G2984" s="616"/>
      <c r="H2984" s="616"/>
      <c r="I2984" s="616"/>
      <c r="J2984" s="616"/>
      <c r="K2984" s="456"/>
      <c r="M2984" s="541">
        <f>TrialBalance!L141+TrialBalanceA!I141+TrialBalanceB!I141+TrialBalanceC!I141</f>
        <v>0</v>
      </c>
      <c r="N2984" s="541"/>
      <c r="O2984" s="541"/>
      <c r="R2984" s="490" t="str">
        <f>IF(M2984=0,"DELETE"," ")</f>
        <v>DELETE</v>
      </c>
      <c r="S2984" s="496"/>
      <c r="T2984" s="496"/>
    </row>
    <row r="2985" spans="3:20" ht="36" customHeight="1" x14ac:dyDescent="0.5">
      <c r="C2985" s="520"/>
      <c r="D2985" s="616" t="s">
        <v>1255</v>
      </c>
      <c r="E2985" s="616"/>
      <c r="F2985" s="616"/>
      <c r="G2985" s="616"/>
      <c r="H2985" s="616"/>
      <c r="I2985" s="616"/>
      <c r="J2985" s="616"/>
      <c r="K2985" s="456"/>
      <c r="M2985" s="541">
        <f>TrialBalance!L140+TrialBalanceA!I140+TrialBalanceB!I140+TrialBalanceC!I140</f>
        <v>0</v>
      </c>
      <c r="N2985" s="541"/>
      <c r="O2985" s="541"/>
      <c r="R2985" s="490" t="str">
        <f t="shared" ref="R2985:R2998" si="182">IF(M2985=0,"DELETE"," ")</f>
        <v>DELETE</v>
      </c>
      <c r="S2985" s="496"/>
      <c r="T2985" s="496"/>
    </row>
    <row r="2986" spans="3:20" ht="36" customHeight="1" x14ac:dyDescent="0.5">
      <c r="C2986" s="520"/>
      <c r="D2986" s="616" t="s">
        <v>590</v>
      </c>
      <c r="E2986" s="616"/>
      <c r="F2986" s="616"/>
      <c r="G2986" s="616"/>
      <c r="H2986" s="616"/>
      <c r="I2986" s="616"/>
      <c r="J2986" s="616"/>
      <c r="M2986" s="541">
        <f>O3069</f>
        <v>0</v>
      </c>
      <c r="N2986" s="541"/>
      <c r="O2986" s="541"/>
      <c r="R2986" s="490" t="str">
        <f t="shared" si="182"/>
        <v>DELETE</v>
      </c>
    </row>
    <row r="2987" spans="3:20" ht="36" customHeight="1" x14ac:dyDescent="0.5">
      <c r="C2987" s="520"/>
      <c r="D2987" s="616" t="s">
        <v>304</v>
      </c>
      <c r="E2987" s="616"/>
      <c r="F2987" s="616"/>
      <c r="G2987" s="616"/>
      <c r="H2987" s="616"/>
      <c r="I2987" s="616"/>
      <c r="J2987" s="616"/>
      <c r="M2987" s="541">
        <f>M1347</f>
        <v>0</v>
      </c>
      <c r="N2987" s="541"/>
      <c r="O2987" s="541"/>
      <c r="R2987" s="490" t="str">
        <f t="shared" si="182"/>
        <v>DELETE</v>
      </c>
    </row>
    <row r="2988" spans="3:20" ht="36" customHeight="1" x14ac:dyDescent="0.5">
      <c r="C2988" s="520"/>
      <c r="D2988" s="616" t="s">
        <v>292</v>
      </c>
      <c r="E2988" s="616"/>
      <c r="F2988" s="616"/>
      <c r="G2988" s="616"/>
      <c r="H2988" s="616"/>
      <c r="I2988" s="616"/>
      <c r="J2988" s="616"/>
      <c r="K2988" s="456"/>
      <c r="M2988" s="541">
        <f>TrialBalance!L118+TrialBalanceA!I118+TrialBalanceB!I118+TrialBalanceC!I118</f>
        <v>0</v>
      </c>
      <c r="N2988" s="541"/>
      <c r="O2988" s="541"/>
      <c r="R2988" s="490" t="str">
        <f t="shared" si="182"/>
        <v>DELETE</v>
      </c>
    </row>
    <row r="2989" spans="3:20" ht="36" customHeight="1" x14ac:dyDescent="0.5">
      <c r="C2989" s="520"/>
      <c r="D2989" s="616" t="s">
        <v>357</v>
      </c>
      <c r="E2989" s="616"/>
      <c r="F2989" s="616"/>
      <c r="G2989" s="616"/>
      <c r="H2989" s="616"/>
      <c r="I2989" s="616"/>
      <c r="J2989" s="616"/>
      <c r="K2989" s="456"/>
      <c r="M2989" s="541">
        <f>TrialBalance!L120+TrialBalanceA!I120+TrialBalanceB!I120+TrialBalanceC!I120</f>
        <v>0</v>
      </c>
      <c r="N2989" s="541"/>
      <c r="O2989" s="541"/>
      <c r="R2989" s="490" t="str">
        <f t="shared" si="182"/>
        <v>DELETE</v>
      </c>
    </row>
    <row r="2990" spans="3:20" ht="36" customHeight="1" x14ac:dyDescent="0.5">
      <c r="C2990" s="520"/>
      <c r="D2990" s="616" t="s">
        <v>1256</v>
      </c>
      <c r="E2990" s="616"/>
      <c r="F2990" s="616"/>
      <c r="G2990" s="616"/>
      <c r="H2990" s="616"/>
      <c r="I2990" s="616"/>
      <c r="J2990" s="616"/>
      <c r="K2990" s="456"/>
      <c r="M2990" s="541">
        <f>TrialBalance!L156+TrialBalanceA!I156+TrialBalanceB!I156+TrialBalanceC!I156</f>
        <v>0</v>
      </c>
      <c r="N2990" s="541"/>
      <c r="O2990" s="541"/>
      <c r="R2990" s="490" t="str">
        <f>IF(M2990=0,"DELETE"," ")</f>
        <v>DELETE</v>
      </c>
    </row>
    <row r="2991" spans="3:20" ht="36" customHeight="1" x14ac:dyDescent="0.5">
      <c r="C2991" s="520"/>
      <c r="D2991" s="616" t="s">
        <v>561</v>
      </c>
      <c r="E2991" s="616"/>
      <c r="F2991" s="616"/>
      <c r="G2991" s="616"/>
      <c r="H2991" s="616"/>
      <c r="I2991" s="616"/>
      <c r="J2991" s="616"/>
      <c r="K2991" s="456"/>
      <c r="M2991" s="541">
        <f>TrialBalance!L123+TrialBalanceA!I123+TrialBalanceB!I123+TrialBalanceC!I123</f>
        <v>0</v>
      </c>
      <c r="N2991" s="541"/>
      <c r="O2991" s="541"/>
      <c r="R2991" s="490" t="str">
        <f t="shared" si="182"/>
        <v>DELETE</v>
      </c>
    </row>
    <row r="2992" spans="3:20" ht="36" customHeight="1" x14ac:dyDescent="0.5">
      <c r="C2992" s="520"/>
      <c r="D2992" s="616" t="s">
        <v>588</v>
      </c>
      <c r="E2992" s="616"/>
      <c r="F2992" s="616"/>
      <c r="G2992" s="616"/>
      <c r="H2992" s="616"/>
      <c r="I2992" s="616"/>
      <c r="J2992" s="616"/>
      <c r="K2992" s="561"/>
      <c r="M2992" s="541">
        <f>IF(TrialBalance!L94&gt;0,TrialBalance!L94,0)+IF(TrialBalanceA!I94&gt;0,TrialBalanceA!I94,0)+IF(TrialBalanceB!I94&gt;0,TrialBalanceB!I94,0)+IF(TrialBalanceC!I94&gt;0,TrialBalanceC!I94,0)</f>
        <v>0</v>
      </c>
      <c r="N2992" s="541"/>
      <c r="O2992" s="541"/>
      <c r="R2992" s="490" t="str">
        <f t="shared" si="182"/>
        <v>DELETE</v>
      </c>
    </row>
    <row r="2993" spans="3:20" ht="36" customHeight="1" x14ac:dyDescent="0.5">
      <c r="C2993" s="520"/>
      <c r="D2993" s="616" t="str">
        <f>Criteria!C497</f>
        <v>section 8(4)(a) Recoupment of allowances</v>
      </c>
      <c r="E2993" s="616"/>
      <c r="F2993" s="616"/>
      <c r="G2993" s="616"/>
      <c r="H2993" s="616"/>
      <c r="I2993" s="616"/>
      <c r="J2993" s="616"/>
      <c r="M2993" s="541">
        <f>Criteria!G497</f>
        <v>0</v>
      </c>
      <c r="N2993" s="541"/>
      <c r="O2993" s="541"/>
      <c r="R2993" s="490" t="str">
        <f t="shared" si="182"/>
        <v>DELETE</v>
      </c>
    </row>
    <row r="2994" spans="3:20" ht="36" customHeight="1" x14ac:dyDescent="0.5">
      <c r="C2994" s="520"/>
      <c r="D2994" s="616" t="s">
        <v>94</v>
      </c>
      <c r="E2994" s="616"/>
      <c r="F2994" s="616"/>
      <c r="G2994" s="616"/>
      <c r="H2994" s="616"/>
      <c r="I2994" s="616"/>
      <c r="J2994" s="616"/>
      <c r="M2994" s="541">
        <f>TrialBalance!L130+TrialBalanceA!I130+TrialBalanceB!I130+TrialBalanceC!I130</f>
        <v>0</v>
      </c>
      <c r="N2994" s="541"/>
      <c r="O2994" s="541"/>
      <c r="R2994" s="490" t="str">
        <f t="shared" si="182"/>
        <v>DELETE</v>
      </c>
    </row>
    <row r="2995" spans="3:20" ht="36" customHeight="1" x14ac:dyDescent="0.5">
      <c r="C2995" s="520"/>
      <c r="D2995" s="616">
        <f>Criteria!C498</f>
        <v>0</v>
      </c>
      <c r="E2995" s="616"/>
      <c r="F2995" s="616"/>
      <c r="G2995" s="616"/>
      <c r="H2995" s="616"/>
      <c r="I2995" s="616"/>
      <c r="J2995" s="616"/>
      <c r="M2995" s="541">
        <f>Criteria!G498</f>
        <v>0</v>
      </c>
      <c r="N2995" s="541"/>
      <c r="O2995" s="541"/>
      <c r="R2995" s="490" t="str">
        <f t="shared" si="182"/>
        <v>DELETE</v>
      </c>
    </row>
    <row r="2996" spans="3:20" ht="36" customHeight="1" x14ac:dyDescent="0.5">
      <c r="C2996" s="520"/>
      <c r="D2996" s="616">
        <f>Criteria!C499</f>
        <v>0</v>
      </c>
      <c r="E2996" s="616"/>
      <c r="F2996" s="616"/>
      <c r="G2996" s="616"/>
      <c r="H2996" s="616"/>
      <c r="I2996" s="616"/>
      <c r="J2996" s="616"/>
      <c r="M2996" s="541">
        <f>Criteria!G499</f>
        <v>0</v>
      </c>
      <c r="N2996" s="541"/>
      <c r="O2996" s="541"/>
      <c r="R2996" s="490" t="str">
        <f t="shared" si="182"/>
        <v>DELETE</v>
      </c>
    </row>
    <row r="2997" spans="3:20" ht="36" customHeight="1" x14ac:dyDescent="0.5">
      <c r="C2997" s="520"/>
      <c r="D2997" s="616">
        <f>Criteria!C500</f>
        <v>0</v>
      </c>
      <c r="E2997" s="616"/>
      <c r="F2997" s="616"/>
      <c r="G2997" s="616"/>
      <c r="H2997" s="616"/>
      <c r="I2997" s="616"/>
      <c r="J2997" s="616"/>
      <c r="M2997" s="541">
        <f>Criteria!G500</f>
        <v>0</v>
      </c>
      <c r="N2997" s="541"/>
      <c r="O2997" s="541"/>
      <c r="R2997" s="490" t="str">
        <f t="shared" si="182"/>
        <v>DELETE</v>
      </c>
    </row>
    <row r="2998" spans="3:20" ht="36" customHeight="1" x14ac:dyDescent="0.5">
      <c r="C2998" s="520"/>
      <c r="D2998" s="616">
        <f>Criteria!C501</f>
        <v>0</v>
      </c>
      <c r="E2998" s="616"/>
      <c r="F2998" s="616"/>
      <c r="G2998" s="616"/>
      <c r="H2998" s="616"/>
      <c r="I2998" s="616"/>
      <c r="J2998" s="616"/>
      <c r="M2998" s="541">
        <f>Criteria!G501</f>
        <v>0</v>
      </c>
      <c r="N2998" s="541"/>
      <c r="O2998" s="541"/>
      <c r="R2998" s="490" t="str">
        <f t="shared" si="182"/>
        <v>DELETE</v>
      </c>
    </row>
    <row r="2999" spans="3:20" ht="9" customHeight="1" x14ac:dyDescent="0.5">
      <c r="C2999" s="520"/>
      <c r="D2999" s="616"/>
      <c r="E2999" s="616"/>
      <c r="F2999" s="616"/>
      <c r="G2999" s="616"/>
      <c r="H2999" s="616"/>
      <c r="I2999" s="616"/>
      <c r="J2999" s="616"/>
      <c r="M2999" s="554"/>
      <c r="N2999" s="554"/>
      <c r="O2999" s="554"/>
      <c r="R2999" s="490" t="str">
        <f>R2983</f>
        <v>DELETE</v>
      </c>
    </row>
    <row r="3000" spans="3:20" ht="9" customHeight="1" x14ac:dyDescent="0.5">
      <c r="C3000" s="520"/>
      <c r="D3000" s="616"/>
      <c r="E3000" s="616"/>
      <c r="F3000" s="616"/>
      <c r="G3000" s="616"/>
      <c r="H3000" s="616"/>
      <c r="I3000" s="616"/>
      <c r="J3000" s="616"/>
      <c r="M3000" s="541"/>
      <c r="N3000" s="541"/>
      <c r="O3000" s="541"/>
      <c r="R3000" s="490" t="str">
        <f>R2983</f>
        <v>DELETE</v>
      </c>
    </row>
    <row r="3001" spans="3:20" ht="36" customHeight="1" x14ac:dyDescent="0.5">
      <c r="C3001" s="520"/>
      <c r="D3001" s="616"/>
      <c r="E3001" s="616"/>
      <c r="F3001" s="616"/>
      <c r="G3001" s="616"/>
      <c r="H3001" s="616"/>
      <c r="I3001" s="616"/>
      <c r="J3001" s="616"/>
      <c r="M3001" s="541"/>
      <c r="N3001" s="541"/>
      <c r="O3001" s="541">
        <f>SUM(O2981:O2991)</f>
        <v>0</v>
      </c>
      <c r="R3001" s="490" t="str">
        <f>R2983</f>
        <v>DELETE</v>
      </c>
    </row>
    <row r="3002" spans="3:20" ht="36" customHeight="1" x14ac:dyDescent="0.5">
      <c r="C3002" s="520"/>
      <c r="D3002" s="616"/>
      <c r="E3002" s="616"/>
      <c r="F3002" s="616"/>
      <c r="G3002" s="616"/>
      <c r="H3002" s="616"/>
      <c r="I3002" s="616"/>
      <c r="J3002" s="616"/>
      <c r="M3002" s="541"/>
      <c r="N3002" s="541"/>
      <c r="O3002" s="541"/>
      <c r="R3002" s="490" t="str">
        <f>R3001</f>
        <v>DELETE</v>
      </c>
    </row>
    <row r="3003" spans="3:20" ht="36" customHeight="1" x14ac:dyDescent="0.5">
      <c r="C3003" s="520"/>
      <c r="D3003" s="615" t="s">
        <v>100</v>
      </c>
      <c r="E3003" s="616"/>
      <c r="F3003" s="616"/>
      <c r="G3003" s="616"/>
      <c r="H3003" s="616"/>
      <c r="I3003" s="616"/>
      <c r="J3003" s="616"/>
      <c r="M3003" s="541"/>
      <c r="N3003" s="541"/>
      <c r="O3003" s="541">
        <f>SUM(M3003:M3014)</f>
        <v>0</v>
      </c>
      <c r="R3003" s="490" t="str">
        <f>IF(O3003=0,"DELETE"," ")</f>
        <v>DELETE</v>
      </c>
      <c r="S3003" s="496">
        <f>-O3003</f>
        <v>0</v>
      </c>
      <c r="T3003" s="496"/>
    </row>
    <row r="3004" spans="3:20" ht="36" customHeight="1" x14ac:dyDescent="0.5">
      <c r="C3004" s="520"/>
      <c r="D3004" s="616" t="str">
        <f>Criteria!C503</f>
        <v>section 11 (e) Wear-and-tear allowance</v>
      </c>
      <c r="E3004" s="616"/>
      <c r="F3004" s="616"/>
      <c r="G3004" s="616"/>
      <c r="H3004" s="616"/>
      <c r="I3004" s="616"/>
      <c r="J3004" s="616"/>
      <c r="K3004" s="456"/>
      <c r="M3004" s="541">
        <f>Criteria!G503</f>
        <v>0</v>
      </c>
      <c r="N3004" s="541"/>
      <c r="O3004" s="541"/>
      <c r="R3004" s="490" t="str">
        <f t="shared" ref="R3004:R3010" si="183">IF(M3004=0,"DELETE"," ")</f>
        <v>DELETE</v>
      </c>
    </row>
    <row r="3005" spans="3:20" ht="36" customHeight="1" x14ac:dyDescent="0.5">
      <c r="C3005" s="520"/>
      <c r="D3005" s="616" t="str">
        <f>Criteria!C504</f>
        <v>a13 quin Commercial buildings allowance</v>
      </c>
      <c r="E3005" s="616"/>
      <c r="F3005" s="616"/>
      <c r="G3005" s="616"/>
      <c r="H3005" s="616"/>
      <c r="I3005" s="616"/>
      <c r="J3005" s="616"/>
      <c r="K3005" s="456"/>
      <c r="M3005" s="541">
        <f>Criteria!G504</f>
        <v>0</v>
      </c>
      <c r="N3005" s="541"/>
      <c r="O3005" s="541"/>
      <c r="R3005" s="490" t="str">
        <f t="shared" si="183"/>
        <v>DELETE</v>
      </c>
    </row>
    <row r="3006" spans="3:20" ht="36" customHeight="1" x14ac:dyDescent="0.5">
      <c r="C3006" s="520"/>
      <c r="D3006" s="616" t="str">
        <f>Criteria!C505</f>
        <v>section 11(o) Scrapping allowance</v>
      </c>
      <c r="E3006" s="616"/>
      <c r="F3006" s="616"/>
      <c r="G3006" s="616"/>
      <c r="H3006" s="616"/>
      <c r="I3006" s="616"/>
      <c r="J3006" s="616"/>
      <c r="K3006" s="456"/>
      <c r="M3006" s="541">
        <f>Criteria!G505</f>
        <v>0</v>
      </c>
      <c r="N3006" s="541"/>
      <c r="O3006" s="541"/>
      <c r="R3006" s="490" t="str">
        <f t="shared" si="183"/>
        <v>DELETE</v>
      </c>
    </row>
    <row r="3007" spans="3:20" ht="36" customHeight="1" x14ac:dyDescent="0.5">
      <c r="C3007" s="520"/>
      <c r="D3007" s="616" t="s">
        <v>591</v>
      </c>
      <c r="E3007" s="616"/>
      <c r="F3007" s="616"/>
      <c r="G3007" s="616"/>
      <c r="H3007" s="616"/>
      <c r="I3007" s="616"/>
      <c r="J3007" s="616"/>
      <c r="K3007" s="456"/>
      <c r="M3007" s="541">
        <f>-TrialBalance!L91-TrialBalanceA!I91-TrialBalanceB!I91-TrialBalanceC!I91</f>
        <v>0</v>
      </c>
      <c r="N3007" s="541"/>
      <c r="O3007" s="541"/>
      <c r="R3007" s="490" t="str">
        <f t="shared" si="183"/>
        <v>DELETE</v>
      </c>
    </row>
    <row r="3008" spans="3:20" ht="36" customHeight="1" x14ac:dyDescent="0.5">
      <c r="C3008" s="520"/>
      <c r="D3008" s="616" t="s">
        <v>1297</v>
      </c>
      <c r="E3008" s="616"/>
      <c r="F3008" s="616"/>
      <c r="G3008" s="616"/>
      <c r="H3008" s="616"/>
      <c r="I3008" s="616"/>
      <c r="J3008" s="616"/>
      <c r="K3008" s="456"/>
      <c r="M3008" s="541">
        <f>-TrialBalance!L92-TrialBalanceA!I92-TrialBalanceB!I92-TrialBalanceC!I92</f>
        <v>0</v>
      </c>
      <c r="N3008" s="541"/>
      <c r="O3008" s="541"/>
      <c r="R3008" s="490" t="str">
        <f>IF(M3008=0,"DELETE"," ")</f>
        <v>DELETE</v>
      </c>
    </row>
    <row r="3009" spans="3:20" ht="36" customHeight="1" x14ac:dyDescent="0.5">
      <c r="C3009" s="520"/>
      <c r="D3009" s="616" t="s">
        <v>589</v>
      </c>
      <c r="E3009" s="616"/>
      <c r="F3009" s="616"/>
      <c r="G3009" s="616"/>
      <c r="H3009" s="616"/>
      <c r="I3009" s="616"/>
      <c r="J3009" s="616"/>
      <c r="M3009" s="541">
        <f>IF(TrialBalance!L94&lt;0,-TrialBalance!L94,0)+IF(TrialBalanceA!I94&lt;0,-TrialBalanceA!I94,0)+IF(TrialBalanceB!I94&lt;0,-TrialBalanceB!I94,0)+IF(TrialBalanceC!I94&lt;0,-TrialBalanceC!I94,0)</f>
        <v>0</v>
      </c>
      <c r="N3009" s="541"/>
      <c r="O3009" s="541"/>
      <c r="R3009" s="490" t="str">
        <f t="shared" si="183"/>
        <v>DELETE</v>
      </c>
    </row>
    <row r="3010" spans="3:20" ht="36" customHeight="1" x14ac:dyDescent="0.5">
      <c r="C3010" s="520"/>
      <c r="D3010" s="616" t="s">
        <v>1009</v>
      </c>
      <c r="E3010" s="616"/>
      <c r="F3010" s="616"/>
      <c r="G3010" s="616"/>
      <c r="H3010" s="616"/>
      <c r="I3010" s="616"/>
      <c r="J3010" s="616"/>
      <c r="M3010" s="541">
        <f>-TrialBalance!L29-TrialBalanceA!I29-TrialBalanceB!I29-TrialBalanceC!I29</f>
        <v>0</v>
      </c>
      <c r="N3010" s="541"/>
      <c r="O3010" s="541"/>
      <c r="R3010" s="490" t="str">
        <f t="shared" si="183"/>
        <v>DELETE</v>
      </c>
    </row>
    <row r="3011" spans="3:20" ht="36" customHeight="1" x14ac:dyDescent="0.5">
      <c r="C3011" s="520"/>
      <c r="D3011" s="616" t="s">
        <v>1309</v>
      </c>
      <c r="E3011" s="616"/>
      <c r="F3011" s="616"/>
      <c r="G3011" s="616"/>
      <c r="H3011" s="616"/>
      <c r="I3011" s="616"/>
      <c r="J3011" s="616"/>
      <c r="M3011" s="541">
        <f>-TrialBalance!L33-TrialBalanceA!I33-TrialBalanceB!I33-TrialBalanceC!I33</f>
        <v>0</v>
      </c>
      <c r="N3011" s="541"/>
      <c r="O3011" s="541"/>
      <c r="R3011" s="490" t="str">
        <f>IF(M3011=0,"DELETE"," ")</f>
        <v>DELETE</v>
      </c>
    </row>
    <row r="3012" spans="3:20" ht="36" customHeight="1" x14ac:dyDescent="0.5">
      <c r="C3012" s="520"/>
      <c r="D3012" s="617">
        <f>Criteria!C506</f>
        <v>0</v>
      </c>
      <c r="E3012" s="616"/>
      <c r="F3012" s="616"/>
      <c r="G3012" s="616"/>
      <c r="H3012" s="616"/>
      <c r="I3012" s="616"/>
      <c r="J3012" s="616"/>
      <c r="M3012" s="541">
        <f>Criteria!G506</f>
        <v>0</v>
      </c>
      <c r="N3012" s="541"/>
      <c r="O3012" s="541"/>
      <c r="R3012" s="490" t="str">
        <f t="shared" ref="R3012:R3013" si="184">IF(M3012=0,"DELETE"," ")</f>
        <v>DELETE</v>
      </c>
    </row>
    <row r="3013" spans="3:20" ht="36" customHeight="1" x14ac:dyDescent="0.5">
      <c r="C3013" s="520"/>
      <c r="D3013" s="646">
        <f>Criteria!C507</f>
        <v>0</v>
      </c>
      <c r="E3013" s="616"/>
      <c r="F3013" s="616"/>
      <c r="G3013" s="616"/>
      <c r="H3013" s="616"/>
      <c r="I3013" s="616"/>
      <c r="J3013" s="616"/>
      <c r="M3013" s="541">
        <f>Criteria!G507</f>
        <v>0</v>
      </c>
      <c r="N3013" s="541"/>
      <c r="O3013" s="541"/>
      <c r="R3013" s="490" t="str">
        <f t="shared" si="184"/>
        <v>DELETE</v>
      </c>
    </row>
    <row r="3014" spans="3:20" ht="9" customHeight="1" x14ac:dyDescent="0.5">
      <c r="C3014" s="520"/>
      <c r="D3014" s="616"/>
      <c r="E3014" s="616"/>
      <c r="F3014" s="616"/>
      <c r="G3014" s="616"/>
      <c r="H3014" s="616"/>
      <c r="I3014" s="616"/>
      <c r="J3014" s="616"/>
      <c r="M3014" s="554"/>
      <c r="N3014" s="554"/>
      <c r="O3014" s="554"/>
      <c r="R3014" s="490" t="str">
        <f>R3015</f>
        <v>DELETE</v>
      </c>
    </row>
    <row r="3015" spans="3:20" ht="9" customHeight="1" x14ac:dyDescent="0.5">
      <c r="C3015" s="520"/>
      <c r="D3015" s="616"/>
      <c r="E3015" s="616"/>
      <c r="F3015" s="616"/>
      <c r="G3015" s="616"/>
      <c r="H3015" s="616"/>
      <c r="I3015" s="616"/>
      <c r="J3015" s="616"/>
      <c r="M3015" s="541"/>
      <c r="N3015" s="541"/>
      <c r="O3015" s="541"/>
      <c r="R3015" s="490" t="str">
        <f>R3016</f>
        <v>DELETE</v>
      </c>
    </row>
    <row r="3016" spans="3:20" ht="36" customHeight="1" x14ac:dyDescent="0.5">
      <c r="C3016" s="520"/>
      <c r="D3016" s="616"/>
      <c r="E3016" s="616"/>
      <c r="F3016" s="616"/>
      <c r="G3016" s="616"/>
      <c r="H3016" s="616"/>
      <c r="I3016" s="616"/>
      <c r="J3016" s="616"/>
      <c r="M3016" s="541"/>
      <c r="N3016" s="541"/>
      <c r="O3016" s="541">
        <f>SUM(S2981:S3013)</f>
        <v>0</v>
      </c>
      <c r="R3016" s="490" t="str">
        <f>R3017</f>
        <v>DELETE</v>
      </c>
    </row>
    <row r="3017" spans="3:20" ht="36" customHeight="1" x14ac:dyDescent="0.5">
      <c r="C3017" s="520"/>
      <c r="D3017" s="616" t="s">
        <v>176</v>
      </c>
      <c r="E3017" s="616"/>
      <c r="F3017" s="616"/>
      <c r="G3017" s="616"/>
      <c r="H3017" s="616"/>
      <c r="I3017" s="616"/>
      <c r="J3017" s="616"/>
      <c r="M3017" s="541"/>
      <c r="N3017" s="541"/>
      <c r="O3017" s="541">
        <f>-Criteria!G493</f>
        <v>0</v>
      </c>
      <c r="R3017" s="490" t="str">
        <f>IF(O3017=0,"DELETE"," ")</f>
        <v>DELETE</v>
      </c>
      <c r="S3017" s="495">
        <f>O3017</f>
        <v>0</v>
      </c>
      <c r="T3017" s="495"/>
    </row>
    <row r="3018" spans="3:20" ht="9" customHeight="1" x14ac:dyDescent="0.5">
      <c r="C3018" s="520"/>
      <c r="D3018" s="616"/>
      <c r="E3018" s="616"/>
      <c r="F3018" s="616"/>
      <c r="G3018" s="616"/>
      <c r="H3018" s="616"/>
      <c r="I3018" s="616"/>
      <c r="J3018" s="616"/>
      <c r="M3018" s="554"/>
      <c r="N3018" s="554"/>
      <c r="O3018" s="554"/>
    </row>
    <row r="3019" spans="3:20" ht="9" customHeight="1" x14ac:dyDescent="0.5">
      <c r="C3019" s="520"/>
      <c r="D3019" s="616"/>
      <c r="E3019" s="616"/>
      <c r="F3019" s="616"/>
      <c r="G3019" s="616"/>
      <c r="H3019" s="616"/>
      <c r="I3019" s="616"/>
      <c r="J3019" s="616"/>
      <c r="M3019" s="541"/>
      <c r="N3019" s="541"/>
      <c r="O3019" s="541"/>
    </row>
    <row r="3020" spans="3:20" ht="36.75" customHeight="1" x14ac:dyDescent="0.5">
      <c r="C3020" s="520"/>
      <c r="D3020" s="615" t="str">
        <f>IF(O3020&lt;0,"Estimated tax loss carried forward","Taxable income for the year")</f>
        <v>Taxable income for the year</v>
      </c>
      <c r="E3020" s="616"/>
      <c r="F3020" s="616"/>
      <c r="G3020" s="616"/>
      <c r="H3020" s="616"/>
      <c r="I3020" s="616"/>
      <c r="J3020" s="616"/>
      <c r="M3020" s="541"/>
      <c r="N3020" s="541"/>
      <c r="O3020" s="541">
        <f>SUM(S2981:S3018)</f>
        <v>0</v>
      </c>
    </row>
    <row r="3021" spans="3:20" ht="9" customHeight="1" thickBot="1" x14ac:dyDescent="0.55000000000000004">
      <c r="C3021" s="520"/>
      <c r="D3021" s="616"/>
      <c r="E3021" s="616"/>
      <c r="F3021" s="616"/>
      <c r="G3021" s="616"/>
      <c r="H3021" s="616"/>
      <c r="I3021" s="616"/>
      <c r="J3021" s="616"/>
      <c r="M3021" s="541"/>
      <c r="N3021" s="541"/>
      <c r="O3021" s="552"/>
    </row>
    <row r="3022" spans="3:20" ht="9" customHeight="1" thickTop="1" x14ac:dyDescent="0.5">
      <c r="C3022" s="520"/>
      <c r="D3022" s="616"/>
      <c r="E3022" s="616"/>
      <c r="F3022" s="616"/>
      <c r="G3022" s="616"/>
      <c r="H3022" s="616"/>
      <c r="I3022" s="616"/>
      <c r="J3022" s="616"/>
      <c r="M3022" s="541"/>
      <c r="N3022" s="541"/>
      <c r="O3022" s="541"/>
    </row>
    <row r="3023" spans="3:20" ht="36" customHeight="1" x14ac:dyDescent="0.5">
      <c r="C3023" s="520"/>
      <c r="D3023" s="616"/>
      <c r="E3023" s="616"/>
      <c r="F3023" s="616"/>
      <c r="G3023" s="616"/>
      <c r="H3023" s="616"/>
      <c r="I3023" s="616"/>
      <c r="J3023" s="616"/>
      <c r="K3023" s="489"/>
    </row>
    <row r="3024" spans="3:20" ht="36" customHeight="1" x14ac:dyDescent="0.5">
      <c r="C3024" s="520"/>
      <c r="D3024" s="616" t="s">
        <v>243</v>
      </c>
      <c r="E3024" s="616"/>
      <c r="F3024" s="616"/>
      <c r="G3024" s="616"/>
      <c r="H3024" s="616" t="str">
        <f>IF(Criteria!F480="Yes","Small Business Corporation tax","Normal tax")</f>
        <v>Normal tax</v>
      </c>
      <c r="I3024" s="616"/>
      <c r="J3024" s="616"/>
      <c r="M3024" s="562"/>
    </row>
    <row r="3025" spans="3:20" ht="36" customHeight="1" x14ac:dyDescent="0.5">
      <c r="C3025" s="520"/>
      <c r="D3025" s="616"/>
      <c r="E3025" s="616"/>
      <c r="F3025" s="616"/>
      <c r="G3025" s="616"/>
      <c r="H3025" s="616"/>
      <c r="I3025" s="616" t="str">
        <f>IF(Criteria!F480="Yes","Tax at reduced rates","Tax rate")</f>
        <v>Tax rate</v>
      </c>
      <c r="J3025" s="616"/>
      <c r="M3025" s="511">
        <f>IF(Criteria!F480="Yes"," ",Criteria!F478)</f>
        <v>0.27</v>
      </c>
      <c r="N3025" s="549"/>
      <c r="O3025" s="563">
        <f>ROUND(IF(O3020&lt;0,0,IF(Criteria!F480="No",O3020*Criteria!F478,IF(Criteria!I481="Yes",Criteria!K490,IF(Criteria!N481="Yes",Criteria!P490,IF(Criteria!S481="Yes",Criteria!U490))))),2)</f>
        <v>0</v>
      </c>
    </row>
    <row r="3026" spans="3:20" ht="9" customHeight="1" x14ac:dyDescent="0.5">
      <c r="C3026" s="520"/>
      <c r="D3026" s="616"/>
      <c r="E3026" s="616"/>
      <c r="F3026" s="616"/>
      <c r="G3026" s="616"/>
      <c r="H3026" s="616"/>
      <c r="I3026" s="616"/>
      <c r="J3026" s="616"/>
      <c r="O3026" s="564"/>
    </row>
    <row r="3027" spans="3:20" ht="9" customHeight="1" x14ac:dyDescent="0.5">
      <c r="C3027" s="520"/>
      <c r="D3027" s="616"/>
      <c r="E3027" s="616"/>
      <c r="F3027" s="616"/>
      <c r="G3027" s="616"/>
      <c r="H3027" s="616"/>
      <c r="I3027" s="616"/>
      <c r="J3027" s="616"/>
      <c r="O3027" s="563"/>
    </row>
    <row r="3028" spans="3:20" ht="36" customHeight="1" x14ac:dyDescent="0.5">
      <c r="C3028" s="520"/>
      <c r="D3028" s="616" t="s">
        <v>72</v>
      </c>
      <c r="E3028" s="616"/>
      <c r="F3028" s="616"/>
      <c r="G3028" s="616"/>
      <c r="H3028" s="616"/>
      <c r="I3028" s="616"/>
      <c r="J3028" s="616"/>
      <c r="O3028" s="563">
        <f>SUM(O3025:O3027)</f>
        <v>0</v>
      </c>
      <c r="S3028" s="496">
        <f>O3028</f>
        <v>0</v>
      </c>
      <c r="T3028" s="496"/>
    </row>
    <row r="3029" spans="3:20" ht="36" customHeight="1" x14ac:dyDescent="0.5">
      <c r="C3029" s="520"/>
      <c r="D3029" s="616"/>
      <c r="E3029" s="616"/>
      <c r="F3029" s="616"/>
      <c r="G3029" s="616"/>
      <c r="H3029" s="616"/>
      <c r="I3029" s="616"/>
      <c r="J3029" s="616"/>
      <c r="O3029" s="563"/>
    </row>
    <row r="3030" spans="3:20" ht="36" customHeight="1" x14ac:dyDescent="0.5">
      <c r="C3030" s="520"/>
      <c r="D3030" s="616" t="s">
        <v>100</v>
      </c>
      <c r="E3030" s="616"/>
      <c r="F3030" s="616"/>
      <c r="G3030" s="616"/>
      <c r="H3030" s="616"/>
      <c r="I3030" s="616"/>
      <c r="J3030" s="616"/>
      <c r="O3030" s="563">
        <f>SUM(M3032:M3035)</f>
        <v>0</v>
      </c>
      <c r="S3030" s="496">
        <f>-O3030</f>
        <v>0</v>
      </c>
      <c r="T3030" s="496"/>
    </row>
    <row r="3031" spans="3:20" ht="36" customHeight="1" x14ac:dyDescent="0.5">
      <c r="C3031" s="520"/>
      <c r="D3031" s="616" t="s">
        <v>73</v>
      </c>
      <c r="E3031" s="616"/>
      <c r="F3031" s="616"/>
      <c r="G3031" s="616"/>
      <c r="H3031" s="616"/>
      <c r="I3031" s="616"/>
      <c r="J3031" s="616"/>
      <c r="O3031" s="563"/>
    </row>
    <row r="3032" spans="3:20" ht="36" customHeight="1" x14ac:dyDescent="0.5">
      <c r="C3032" s="520"/>
      <c r="D3032" s="616"/>
      <c r="E3032" s="616" t="s">
        <v>74</v>
      </c>
      <c r="F3032" s="616"/>
      <c r="G3032" s="616"/>
      <c r="H3032" s="616"/>
      <c r="I3032" s="616"/>
      <c r="J3032" s="616"/>
      <c r="M3032" s="563">
        <f>TrialBalance!L390</f>
        <v>0</v>
      </c>
      <c r="O3032" s="563"/>
    </row>
    <row r="3033" spans="3:20" ht="36" customHeight="1" x14ac:dyDescent="0.5">
      <c r="C3033" s="520"/>
      <c r="D3033" s="616"/>
      <c r="E3033" s="616" t="s">
        <v>75</v>
      </c>
      <c r="F3033" s="616"/>
      <c r="G3033" s="616"/>
      <c r="H3033" s="616"/>
      <c r="I3033" s="616"/>
      <c r="J3033" s="616"/>
      <c r="M3033" s="563">
        <f>TrialBalance!L391</f>
        <v>0</v>
      </c>
      <c r="O3033" s="563"/>
    </row>
    <row r="3034" spans="3:20" ht="36" customHeight="1" x14ac:dyDescent="0.5">
      <c r="C3034" s="520"/>
      <c r="D3034" s="616"/>
      <c r="E3034" s="616" t="s">
        <v>76</v>
      </c>
      <c r="F3034" s="616"/>
      <c r="G3034" s="616"/>
      <c r="H3034" s="616"/>
      <c r="I3034" s="616"/>
      <c r="J3034" s="616"/>
      <c r="M3034" s="563">
        <f>TrialBalance!L392</f>
        <v>0</v>
      </c>
      <c r="O3034" s="563"/>
      <c r="R3034" s="490" t="str">
        <f>IF(M3034=0,"DELETE"," ")</f>
        <v>DELETE</v>
      </c>
    </row>
    <row r="3035" spans="3:20" ht="9" customHeight="1" x14ac:dyDescent="0.5">
      <c r="C3035" s="520"/>
      <c r="D3035" s="616"/>
      <c r="E3035" s="616"/>
      <c r="F3035" s="616"/>
      <c r="G3035" s="616"/>
      <c r="H3035" s="616"/>
      <c r="I3035" s="616"/>
      <c r="J3035" s="616"/>
      <c r="M3035" s="564"/>
      <c r="N3035" s="543"/>
      <c r="O3035" s="564"/>
    </row>
    <row r="3036" spans="3:20" ht="9" customHeight="1" x14ac:dyDescent="0.5">
      <c r="C3036" s="520"/>
      <c r="D3036" s="616"/>
      <c r="E3036" s="616"/>
      <c r="F3036" s="616"/>
      <c r="G3036" s="616"/>
      <c r="H3036" s="616"/>
      <c r="I3036" s="616"/>
      <c r="J3036" s="616"/>
      <c r="O3036" s="563"/>
    </row>
    <row r="3037" spans="3:20" ht="36.75" customHeight="1" x14ac:dyDescent="0.5">
      <c r="C3037" s="520"/>
      <c r="D3037" s="616" t="str">
        <f>IF(O3037&lt;0,"Income tax refundable","Net income tax payable")</f>
        <v>Net income tax payable</v>
      </c>
      <c r="E3037" s="616"/>
      <c r="F3037" s="616"/>
      <c r="G3037" s="616"/>
      <c r="H3037" s="616"/>
      <c r="I3037" s="616"/>
      <c r="J3037" s="616"/>
      <c r="O3037" s="563">
        <f>SUM(S3023:S3035)</f>
        <v>0</v>
      </c>
    </row>
    <row r="3038" spans="3:20" ht="9" customHeight="1" thickBot="1" x14ac:dyDescent="0.55000000000000004">
      <c r="C3038" s="520"/>
      <c r="D3038" s="616"/>
      <c r="E3038" s="616"/>
      <c r="F3038" s="616"/>
      <c r="G3038" s="616"/>
      <c r="H3038" s="616"/>
      <c r="I3038" s="616"/>
      <c r="J3038" s="616"/>
      <c r="O3038" s="565"/>
    </row>
    <row r="3039" spans="3:20" ht="9" customHeight="1" thickTop="1" x14ac:dyDescent="0.5">
      <c r="C3039" s="520"/>
      <c r="D3039" s="616"/>
      <c r="E3039" s="616"/>
      <c r="F3039" s="616"/>
      <c r="G3039" s="616"/>
      <c r="H3039" s="616"/>
      <c r="I3039" s="616"/>
      <c r="J3039" s="616"/>
      <c r="O3039" s="544"/>
    </row>
    <row r="3040" spans="3:20" ht="36" customHeight="1" x14ac:dyDescent="0.5">
      <c r="C3040" s="520"/>
      <c r="D3040" s="616"/>
      <c r="E3040" s="616"/>
      <c r="F3040" s="616"/>
      <c r="G3040" s="616"/>
      <c r="H3040" s="616"/>
      <c r="I3040" s="616"/>
      <c r="J3040" s="616"/>
    </row>
    <row r="3041" spans="3:18" ht="36" customHeight="1" x14ac:dyDescent="0.5">
      <c r="C3041" s="520"/>
      <c r="D3041" s="616"/>
      <c r="E3041" s="616"/>
      <c r="F3041" s="616"/>
      <c r="G3041" s="616"/>
      <c r="H3041" s="616"/>
      <c r="I3041" s="616"/>
      <c r="J3041" s="616"/>
    </row>
    <row r="3042" spans="3:18" ht="36" customHeight="1" x14ac:dyDescent="0.5">
      <c r="C3042" s="520"/>
      <c r="D3042" s="616"/>
      <c r="E3042" s="616"/>
      <c r="F3042" s="616"/>
      <c r="G3042" s="616"/>
      <c r="H3042" s="616"/>
      <c r="I3042" s="616"/>
      <c r="J3042" s="616"/>
    </row>
    <row r="3043" spans="3:18" ht="36" customHeight="1" x14ac:dyDescent="0.5">
      <c r="C3043" s="520"/>
      <c r="D3043" s="616"/>
      <c r="E3043" s="616"/>
      <c r="F3043" s="616"/>
      <c r="G3043" s="616"/>
      <c r="H3043" s="616"/>
      <c r="I3043" s="616"/>
      <c r="J3043" s="616"/>
    </row>
    <row r="3044" spans="3:18" ht="36" customHeight="1" x14ac:dyDescent="0.5">
      <c r="C3044" s="520"/>
      <c r="D3044" s="616"/>
      <c r="E3044" s="616"/>
      <c r="F3044" s="616"/>
      <c r="G3044" s="616"/>
      <c r="H3044" s="616"/>
      <c r="I3044" s="616"/>
      <c r="J3044" s="616"/>
      <c r="M3044" s="544"/>
      <c r="N3044" s="545"/>
      <c r="O3044" s="544"/>
      <c r="P3044" s="545"/>
    </row>
    <row r="3045" spans="3:18" ht="36" customHeight="1" x14ac:dyDescent="0.5">
      <c r="C3045" s="520"/>
      <c r="D3045" s="616"/>
      <c r="E3045" s="616"/>
      <c r="F3045" s="616"/>
      <c r="G3045" s="616"/>
      <c r="H3045" s="616"/>
      <c r="I3045" s="616"/>
      <c r="J3045" s="616"/>
    </row>
    <row r="3046" spans="3:18" ht="36" customHeight="1" x14ac:dyDescent="0.5">
      <c r="C3046" s="520"/>
      <c r="D3046" s="616"/>
      <c r="E3046" s="616"/>
      <c r="F3046" s="616"/>
      <c r="G3046" s="616"/>
      <c r="H3046" s="616"/>
      <c r="I3046" s="616"/>
      <c r="J3046" s="616"/>
      <c r="M3046" s="540"/>
      <c r="O3046" s="454" t="s">
        <v>112</v>
      </c>
      <c r="Q3046" s="450">
        <f>MAX($Q$103:Q3045)+1</f>
        <v>78</v>
      </c>
      <c r="R3046" s="490" t="str">
        <f>R$3065</f>
        <v>DELETE</v>
      </c>
    </row>
    <row r="3047" spans="3:18" ht="36" customHeight="1" x14ac:dyDescent="0.5">
      <c r="C3047" s="520"/>
      <c r="D3047" s="615" t="str">
        <f>Criteria!E9</f>
        <v>ABC COMPANY (PROPRIETARY) LIMITED</v>
      </c>
      <c r="E3047" s="616"/>
      <c r="F3047" s="616"/>
      <c r="G3047" s="616"/>
      <c r="H3047" s="616"/>
      <c r="I3047" s="616"/>
      <c r="J3047" s="616"/>
      <c r="M3047" s="540"/>
      <c r="O3047" s="540"/>
      <c r="R3047" s="490" t="str">
        <f>R$3065</f>
        <v>DELETE</v>
      </c>
    </row>
    <row r="3048" spans="3:18" ht="36" customHeight="1" x14ac:dyDescent="0.5">
      <c r="C3048" s="520"/>
      <c r="D3048" s="615" t="str">
        <f>Criteria!E10</f>
        <v>T/A SEAFRONT HOTEL, ABC RESTAURANT AND RENTAL PROPERTIES</v>
      </c>
      <c r="E3048" s="616"/>
      <c r="F3048" s="616"/>
      <c r="G3048" s="616"/>
      <c r="H3048" s="616"/>
      <c r="I3048" s="616"/>
      <c r="J3048" s="616"/>
      <c r="M3048" s="540"/>
      <c r="O3048" s="540"/>
      <c r="R3048" s="490" t="str">
        <f>IF(R$3065="DELETE","DELETE",IF(D3048=0,"DELETE"," "))</f>
        <v>DELETE</v>
      </c>
    </row>
    <row r="3049" spans="3:18" ht="36" customHeight="1" x14ac:dyDescent="0.5">
      <c r="C3049" s="520"/>
      <c r="D3049" s="616"/>
      <c r="E3049" s="616"/>
      <c r="F3049" s="616"/>
      <c r="G3049" s="616"/>
      <c r="H3049" s="616"/>
      <c r="I3049" s="616"/>
      <c r="J3049" s="616"/>
      <c r="M3049" s="540"/>
      <c r="O3049" s="540"/>
      <c r="R3049" s="490" t="str">
        <f t="shared" ref="R3049:R3064" si="185">R$3065</f>
        <v>DELETE</v>
      </c>
    </row>
    <row r="3050" spans="3:18" ht="36" customHeight="1" x14ac:dyDescent="0.5">
      <c r="C3050" s="520"/>
      <c r="D3050" s="615" t="s">
        <v>1744</v>
      </c>
      <c r="E3050" s="616"/>
      <c r="F3050" s="616"/>
      <c r="G3050" s="616"/>
      <c r="H3050" s="616"/>
      <c r="I3050" s="616"/>
      <c r="J3050" s="616"/>
      <c r="M3050" s="540"/>
      <c r="O3050" s="540"/>
      <c r="R3050" s="490" t="str">
        <f t="shared" si="185"/>
        <v>DELETE</v>
      </c>
    </row>
    <row r="3051" spans="3:18" ht="36" customHeight="1" x14ac:dyDescent="0.5">
      <c r="C3051" s="520"/>
      <c r="D3051" s="615" t="str">
        <f>CONCATENATE("YEAR ENDED ",Criteria!E20)</f>
        <v>YEAR ENDED 28 FEBRUARY 2026</v>
      </c>
      <c r="E3051" s="616"/>
      <c r="F3051" s="616"/>
      <c r="G3051" s="616"/>
      <c r="H3051" s="616"/>
      <c r="I3051" s="616"/>
      <c r="J3051" s="616"/>
      <c r="M3051" s="540"/>
      <c r="O3051" s="540"/>
      <c r="R3051" s="490" t="str">
        <f t="shared" si="185"/>
        <v>DELETE</v>
      </c>
    </row>
    <row r="3052" spans="3:18" ht="36" customHeight="1" x14ac:dyDescent="0.5">
      <c r="C3052" s="520"/>
      <c r="D3052" s="616"/>
      <c r="E3052" s="616"/>
      <c r="F3052" s="616"/>
      <c r="G3052" s="616"/>
      <c r="H3052" s="616"/>
      <c r="I3052" s="616"/>
      <c r="J3052" s="616"/>
      <c r="M3052" s="540"/>
      <c r="O3052" s="540"/>
      <c r="R3052" s="490" t="str">
        <f t="shared" si="185"/>
        <v>DELETE</v>
      </c>
    </row>
    <row r="3053" spans="3:18" ht="36" customHeight="1" x14ac:dyDescent="0.5">
      <c r="C3053" s="591"/>
      <c r="D3053" s="634"/>
      <c r="E3053" s="634"/>
      <c r="F3053" s="634"/>
      <c r="G3053" s="634"/>
      <c r="H3053" s="634"/>
      <c r="I3053" s="634"/>
      <c r="J3053" s="634"/>
      <c r="K3053" s="457"/>
      <c r="L3053" s="457"/>
      <c r="M3053" s="551"/>
      <c r="N3053" s="551"/>
      <c r="O3053" s="551"/>
      <c r="P3053" s="551"/>
      <c r="Q3053" s="457"/>
      <c r="R3053" s="490" t="str">
        <f t="shared" si="185"/>
        <v>DELETE</v>
      </c>
    </row>
    <row r="3054" spans="3:18" ht="36" customHeight="1" x14ac:dyDescent="0.5">
      <c r="C3054" s="520"/>
      <c r="D3054" s="616"/>
      <c r="E3054" s="616"/>
      <c r="F3054" s="616"/>
      <c r="G3054" s="616"/>
      <c r="H3054" s="616"/>
      <c r="I3054" s="616"/>
      <c r="J3054" s="616"/>
      <c r="M3054" s="540"/>
      <c r="O3054" s="540"/>
      <c r="R3054" s="490" t="str">
        <f t="shared" si="185"/>
        <v>DELETE</v>
      </c>
    </row>
    <row r="3055" spans="3:18" ht="36" customHeight="1" x14ac:dyDescent="0.5">
      <c r="C3055" s="520"/>
      <c r="D3055" s="616"/>
      <c r="E3055" s="616"/>
      <c r="F3055" s="616"/>
      <c r="G3055" s="616"/>
      <c r="H3055" s="616"/>
      <c r="I3055" s="616"/>
      <c r="J3055" s="616"/>
      <c r="M3055" s="540"/>
      <c r="O3055" s="540"/>
      <c r="R3055" s="490" t="str">
        <f t="shared" si="185"/>
        <v>DELETE</v>
      </c>
    </row>
    <row r="3056" spans="3:18" ht="36" customHeight="1" x14ac:dyDescent="0.5">
      <c r="C3056" s="520">
        <v>1</v>
      </c>
      <c r="D3056" s="630" t="s">
        <v>1538</v>
      </c>
      <c r="E3056" s="616"/>
      <c r="F3056" s="616"/>
      <c r="G3056" s="616"/>
      <c r="H3056" s="616"/>
      <c r="I3056" s="616"/>
      <c r="J3056" s="616"/>
      <c r="M3056" s="540"/>
      <c r="O3056" s="540"/>
      <c r="R3056" s="490" t="str">
        <f t="shared" si="185"/>
        <v>DELETE</v>
      </c>
    </row>
    <row r="3057" spans="3:26" ht="36" customHeight="1" x14ac:dyDescent="0.5">
      <c r="C3057" s="520"/>
      <c r="D3057" s="616"/>
      <c r="E3057" s="616"/>
      <c r="F3057" s="616"/>
      <c r="G3057" s="616"/>
      <c r="H3057" s="616"/>
      <c r="I3057" s="616"/>
      <c r="J3057" s="616"/>
      <c r="M3057" s="540"/>
      <c r="O3057" s="540"/>
      <c r="R3057" s="490" t="str">
        <f t="shared" si="185"/>
        <v>DELETE</v>
      </c>
    </row>
    <row r="3058" spans="3:26" ht="36" customHeight="1" x14ac:dyDescent="0.5">
      <c r="C3058" s="520"/>
      <c r="D3058" s="628" t="s">
        <v>853</v>
      </c>
      <c r="E3058" s="616"/>
      <c r="F3058" s="616"/>
      <c r="G3058" s="616"/>
      <c r="H3058" s="616"/>
      <c r="I3058" s="616"/>
      <c r="J3058" s="616"/>
      <c r="M3058" s="540"/>
      <c r="O3058" s="541">
        <f>Criteria!G510</f>
        <v>0</v>
      </c>
      <c r="R3058" s="490" t="str">
        <f t="shared" si="185"/>
        <v>DELETE</v>
      </c>
      <c r="Y3058" s="491">
        <f>IF(M3058&lt;0,1,IF(M3058=0,IF(O3058&lt;0,1,2),2))</f>
        <v>2</v>
      </c>
      <c r="Z3058" s="491">
        <f>IF(O3058&lt;0,1,IF(O3058=0,IF(M3058&lt;0,1,2),2))</f>
        <v>2</v>
      </c>
    </row>
    <row r="3059" spans="3:26" ht="36" customHeight="1" x14ac:dyDescent="0.5">
      <c r="C3059" s="520"/>
      <c r="D3059" s="628"/>
      <c r="E3059" s="616"/>
      <c r="F3059" s="616"/>
      <c r="G3059" s="616"/>
      <c r="H3059" s="616"/>
      <c r="I3059" s="616"/>
      <c r="J3059" s="616"/>
      <c r="M3059" s="540"/>
      <c r="O3059" s="541"/>
      <c r="R3059" s="490" t="str">
        <f t="shared" si="185"/>
        <v>DELETE</v>
      </c>
    </row>
    <row r="3060" spans="3:26" ht="36" customHeight="1" x14ac:dyDescent="0.5">
      <c r="C3060" s="520"/>
      <c r="D3060" s="628" t="s">
        <v>876</v>
      </c>
      <c r="E3060" s="616"/>
      <c r="F3060" s="616"/>
      <c r="G3060" s="616"/>
      <c r="H3060" s="616"/>
      <c r="I3060" s="616"/>
      <c r="J3060" s="616"/>
      <c r="M3060" s="540"/>
      <c r="O3060" s="541">
        <f>-Criteria!H510</f>
        <v>0</v>
      </c>
      <c r="R3060" s="490" t="str">
        <f t="shared" si="185"/>
        <v>DELETE</v>
      </c>
    </row>
    <row r="3061" spans="3:26" ht="36" customHeight="1" x14ac:dyDescent="0.5">
      <c r="C3061" s="520"/>
      <c r="D3061" s="616"/>
      <c r="E3061" s="616"/>
      <c r="F3061" s="616"/>
      <c r="G3061" s="616"/>
      <c r="H3061" s="616"/>
      <c r="I3061" s="616"/>
      <c r="J3061" s="616"/>
      <c r="M3061" s="540"/>
      <c r="O3061" s="541"/>
      <c r="R3061" s="490" t="str">
        <f t="shared" si="185"/>
        <v>DELETE</v>
      </c>
    </row>
    <row r="3062" spans="3:26" ht="36" customHeight="1" x14ac:dyDescent="0.5">
      <c r="C3062" s="520"/>
      <c r="D3062" s="616" t="s">
        <v>849</v>
      </c>
      <c r="E3062" s="616"/>
      <c r="F3062" s="616"/>
      <c r="G3062" s="616"/>
      <c r="H3062" s="616"/>
      <c r="I3062" s="616"/>
      <c r="J3062" s="616"/>
      <c r="M3062" s="540"/>
      <c r="O3062" s="541">
        <f>-Criteria!G494</f>
        <v>0</v>
      </c>
      <c r="R3062" s="490" t="str">
        <f t="shared" si="185"/>
        <v>DELETE</v>
      </c>
    </row>
    <row r="3063" spans="3:26" ht="9" customHeight="1" x14ac:dyDescent="0.5">
      <c r="C3063" s="520"/>
      <c r="D3063" s="616"/>
      <c r="E3063" s="616"/>
      <c r="F3063" s="616"/>
      <c r="G3063" s="616"/>
      <c r="H3063" s="616"/>
      <c r="I3063" s="616"/>
      <c r="J3063" s="616"/>
      <c r="M3063" s="540"/>
      <c r="O3063" s="554"/>
      <c r="R3063" s="490" t="str">
        <f t="shared" si="185"/>
        <v>DELETE</v>
      </c>
    </row>
    <row r="3064" spans="3:26" ht="9" customHeight="1" x14ac:dyDescent="0.5">
      <c r="C3064" s="520"/>
      <c r="D3064" s="616"/>
      <c r="E3064" s="616"/>
      <c r="F3064" s="616"/>
      <c r="G3064" s="616"/>
      <c r="H3064" s="616"/>
      <c r="I3064" s="616"/>
      <c r="J3064" s="616"/>
      <c r="M3064" s="540"/>
      <c r="O3064" s="541"/>
      <c r="R3064" s="490" t="str">
        <f t="shared" si="185"/>
        <v>DELETE</v>
      </c>
    </row>
    <row r="3065" spans="3:26" ht="36.75" customHeight="1" x14ac:dyDescent="0.5">
      <c r="C3065" s="520"/>
      <c r="D3065" s="616" t="str">
        <f>IF(O3065&lt;0,"Loss carried forward","Profit subject to CGT")</f>
        <v>Profit subject to CGT</v>
      </c>
      <c r="E3065" s="616"/>
      <c r="F3065" s="616"/>
      <c r="G3065" s="616"/>
      <c r="H3065" s="616"/>
      <c r="I3065" s="616"/>
      <c r="J3065" s="616"/>
      <c r="M3065" s="540"/>
      <c r="O3065" s="541">
        <f>SUM(O3058:O3063)</f>
        <v>0</v>
      </c>
      <c r="R3065" s="490" t="str">
        <f>IF(O3058-O3060-O3062=0,"DELETE"," ")</f>
        <v>DELETE</v>
      </c>
    </row>
    <row r="3066" spans="3:26" ht="9" customHeight="1" thickBot="1" x14ac:dyDescent="0.55000000000000004">
      <c r="C3066" s="520"/>
      <c r="D3066" s="616"/>
      <c r="E3066" s="616"/>
      <c r="F3066" s="616"/>
      <c r="G3066" s="616"/>
      <c r="H3066" s="616"/>
      <c r="I3066" s="616"/>
      <c r="J3066" s="616"/>
      <c r="M3066" s="540"/>
      <c r="O3066" s="552"/>
      <c r="R3066" s="490" t="str">
        <f t="shared" ref="R3066:R3072" si="186">R$3065</f>
        <v>DELETE</v>
      </c>
    </row>
    <row r="3067" spans="3:26" ht="9" customHeight="1" thickTop="1" x14ac:dyDescent="0.5">
      <c r="C3067" s="520"/>
      <c r="D3067" s="616"/>
      <c r="E3067" s="616"/>
      <c r="F3067" s="616"/>
      <c r="G3067" s="616"/>
      <c r="H3067" s="616"/>
      <c r="I3067" s="616"/>
      <c r="J3067" s="616"/>
      <c r="M3067" s="540"/>
      <c r="O3067" s="605"/>
      <c r="R3067" s="490" t="str">
        <f t="shared" si="186"/>
        <v>DELETE</v>
      </c>
    </row>
    <row r="3068" spans="3:26" ht="9" customHeight="1" x14ac:dyDescent="0.5">
      <c r="C3068" s="520"/>
      <c r="D3068" s="616"/>
      <c r="E3068" s="616"/>
      <c r="F3068" s="616"/>
      <c r="G3068" s="616"/>
      <c r="H3068" s="616"/>
      <c r="I3068" s="616"/>
      <c r="J3068" s="616"/>
      <c r="M3068" s="540"/>
      <c r="O3068" s="540"/>
      <c r="R3068" s="490" t="str">
        <f t="shared" si="186"/>
        <v>DELETE</v>
      </c>
    </row>
    <row r="3069" spans="3:26" ht="36.75" customHeight="1" x14ac:dyDescent="0.5">
      <c r="C3069" s="520"/>
      <c r="D3069" s="616" t="s">
        <v>586</v>
      </c>
      <c r="E3069" s="616"/>
      <c r="F3069" s="616"/>
      <c r="G3069" s="616"/>
      <c r="H3069" s="616"/>
      <c r="I3069" s="616"/>
      <c r="J3069" s="616"/>
      <c r="M3069" s="540"/>
      <c r="O3069" s="541">
        <f>ROUND(IF(O3065&gt;0,O3065*0.8,0),0)</f>
        <v>0</v>
      </c>
      <c r="R3069" s="490" t="str">
        <f t="shared" si="186"/>
        <v>DELETE</v>
      </c>
    </row>
    <row r="3070" spans="3:26" ht="9" customHeight="1" thickBot="1" x14ac:dyDescent="0.55000000000000004">
      <c r="C3070" s="520"/>
      <c r="D3070" s="616"/>
      <c r="E3070" s="616"/>
      <c r="F3070" s="616"/>
      <c r="G3070" s="616"/>
      <c r="H3070" s="616"/>
      <c r="I3070" s="616"/>
      <c r="J3070" s="616"/>
      <c r="M3070" s="540"/>
      <c r="O3070" s="553"/>
      <c r="R3070" s="490" t="str">
        <f t="shared" si="186"/>
        <v>DELETE</v>
      </c>
    </row>
    <row r="3071" spans="3:26" ht="9" customHeight="1" thickTop="1" x14ac:dyDescent="0.5">
      <c r="C3071" s="520"/>
      <c r="D3071" s="616"/>
      <c r="E3071" s="616"/>
      <c r="F3071" s="616"/>
      <c r="G3071" s="616"/>
      <c r="H3071" s="616"/>
      <c r="I3071" s="616"/>
      <c r="J3071" s="616"/>
      <c r="M3071" s="540"/>
      <c r="O3071" s="540"/>
      <c r="R3071" s="490" t="str">
        <f t="shared" si="186"/>
        <v>DELETE</v>
      </c>
    </row>
    <row r="3072" spans="3:26" ht="36" customHeight="1" x14ac:dyDescent="0.5">
      <c r="C3072" s="520"/>
      <c r="D3072" s="616"/>
      <c r="E3072" s="616"/>
      <c r="F3072" s="616"/>
      <c r="G3072" s="616"/>
      <c r="H3072" s="616"/>
      <c r="I3072" s="616"/>
      <c r="J3072" s="616"/>
      <c r="M3072" s="540"/>
      <c r="O3072" s="540"/>
      <c r="R3072" s="490" t="str">
        <f t="shared" si="186"/>
        <v>DELETE</v>
      </c>
    </row>
    <row r="3073" spans="3:18" ht="36" customHeight="1" x14ac:dyDescent="0.5">
      <c r="C3073" s="520"/>
      <c r="D3073" s="616"/>
      <c r="E3073" s="616"/>
      <c r="F3073" s="616"/>
      <c r="G3073" s="616"/>
      <c r="H3073" s="616"/>
      <c r="I3073" s="616"/>
      <c r="J3073" s="616"/>
      <c r="M3073" s="606"/>
      <c r="O3073" s="540"/>
      <c r="R3073" s="490" t="str">
        <f t="shared" ref="R3073:R3109" si="187">R$3065</f>
        <v>DELETE</v>
      </c>
    </row>
    <row r="3074" spans="3:18" ht="36" customHeight="1" x14ac:dyDescent="0.5">
      <c r="C3074" s="520"/>
      <c r="D3074" s="616"/>
      <c r="E3074" s="616"/>
      <c r="F3074" s="616"/>
      <c r="G3074" s="616"/>
      <c r="H3074" s="616"/>
      <c r="I3074" s="616"/>
      <c r="J3074" s="616"/>
      <c r="M3074" s="540"/>
      <c r="O3074" s="540"/>
      <c r="R3074" s="490" t="str">
        <f t="shared" si="187"/>
        <v>DELETE</v>
      </c>
    </row>
    <row r="3075" spans="3:18" ht="36" customHeight="1" x14ac:dyDescent="0.5">
      <c r="C3075" s="520"/>
      <c r="D3075" s="616"/>
      <c r="E3075" s="616"/>
      <c r="F3075" s="616"/>
      <c r="G3075" s="616"/>
      <c r="H3075" s="616"/>
      <c r="I3075" s="616"/>
      <c r="J3075" s="616"/>
      <c r="M3075" s="540"/>
      <c r="O3075" s="540"/>
      <c r="R3075" s="490" t="str">
        <f t="shared" si="187"/>
        <v>DELETE</v>
      </c>
    </row>
    <row r="3076" spans="3:18" ht="36" customHeight="1" x14ac:dyDescent="0.5">
      <c r="C3076" s="520"/>
      <c r="D3076" s="616"/>
      <c r="E3076" s="616"/>
      <c r="F3076" s="616"/>
      <c r="G3076" s="616"/>
      <c r="H3076" s="616"/>
      <c r="I3076" s="616"/>
      <c r="J3076" s="616"/>
      <c r="M3076" s="540"/>
      <c r="O3076" s="540"/>
      <c r="R3076" s="490" t="str">
        <f t="shared" si="187"/>
        <v>DELETE</v>
      </c>
    </row>
    <row r="3077" spans="3:18" ht="36" customHeight="1" x14ac:dyDescent="0.5">
      <c r="C3077" s="520"/>
      <c r="D3077" s="616"/>
      <c r="E3077" s="616"/>
      <c r="F3077" s="616"/>
      <c r="G3077" s="616"/>
      <c r="H3077" s="616"/>
      <c r="I3077" s="616"/>
      <c r="J3077" s="616"/>
      <c r="M3077" s="540"/>
      <c r="O3077" s="540"/>
      <c r="R3077" s="490" t="str">
        <f t="shared" si="187"/>
        <v>DELETE</v>
      </c>
    </row>
    <row r="3078" spans="3:18" ht="36" customHeight="1" x14ac:dyDescent="0.5">
      <c r="C3078" s="520"/>
      <c r="D3078" s="616"/>
      <c r="E3078" s="616"/>
      <c r="F3078" s="616"/>
      <c r="G3078" s="616"/>
      <c r="H3078" s="616"/>
      <c r="I3078" s="616"/>
      <c r="J3078" s="616"/>
      <c r="M3078" s="540"/>
      <c r="O3078" s="540"/>
      <c r="R3078" s="490" t="str">
        <f t="shared" si="187"/>
        <v>DELETE</v>
      </c>
    </row>
    <row r="3079" spans="3:18" ht="36" customHeight="1" x14ac:dyDescent="0.5">
      <c r="C3079" s="520"/>
      <c r="D3079" s="616"/>
      <c r="E3079" s="616"/>
      <c r="F3079" s="616"/>
      <c r="G3079" s="616"/>
      <c r="H3079" s="616"/>
      <c r="I3079" s="616"/>
      <c r="J3079" s="616"/>
      <c r="M3079" s="540"/>
      <c r="O3079" s="540"/>
      <c r="R3079" s="490" t="str">
        <f t="shared" si="187"/>
        <v>DELETE</v>
      </c>
    </row>
    <row r="3080" spans="3:18" ht="36" customHeight="1" x14ac:dyDescent="0.5">
      <c r="C3080" s="520"/>
      <c r="D3080" s="616"/>
      <c r="E3080" s="616"/>
      <c r="F3080" s="616"/>
      <c r="G3080" s="616"/>
      <c r="H3080" s="616"/>
      <c r="I3080" s="616"/>
      <c r="J3080" s="616"/>
      <c r="M3080" s="540"/>
      <c r="O3080" s="540"/>
      <c r="R3080" s="490" t="str">
        <f t="shared" si="187"/>
        <v>DELETE</v>
      </c>
    </row>
    <row r="3081" spans="3:18" ht="36" customHeight="1" x14ac:dyDescent="0.5">
      <c r="C3081" s="520"/>
      <c r="D3081" s="616"/>
      <c r="E3081" s="616"/>
      <c r="F3081" s="616"/>
      <c r="G3081" s="616"/>
      <c r="H3081" s="616"/>
      <c r="I3081" s="616"/>
      <c r="J3081" s="616"/>
      <c r="M3081" s="540"/>
      <c r="O3081" s="540"/>
      <c r="R3081" s="490" t="str">
        <f t="shared" si="187"/>
        <v>DELETE</v>
      </c>
    </row>
    <row r="3082" spans="3:18" ht="36" customHeight="1" x14ac:dyDescent="0.5">
      <c r="C3082" s="520"/>
      <c r="D3082" s="616"/>
      <c r="E3082" s="616"/>
      <c r="F3082" s="616"/>
      <c r="G3082" s="616"/>
      <c r="H3082" s="616"/>
      <c r="I3082" s="616"/>
      <c r="J3082" s="616"/>
      <c r="M3082" s="540"/>
      <c r="O3082" s="540"/>
      <c r="R3082" s="490" t="str">
        <f t="shared" si="187"/>
        <v>DELETE</v>
      </c>
    </row>
    <row r="3083" spans="3:18" ht="36" customHeight="1" x14ac:dyDescent="0.5">
      <c r="C3083" s="520"/>
      <c r="D3083" s="616"/>
      <c r="E3083" s="616"/>
      <c r="F3083" s="616"/>
      <c r="G3083" s="616"/>
      <c r="H3083" s="616"/>
      <c r="I3083" s="616"/>
      <c r="J3083" s="616"/>
      <c r="M3083" s="540"/>
      <c r="O3083" s="540"/>
      <c r="R3083" s="490" t="str">
        <f t="shared" si="187"/>
        <v>DELETE</v>
      </c>
    </row>
    <row r="3084" spans="3:18" ht="36" customHeight="1" x14ac:dyDescent="0.5">
      <c r="C3084" s="520"/>
      <c r="D3084" s="616"/>
      <c r="E3084" s="616"/>
      <c r="F3084" s="616"/>
      <c r="G3084" s="616"/>
      <c r="H3084" s="616"/>
      <c r="I3084" s="616"/>
      <c r="J3084" s="616"/>
      <c r="M3084" s="540"/>
      <c r="O3084" s="540"/>
      <c r="R3084" s="490" t="str">
        <f t="shared" si="187"/>
        <v>DELETE</v>
      </c>
    </row>
    <row r="3085" spans="3:18" ht="36" customHeight="1" x14ac:dyDescent="0.5">
      <c r="C3085" s="520"/>
      <c r="D3085" s="616"/>
      <c r="E3085" s="616"/>
      <c r="F3085" s="616"/>
      <c r="G3085" s="616"/>
      <c r="H3085" s="616"/>
      <c r="I3085" s="616"/>
      <c r="J3085" s="616"/>
      <c r="M3085" s="540"/>
      <c r="O3085" s="540"/>
      <c r="R3085" s="490" t="str">
        <f t="shared" si="187"/>
        <v>DELETE</v>
      </c>
    </row>
    <row r="3086" spans="3:18" ht="36" customHeight="1" x14ac:dyDescent="0.5">
      <c r="C3086" s="520"/>
      <c r="D3086" s="616"/>
      <c r="E3086" s="616"/>
      <c r="F3086" s="616"/>
      <c r="G3086" s="616"/>
      <c r="H3086" s="616"/>
      <c r="I3086" s="616"/>
      <c r="J3086" s="616"/>
      <c r="M3086" s="540"/>
      <c r="O3086" s="540"/>
      <c r="R3086" s="490" t="str">
        <f t="shared" si="187"/>
        <v>DELETE</v>
      </c>
    </row>
    <row r="3087" spans="3:18" ht="36" customHeight="1" x14ac:dyDescent="0.5">
      <c r="C3087" s="520"/>
      <c r="D3087" s="616"/>
      <c r="E3087" s="616"/>
      <c r="F3087" s="616"/>
      <c r="G3087" s="616"/>
      <c r="H3087" s="616"/>
      <c r="I3087" s="616"/>
      <c r="J3087" s="616"/>
      <c r="M3087" s="540"/>
      <c r="O3087" s="540"/>
      <c r="R3087" s="490" t="str">
        <f t="shared" si="187"/>
        <v>DELETE</v>
      </c>
    </row>
    <row r="3088" spans="3:18" ht="36" customHeight="1" x14ac:dyDescent="0.5">
      <c r="C3088" s="520"/>
      <c r="D3088" s="616"/>
      <c r="E3088" s="616"/>
      <c r="F3088" s="616"/>
      <c r="G3088" s="616"/>
      <c r="H3088" s="616"/>
      <c r="I3088" s="616"/>
      <c r="J3088" s="616"/>
      <c r="M3088" s="540"/>
      <c r="O3088" s="540"/>
      <c r="R3088" s="490" t="str">
        <f t="shared" si="187"/>
        <v>DELETE</v>
      </c>
    </row>
    <row r="3089" spans="3:18" ht="36" customHeight="1" x14ac:dyDescent="0.5">
      <c r="C3089" s="520"/>
      <c r="D3089" s="616"/>
      <c r="E3089" s="616"/>
      <c r="F3089" s="616"/>
      <c r="G3089" s="616"/>
      <c r="H3089" s="616"/>
      <c r="I3089" s="616"/>
      <c r="J3089" s="616"/>
      <c r="M3089" s="540"/>
      <c r="O3089" s="540"/>
      <c r="R3089" s="490" t="str">
        <f t="shared" si="187"/>
        <v>DELETE</v>
      </c>
    </row>
    <row r="3090" spans="3:18" ht="36" customHeight="1" x14ac:dyDescent="0.5">
      <c r="C3090" s="520"/>
      <c r="D3090" s="616"/>
      <c r="E3090" s="616"/>
      <c r="F3090" s="616"/>
      <c r="G3090" s="616"/>
      <c r="H3090" s="616"/>
      <c r="I3090" s="616"/>
      <c r="J3090" s="616"/>
      <c r="M3090" s="540"/>
      <c r="O3090" s="540"/>
      <c r="R3090" s="490" t="str">
        <f t="shared" si="187"/>
        <v>DELETE</v>
      </c>
    </row>
    <row r="3091" spans="3:18" ht="36" customHeight="1" x14ac:dyDescent="0.5">
      <c r="C3091" s="520"/>
      <c r="D3091" s="616"/>
      <c r="E3091" s="616"/>
      <c r="F3091" s="616"/>
      <c r="G3091" s="616"/>
      <c r="H3091" s="616"/>
      <c r="I3091" s="616"/>
      <c r="J3091" s="616"/>
      <c r="M3091" s="540"/>
      <c r="O3091" s="540"/>
      <c r="R3091" s="490" t="str">
        <f t="shared" si="187"/>
        <v>DELETE</v>
      </c>
    </row>
    <row r="3092" spans="3:18" ht="36" customHeight="1" x14ac:dyDescent="0.5">
      <c r="C3092" s="520"/>
      <c r="D3092" s="616"/>
      <c r="E3092" s="616"/>
      <c r="F3092" s="616"/>
      <c r="G3092" s="616"/>
      <c r="H3092" s="616"/>
      <c r="I3092" s="616"/>
      <c r="J3092" s="616"/>
      <c r="M3092" s="540"/>
      <c r="O3092" s="540"/>
      <c r="R3092" s="490" t="str">
        <f t="shared" si="187"/>
        <v>DELETE</v>
      </c>
    </row>
    <row r="3093" spans="3:18" ht="36" customHeight="1" x14ac:dyDescent="0.5">
      <c r="C3093" s="520"/>
      <c r="D3093" s="616"/>
      <c r="E3093" s="616"/>
      <c r="F3093" s="616"/>
      <c r="G3093" s="616"/>
      <c r="H3093" s="616"/>
      <c r="I3093" s="616"/>
      <c r="J3093" s="616"/>
      <c r="M3093" s="540"/>
      <c r="O3093" s="540"/>
      <c r="R3093" s="490" t="str">
        <f t="shared" si="187"/>
        <v>DELETE</v>
      </c>
    </row>
    <row r="3094" spans="3:18" ht="36" customHeight="1" x14ac:dyDescent="0.5">
      <c r="C3094" s="520"/>
      <c r="D3094" s="616"/>
      <c r="E3094" s="616"/>
      <c r="F3094" s="616"/>
      <c r="G3094" s="616"/>
      <c r="H3094" s="616"/>
      <c r="I3094" s="616"/>
      <c r="J3094" s="616"/>
      <c r="M3094" s="540"/>
      <c r="O3094" s="540"/>
      <c r="R3094" s="490" t="str">
        <f t="shared" si="187"/>
        <v>DELETE</v>
      </c>
    </row>
    <row r="3095" spans="3:18" ht="36" customHeight="1" x14ac:dyDescent="0.5">
      <c r="C3095" s="520"/>
      <c r="D3095" s="616"/>
      <c r="E3095" s="616"/>
      <c r="F3095" s="616"/>
      <c r="G3095" s="616"/>
      <c r="H3095" s="616"/>
      <c r="I3095" s="616"/>
      <c r="J3095" s="616"/>
      <c r="M3095" s="540"/>
      <c r="O3095" s="540"/>
      <c r="R3095" s="490" t="str">
        <f t="shared" si="187"/>
        <v>DELETE</v>
      </c>
    </row>
    <row r="3096" spans="3:18" ht="36" customHeight="1" x14ac:dyDescent="0.5">
      <c r="C3096" s="520"/>
      <c r="D3096" s="616"/>
      <c r="E3096" s="616"/>
      <c r="F3096" s="616"/>
      <c r="G3096" s="616"/>
      <c r="H3096" s="616"/>
      <c r="I3096" s="616"/>
      <c r="J3096" s="616"/>
      <c r="M3096" s="540"/>
      <c r="O3096" s="540"/>
      <c r="R3096" s="490" t="str">
        <f t="shared" si="187"/>
        <v>DELETE</v>
      </c>
    </row>
    <row r="3097" spans="3:18" ht="36" customHeight="1" x14ac:dyDescent="0.5">
      <c r="C3097" s="520"/>
      <c r="D3097" s="616"/>
      <c r="E3097" s="616"/>
      <c r="F3097" s="616"/>
      <c r="G3097" s="616"/>
      <c r="H3097" s="616"/>
      <c r="I3097" s="616"/>
      <c r="J3097" s="616"/>
      <c r="M3097" s="540"/>
      <c r="O3097" s="540"/>
      <c r="R3097" s="490" t="str">
        <f t="shared" si="187"/>
        <v>DELETE</v>
      </c>
    </row>
    <row r="3098" spans="3:18" ht="36" customHeight="1" x14ac:dyDescent="0.5">
      <c r="C3098" s="520"/>
      <c r="D3098" s="616"/>
      <c r="E3098" s="616"/>
      <c r="F3098" s="616"/>
      <c r="G3098" s="616"/>
      <c r="H3098" s="616"/>
      <c r="I3098" s="616"/>
      <c r="J3098" s="616"/>
      <c r="M3098" s="540"/>
      <c r="O3098" s="540"/>
      <c r="R3098" s="490" t="str">
        <f t="shared" si="187"/>
        <v>DELETE</v>
      </c>
    </row>
    <row r="3099" spans="3:18" ht="36" customHeight="1" x14ac:dyDescent="0.5">
      <c r="C3099" s="520"/>
      <c r="D3099" s="616"/>
      <c r="E3099" s="616"/>
      <c r="F3099" s="616"/>
      <c r="G3099" s="616"/>
      <c r="H3099" s="616"/>
      <c r="I3099" s="616"/>
      <c r="J3099" s="616"/>
      <c r="M3099" s="540"/>
      <c r="O3099" s="540"/>
      <c r="R3099" s="490" t="str">
        <f t="shared" si="187"/>
        <v>DELETE</v>
      </c>
    </row>
    <row r="3100" spans="3:18" ht="36" customHeight="1" x14ac:dyDescent="0.5">
      <c r="C3100" s="520"/>
      <c r="D3100" s="616"/>
      <c r="E3100" s="616"/>
      <c r="F3100" s="616"/>
      <c r="G3100" s="616"/>
      <c r="H3100" s="616"/>
      <c r="I3100" s="616"/>
      <c r="J3100" s="616"/>
      <c r="M3100" s="540"/>
      <c r="O3100" s="540"/>
      <c r="R3100" s="490" t="str">
        <f t="shared" si="187"/>
        <v>DELETE</v>
      </c>
    </row>
    <row r="3101" spans="3:18" ht="36" customHeight="1" x14ac:dyDescent="0.5">
      <c r="C3101" s="520"/>
      <c r="D3101" s="616"/>
      <c r="E3101" s="616"/>
      <c r="F3101" s="616"/>
      <c r="G3101" s="616"/>
      <c r="H3101" s="616"/>
      <c r="I3101" s="616"/>
      <c r="J3101" s="616"/>
      <c r="M3101" s="540"/>
      <c r="O3101" s="540"/>
      <c r="R3101" s="490" t="str">
        <f t="shared" si="187"/>
        <v>DELETE</v>
      </c>
    </row>
    <row r="3102" spans="3:18" ht="36" customHeight="1" x14ac:dyDescent="0.5">
      <c r="C3102" s="520"/>
      <c r="D3102" s="616"/>
      <c r="E3102" s="616"/>
      <c r="F3102" s="616"/>
      <c r="G3102" s="616"/>
      <c r="H3102" s="616"/>
      <c r="I3102" s="616"/>
      <c r="J3102" s="616"/>
      <c r="M3102" s="540"/>
      <c r="O3102" s="540"/>
      <c r="R3102" s="490" t="str">
        <f t="shared" si="187"/>
        <v>DELETE</v>
      </c>
    </row>
    <row r="3103" spans="3:18" ht="36" customHeight="1" x14ac:dyDescent="0.5">
      <c r="C3103" s="520"/>
      <c r="D3103" s="616"/>
      <c r="E3103" s="616"/>
      <c r="F3103" s="616"/>
      <c r="G3103" s="616"/>
      <c r="H3103" s="616"/>
      <c r="I3103" s="616"/>
      <c r="J3103" s="616"/>
      <c r="M3103" s="540"/>
      <c r="O3103" s="540"/>
      <c r="R3103" s="490" t="str">
        <f t="shared" si="187"/>
        <v>DELETE</v>
      </c>
    </row>
    <row r="3104" spans="3:18" ht="36" customHeight="1" x14ac:dyDescent="0.5">
      <c r="C3104" s="520"/>
      <c r="D3104" s="616"/>
      <c r="E3104" s="616"/>
      <c r="F3104" s="616"/>
      <c r="G3104" s="616"/>
      <c r="H3104" s="616"/>
      <c r="I3104" s="616"/>
      <c r="J3104" s="616"/>
      <c r="M3104" s="540"/>
      <c r="O3104" s="540"/>
      <c r="R3104" s="490" t="str">
        <f t="shared" si="187"/>
        <v>DELETE</v>
      </c>
    </row>
    <row r="3105" spans="3:26" ht="36" customHeight="1" x14ac:dyDescent="0.5">
      <c r="C3105" s="520"/>
      <c r="D3105" s="616"/>
      <c r="E3105" s="616"/>
      <c r="F3105" s="616"/>
      <c r="G3105" s="616"/>
      <c r="H3105" s="616"/>
      <c r="I3105" s="616"/>
      <c r="J3105" s="616"/>
      <c r="M3105" s="540"/>
      <c r="O3105" s="540"/>
      <c r="R3105" s="490" t="str">
        <f t="shared" si="187"/>
        <v>DELETE</v>
      </c>
    </row>
    <row r="3106" spans="3:26" ht="36" customHeight="1" x14ac:dyDescent="0.5">
      <c r="C3106" s="520"/>
      <c r="D3106" s="616"/>
      <c r="E3106" s="616"/>
      <c r="F3106" s="616"/>
      <c r="G3106" s="616"/>
      <c r="H3106" s="616"/>
      <c r="I3106" s="616"/>
      <c r="J3106" s="616"/>
      <c r="M3106" s="540"/>
      <c r="O3106" s="540"/>
      <c r="R3106" s="490" t="str">
        <f t="shared" si="187"/>
        <v>DELETE</v>
      </c>
    </row>
    <row r="3107" spans="3:26" ht="36" customHeight="1" x14ac:dyDescent="0.5">
      <c r="C3107" s="520"/>
      <c r="D3107" s="616"/>
      <c r="E3107" s="616"/>
      <c r="F3107" s="616"/>
      <c r="G3107" s="616"/>
      <c r="H3107" s="616"/>
      <c r="I3107" s="616"/>
      <c r="J3107" s="616"/>
      <c r="M3107" s="540"/>
      <c r="O3107" s="540"/>
      <c r="R3107" s="490" t="str">
        <f t="shared" si="187"/>
        <v>DELETE</v>
      </c>
    </row>
    <row r="3108" spans="3:26" ht="36" customHeight="1" x14ac:dyDescent="0.5">
      <c r="C3108" s="520"/>
      <c r="D3108" s="616"/>
      <c r="E3108" s="616"/>
      <c r="F3108" s="616"/>
      <c r="G3108" s="616"/>
      <c r="H3108" s="616"/>
      <c r="I3108" s="616"/>
      <c r="J3108" s="616"/>
      <c r="M3108" s="545"/>
      <c r="N3108" s="545"/>
      <c r="O3108" s="545"/>
      <c r="P3108" s="545"/>
      <c r="R3108" s="490" t="str">
        <f t="shared" si="187"/>
        <v>DELETE</v>
      </c>
    </row>
    <row r="3109" spans="3:26" ht="36" customHeight="1" x14ac:dyDescent="0.5">
      <c r="C3109" s="520"/>
      <c r="D3109" s="616"/>
      <c r="E3109" s="616"/>
      <c r="F3109" s="616"/>
      <c r="G3109" s="616"/>
      <c r="H3109" s="616"/>
      <c r="I3109" s="616"/>
      <c r="J3109" s="616"/>
      <c r="M3109" s="545"/>
      <c r="N3109" s="545"/>
      <c r="O3109" s="545"/>
      <c r="P3109" s="545"/>
      <c r="R3109" s="490" t="str">
        <f t="shared" si="187"/>
        <v>DELETE</v>
      </c>
    </row>
    <row r="3110" spans="3:26" ht="36" customHeight="1" x14ac:dyDescent="0.5">
      <c r="C3110" s="520"/>
      <c r="D3110" s="616"/>
      <c r="E3110" s="616"/>
      <c r="F3110" s="616"/>
      <c r="G3110" s="616"/>
      <c r="H3110" s="616"/>
      <c r="I3110" s="616"/>
      <c r="J3110" s="616"/>
      <c r="M3110" s="541"/>
      <c r="N3110" s="541"/>
      <c r="O3110" s="458" t="s">
        <v>112</v>
      </c>
      <c r="Q3110" s="450">
        <v>1</v>
      </c>
      <c r="R3110" s="490" t="str">
        <f>IF(SUM(U3122:U3124)+SUM(U3142:U3149)+SUM(U3250:U3259)+O3267=0,"DELETE",IF(SUM(S3122:S3124)+SUM(U3122:U3124)+SUM(S3142:S3149)+SUM(U3142:U3149)+SUM(S3250:S3259)+SUM(U3250:U3259)+M3267+O3267=0,"DELETE"," "))</f>
        <v>DELETE</v>
      </c>
      <c r="T3110" s="498"/>
      <c r="V3110" s="494"/>
      <c r="W3110" s="494"/>
      <c r="X3110" s="494"/>
      <c r="Y3110" s="498"/>
    </row>
    <row r="3111" spans="3:26" ht="36" customHeight="1" x14ac:dyDescent="0.5">
      <c r="C3111" s="520"/>
      <c r="D3111" s="615" t="s">
        <v>562</v>
      </c>
      <c r="E3111" s="616"/>
      <c r="F3111" s="616"/>
      <c r="G3111" s="616"/>
      <c r="H3111" s="616"/>
      <c r="I3111" s="616"/>
      <c r="J3111" s="616"/>
      <c r="M3111" s="541"/>
      <c r="N3111" s="541"/>
      <c r="O3111" s="541"/>
      <c r="R3111" s="490" t="str">
        <f t="shared" ref="R3111:R3121" si="188">R$3110</f>
        <v>DELETE</v>
      </c>
      <c r="T3111" s="498"/>
      <c r="V3111" s="493"/>
      <c r="X3111" s="493"/>
      <c r="Z3111" s="493"/>
    </row>
    <row r="3112" spans="3:26" ht="36" customHeight="1" x14ac:dyDescent="0.5">
      <c r="C3112" s="520"/>
      <c r="D3112" s="616"/>
      <c r="E3112" s="616"/>
      <c r="F3112" s="616"/>
      <c r="G3112" s="616"/>
      <c r="H3112" s="616"/>
      <c r="I3112" s="616"/>
      <c r="J3112" s="616"/>
      <c r="M3112" s="541"/>
      <c r="N3112" s="541"/>
      <c r="O3112" s="541"/>
      <c r="R3112" s="490" t="str">
        <f t="shared" si="188"/>
        <v>DELETE</v>
      </c>
      <c r="T3112" s="498"/>
    </row>
    <row r="3113" spans="3:26" ht="36" customHeight="1" x14ac:dyDescent="0.5">
      <c r="C3113" s="520"/>
      <c r="D3113" s="615" t="str">
        <f>Criteria!E9</f>
        <v>ABC COMPANY (PROPRIETARY) LIMITED</v>
      </c>
      <c r="E3113" s="616"/>
      <c r="F3113" s="616"/>
      <c r="G3113" s="616"/>
      <c r="H3113" s="616"/>
      <c r="I3113" s="616"/>
      <c r="J3113" s="616"/>
      <c r="M3113" s="541"/>
      <c r="N3113" s="541"/>
      <c r="O3113" s="540"/>
      <c r="R3113" s="490" t="str">
        <f t="shared" si="188"/>
        <v>DELETE</v>
      </c>
      <c r="T3113" s="498"/>
    </row>
    <row r="3114" spans="3:26" ht="36" customHeight="1" x14ac:dyDescent="0.5">
      <c r="C3114" s="520"/>
      <c r="D3114" s="615" t="str">
        <f>CONCATENATE("T/A ",Criteria!E14)</f>
        <v>T/A ABC RESTAURANT</v>
      </c>
      <c r="E3114" s="616"/>
      <c r="F3114" s="616"/>
      <c r="G3114" s="616"/>
      <c r="H3114" s="616"/>
      <c r="I3114" s="616"/>
      <c r="J3114" s="616"/>
      <c r="M3114" s="541"/>
      <c r="N3114" s="541"/>
      <c r="O3114" s="541"/>
      <c r="R3114" s="490" t="str">
        <f t="shared" si="188"/>
        <v>DELETE</v>
      </c>
      <c r="T3114" s="498"/>
    </row>
    <row r="3115" spans="3:26" ht="36" customHeight="1" x14ac:dyDescent="0.5">
      <c r="C3115" s="520"/>
      <c r="D3115" s="616"/>
      <c r="E3115" s="616"/>
      <c r="F3115" s="616"/>
      <c r="G3115" s="616"/>
      <c r="H3115" s="616"/>
      <c r="I3115" s="616"/>
      <c r="J3115" s="616"/>
      <c r="M3115" s="541"/>
      <c r="N3115" s="541"/>
      <c r="O3115" s="541"/>
      <c r="R3115" s="490" t="str">
        <f t="shared" si="188"/>
        <v>DELETE</v>
      </c>
      <c r="T3115" s="498"/>
    </row>
    <row r="3116" spans="3:26" ht="36" customHeight="1" x14ac:dyDescent="0.5">
      <c r="C3116" s="520"/>
      <c r="D3116" s="615" t="s">
        <v>109</v>
      </c>
      <c r="E3116" s="616"/>
      <c r="F3116" s="616"/>
      <c r="G3116" s="616"/>
      <c r="H3116" s="616"/>
      <c r="I3116" s="616"/>
      <c r="J3116" s="616"/>
      <c r="M3116" s="541"/>
      <c r="N3116" s="541"/>
      <c r="O3116" s="541"/>
      <c r="R3116" s="490" t="str">
        <f t="shared" si="188"/>
        <v>DELETE</v>
      </c>
      <c r="T3116" s="498"/>
    </row>
    <row r="3117" spans="3:26" ht="36" customHeight="1" x14ac:dyDescent="0.5">
      <c r="C3117" s="520"/>
      <c r="D3117" s="615" t="str">
        <f>Criteria!E20</f>
        <v>28 FEBRUARY 2026</v>
      </c>
      <c r="E3117" s="616"/>
      <c r="F3117" s="616"/>
      <c r="G3117" s="616"/>
      <c r="H3117" s="616"/>
      <c r="I3117" s="616"/>
      <c r="J3117" s="616"/>
      <c r="M3117" s="541"/>
      <c r="N3117" s="541"/>
      <c r="O3117" s="541"/>
      <c r="R3117" s="490" t="str">
        <f t="shared" si="188"/>
        <v>DELETE</v>
      </c>
      <c r="T3117" s="498"/>
    </row>
    <row r="3118" spans="3:26" ht="36" customHeight="1" x14ac:dyDescent="0.5">
      <c r="C3118" s="520"/>
      <c r="D3118" s="616"/>
      <c r="E3118" s="616"/>
      <c r="F3118" s="616"/>
      <c r="G3118" s="616"/>
      <c r="H3118" s="616"/>
      <c r="I3118" s="616"/>
      <c r="J3118" s="616"/>
      <c r="M3118" s="541"/>
      <c r="N3118" s="541"/>
      <c r="O3118" s="541"/>
      <c r="R3118" s="490" t="str">
        <f t="shared" si="188"/>
        <v>DELETE</v>
      </c>
      <c r="T3118" s="498"/>
    </row>
    <row r="3119" spans="3:26" ht="36" customHeight="1" x14ac:dyDescent="0.5">
      <c r="C3119" s="520"/>
      <c r="D3119" s="634"/>
      <c r="E3119" s="634"/>
      <c r="F3119" s="634"/>
      <c r="G3119" s="634"/>
      <c r="H3119" s="634"/>
      <c r="I3119" s="634"/>
      <c r="J3119" s="634"/>
      <c r="K3119" s="457"/>
      <c r="L3119" s="457"/>
      <c r="M3119" s="557"/>
      <c r="N3119" s="557"/>
      <c r="O3119" s="557"/>
      <c r="P3119" s="551"/>
      <c r="Q3119" s="457"/>
      <c r="R3119" s="490" t="str">
        <f t="shared" si="188"/>
        <v>DELETE</v>
      </c>
      <c r="T3119" s="498"/>
    </row>
    <row r="3120" spans="3:26" ht="36" customHeight="1" x14ac:dyDescent="0.5">
      <c r="C3120" s="520"/>
      <c r="D3120" s="616"/>
      <c r="E3120" s="616"/>
      <c r="F3120" s="616"/>
      <c r="G3120" s="616"/>
      <c r="H3120" s="616"/>
      <c r="I3120" s="616"/>
      <c r="J3120" s="645"/>
      <c r="K3120" s="450" t="s">
        <v>1494</v>
      </c>
      <c r="L3120" s="450"/>
      <c r="M3120" s="453">
        <f>Criteria!E22</f>
        <v>2026</v>
      </c>
      <c r="N3120" s="453"/>
      <c r="O3120" s="453">
        <f>Criteria!E27</f>
        <v>2025</v>
      </c>
      <c r="P3120" s="454"/>
      <c r="R3120" s="490" t="str">
        <f t="shared" si="188"/>
        <v>DELETE</v>
      </c>
      <c r="T3120" s="498"/>
    </row>
    <row r="3121" spans="3:24" ht="36" customHeight="1" x14ac:dyDescent="0.5">
      <c r="C3121" s="520"/>
      <c r="D3121" s="616"/>
      <c r="E3121" s="616"/>
      <c r="F3121" s="616"/>
      <c r="G3121" s="616"/>
      <c r="H3121" s="616"/>
      <c r="I3121" s="616"/>
      <c r="J3121" s="645"/>
      <c r="K3121" s="450"/>
      <c r="L3121" s="450"/>
      <c r="M3121" s="458"/>
      <c r="N3121" s="458"/>
      <c r="O3121" s="458"/>
      <c r="P3121" s="454"/>
      <c r="R3121" s="490" t="str">
        <f t="shared" si="188"/>
        <v>DELETE</v>
      </c>
      <c r="T3121" s="498"/>
    </row>
    <row r="3122" spans="3:24" ht="36" customHeight="1" x14ac:dyDescent="0.45">
      <c r="D3122" s="615" t="s">
        <v>1194</v>
      </c>
      <c r="E3122" s="616"/>
      <c r="F3122" s="616"/>
      <c r="G3122" s="616"/>
      <c r="H3122" s="616"/>
      <c r="I3122" s="616"/>
      <c r="J3122" s="645"/>
      <c r="K3122" s="450"/>
      <c r="L3122" s="450"/>
      <c r="M3122" s="458">
        <f>-SUM(TrialBalanceA!I5:I10)</f>
        <v>0</v>
      </c>
      <c r="N3122" s="458"/>
      <c r="O3122" s="458">
        <f>-SUM(TrialBalanceA!K5:K10)</f>
        <v>0</v>
      </c>
      <c r="P3122" s="454"/>
      <c r="R3122" s="490" t="str">
        <f>IF(R3110="DELETE","DELETE",IF(M3122+O3122=0,IF(M3124+O3124=0," ","DELETE")," "))</f>
        <v>DELETE</v>
      </c>
      <c r="S3122" s="495">
        <f>M3122</f>
        <v>0</v>
      </c>
      <c r="T3122" s="498"/>
      <c r="U3122" s="495">
        <f>O3122</f>
        <v>0</v>
      </c>
      <c r="V3122" s="495"/>
      <c r="W3122" s="495"/>
      <c r="X3122" s="495"/>
    </row>
    <row r="3123" spans="3:24" ht="36" customHeight="1" x14ac:dyDescent="0.45">
      <c r="D3123" s="615"/>
      <c r="E3123" s="616"/>
      <c r="F3123" s="616"/>
      <c r="G3123" s="616"/>
      <c r="H3123" s="616"/>
      <c r="I3123" s="616"/>
      <c r="J3123" s="645"/>
      <c r="K3123" s="450"/>
      <c r="L3123" s="450"/>
      <c r="M3123" s="458"/>
      <c r="N3123" s="458"/>
      <c r="O3123" s="458"/>
      <c r="P3123" s="454"/>
      <c r="R3123" s="490" t="str">
        <f>R3122</f>
        <v>DELETE</v>
      </c>
      <c r="S3123" s="495"/>
      <c r="T3123" s="498"/>
      <c r="U3123" s="495"/>
      <c r="V3123" s="495"/>
      <c r="W3123" s="495"/>
      <c r="X3123" s="495"/>
    </row>
    <row r="3124" spans="3:24" ht="36" customHeight="1" x14ac:dyDescent="0.45">
      <c r="D3124" s="615" t="s">
        <v>398</v>
      </c>
      <c r="E3124" s="616"/>
      <c r="F3124" s="616"/>
      <c r="G3124" s="616"/>
      <c r="H3124" s="616"/>
      <c r="I3124" s="616"/>
      <c r="J3124" s="645"/>
      <c r="K3124" s="450"/>
      <c r="L3124" s="450"/>
      <c r="M3124" s="458">
        <f>-TrialBalanceA!I11</f>
        <v>0</v>
      </c>
      <c r="N3124" s="458"/>
      <c r="O3124" s="458">
        <f>-TrialBalanceA!K11</f>
        <v>0</v>
      </c>
      <c r="P3124" s="454"/>
      <c r="R3124" s="490" t="str">
        <f>IF(R$3110="DELETE","DELETE",IF(M3124+O3124=0,"DELETE"," "))</f>
        <v>DELETE</v>
      </c>
      <c r="S3124" s="495">
        <f>M3124</f>
        <v>0</v>
      </c>
      <c r="T3124" s="498"/>
      <c r="U3124" s="495">
        <f>O3124</f>
        <v>0</v>
      </c>
      <c r="V3124" s="495"/>
      <c r="W3124" s="495"/>
      <c r="X3124" s="495"/>
    </row>
    <row r="3125" spans="3:24" ht="36" customHeight="1" x14ac:dyDescent="0.45">
      <c r="D3125" s="615"/>
      <c r="E3125" s="616"/>
      <c r="F3125" s="616"/>
      <c r="G3125" s="616"/>
      <c r="H3125" s="616"/>
      <c r="I3125" s="616"/>
      <c r="J3125" s="645"/>
      <c r="K3125" s="450"/>
      <c r="L3125" s="450"/>
      <c r="M3125" s="458"/>
      <c r="N3125" s="458"/>
      <c r="O3125" s="458"/>
      <c r="P3125" s="454"/>
      <c r="R3125" s="490" t="str">
        <f>R3124</f>
        <v>DELETE</v>
      </c>
      <c r="T3125" s="498"/>
    </row>
    <row r="3126" spans="3:24" ht="36" customHeight="1" x14ac:dyDescent="0.45">
      <c r="D3126" s="615" t="s">
        <v>1119</v>
      </c>
      <c r="E3126" s="616"/>
      <c r="F3126" s="616"/>
      <c r="G3126" s="616"/>
      <c r="H3126" s="616"/>
      <c r="I3126" s="616"/>
      <c r="J3126" s="645"/>
      <c r="K3126" s="450"/>
      <c r="L3126" s="450"/>
      <c r="M3126" s="458">
        <f>SUM(M3129:M3136)</f>
        <v>0</v>
      </c>
      <c r="N3126" s="458"/>
      <c r="O3126" s="458">
        <f>SUM(O3129:O3136)</f>
        <v>0</v>
      </c>
      <c r="P3126" s="454"/>
      <c r="R3126" s="490" t="str">
        <f>IF(R$3110="DELETE","DELETE",IF(M3126=0,IF(O3126=0,"DELETE"," ")," "))</f>
        <v>DELETE</v>
      </c>
      <c r="S3126" s="495">
        <f>-M3126</f>
        <v>0</v>
      </c>
      <c r="T3126" s="498"/>
      <c r="U3126" s="495">
        <f>-O3126</f>
        <v>0</v>
      </c>
      <c r="V3126" s="495"/>
      <c r="W3126" s="495"/>
      <c r="X3126" s="495"/>
    </row>
    <row r="3127" spans="3:24" ht="9" customHeight="1" x14ac:dyDescent="0.45">
      <c r="C3127" s="575"/>
      <c r="D3127" s="616"/>
      <c r="E3127" s="616"/>
      <c r="F3127" s="616"/>
      <c r="G3127" s="616"/>
      <c r="H3127" s="616"/>
      <c r="I3127" s="616"/>
      <c r="J3127" s="645"/>
      <c r="K3127" s="450"/>
      <c r="L3127" s="450"/>
      <c r="M3127" s="458"/>
      <c r="N3127" s="458"/>
      <c r="O3127" s="458"/>
      <c r="P3127" s="454"/>
      <c r="R3127" s="490" t="str">
        <f>R3126</f>
        <v>DELETE</v>
      </c>
      <c r="T3127" s="498"/>
    </row>
    <row r="3128" spans="3:24" ht="9" customHeight="1" x14ac:dyDescent="0.45">
      <c r="C3128" s="575"/>
      <c r="D3128" s="616"/>
      <c r="E3128" s="616"/>
      <c r="F3128" s="616"/>
      <c r="G3128" s="616"/>
      <c r="H3128" s="616"/>
      <c r="I3128" s="616"/>
      <c r="J3128" s="645"/>
      <c r="K3128" s="450"/>
      <c r="L3128" s="450"/>
      <c r="M3128" s="578"/>
      <c r="N3128" s="459"/>
      <c r="O3128" s="579"/>
      <c r="P3128" s="454"/>
      <c r="R3128" s="490" t="str">
        <f>R3127</f>
        <v>DELETE</v>
      </c>
      <c r="T3128" s="498"/>
    </row>
    <row r="3129" spans="3:24" ht="36" customHeight="1" x14ac:dyDescent="0.45">
      <c r="C3129" s="575"/>
      <c r="D3129" s="616" t="s">
        <v>563</v>
      </c>
      <c r="E3129" s="616"/>
      <c r="F3129" s="616"/>
      <c r="G3129" s="616"/>
      <c r="H3129" s="616"/>
      <c r="I3129" s="616"/>
      <c r="J3129" s="645"/>
      <c r="K3129" s="450"/>
      <c r="L3129" s="450"/>
      <c r="M3129" s="580">
        <f>SUM(TrialBalanceA!I13:I16)</f>
        <v>0</v>
      </c>
      <c r="N3129" s="458"/>
      <c r="O3129" s="581">
        <f>SUM(TrialBalanceA!K13:K16)</f>
        <v>0</v>
      </c>
      <c r="P3129" s="454"/>
      <c r="R3129" s="490" t="str">
        <f t="shared" ref="R3129:R3136" si="189">IF(R$3110="DELETE","DELETE",IF(M3129+O3129=0,"DELETE"," "))</f>
        <v>DELETE</v>
      </c>
      <c r="T3129" s="498"/>
    </row>
    <row r="3130" spans="3:24" ht="36" customHeight="1" x14ac:dyDescent="0.45">
      <c r="C3130" s="575"/>
      <c r="D3130" s="616" t="s">
        <v>301</v>
      </c>
      <c r="E3130" s="616"/>
      <c r="F3130" s="616"/>
      <c r="G3130" s="616"/>
      <c r="H3130" s="616"/>
      <c r="I3130" s="616"/>
      <c r="J3130" s="645"/>
      <c r="K3130" s="450"/>
      <c r="L3130" s="450"/>
      <c r="M3130" s="580">
        <f>TrialBalanceA!I17</f>
        <v>0</v>
      </c>
      <c r="N3130" s="458"/>
      <c r="O3130" s="581">
        <f>TrialBalanceA!K17</f>
        <v>0</v>
      </c>
      <c r="P3130" s="454"/>
      <c r="R3130" s="490" t="str">
        <f t="shared" si="189"/>
        <v>DELETE</v>
      </c>
      <c r="T3130" s="498"/>
    </row>
    <row r="3131" spans="3:24" ht="36" customHeight="1" x14ac:dyDescent="0.45">
      <c r="C3131" s="575"/>
      <c r="D3131" s="616">
        <f>TrialBalanceA!C18</f>
        <v>0</v>
      </c>
      <c r="E3131" s="616"/>
      <c r="F3131" s="616"/>
      <c r="G3131" s="616"/>
      <c r="H3131" s="616"/>
      <c r="I3131" s="616"/>
      <c r="J3131" s="645"/>
      <c r="K3131" s="450"/>
      <c r="L3131" s="450"/>
      <c r="M3131" s="580">
        <f>TrialBalanceA!I18</f>
        <v>0</v>
      </c>
      <c r="N3131" s="458"/>
      <c r="O3131" s="581">
        <f>TrialBalanceA!K18</f>
        <v>0</v>
      </c>
      <c r="P3131" s="454"/>
      <c r="R3131" s="490" t="str">
        <f t="shared" si="189"/>
        <v>DELETE</v>
      </c>
      <c r="T3131" s="498"/>
    </row>
    <row r="3132" spans="3:24" ht="36" customHeight="1" x14ac:dyDescent="0.45">
      <c r="C3132" s="575"/>
      <c r="D3132" s="616">
        <f>TrialBalanceA!C19</f>
        <v>0</v>
      </c>
      <c r="E3132" s="616"/>
      <c r="F3132" s="616"/>
      <c r="G3132" s="616"/>
      <c r="H3132" s="616"/>
      <c r="I3132" s="616"/>
      <c r="J3132" s="645"/>
      <c r="K3132" s="450"/>
      <c r="L3132" s="450"/>
      <c r="M3132" s="580">
        <f>TrialBalanceA!I19</f>
        <v>0</v>
      </c>
      <c r="N3132" s="458"/>
      <c r="O3132" s="581">
        <f>TrialBalanceA!K19</f>
        <v>0</v>
      </c>
      <c r="P3132" s="454"/>
      <c r="R3132" s="490" t="str">
        <f t="shared" si="189"/>
        <v>DELETE</v>
      </c>
      <c r="T3132" s="498"/>
    </row>
    <row r="3133" spans="3:24" ht="36" customHeight="1" x14ac:dyDescent="0.45">
      <c r="C3133" s="575"/>
      <c r="D3133" s="616">
        <f>TrialBalanceA!C20</f>
        <v>0</v>
      </c>
      <c r="E3133" s="616"/>
      <c r="F3133" s="616"/>
      <c r="G3133" s="616"/>
      <c r="H3133" s="616"/>
      <c r="I3133" s="616"/>
      <c r="J3133" s="645"/>
      <c r="K3133" s="450"/>
      <c r="L3133" s="450"/>
      <c r="M3133" s="580">
        <f>TrialBalanceA!I20</f>
        <v>0</v>
      </c>
      <c r="N3133" s="458"/>
      <c r="O3133" s="581">
        <f>TrialBalanceA!K20</f>
        <v>0</v>
      </c>
      <c r="P3133" s="454"/>
      <c r="R3133" s="490" t="str">
        <f t="shared" si="189"/>
        <v>DELETE</v>
      </c>
      <c r="T3133" s="498"/>
    </row>
    <row r="3134" spans="3:24" ht="36" customHeight="1" x14ac:dyDescent="0.45">
      <c r="C3134" s="575"/>
      <c r="D3134" s="616">
        <f>TrialBalanceA!C21</f>
        <v>0</v>
      </c>
      <c r="E3134" s="616"/>
      <c r="F3134" s="616"/>
      <c r="G3134" s="616"/>
      <c r="H3134" s="616"/>
      <c r="I3134" s="616"/>
      <c r="J3134" s="645"/>
      <c r="K3134" s="450"/>
      <c r="L3134" s="450"/>
      <c r="M3134" s="580">
        <f>TrialBalanceA!I21</f>
        <v>0</v>
      </c>
      <c r="N3134" s="458"/>
      <c r="O3134" s="581">
        <f>TrialBalanceA!K21</f>
        <v>0</v>
      </c>
      <c r="P3134" s="454"/>
      <c r="R3134" s="490" t="str">
        <f t="shared" si="189"/>
        <v>DELETE</v>
      </c>
      <c r="T3134" s="498"/>
    </row>
    <row r="3135" spans="3:24" ht="36" customHeight="1" x14ac:dyDescent="0.45">
      <c r="C3135" s="575"/>
      <c r="D3135" s="616">
        <f>TrialBalanceA!C22</f>
        <v>0</v>
      </c>
      <c r="E3135" s="616"/>
      <c r="F3135" s="616"/>
      <c r="G3135" s="616"/>
      <c r="H3135" s="616"/>
      <c r="I3135" s="616"/>
      <c r="J3135" s="645"/>
      <c r="K3135" s="450"/>
      <c r="L3135" s="450"/>
      <c r="M3135" s="580">
        <f>TrialBalanceA!I22</f>
        <v>0</v>
      </c>
      <c r="N3135" s="458"/>
      <c r="O3135" s="581">
        <f>TrialBalanceA!K22</f>
        <v>0</v>
      </c>
      <c r="P3135" s="454"/>
      <c r="R3135" s="490" t="str">
        <f t="shared" si="189"/>
        <v>DELETE</v>
      </c>
      <c r="T3135" s="498"/>
    </row>
    <row r="3136" spans="3:24" ht="36" customHeight="1" x14ac:dyDescent="0.45">
      <c r="C3136" s="575"/>
      <c r="D3136" s="616" t="s">
        <v>564</v>
      </c>
      <c r="E3136" s="616"/>
      <c r="F3136" s="616"/>
      <c r="G3136" s="616"/>
      <c r="H3136" s="616"/>
      <c r="I3136" s="616"/>
      <c r="J3136" s="645"/>
      <c r="K3136" s="450"/>
      <c r="L3136" s="450"/>
      <c r="M3136" s="580">
        <f>SUM(TrialBalanceA!I23:I26)</f>
        <v>0</v>
      </c>
      <c r="N3136" s="458"/>
      <c r="O3136" s="581">
        <f>SUM(TrialBalanceA!K23:K26)</f>
        <v>0</v>
      </c>
      <c r="P3136" s="454"/>
      <c r="R3136" s="490" t="str">
        <f t="shared" si="189"/>
        <v>DELETE</v>
      </c>
      <c r="T3136" s="498"/>
    </row>
    <row r="3137" spans="3:26" ht="9" customHeight="1" x14ac:dyDescent="0.45">
      <c r="C3137" s="575"/>
      <c r="D3137" s="616"/>
      <c r="E3137" s="616"/>
      <c r="F3137" s="616"/>
      <c r="G3137" s="616"/>
      <c r="H3137" s="616"/>
      <c r="I3137" s="616"/>
      <c r="J3137" s="645"/>
      <c r="K3137" s="450"/>
      <c r="L3137" s="450"/>
      <c r="M3137" s="460"/>
      <c r="N3137" s="461"/>
      <c r="O3137" s="582"/>
      <c r="P3137" s="454"/>
      <c r="R3137" s="490" t="str">
        <f>R3126</f>
        <v>DELETE</v>
      </c>
      <c r="T3137" s="498"/>
    </row>
    <row r="3138" spans="3:26" ht="9" customHeight="1" x14ac:dyDescent="0.45">
      <c r="C3138" s="575"/>
      <c r="D3138" s="616"/>
      <c r="E3138" s="616"/>
      <c r="F3138" s="616"/>
      <c r="G3138" s="616"/>
      <c r="H3138" s="616"/>
      <c r="I3138" s="616"/>
      <c r="J3138" s="645"/>
      <c r="K3138" s="450"/>
      <c r="L3138" s="450"/>
      <c r="M3138" s="461"/>
      <c r="N3138" s="461"/>
      <c r="O3138" s="461"/>
      <c r="P3138" s="454"/>
      <c r="R3138" s="490" t="str">
        <f>R3126</f>
        <v>DELETE</v>
      </c>
      <c r="T3138" s="498"/>
    </row>
    <row r="3139" spans="3:26" ht="9" customHeight="1" x14ac:dyDescent="0.45">
      <c r="C3139" s="575"/>
      <c r="D3139" s="616"/>
      <c r="E3139" s="616"/>
      <c r="F3139" s="616"/>
      <c r="G3139" s="616"/>
      <c r="H3139" s="616"/>
      <c r="I3139" s="616"/>
      <c r="J3139" s="645"/>
      <c r="K3139" s="450"/>
      <c r="L3139" s="450"/>
      <c r="M3139" s="458"/>
      <c r="N3139" s="458"/>
      <c r="O3139" s="458"/>
      <c r="P3139" s="454"/>
      <c r="R3139" s="490" t="str">
        <f>R3138</f>
        <v>DELETE</v>
      </c>
      <c r="T3139" s="498"/>
    </row>
    <row r="3140" spans="3:26" ht="36" customHeight="1" x14ac:dyDescent="0.45">
      <c r="D3140" s="637" t="str">
        <f>IF((Y3140+Z3140)=3,"Gross profit/(loss)",(IF((Y3140+Z3140=4),"Gross profit","Gross loss")))</f>
        <v>Gross profit</v>
      </c>
      <c r="E3140" s="616"/>
      <c r="F3140" s="616"/>
      <c r="G3140" s="616"/>
      <c r="H3140" s="616"/>
      <c r="I3140" s="616"/>
      <c r="J3140" s="645"/>
      <c r="K3140" s="450"/>
      <c r="L3140" s="450"/>
      <c r="M3140" s="458">
        <f>SUM(S3122:S3137)</f>
        <v>0</v>
      </c>
      <c r="N3140" s="458"/>
      <c r="O3140" s="458">
        <f>SUM(U3122:U3137)</f>
        <v>0</v>
      </c>
      <c r="P3140" s="454"/>
      <c r="R3140" s="490" t="str">
        <f>R3139</f>
        <v>DELETE</v>
      </c>
      <c r="T3140" s="498"/>
      <c r="Y3140" s="491">
        <f>IF(M3140&lt;0,1,IF(M3140=0,IF(O3140&lt;0,1,2),2))</f>
        <v>2</v>
      </c>
      <c r="Z3140" s="491">
        <f>IF(O3140&lt;0,1,IF(O3140=0,IF(M3140&lt;0,1,2),2))</f>
        <v>2</v>
      </c>
    </row>
    <row r="3141" spans="3:26" ht="36" customHeight="1" x14ac:dyDescent="0.45">
      <c r="C3141" s="575"/>
      <c r="D3141" s="616"/>
      <c r="E3141" s="616"/>
      <c r="F3141" s="616"/>
      <c r="G3141" s="616"/>
      <c r="H3141" s="616"/>
      <c r="I3141" s="616"/>
      <c r="J3141" s="645"/>
      <c r="K3141" s="450"/>
      <c r="L3141" s="450"/>
      <c r="M3141" s="458"/>
      <c r="N3141" s="458"/>
      <c r="O3141" s="458"/>
      <c r="P3141" s="454"/>
      <c r="R3141" s="490" t="str">
        <f>R3140</f>
        <v>DELETE</v>
      </c>
      <c r="T3141" s="498"/>
    </row>
    <row r="3142" spans="3:26" ht="36" customHeight="1" x14ac:dyDescent="0.45">
      <c r="D3142" s="615" t="s">
        <v>1491</v>
      </c>
      <c r="E3142" s="616"/>
      <c r="F3142" s="616"/>
      <c r="G3142" s="616"/>
      <c r="H3142" s="616"/>
      <c r="I3142" s="616"/>
      <c r="J3142" s="645"/>
      <c r="K3142" s="450"/>
      <c r="L3142" s="450"/>
      <c r="M3142" s="458">
        <f>SUM(M3144:M3151)</f>
        <v>0</v>
      </c>
      <c r="N3142" s="458"/>
      <c r="O3142" s="458">
        <f>SUM(O3144:O3151)</f>
        <v>0</v>
      </c>
      <c r="P3142" s="454"/>
      <c r="R3142" s="490" t="str">
        <f t="shared" ref="R3142" si="190">IF(R$3110="DELETE","DELETE",IF(M3142+O3142=0,"DELETE"," "))</f>
        <v>DELETE</v>
      </c>
      <c r="S3142" s="495">
        <f>M3142</f>
        <v>0</v>
      </c>
      <c r="T3142" s="498"/>
      <c r="U3142" s="495">
        <f>O3142</f>
        <v>0</v>
      </c>
      <c r="V3142" s="495"/>
      <c r="W3142" s="495"/>
      <c r="X3142" s="495"/>
    </row>
    <row r="3143" spans="3:26" ht="9" customHeight="1" x14ac:dyDescent="0.45">
      <c r="C3143" s="575"/>
      <c r="D3143" s="616"/>
      <c r="E3143" s="616"/>
      <c r="F3143" s="616"/>
      <c r="G3143" s="616"/>
      <c r="H3143" s="616"/>
      <c r="I3143" s="616"/>
      <c r="J3143" s="645"/>
      <c r="K3143" s="450"/>
      <c r="L3143" s="450"/>
      <c r="M3143" s="458"/>
      <c r="N3143" s="458"/>
      <c r="O3143" s="458"/>
      <c r="P3143" s="454"/>
      <c r="R3143" s="490" t="str">
        <f>R3142</f>
        <v>DELETE</v>
      </c>
      <c r="T3143" s="498"/>
    </row>
    <row r="3144" spans="3:26" ht="9" customHeight="1" x14ac:dyDescent="0.45">
      <c r="C3144" s="575"/>
      <c r="D3144" s="616"/>
      <c r="E3144" s="616"/>
      <c r="F3144" s="616"/>
      <c r="G3144" s="616"/>
      <c r="H3144" s="616"/>
      <c r="I3144" s="616"/>
      <c r="J3144" s="645"/>
      <c r="K3144" s="450"/>
      <c r="L3144" s="450"/>
      <c r="M3144" s="578"/>
      <c r="N3144" s="459"/>
      <c r="O3144" s="579"/>
      <c r="P3144" s="454"/>
      <c r="R3144" s="490" t="str">
        <f>R3142</f>
        <v>DELETE</v>
      </c>
      <c r="T3144" s="498"/>
    </row>
    <row r="3145" spans="3:26" ht="36" customHeight="1" x14ac:dyDescent="0.45">
      <c r="C3145" s="575"/>
      <c r="D3145" s="616" t="str">
        <f>TrialBalanceA!C28</f>
        <v>Insurance claims - ABC Restaurant</v>
      </c>
      <c r="E3145" s="616"/>
      <c r="F3145" s="616"/>
      <c r="G3145" s="616"/>
      <c r="H3145" s="616"/>
      <c r="I3145" s="616"/>
      <c r="J3145" s="645"/>
      <c r="K3145" s="450"/>
      <c r="L3145" s="450"/>
      <c r="M3145" s="580">
        <f>-TrialBalanceA!I28</f>
        <v>0</v>
      </c>
      <c r="N3145" s="458"/>
      <c r="O3145" s="581">
        <f>-TrialBalanceA!K28</f>
        <v>0</v>
      </c>
      <c r="P3145" s="454"/>
      <c r="R3145" s="490" t="str">
        <f t="shared" ref="R3145:R3149" si="191">IF(R$3110="DELETE","DELETE",IF(M3145+O3145=0,"DELETE"," "))</f>
        <v>DELETE</v>
      </c>
      <c r="T3145" s="498"/>
    </row>
    <row r="3146" spans="3:26" ht="36" customHeight="1" x14ac:dyDescent="0.45">
      <c r="C3146" s="575"/>
      <c r="D3146" s="616" t="str">
        <f>TrialBalanceA!C29</f>
        <v>Government grants received</v>
      </c>
      <c r="E3146" s="616"/>
      <c r="F3146" s="616"/>
      <c r="G3146" s="616"/>
      <c r="H3146" s="616"/>
      <c r="I3146" s="616"/>
      <c r="J3146" s="645"/>
      <c r="K3146" s="450"/>
      <c r="L3146" s="450"/>
      <c r="M3146" s="580">
        <f>-TrialBalanceA!I29</f>
        <v>0</v>
      </c>
      <c r="N3146" s="458"/>
      <c r="O3146" s="581">
        <f>-TrialBalanceA!K29</f>
        <v>0</v>
      </c>
      <c r="P3146" s="454"/>
      <c r="R3146" s="490" t="str">
        <f t="shared" si="191"/>
        <v>DELETE</v>
      </c>
      <c r="T3146" s="498"/>
    </row>
    <row r="3147" spans="3:26" ht="36" customHeight="1" x14ac:dyDescent="0.45">
      <c r="C3147" s="575"/>
      <c r="D3147" s="616">
        <f>TrialBalanceA!C30</f>
        <v>0</v>
      </c>
      <c r="E3147" s="616"/>
      <c r="F3147" s="616"/>
      <c r="G3147" s="616"/>
      <c r="H3147" s="616"/>
      <c r="I3147" s="616"/>
      <c r="J3147" s="645"/>
      <c r="K3147" s="450"/>
      <c r="L3147" s="450"/>
      <c r="M3147" s="580">
        <f>-TrialBalanceA!I30</f>
        <v>0</v>
      </c>
      <c r="N3147" s="458"/>
      <c r="O3147" s="581">
        <f>-TrialBalanceA!K30</f>
        <v>0</v>
      </c>
      <c r="P3147" s="454"/>
      <c r="R3147" s="490" t="str">
        <f t="shared" si="191"/>
        <v>DELETE</v>
      </c>
      <c r="T3147" s="498"/>
    </row>
    <row r="3148" spans="3:26" ht="36" customHeight="1" x14ac:dyDescent="0.45">
      <c r="C3148" s="575"/>
      <c r="D3148" s="616">
        <f>TrialBalanceA!C31</f>
        <v>0</v>
      </c>
      <c r="E3148" s="616"/>
      <c r="F3148" s="616"/>
      <c r="G3148" s="616"/>
      <c r="H3148" s="616"/>
      <c r="I3148" s="616"/>
      <c r="J3148" s="645"/>
      <c r="K3148" s="450"/>
      <c r="L3148" s="450"/>
      <c r="M3148" s="580">
        <f>-TrialBalanceA!I31</f>
        <v>0</v>
      </c>
      <c r="N3148" s="458"/>
      <c r="O3148" s="581">
        <f>-TrialBalanceA!K31</f>
        <v>0</v>
      </c>
      <c r="P3148" s="454"/>
      <c r="R3148" s="490" t="str">
        <f t="shared" si="191"/>
        <v>DELETE</v>
      </c>
      <c r="T3148" s="498"/>
    </row>
    <row r="3149" spans="3:26" ht="36" customHeight="1" x14ac:dyDescent="0.45">
      <c r="C3149" s="575"/>
      <c r="D3149" s="616">
        <f>TrialBalanceA!C32</f>
        <v>0</v>
      </c>
      <c r="E3149" s="616"/>
      <c r="F3149" s="616"/>
      <c r="G3149" s="616"/>
      <c r="H3149" s="616"/>
      <c r="I3149" s="616"/>
      <c r="J3149" s="645"/>
      <c r="K3149" s="450"/>
      <c r="L3149" s="450"/>
      <c r="M3149" s="580">
        <f>-TrialBalanceA!I32</f>
        <v>0</v>
      </c>
      <c r="N3149" s="458"/>
      <c r="O3149" s="581">
        <f>-TrialBalanceA!K32</f>
        <v>0</v>
      </c>
      <c r="P3149" s="454"/>
      <c r="R3149" s="490" t="str">
        <f t="shared" si="191"/>
        <v>DELETE</v>
      </c>
      <c r="T3149" s="498"/>
    </row>
    <row r="3150" spans="3:26" ht="36" customHeight="1" x14ac:dyDescent="0.45">
      <c r="C3150" s="575"/>
      <c r="D3150" s="616" t="str">
        <f>TrialBalanceA!C33</f>
        <v>Recoupment of depreciation</v>
      </c>
      <c r="E3150" s="616"/>
      <c r="F3150" s="616"/>
      <c r="G3150" s="616"/>
      <c r="H3150" s="616"/>
      <c r="I3150" s="616"/>
      <c r="J3150" s="645"/>
      <c r="K3150" s="450"/>
      <c r="L3150" s="450"/>
      <c r="M3150" s="580">
        <f>-TrialBalanceA!I33</f>
        <v>0</v>
      </c>
      <c r="N3150" s="458"/>
      <c r="O3150" s="581">
        <f>-TrialBalanceA!K33</f>
        <v>0</v>
      </c>
      <c r="P3150" s="454"/>
      <c r="R3150" s="490" t="str">
        <f t="shared" ref="R3150" si="192">IF(R$3110="DELETE","DELETE",IF(M3150+O3150=0,"DELETE"," "))</f>
        <v>DELETE</v>
      </c>
      <c r="T3150" s="498"/>
    </row>
    <row r="3151" spans="3:26" ht="9" customHeight="1" x14ac:dyDescent="0.45">
      <c r="C3151" s="575"/>
      <c r="D3151" s="616"/>
      <c r="E3151" s="616"/>
      <c r="F3151" s="616"/>
      <c r="G3151" s="616"/>
      <c r="H3151" s="616"/>
      <c r="I3151" s="616"/>
      <c r="J3151" s="645"/>
      <c r="K3151" s="450"/>
      <c r="L3151" s="450"/>
      <c r="M3151" s="460"/>
      <c r="N3151" s="461"/>
      <c r="O3151" s="582"/>
      <c r="P3151" s="454"/>
      <c r="R3151" s="490" t="str">
        <f>R3142</f>
        <v>DELETE</v>
      </c>
      <c r="T3151" s="498"/>
    </row>
    <row r="3152" spans="3:26" ht="9" customHeight="1" x14ac:dyDescent="0.45">
      <c r="C3152" s="575"/>
      <c r="D3152" s="616"/>
      <c r="E3152" s="616"/>
      <c r="F3152" s="616"/>
      <c r="G3152" s="616"/>
      <c r="H3152" s="616"/>
      <c r="I3152" s="616"/>
      <c r="J3152" s="645"/>
      <c r="K3152" s="450"/>
      <c r="L3152" s="450"/>
      <c r="M3152" s="479"/>
      <c r="N3152" s="479"/>
      <c r="O3152" s="479"/>
      <c r="P3152" s="454"/>
      <c r="R3152" s="490" t="str">
        <f>R3151</f>
        <v>DELETE</v>
      </c>
      <c r="T3152" s="498"/>
    </row>
    <row r="3153" spans="3:24" ht="9" customHeight="1" x14ac:dyDescent="0.45">
      <c r="C3153" s="575"/>
      <c r="D3153" s="616"/>
      <c r="E3153" s="616"/>
      <c r="F3153" s="616"/>
      <c r="G3153" s="616"/>
      <c r="H3153" s="616"/>
      <c r="I3153" s="616"/>
      <c r="J3153" s="645"/>
      <c r="K3153" s="450"/>
      <c r="L3153" s="450"/>
      <c r="M3153" s="458"/>
      <c r="N3153" s="458"/>
      <c r="O3153" s="458"/>
      <c r="P3153" s="454"/>
      <c r="R3153" s="490" t="str">
        <f>R3152</f>
        <v>DELETE</v>
      </c>
      <c r="T3153" s="498"/>
    </row>
    <row r="3154" spans="3:24" ht="36" customHeight="1" x14ac:dyDescent="0.45">
      <c r="C3154" s="575"/>
      <c r="D3154" s="616"/>
      <c r="E3154" s="616"/>
      <c r="F3154" s="616"/>
      <c r="G3154" s="616"/>
      <c r="H3154" s="616"/>
      <c r="I3154" s="616"/>
      <c r="J3154" s="645"/>
      <c r="K3154" s="450"/>
      <c r="L3154" s="450"/>
      <c r="M3154" s="458">
        <f>SUM(S3122:S3142)</f>
        <v>0</v>
      </c>
      <c r="N3154" s="458"/>
      <c r="O3154" s="458">
        <f>SUM(U3122:U3142)</f>
        <v>0</v>
      </c>
      <c r="P3154" s="454"/>
      <c r="R3154" s="490" t="str">
        <f>R3142</f>
        <v>DELETE</v>
      </c>
      <c r="T3154" s="498"/>
    </row>
    <row r="3155" spans="3:24" ht="36" customHeight="1" x14ac:dyDescent="0.45">
      <c r="C3155" s="575"/>
      <c r="D3155" s="616"/>
      <c r="E3155" s="616"/>
      <c r="F3155" s="616"/>
      <c r="G3155" s="616"/>
      <c r="H3155" s="616"/>
      <c r="I3155" s="616"/>
      <c r="J3155" s="645"/>
      <c r="K3155" s="450"/>
      <c r="L3155" s="450"/>
      <c r="M3155" s="458"/>
      <c r="N3155" s="458"/>
      <c r="O3155" s="458"/>
      <c r="P3155" s="454"/>
      <c r="R3155" s="490" t="str">
        <f>R3154</f>
        <v>DELETE</v>
      </c>
      <c r="T3155" s="498"/>
    </row>
    <row r="3156" spans="3:24" ht="36" customHeight="1" x14ac:dyDescent="0.45">
      <c r="D3156" s="615" t="s">
        <v>1532</v>
      </c>
      <c r="E3156" s="616"/>
      <c r="F3156" s="616"/>
      <c r="G3156" s="616"/>
      <c r="H3156" s="616"/>
      <c r="I3156" s="616"/>
      <c r="J3156" s="645"/>
      <c r="K3156" s="450"/>
      <c r="L3156" s="450"/>
      <c r="M3156" s="458">
        <f>SUM(M3158:M3187)</f>
        <v>0</v>
      </c>
      <c r="N3156" s="458"/>
      <c r="O3156" s="458">
        <f>SUM(O3158:O3187)</f>
        <v>0</v>
      </c>
      <c r="P3156" s="454"/>
      <c r="R3156" s="490" t="str">
        <f t="shared" ref="R3156" si="193">IF(R$3110="DELETE","DELETE",IF(M3156+O3156=0,"DELETE"," "))</f>
        <v>DELETE</v>
      </c>
      <c r="S3156" s="495">
        <f>-M3156</f>
        <v>0</v>
      </c>
      <c r="T3156" s="498"/>
      <c r="U3156" s="495">
        <f>-O3156</f>
        <v>0</v>
      </c>
      <c r="V3156" s="495"/>
      <c r="W3156" s="495"/>
      <c r="X3156" s="495"/>
    </row>
    <row r="3157" spans="3:24" ht="9" customHeight="1" x14ac:dyDescent="0.45">
      <c r="C3157" s="575"/>
      <c r="D3157" s="616"/>
      <c r="E3157" s="616"/>
      <c r="F3157" s="616"/>
      <c r="G3157" s="616"/>
      <c r="H3157" s="616"/>
      <c r="I3157" s="616"/>
      <c r="J3157" s="645"/>
      <c r="K3157" s="450"/>
      <c r="L3157" s="450"/>
      <c r="M3157" s="458"/>
      <c r="N3157" s="458"/>
      <c r="O3157" s="458"/>
      <c r="P3157" s="454"/>
      <c r="R3157" s="490" t="str">
        <f>R3156</f>
        <v>DELETE</v>
      </c>
      <c r="T3157" s="498"/>
    </row>
    <row r="3158" spans="3:24" ht="9" customHeight="1" x14ac:dyDescent="0.45">
      <c r="C3158" s="575"/>
      <c r="D3158" s="616"/>
      <c r="E3158" s="616"/>
      <c r="F3158" s="616"/>
      <c r="G3158" s="616"/>
      <c r="H3158" s="616"/>
      <c r="I3158" s="616"/>
      <c r="J3158" s="645"/>
      <c r="K3158" s="450"/>
      <c r="L3158" s="450"/>
      <c r="M3158" s="578"/>
      <c r="N3158" s="459"/>
      <c r="O3158" s="579"/>
      <c r="P3158" s="454"/>
      <c r="R3158" s="490" t="str">
        <f>R3157</f>
        <v>DELETE</v>
      </c>
      <c r="T3158" s="498"/>
    </row>
    <row r="3159" spans="3:24" ht="36" customHeight="1" x14ac:dyDescent="0.45">
      <c r="C3159" s="575"/>
      <c r="D3159" s="616" t="s">
        <v>302</v>
      </c>
      <c r="E3159" s="616"/>
      <c r="F3159" s="616"/>
      <c r="G3159" s="616"/>
      <c r="H3159" s="616"/>
      <c r="I3159" s="616"/>
      <c r="J3159" s="645"/>
      <c r="K3159" s="450"/>
      <c r="L3159" s="450"/>
      <c r="M3159" s="580">
        <f>TrialBalanceA!I40</f>
        <v>0</v>
      </c>
      <c r="N3159" s="458"/>
      <c r="O3159" s="581">
        <f>TrialBalanceA!K40</f>
        <v>0</v>
      </c>
      <c r="P3159" s="454"/>
      <c r="R3159" s="490" t="str">
        <f t="shared" ref="R3159:R3186" si="194">IF(R$3110="DELETE","DELETE",IF(M3159+O3159=0,"DELETE"," "))</f>
        <v>DELETE</v>
      </c>
      <c r="T3159" s="498"/>
    </row>
    <row r="3160" spans="3:24" ht="36" customHeight="1" x14ac:dyDescent="0.45">
      <c r="C3160" s="575"/>
      <c r="D3160" s="616" t="s">
        <v>831</v>
      </c>
      <c r="E3160" s="616"/>
      <c r="F3160" s="616"/>
      <c r="G3160" s="616"/>
      <c r="H3160" s="616"/>
      <c r="I3160" s="616"/>
      <c r="J3160" s="645"/>
      <c r="K3160" s="450"/>
      <c r="L3160" s="450"/>
      <c r="M3160" s="580">
        <f>TrialBalanceA!I41</f>
        <v>0</v>
      </c>
      <c r="N3160" s="458"/>
      <c r="O3160" s="581">
        <f>TrialBalanceA!K41</f>
        <v>0</v>
      </c>
      <c r="P3160" s="454"/>
      <c r="R3160" s="490" t="str">
        <f t="shared" si="194"/>
        <v>DELETE</v>
      </c>
      <c r="T3160" s="498"/>
    </row>
    <row r="3161" spans="3:24" ht="36" customHeight="1" x14ac:dyDescent="0.45">
      <c r="C3161" s="575"/>
      <c r="D3161" s="616" t="s">
        <v>303</v>
      </c>
      <c r="E3161" s="616"/>
      <c r="F3161" s="616"/>
      <c r="G3161" s="616"/>
      <c r="H3161" s="616"/>
      <c r="I3161" s="616"/>
      <c r="J3161" s="645"/>
      <c r="K3161" s="450"/>
      <c r="L3161" s="450"/>
      <c r="M3161" s="580">
        <f>TrialBalanceA!I42</f>
        <v>0</v>
      </c>
      <c r="N3161" s="458"/>
      <c r="O3161" s="581">
        <f>TrialBalanceA!K42</f>
        <v>0</v>
      </c>
      <c r="P3161" s="454"/>
      <c r="R3161" s="490" t="str">
        <f t="shared" si="194"/>
        <v>DELETE</v>
      </c>
      <c r="T3161" s="498"/>
    </row>
    <row r="3162" spans="3:24" ht="36" customHeight="1" x14ac:dyDescent="0.45">
      <c r="C3162" s="575"/>
      <c r="D3162" s="616" t="s">
        <v>304</v>
      </c>
      <c r="E3162" s="616"/>
      <c r="F3162" s="616"/>
      <c r="G3162" s="616"/>
      <c r="H3162" s="616"/>
      <c r="I3162" s="616"/>
      <c r="J3162" s="645"/>
      <c r="K3162" s="450">
        <f>B$1250</f>
        <v>5</v>
      </c>
      <c r="L3162" s="450"/>
      <c r="M3162" s="580">
        <f>SUM(TrialBalanceA!I44:I46)</f>
        <v>0</v>
      </c>
      <c r="N3162" s="458"/>
      <c r="O3162" s="581">
        <f>SUM(TrialBalanceA!K44:K46)</f>
        <v>0</v>
      </c>
      <c r="P3162" s="454"/>
      <c r="R3162" s="490" t="str">
        <f t="shared" si="194"/>
        <v>DELETE</v>
      </c>
      <c r="T3162" s="498"/>
    </row>
    <row r="3163" spans="3:24" ht="36" customHeight="1" x14ac:dyDescent="0.45">
      <c r="C3163" s="575"/>
      <c r="D3163" s="616" t="s">
        <v>565</v>
      </c>
      <c r="E3163" s="616"/>
      <c r="F3163" s="616"/>
      <c r="G3163" s="616"/>
      <c r="H3163" s="616"/>
      <c r="I3163" s="616"/>
      <c r="J3163" s="645"/>
      <c r="K3163" s="450"/>
      <c r="L3163" s="450"/>
      <c r="M3163" s="580">
        <f>TrialBalanceA!I47</f>
        <v>0</v>
      </c>
      <c r="N3163" s="458"/>
      <c r="O3163" s="581">
        <f>TrialBalanceA!K47</f>
        <v>0</v>
      </c>
      <c r="P3163" s="454"/>
      <c r="R3163" s="490" t="str">
        <f t="shared" si="194"/>
        <v>DELETE</v>
      </c>
      <c r="S3163" s="496"/>
      <c r="T3163" s="498"/>
      <c r="U3163" s="496"/>
      <c r="V3163" s="496"/>
      <c r="W3163" s="496"/>
      <c r="X3163" s="496"/>
    </row>
    <row r="3164" spans="3:24" ht="36" customHeight="1" x14ac:dyDescent="0.45">
      <c r="C3164" s="575"/>
      <c r="D3164" s="616" t="s">
        <v>871</v>
      </c>
      <c r="E3164" s="616"/>
      <c r="F3164" s="616"/>
      <c r="G3164" s="616"/>
      <c r="H3164" s="616"/>
      <c r="I3164" s="616"/>
      <c r="J3164" s="645"/>
      <c r="K3164" s="450"/>
      <c r="L3164" s="450"/>
      <c r="M3164" s="580">
        <f>TrialBalanceA!I48</f>
        <v>0</v>
      </c>
      <c r="N3164" s="458"/>
      <c r="O3164" s="581">
        <f>TrialBalanceA!K48</f>
        <v>0</v>
      </c>
      <c r="P3164" s="454"/>
      <c r="R3164" s="490" t="str">
        <f t="shared" si="194"/>
        <v>DELETE</v>
      </c>
      <c r="T3164" s="498"/>
    </row>
    <row r="3165" spans="3:24" ht="36" customHeight="1" x14ac:dyDescent="0.45">
      <c r="C3165" s="575"/>
      <c r="D3165" s="616" t="s">
        <v>69</v>
      </c>
      <c r="E3165" s="616"/>
      <c r="F3165" s="616"/>
      <c r="G3165" s="616"/>
      <c r="H3165" s="616"/>
      <c r="I3165" s="616"/>
      <c r="J3165" s="645"/>
      <c r="K3165" s="450"/>
      <c r="L3165" s="450"/>
      <c r="M3165" s="580">
        <f>TrialBalanceA!I49</f>
        <v>0</v>
      </c>
      <c r="N3165" s="458"/>
      <c r="O3165" s="581">
        <f>TrialBalanceA!K49</f>
        <v>0</v>
      </c>
      <c r="P3165" s="454"/>
      <c r="R3165" s="490" t="str">
        <f t="shared" si="194"/>
        <v>DELETE</v>
      </c>
      <c r="T3165" s="498"/>
    </row>
    <row r="3166" spans="3:24" ht="36" customHeight="1" x14ac:dyDescent="0.45">
      <c r="C3166" s="575"/>
      <c r="D3166" s="616" t="s">
        <v>305</v>
      </c>
      <c r="E3166" s="616"/>
      <c r="F3166" s="616"/>
      <c r="G3166" s="616"/>
      <c r="H3166" s="616"/>
      <c r="I3166" s="616"/>
      <c r="J3166" s="645"/>
      <c r="K3166" s="450"/>
      <c r="L3166" s="450"/>
      <c r="M3166" s="580">
        <f>TrialBalanceA!I50</f>
        <v>0</v>
      </c>
      <c r="N3166" s="458"/>
      <c r="O3166" s="581">
        <f>TrialBalanceA!K50</f>
        <v>0</v>
      </c>
      <c r="P3166" s="454"/>
      <c r="R3166" s="490" t="str">
        <f t="shared" si="194"/>
        <v>DELETE</v>
      </c>
      <c r="T3166" s="498"/>
    </row>
    <row r="3167" spans="3:24" ht="36" customHeight="1" x14ac:dyDescent="0.45">
      <c r="C3167" s="575"/>
      <c r="D3167" s="616" t="s">
        <v>587</v>
      </c>
      <c r="E3167" s="616"/>
      <c r="F3167" s="616"/>
      <c r="G3167" s="616"/>
      <c r="H3167" s="616"/>
      <c r="I3167" s="616"/>
      <c r="J3167" s="645"/>
      <c r="K3167" s="450"/>
      <c r="L3167" s="450"/>
      <c r="M3167" s="580">
        <f>SUM(TrialBalanceA!I51:I52)</f>
        <v>0</v>
      </c>
      <c r="N3167" s="458"/>
      <c r="O3167" s="581">
        <f>SUM(TrialBalanceA!K51:K52)</f>
        <v>0</v>
      </c>
      <c r="P3167" s="454"/>
      <c r="R3167" s="490" t="str">
        <f t="shared" si="194"/>
        <v>DELETE</v>
      </c>
      <c r="T3167" s="498"/>
    </row>
    <row r="3168" spans="3:24" ht="36" customHeight="1" x14ac:dyDescent="0.45">
      <c r="C3168" s="575"/>
      <c r="D3168" s="616" t="s">
        <v>585</v>
      </c>
      <c r="E3168" s="616"/>
      <c r="F3168" s="616"/>
      <c r="G3168" s="616"/>
      <c r="H3168" s="616"/>
      <c r="I3168" s="616"/>
      <c r="J3168" s="645"/>
      <c r="K3168" s="450"/>
      <c r="L3168" s="450"/>
      <c r="M3168" s="580">
        <f>TrialBalanceA!I53</f>
        <v>0</v>
      </c>
      <c r="N3168" s="458"/>
      <c r="O3168" s="581">
        <f>TrialBalanceA!K53</f>
        <v>0</v>
      </c>
      <c r="P3168" s="454"/>
      <c r="R3168" s="490" t="str">
        <f t="shared" si="194"/>
        <v>DELETE</v>
      </c>
      <c r="T3168" s="498"/>
    </row>
    <row r="3169" spans="3:20" ht="36" customHeight="1" x14ac:dyDescent="0.45">
      <c r="C3169" s="575"/>
      <c r="D3169" s="616" t="s">
        <v>566</v>
      </c>
      <c r="E3169" s="616"/>
      <c r="F3169" s="616"/>
      <c r="G3169" s="616"/>
      <c r="H3169" s="616"/>
      <c r="I3169" s="616"/>
      <c r="J3169" s="645"/>
      <c r="K3169" s="450"/>
      <c r="L3169" s="450"/>
      <c r="M3169" s="580">
        <f>SUM(TrialBalanceA!I55:I59)</f>
        <v>0</v>
      </c>
      <c r="N3169" s="458"/>
      <c r="O3169" s="581">
        <f>SUM(TrialBalanceA!K55:K59)</f>
        <v>0</v>
      </c>
      <c r="P3169" s="454"/>
      <c r="R3169" s="490" t="str">
        <f t="shared" si="194"/>
        <v>DELETE</v>
      </c>
      <c r="T3169" s="498"/>
    </row>
    <row r="3170" spans="3:20" ht="36" customHeight="1" x14ac:dyDescent="0.45">
      <c r="C3170" s="575"/>
      <c r="D3170" s="616" t="s">
        <v>547</v>
      </c>
      <c r="E3170" s="616"/>
      <c r="F3170" s="616"/>
      <c r="G3170" s="616"/>
      <c r="H3170" s="616"/>
      <c r="I3170" s="616"/>
      <c r="J3170" s="645"/>
      <c r="K3170" s="450">
        <f>B$1250</f>
        <v>5</v>
      </c>
      <c r="L3170" s="450"/>
      <c r="M3170" s="580">
        <f>SUM(TrialBalanceA!I61:I63)</f>
        <v>0</v>
      </c>
      <c r="N3170" s="458"/>
      <c r="O3170" s="581">
        <f>SUM(TrialBalanceA!K61:K63)</f>
        <v>0</v>
      </c>
      <c r="P3170" s="454"/>
      <c r="R3170" s="490" t="str">
        <f t="shared" si="194"/>
        <v>DELETE</v>
      </c>
      <c r="T3170" s="498"/>
    </row>
    <row r="3171" spans="3:20" ht="36" customHeight="1" x14ac:dyDescent="0.45">
      <c r="C3171" s="575"/>
      <c r="D3171" s="616" t="s">
        <v>77</v>
      </c>
      <c r="E3171" s="616"/>
      <c r="F3171" s="616"/>
      <c r="G3171" s="616"/>
      <c r="H3171" s="616"/>
      <c r="I3171" s="616"/>
      <c r="J3171" s="645"/>
      <c r="K3171" s="450"/>
      <c r="L3171" s="450"/>
      <c r="M3171" s="580">
        <f>TrialBalanceA!I64</f>
        <v>0</v>
      </c>
      <c r="N3171" s="458"/>
      <c r="O3171" s="581">
        <f>TrialBalanceA!K64</f>
        <v>0</v>
      </c>
      <c r="P3171" s="454"/>
      <c r="R3171" s="490" t="str">
        <f t="shared" si="194"/>
        <v>DELETE</v>
      </c>
      <c r="T3171" s="498"/>
    </row>
    <row r="3172" spans="3:20" ht="36" customHeight="1" x14ac:dyDescent="0.45">
      <c r="C3172" s="575"/>
      <c r="D3172" s="616" t="s">
        <v>1756</v>
      </c>
      <c r="E3172" s="616"/>
      <c r="F3172" s="616"/>
      <c r="G3172" s="616"/>
      <c r="H3172" s="616"/>
      <c r="I3172" s="616"/>
      <c r="J3172" s="645"/>
      <c r="K3172" s="450"/>
      <c r="L3172" s="450"/>
      <c r="M3172" s="580">
        <f>TrialBalanceA!I65</f>
        <v>0</v>
      </c>
      <c r="N3172" s="458"/>
      <c r="O3172" s="581">
        <f>TrialBalanceA!K65</f>
        <v>0</v>
      </c>
      <c r="P3172" s="454"/>
      <c r="R3172" s="490" t="str">
        <f t="shared" ref="R3172" si="195">IF(R$3110="DELETE","DELETE",IF(M3172+O3172=0,"DELETE"," "))</f>
        <v>DELETE</v>
      </c>
      <c r="T3172" s="498"/>
    </row>
    <row r="3173" spans="3:20" ht="36" customHeight="1" x14ac:dyDescent="0.45">
      <c r="C3173" s="575"/>
      <c r="D3173" s="616" t="s">
        <v>286</v>
      </c>
      <c r="E3173" s="616"/>
      <c r="F3173" s="616"/>
      <c r="G3173" s="616"/>
      <c r="H3173" s="616"/>
      <c r="I3173" s="616"/>
      <c r="J3173" s="645"/>
      <c r="K3173" s="450"/>
      <c r="L3173" s="450"/>
      <c r="M3173" s="580">
        <f>SUM(TrialBalanceA!I66:I68)</f>
        <v>0</v>
      </c>
      <c r="N3173" s="458"/>
      <c r="O3173" s="581">
        <f>SUM(TrialBalanceA!K66:K68)</f>
        <v>0</v>
      </c>
      <c r="P3173" s="454"/>
      <c r="R3173" s="490" t="str">
        <f t="shared" si="194"/>
        <v>DELETE</v>
      </c>
      <c r="T3173" s="498"/>
    </row>
    <row r="3174" spans="3:20" ht="36" customHeight="1" x14ac:dyDescent="0.45">
      <c r="C3174" s="575"/>
      <c r="D3174" s="616" t="s">
        <v>872</v>
      </c>
      <c r="E3174" s="616"/>
      <c r="F3174" s="616"/>
      <c r="G3174" s="616"/>
      <c r="H3174" s="616"/>
      <c r="I3174" s="616"/>
      <c r="J3174" s="645"/>
      <c r="K3174" s="450"/>
      <c r="L3174" s="450"/>
      <c r="M3174" s="580">
        <f>SUM(TrialBalanceA!I69:I70)</f>
        <v>0</v>
      </c>
      <c r="N3174" s="458"/>
      <c r="O3174" s="581">
        <f>SUM(TrialBalanceA!K69:K70)</f>
        <v>0</v>
      </c>
      <c r="P3174" s="454"/>
      <c r="R3174" s="490" t="str">
        <f t="shared" si="194"/>
        <v>DELETE</v>
      </c>
      <c r="T3174" s="498"/>
    </row>
    <row r="3175" spans="3:20" ht="36" customHeight="1" x14ac:dyDescent="0.45">
      <c r="C3175" s="575"/>
      <c r="D3175" s="616" t="s">
        <v>287</v>
      </c>
      <c r="E3175" s="616"/>
      <c r="F3175" s="616"/>
      <c r="G3175" s="616"/>
      <c r="H3175" s="616"/>
      <c r="I3175" s="616"/>
      <c r="J3175" s="645"/>
      <c r="K3175" s="450"/>
      <c r="L3175" s="450"/>
      <c r="M3175" s="580">
        <f>TrialBalanceA!I71</f>
        <v>0</v>
      </c>
      <c r="N3175" s="458"/>
      <c r="O3175" s="581">
        <f>TrialBalanceA!K71</f>
        <v>0</v>
      </c>
      <c r="P3175" s="454"/>
      <c r="R3175" s="490" t="str">
        <f t="shared" si="194"/>
        <v>DELETE</v>
      </c>
      <c r="T3175" s="498"/>
    </row>
    <row r="3176" spans="3:20" ht="36" customHeight="1" x14ac:dyDescent="0.45">
      <c r="C3176" s="575"/>
      <c r="D3176" s="616" t="s">
        <v>425</v>
      </c>
      <c r="E3176" s="616"/>
      <c r="F3176" s="616"/>
      <c r="G3176" s="616"/>
      <c r="H3176" s="616"/>
      <c r="I3176" s="616"/>
      <c r="J3176" s="645"/>
      <c r="K3176" s="450"/>
      <c r="L3176" s="450"/>
      <c r="M3176" s="580">
        <f>TrialBalanceA!I72</f>
        <v>0</v>
      </c>
      <c r="N3176" s="458"/>
      <c r="O3176" s="581">
        <f>TrialBalanceA!K72</f>
        <v>0</v>
      </c>
      <c r="P3176" s="454"/>
      <c r="R3176" s="490" t="str">
        <f t="shared" si="194"/>
        <v>DELETE</v>
      </c>
      <c r="T3176" s="498"/>
    </row>
    <row r="3177" spans="3:20" ht="36" customHeight="1" x14ac:dyDescent="0.45">
      <c r="C3177" s="575"/>
      <c r="D3177" s="616">
        <f>TrialBalanceA!C73</f>
        <v>0</v>
      </c>
      <c r="E3177" s="616"/>
      <c r="F3177" s="616"/>
      <c r="G3177" s="616"/>
      <c r="H3177" s="616"/>
      <c r="I3177" s="616"/>
      <c r="J3177" s="645"/>
      <c r="K3177" s="450"/>
      <c r="L3177" s="450"/>
      <c r="M3177" s="580">
        <f>TrialBalanceA!I73</f>
        <v>0</v>
      </c>
      <c r="N3177" s="458"/>
      <c r="O3177" s="581">
        <f>TrialBalanceA!K73</f>
        <v>0</v>
      </c>
      <c r="P3177" s="454"/>
      <c r="R3177" s="490" t="str">
        <f t="shared" si="194"/>
        <v>DELETE</v>
      </c>
      <c r="T3177" s="498"/>
    </row>
    <row r="3178" spans="3:20" ht="36" customHeight="1" x14ac:dyDescent="0.45">
      <c r="C3178" s="575"/>
      <c r="D3178" s="616">
        <f>TrialBalanceA!C74</f>
        <v>0</v>
      </c>
      <c r="E3178" s="616"/>
      <c r="F3178" s="616"/>
      <c r="G3178" s="616"/>
      <c r="H3178" s="616"/>
      <c r="I3178" s="616"/>
      <c r="J3178" s="645"/>
      <c r="K3178" s="450"/>
      <c r="L3178" s="450"/>
      <c r="M3178" s="580">
        <f>TrialBalanceA!I74</f>
        <v>0</v>
      </c>
      <c r="N3178" s="458"/>
      <c r="O3178" s="581">
        <f>TrialBalanceA!K74</f>
        <v>0</v>
      </c>
      <c r="P3178" s="454"/>
      <c r="R3178" s="490" t="str">
        <f t="shared" si="194"/>
        <v>DELETE</v>
      </c>
      <c r="T3178" s="498"/>
    </row>
    <row r="3179" spans="3:20" ht="36" customHeight="1" x14ac:dyDescent="0.45">
      <c r="C3179" s="575"/>
      <c r="D3179" s="616">
        <f>TrialBalanceA!C75</f>
        <v>0</v>
      </c>
      <c r="E3179" s="616"/>
      <c r="F3179" s="616"/>
      <c r="G3179" s="616"/>
      <c r="H3179" s="616"/>
      <c r="I3179" s="616"/>
      <c r="J3179" s="645"/>
      <c r="K3179" s="450"/>
      <c r="L3179" s="450"/>
      <c r="M3179" s="580">
        <f>TrialBalanceA!I75</f>
        <v>0</v>
      </c>
      <c r="N3179" s="458"/>
      <c r="O3179" s="581">
        <f>TrialBalanceA!K75</f>
        <v>0</v>
      </c>
      <c r="P3179" s="454"/>
      <c r="R3179" s="490" t="str">
        <f t="shared" si="194"/>
        <v>DELETE</v>
      </c>
      <c r="T3179" s="498"/>
    </row>
    <row r="3180" spans="3:20" ht="36" customHeight="1" x14ac:dyDescent="0.45">
      <c r="C3180" s="575"/>
      <c r="D3180" s="616">
        <f>TrialBalanceA!C76</f>
        <v>0</v>
      </c>
      <c r="E3180" s="616"/>
      <c r="F3180" s="616"/>
      <c r="G3180" s="616"/>
      <c r="H3180" s="616"/>
      <c r="I3180" s="616"/>
      <c r="J3180" s="645"/>
      <c r="K3180" s="450"/>
      <c r="L3180" s="450"/>
      <c r="M3180" s="580">
        <f>TrialBalanceA!I76</f>
        <v>0</v>
      </c>
      <c r="N3180" s="458"/>
      <c r="O3180" s="581">
        <f>TrialBalanceA!K76</f>
        <v>0</v>
      </c>
      <c r="P3180" s="454"/>
      <c r="R3180" s="490" t="str">
        <f t="shared" si="194"/>
        <v>DELETE</v>
      </c>
      <c r="T3180" s="498"/>
    </row>
    <row r="3181" spans="3:20" ht="36" customHeight="1" x14ac:dyDescent="0.45">
      <c r="C3181" s="575"/>
      <c r="D3181" s="616">
        <f>TrialBalanceA!C77</f>
        <v>0</v>
      </c>
      <c r="E3181" s="616"/>
      <c r="F3181" s="616"/>
      <c r="G3181" s="616"/>
      <c r="H3181" s="616"/>
      <c r="I3181" s="616"/>
      <c r="J3181" s="645"/>
      <c r="K3181" s="450"/>
      <c r="L3181" s="450"/>
      <c r="M3181" s="580">
        <f>TrialBalanceA!I77</f>
        <v>0</v>
      </c>
      <c r="N3181" s="458"/>
      <c r="O3181" s="581">
        <f>TrialBalanceA!K77</f>
        <v>0</v>
      </c>
      <c r="P3181" s="454"/>
      <c r="R3181" s="490" t="str">
        <f t="shared" si="194"/>
        <v>DELETE</v>
      </c>
      <c r="T3181" s="498"/>
    </row>
    <row r="3182" spans="3:20" ht="36" customHeight="1" x14ac:dyDescent="0.45">
      <c r="C3182" s="575"/>
      <c r="D3182" s="616">
        <f>TrialBalanceA!C78</f>
        <v>0</v>
      </c>
      <c r="E3182" s="616"/>
      <c r="F3182" s="616"/>
      <c r="G3182" s="616"/>
      <c r="H3182" s="616"/>
      <c r="I3182" s="616"/>
      <c r="J3182" s="645"/>
      <c r="K3182" s="450"/>
      <c r="L3182" s="450"/>
      <c r="M3182" s="580">
        <f>TrialBalanceA!I78</f>
        <v>0</v>
      </c>
      <c r="N3182" s="458"/>
      <c r="O3182" s="581">
        <f>TrialBalanceA!K78</f>
        <v>0</v>
      </c>
      <c r="P3182" s="454"/>
      <c r="R3182" s="490" t="str">
        <f t="shared" si="194"/>
        <v>DELETE</v>
      </c>
      <c r="T3182" s="498"/>
    </row>
    <row r="3183" spans="3:20" ht="36" customHeight="1" x14ac:dyDescent="0.45">
      <c r="C3183" s="575"/>
      <c r="D3183" s="616">
        <f>TrialBalanceA!C79</f>
        <v>0</v>
      </c>
      <c r="E3183" s="616"/>
      <c r="F3183" s="616"/>
      <c r="G3183" s="616"/>
      <c r="H3183" s="616"/>
      <c r="I3183" s="616"/>
      <c r="J3183" s="645"/>
      <c r="K3183" s="450"/>
      <c r="L3183" s="450"/>
      <c r="M3183" s="580">
        <f>TrialBalanceA!I79</f>
        <v>0</v>
      </c>
      <c r="N3183" s="458"/>
      <c r="O3183" s="581">
        <f>TrialBalanceA!K79</f>
        <v>0</v>
      </c>
      <c r="P3183" s="454"/>
      <c r="R3183" s="490" t="str">
        <f t="shared" si="194"/>
        <v>DELETE</v>
      </c>
      <c r="T3183" s="498"/>
    </row>
    <row r="3184" spans="3:20" ht="36" customHeight="1" x14ac:dyDescent="0.45">
      <c r="C3184" s="575"/>
      <c r="D3184" s="616">
        <f>TrialBalanceA!C80</f>
        <v>0</v>
      </c>
      <c r="E3184" s="616"/>
      <c r="F3184" s="616"/>
      <c r="G3184" s="616"/>
      <c r="H3184" s="616"/>
      <c r="I3184" s="616"/>
      <c r="J3184" s="645"/>
      <c r="K3184" s="450"/>
      <c r="L3184" s="450"/>
      <c r="M3184" s="580">
        <f>TrialBalanceA!I80</f>
        <v>0</v>
      </c>
      <c r="N3184" s="458"/>
      <c r="O3184" s="581">
        <f>TrialBalanceA!K80</f>
        <v>0</v>
      </c>
      <c r="P3184" s="454"/>
      <c r="R3184" s="490" t="str">
        <f t="shared" si="194"/>
        <v>DELETE</v>
      </c>
      <c r="T3184" s="498"/>
    </row>
    <row r="3185" spans="3:26" ht="36" customHeight="1" x14ac:dyDescent="0.45">
      <c r="C3185" s="575"/>
      <c r="D3185" s="616">
        <f>TrialBalanceA!C81</f>
        <v>0</v>
      </c>
      <c r="E3185" s="616"/>
      <c r="F3185" s="616"/>
      <c r="G3185" s="616"/>
      <c r="H3185" s="616"/>
      <c r="I3185" s="616"/>
      <c r="J3185" s="645"/>
      <c r="K3185" s="450"/>
      <c r="L3185" s="450"/>
      <c r="M3185" s="580">
        <f>TrialBalanceA!I81</f>
        <v>0</v>
      </c>
      <c r="N3185" s="458"/>
      <c r="O3185" s="581">
        <f>TrialBalanceA!K81</f>
        <v>0</v>
      </c>
      <c r="P3185" s="454"/>
      <c r="R3185" s="490" t="str">
        <f t="shared" si="194"/>
        <v>DELETE</v>
      </c>
      <c r="T3185" s="498"/>
    </row>
    <row r="3186" spans="3:26" ht="36" customHeight="1" x14ac:dyDescent="0.45">
      <c r="C3186" s="575"/>
      <c r="D3186" s="616">
        <f>TrialBalanceA!C82</f>
        <v>0</v>
      </c>
      <c r="E3186" s="616"/>
      <c r="F3186" s="616"/>
      <c r="G3186" s="616"/>
      <c r="H3186" s="616"/>
      <c r="I3186" s="616"/>
      <c r="J3186" s="645"/>
      <c r="K3186" s="450"/>
      <c r="L3186" s="450"/>
      <c r="M3186" s="580">
        <f>TrialBalanceA!I82</f>
        <v>0</v>
      </c>
      <c r="N3186" s="458"/>
      <c r="O3186" s="581">
        <f>TrialBalanceA!K82</f>
        <v>0</v>
      </c>
      <c r="P3186" s="454"/>
      <c r="R3186" s="490" t="str">
        <f t="shared" si="194"/>
        <v>DELETE</v>
      </c>
      <c r="T3186" s="498"/>
    </row>
    <row r="3187" spans="3:26" ht="9" customHeight="1" x14ac:dyDescent="0.45">
      <c r="C3187" s="575"/>
      <c r="D3187" s="616"/>
      <c r="E3187" s="616"/>
      <c r="F3187" s="616"/>
      <c r="G3187" s="616"/>
      <c r="H3187" s="616"/>
      <c r="I3187" s="616"/>
      <c r="J3187" s="645"/>
      <c r="K3187" s="450"/>
      <c r="L3187" s="450"/>
      <c r="M3187" s="460"/>
      <c r="N3187" s="461"/>
      <c r="O3187" s="582"/>
      <c r="P3187" s="454"/>
      <c r="R3187" s="490" t="str">
        <f>R3156</f>
        <v>DELETE</v>
      </c>
      <c r="T3187" s="498"/>
    </row>
    <row r="3188" spans="3:26" ht="9" customHeight="1" x14ac:dyDescent="0.45">
      <c r="C3188" s="575"/>
      <c r="D3188" s="616"/>
      <c r="E3188" s="616"/>
      <c r="F3188" s="616"/>
      <c r="G3188" s="616"/>
      <c r="H3188" s="616"/>
      <c r="I3188" s="616"/>
      <c r="J3188" s="645"/>
      <c r="K3188" s="450"/>
      <c r="L3188" s="450"/>
      <c r="M3188" s="461"/>
      <c r="N3188" s="461"/>
      <c r="O3188" s="461"/>
      <c r="P3188" s="454"/>
      <c r="R3188" s="490" t="str">
        <f t="shared" ref="R3188:R3208" si="196">R$3110</f>
        <v>DELETE</v>
      </c>
      <c r="T3188" s="498"/>
    </row>
    <row r="3189" spans="3:26" ht="9" customHeight="1" x14ac:dyDescent="0.45">
      <c r="C3189" s="575"/>
      <c r="D3189" s="616"/>
      <c r="E3189" s="616"/>
      <c r="F3189" s="616"/>
      <c r="G3189" s="616"/>
      <c r="H3189" s="616"/>
      <c r="I3189" s="616"/>
      <c r="J3189" s="645"/>
      <c r="K3189" s="450"/>
      <c r="L3189" s="450"/>
      <c r="M3189" s="458"/>
      <c r="N3189" s="458"/>
      <c r="O3189" s="458"/>
      <c r="P3189" s="454"/>
      <c r="R3189" s="490" t="str">
        <f t="shared" si="196"/>
        <v>DELETE</v>
      </c>
      <c r="T3189" s="498"/>
    </row>
    <row r="3190" spans="3:26" ht="36" customHeight="1" x14ac:dyDescent="0.45">
      <c r="D3190" s="637" t="str">
        <f>IF((Y3190+Z3190)=3,"Operating profit/(loss)",(IF((Y3190+Z3190=4),"Operating profit","Operating loss")))</f>
        <v>Operating profit</v>
      </c>
      <c r="E3190" s="616"/>
      <c r="F3190" s="616"/>
      <c r="G3190" s="616"/>
      <c r="H3190" s="616"/>
      <c r="I3190" s="616"/>
      <c r="J3190" s="645"/>
      <c r="K3190" s="450"/>
      <c r="L3190" s="450"/>
      <c r="M3190" s="458">
        <f>SUM(S3122:S3188)</f>
        <v>0</v>
      </c>
      <c r="N3190" s="458"/>
      <c r="O3190" s="458">
        <f>SUM(U3122:U3188)</f>
        <v>0</v>
      </c>
      <c r="P3190" s="454"/>
      <c r="R3190" s="490" t="str">
        <f t="shared" si="196"/>
        <v>DELETE</v>
      </c>
      <c r="T3190" s="498"/>
      <c r="Y3190" s="491">
        <f>IF(M3190&lt;0,1,IF(M3190=0,IF(O3190&lt;0,1,2),2))</f>
        <v>2</v>
      </c>
      <c r="Z3190" s="491">
        <f>IF(O3190&lt;0,1,IF(O3190=0,IF(M3190&lt;0,1,2),2))</f>
        <v>2</v>
      </c>
    </row>
    <row r="3191" spans="3:26" ht="36" customHeight="1" x14ac:dyDescent="0.45">
      <c r="C3191" s="575"/>
      <c r="D3191" s="616"/>
      <c r="E3191" s="616" t="s">
        <v>289</v>
      </c>
      <c r="F3191" s="616"/>
      <c r="G3191" s="616"/>
      <c r="H3191" s="616"/>
      <c r="I3191" s="616"/>
      <c r="J3191" s="645"/>
      <c r="K3191" s="450"/>
      <c r="L3191" s="450"/>
      <c r="M3191" s="458"/>
      <c r="N3191" s="458"/>
      <c r="O3191" s="458"/>
      <c r="P3191" s="454"/>
      <c r="R3191" s="490" t="str">
        <f t="shared" si="196"/>
        <v>DELETE</v>
      </c>
      <c r="T3191" s="498"/>
    </row>
    <row r="3192" spans="3:26" ht="36" customHeight="1" x14ac:dyDescent="0.45">
      <c r="C3192" s="575"/>
      <c r="D3192" s="616"/>
      <c r="E3192" s="616"/>
      <c r="F3192" s="616"/>
      <c r="G3192" s="616"/>
      <c r="H3192" s="616"/>
      <c r="I3192" s="616"/>
      <c r="J3192" s="645"/>
      <c r="K3192" s="450"/>
      <c r="L3192" s="450"/>
      <c r="M3192" s="458"/>
      <c r="N3192" s="458"/>
      <c r="O3192" s="458"/>
      <c r="P3192" s="454"/>
      <c r="R3192" s="490" t="str">
        <f t="shared" si="196"/>
        <v>DELETE</v>
      </c>
      <c r="T3192" s="498"/>
    </row>
    <row r="3193" spans="3:26" ht="36" customHeight="1" x14ac:dyDescent="0.45">
      <c r="C3193" s="575"/>
      <c r="D3193" s="616"/>
      <c r="E3193" s="616"/>
      <c r="F3193" s="616"/>
      <c r="G3193" s="616"/>
      <c r="H3193" s="616"/>
      <c r="I3193" s="616"/>
      <c r="J3193" s="645"/>
      <c r="K3193" s="450"/>
      <c r="L3193" s="450"/>
      <c r="M3193" s="458"/>
      <c r="N3193" s="458"/>
      <c r="O3193" s="458"/>
      <c r="P3193" s="454"/>
      <c r="R3193" s="490" t="str">
        <f t="shared" si="196"/>
        <v>DELETE</v>
      </c>
      <c r="T3193" s="498"/>
    </row>
    <row r="3194" spans="3:26" ht="36" customHeight="1" x14ac:dyDescent="0.45">
      <c r="C3194" s="575"/>
      <c r="D3194" s="616"/>
      <c r="E3194" s="616"/>
      <c r="F3194" s="616"/>
      <c r="G3194" s="616"/>
      <c r="H3194" s="616"/>
      <c r="I3194" s="616"/>
      <c r="J3194" s="645"/>
      <c r="K3194" s="450"/>
      <c r="L3194" s="450"/>
      <c r="M3194" s="475"/>
      <c r="N3194" s="475"/>
      <c r="O3194" s="475"/>
      <c r="P3194" s="521"/>
      <c r="R3194" s="490" t="str">
        <f t="shared" si="196"/>
        <v>DELETE</v>
      </c>
      <c r="T3194" s="498"/>
    </row>
    <row r="3195" spans="3:26" ht="36" customHeight="1" x14ac:dyDescent="0.45">
      <c r="C3195" s="575"/>
      <c r="D3195" s="616"/>
      <c r="E3195" s="616"/>
      <c r="F3195" s="616"/>
      <c r="G3195" s="616"/>
      <c r="H3195" s="616"/>
      <c r="I3195" s="616"/>
      <c r="J3195" s="645"/>
      <c r="K3195" s="450"/>
      <c r="L3195" s="450"/>
      <c r="M3195" s="458"/>
      <c r="N3195" s="458"/>
      <c r="O3195" s="458"/>
      <c r="P3195" s="454"/>
      <c r="R3195" s="490" t="str">
        <f t="shared" si="196"/>
        <v>DELETE</v>
      </c>
      <c r="T3195" s="498"/>
    </row>
    <row r="3196" spans="3:26" ht="36" customHeight="1" x14ac:dyDescent="0.45">
      <c r="C3196" s="575"/>
      <c r="D3196" s="616"/>
      <c r="E3196" s="616"/>
      <c r="F3196" s="616"/>
      <c r="G3196" s="616"/>
      <c r="H3196" s="616"/>
      <c r="I3196" s="616"/>
      <c r="J3196" s="645"/>
      <c r="K3196" s="450"/>
      <c r="L3196" s="450"/>
      <c r="M3196" s="458"/>
      <c r="N3196" s="458"/>
      <c r="O3196" s="458" t="s">
        <v>112</v>
      </c>
      <c r="P3196" s="454"/>
      <c r="Q3196" s="450">
        <f>MAX($Q$3110:Q3195)+1</f>
        <v>2</v>
      </c>
      <c r="R3196" s="490" t="str">
        <f t="shared" si="196"/>
        <v>DELETE</v>
      </c>
      <c r="T3196" s="498"/>
    </row>
    <row r="3197" spans="3:26" ht="36" customHeight="1" x14ac:dyDescent="0.45">
      <c r="C3197" s="575"/>
      <c r="D3197" s="615" t="str">
        <f>Criteria!E9</f>
        <v>ABC COMPANY (PROPRIETARY) LIMITED</v>
      </c>
      <c r="E3197" s="616"/>
      <c r="F3197" s="616"/>
      <c r="G3197" s="616"/>
      <c r="H3197" s="616"/>
      <c r="I3197" s="616"/>
      <c r="J3197" s="645"/>
      <c r="K3197" s="450"/>
      <c r="L3197" s="450"/>
      <c r="M3197" s="458"/>
      <c r="N3197" s="458"/>
      <c r="O3197" s="540"/>
      <c r="R3197" s="490" t="str">
        <f t="shared" si="196"/>
        <v>DELETE</v>
      </c>
      <c r="T3197" s="498"/>
    </row>
    <row r="3198" spans="3:26" ht="36" customHeight="1" x14ac:dyDescent="0.45">
      <c r="C3198" s="575"/>
      <c r="D3198" s="615" t="str">
        <f>CONCATENATE("T/A ",Criteria!E14)</f>
        <v>T/A ABC RESTAURANT</v>
      </c>
      <c r="E3198" s="616"/>
      <c r="F3198" s="616"/>
      <c r="G3198" s="616"/>
      <c r="H3198" s="616"/>
      <c r="I3198" s="616"/>
      <c r="J3198" s="645"/>
      <c r="K3198" s="450"/>
      <c r="L3198" s="450"/>
      <c r="M3198" s="458"/>
      <c r="N3198" s="458"/>
      <c r="O3198" s="458"/>
      <c r="P3198" s="454"/>
      <c r="R3198" s="490" t="str">
        <f t="shared" si="196"/>
        <v>DELETE</v>
      </c>
      <c r="T3198" s="498"/>
    </row>
    <row r="3199" spans="3:26" ht="36" customHeight="1" x14ac:dyDescent="0.45">
      <c r="C3199" s="575"/>
      <c r="D3199" s="616"/>
      <c r="E3199" s="616"/>
      <c r="F3199" s="616"/>
      <c r="G3199" s="616"/>
      <c r="H3199" s="616"/>
      <c r="I3199" s="616"/>
      <c r="J3199" s="645"/>
      <c r="K3199" s="450"/>
      <c r="L3199" s="450"/>
      <c r="M3199" s="458"/>
      <c r="N3199" s="458"/>
      <c r="O3199" s="458"/>
      <c r="P3199" s="454"/>
      <c r="R3199" s="490" t="str">
        <f t="shared" si="196"/>
        <v>DELETE</v>
      </c>
      <c r="T3199" s="498"/>
    </row>
    <row r="3200" spans="3:26" ht="36" customHeight="1" x14ac:dyDescent="0.45">
      <c r="C3200" s="575"/>
      <c r="D3200" s="615" t="s">
        <v>109</v>
      </c>
      <c r="E3200" s="616"/>
      <c r="F3200" s="616"/>
      <c r="G3200" s="616"/>
      <c r="H3200" s="616"/>
      <c r="I3200" s="616"/>
      <c r="J3200" s="645"/>
      <c r="K3200" s="450"/>
      <c r="L3200" s="450"/>
      <c r="M3200" s="458"/>
      <c r="N3200" s="458"/>
      <c r="O3200" s="458"/>
      <c r="P3200" s="454"/>
      <c r="R3200" s="490" t="str">
        <f t="shared" si="196"/>
        <v>DELETE</v>
      </c>
      <c r="T3200" s="498"/>
    </row>
    <row r="3201" spans="3:26" ht="36" customHeight="1" x14ac:dyDescent="0.45">
      <c r="C3201" s="575"/>
      <c r="D3201" s="615" t="str">
        <f>D3117</f>
        <v>28 FEBRUARY 2026</v>
      </c>
      <c r="E3201" s="616"/>
      <c r="F3201" s="616"/>
      <c r="G3201" s="616"/>
      <c r="H3201" s="616"/>
      <c r="I3201" s="616"/>
      <c r="J3201" s="616" t="s">
        <v>118</v>
      </c>
      <c r="K3201" s="450"/>
      <c r="L3201" s="450"/>
      <c r="M3201" s="458"/>
      <c r="N3201" s="458"/>
      <c r="O3201" s="458"/>
      <c r="P3201" s="454"/>
      <c r="R3201" s="490" t="str">
        <f t="shared" si="196"/>
        <v>DELETE</v>
      </c>
      <c r="T3201" s="498"/>
    </row>
    <row r="3202" spans="3:26" ht="36" customHeight="1" x14ac:dyDescent="0.45">
      <c r="C3202" s="575"/>
      <c r="D3202" s="616"/>
      <c r="E3202" s="616"/>
      <c r="F3202" s="616"/>
      <c r="G3202" s="616"/>
      <c r="H3202" s="616"/>
      <c r="I3202" s="616"/>
      <c r="J3202" s="645"/>
      <c r="K3202" s="467"/>
      <c r="L3202" s="467"/>
      <c r="M3202" s="461"/>
      <c r="N3202" s="461"/>
      <c r="O3202" s="461"/>
      <c r="P3202" s="454"/>
      <c r="R3202" s="490" t="str">
        <f t="shared" si="196"/>
        <v>DELETE</v>
      </c>
      <c r="T3202" s="498"/>
    </row>
    <row r="3203" spans="3:26" ht="36" customHeight="1" x14ac:dyDescent="0.45">
      <c r="C3203" s="575"/>
      <c r="D3203" s="634"/>
      <c r="E3203" s="634"/>
      <c r="F3203" s="634"/>
      <c r="G3203" s="634"/>
      <c r="H3203" s="634"/>
      <c r="I3203" s="634"/>
      <c r="J3203" s="647"/>
      <c r="M3203" s="541"/>
      <c r="N3203" s="541"/>
      <c r="O3203" s="541"/>
      <c r="P3203" s="486"/>
      <c r="Q3203" s="457"/>
      <c r="R3203" s="490" t="str">
        <f t="shared" si="196"/>
        <v>DELETE</v>
      </c>
      <c r="T3203" s="498"/>
    </row>
    <row r="3204" spans="3:26" ht="36" customHeight="1" x14ac:dyDescent="0.45">
      <c r="C3204" s="575"/>
      <c r="D3204" s="616"/>
      <c r="E3204" s="616"/>
      <c r="F3204" s="616"/>
      <c r="G3204" s="616"/>
      <c r="H3204" s="616"/>
      <c r="I3204" s="616"/>
      <c r="J3204" s="645"/>
      <c r="K3204" s="450" t="s">
        <v>1494</v>
      </c>
      <c r="L3204" s="450"/>
      <c r="M3204" s="453">
        <f>Criteria!E22</f>
        <v>2026</v>
      </c>
      <c r="N3204" s="453"/>
      <c r="O3204" s="453">
        <f>Criteria!E27</f>
        <v>2025</v>
      </c>
      <c r="P3204" s="454"/>
      <c r="R3204" s="490" t="str">
        <f t="shared" si="196"/>
        <v>DELETE</v>
      </c>
      <c r="T3204" s="498"/>
    </row>
    <row r="3205" spans="3:26" ht="36" customHeight="1" x14ac:dyDescent="0.45">
      <c r="C3205" s="575"/>
      <c r="D3205" s="616"/>
      <c r="E3205" s="616"/>
      <c r="F3205" s="616"/>
      <c r="G3205" s="616"/>
      <c r="H3205" s="616"/>
      <c r="I3205" s="616"/>
      <c r="J3205" s="645"/>
      <c r="K3205" s="450"/>
      <c r="L3205" s="450"/>
      <c r="M3205" s="458"/>
      <c r="N3205" s="458"/>
      <c r="O3205" s="458"/>
      <c r="P3205" s="454"/>
      <c r="R3205" s="490" t="str">
        <f t="shared" si="196"/>
        <v>DELETE</v>
      </c>
      <c r="T3205" s="498"/>
    </row>
    <row r="3206" spans="3:26" ht="36" customHeight="1" x14ac:dyDescent="0.45">
      <c r="D3206" s="637" t="str">
        <f>IF((Y3206+Z3206)=3,"Operating profit/(loss)",(IF((Y3206+Z3206=4),"Operating profit","Operating loss")))</f>
        <v>Operating profit</v>
      </c>
      <c r="E3206" s="616"/>
      <c r="F3206" s="616"/>
      <c r="G3206" s="616"/>
      <c r="H3206" s="616"/>
      <c r="I3206" s="616"/>
      <c r="J3206" s="645"/>
      <c r="K3206" s="450"/>
      <c r="L3206" s="450"/>
      <c r="M3206" s="458">
        <f>SUM(S3122:S3187)</f>
        <v>0</v>
      </c>
      <c r="N3206" s="458"/>
      <c r="O3206" s="458">
        <f>SUM(U3122:U3187)</f>
        <v>0</v>
      </c>
      <c r="P3206" s="454"/>
      <c r="R3206" s="490" t="str">
        <f t="shared" si="196"/>
        <v>DELETE</v>
      </c>
      <c r="T3206" s="498"/>
      <c r="V3206" s="491" t="b">
        <f>M3206=M3190</f>
        <v>1</v>
      </c>
      <c r="X3206" s="491" t="b">
        <f>O3206=O3190</f>
        <v>1</v>
      </c>
      <c r="Y3206" s="491">
        <f>IF(M3206&lt;0,1,IF(M3206=0,IF(O3206&lt;0,1,2),2))</f>
        <v>2</v>
      </c>
      <c r="Z3206" s="491">
        <f>IF(O3206&lt;0,1,IF(O3206=0,IF(M3206&lt;0,1,2),2))</f>
        <v>2</v>
      </c>
    </row>
    <row r="3207" spans="3:26" ht="36" customHeight="1" x14ac:dyDescent="0.45">
      <c r="C3207" s="575"/>
      <c r="D3207" s="616"/>
      <c r="E3207" s="616" t="s">
        <v>290</v>
      </c>
      <c r="F3207" s="616"/>
      <c r="G3207" s="616"/>
      <c r="H3207" s="616"/>
      <c r="I3207" s="616"/>
      <c r="J3207" s="645"/>
      <c r="K3207" s="450"/>
      <c r="L3207" s="450"/>
      <c r="M3207" s="458"/>
      <c r="N3207" s="458"/>
      <c r="O3207" s="458"/>
      <c r="P3207" s="454"/>
      <c r="R3207" s="490" t="str">
        <f t="shared" si="196"/>
        <v>DELETE</v>
      </c>
      <c r="T3207" s="498"/>
    </row>
    <row r="3208" spans="3:26" ht="36" customHeight="1" x14ac:dyDescent="0.45">
      <c r="C3208" s="575"/>
      <c r="D3208" s="616"/>
      <c r="E3208" s="616"/>
      <c r="F3208" s="616"/>
      <c r="G3208" s="616"/>
      <c r="H3208" s="616"/>
      <c r="I3208" s="616"/>
      <c r="J3208" s="645"/>
      <c r="K3208" s="450"/>
      <c r="L3208" s="450"/>
      <c r="M3208" s="458"/>
      <c r="N3208" s="458"/>
      <c r="O3208" s="458"/>
      <c r="P3208" s="454"/>
      <c r="R3208" s="490" t="str">
        <f t="shared" si="196"/>
        <v>DELETE</v>
      </c>
      <c r="T3208" s="498"/>
    </row>
    <row r="3209" spans="3:26" ht="36" customHeight="1" x14ac:dyDescent="0.45">
      <c r="D3209" s="615" t="s">
        <v>1533</v>
      </c>
      <c r="E3209" s="616"/>
      <c r="F3209" s="616"/>
      <c r="G3209" s="616"/>
      <c r="H3209" s="616"/>
      <c r="I3209" s="616"/>
      <c r="J3209" s="645"/>
      <c r="K3209" s="450"/>
      <c r="L3209" s="450"/>
      <c r="M3209" s="458">
        <f>SUM(M3212:M3245)</f>
        <v>0</v>
      </c>
      <c r="N3209" s="458"/>
      <c r="O3209" s="458">
        <f>SUM(O3212:O3245)</f>
        <v>0</v>
      </c>
      <c r="P3209" s="454"/>
      <c r="R3209" s="490" t="str">
        <f t="shared" ref="R3209" si="197">IF(R$3110="DELETE","DELETE",IF(M3209+O3209=0,"DELETE"," "))</f>
        <v>DELETE</v>
      </c>
      <c r="S3209" s="495">
        <f>-M3209</f>
        <v>0</v>
      </c>
      <c r="T3209" s="498"/>
      <c r="U3209" s="495">
        <f>-O3209</f>
        <v>0</v>
      </c>
      <c r="V3209" s="495"/>
      <c r="W3209" s="495"/>
      <c r="X3209" s="495"/>
    </row>
    <row r="3210" spans="3:26" ht="9" customHeight="1" x14ac:dyDescent="0.45">
      <c r="C3210" s="575"/>
      <c r="D3210" s="616"/>
      <c r="E3210" s="616"/>
      <c r="F3210" s="616"/>
      <c r="G3210" s="616"/>
      <c r="H3210" s="616"/>
      <c r="I3210" s="616"/>
      <c r="J3210" s="645"/>
      <c r="K3210" s="450"/>
      <c r="L3210" s="450"/>
      <c r="M3210" s="458"/>
      <c r="N3210" s="458"/>
      <c r="O3210" s="458"/>
      <c r="P3210" s="454"/>
      <c r="R3210" s="490" t="str">
        <f>R3209</f>
        <v>DELETE</v>
      </c>
      <c r="T3210" s="498"/>
    </row>
    <row r="3211" spans="3:26" ht="9" customHeight="1" x14ac:dyDescent="0.45">
      <c r="C3211" s="575"/>
      <c r="D3211" s="616"/>
      <c r="E3211" s="616"/>
      <c r="F3211" s="616"/>
      <c r="G3211" s="616"/>
      <c r="H3211" s="616"/>
      <c r="I3211" s="616"/>
      <c r="J3211" s="645"/>
      <c r="K3211" s="450"/>
      <c r="L3211" s="450"/>
      <c r="M3211" s="578"/>
      <c r="N3211" s="459"/>
      <c r="O3211" s="579"/>
      <c r="P3211" s="454"/>
      <c r="R3211" s="490" t="str">
        <f>R3210</f>
        <v>DELETE</v>
      </c>
      <c r="T3211" s="498"/>
    </row>
    <row r="3212" spans="3:26" ht="36" customHeight="1" x14ac:dyDescent="0.45">
      <c r="C3212" s="575"/>
      <c r="D3212" s="616" t="s">
        <v>233</v>
      </c>
      <c r="E3212" s="616"/>
      <c r="F3212" s="616"/>
      <c r="G3212" s="616"/>
      <c r="H3212" s="616"/>
      <c r="I3212" s="616"/>
      <c r="J3212" s="645"/>
      <c r="K3212" s="450"/>
      <c r="L3212" s="450"/>
      <c r="M3212" s="580">
        <f>SUM(TrialBalanceA!I99:I102)</f>
        <v>0</v>
      </c>
      <c r="N3212" s="458"/>
      <c r="O3212" s="581">
        <f>SUM(TrialBalanceA!K99:K102)</f>
        <v>0</v>
      </c>
      <c r="P3212" s="454"/>
      <c r="R3212" s="490" t="str">
        <f>IF(R$3110="DELETE","DELETE",IF(M3212+O3212=0,"DELETE"," "))</f>
        <v>DELETE</v>
      </c>
      <c r="T3212" s="498"/>
    </row>
    <row r="3213" spans="3:26" ht="36" customHeight="1" x14ac:dyDescent="0.45">
      <c r="C3213" s="575"/>
      <c r="D3213" s="616" t="s">
        <v>237</v>
      </c>
      <c r="E3213" s="616"/>
      <c r="F3213" s="616"/>
      <c r="G3213" s="616"/>
      <c r="H3213" s="616"/>
      <c r="I3213" s="616"/>
      <c r="J3213" s="645"/>
      <c r="K3213" s="450"/>
      <c r="L3213" s="450"/>
      <c r="M3213" s="580">
        <f>TrialBalanceA!I104</f>
        <v>0</v>
      </c>
      <c r="N3213" s="458"/>
      <c r="O3213" s="581">
        <f>TrialBalanceA!K104</f>
        <v>0</v>
      </c>
      <c r="P3213" s="454"/>
      <c r="R3213" s="490" t="str">
        <f t="shared" ref="R3213" si="198">IF(R$3110="DELETE","DELETE",IF(M3213+O3213=0,"DELETE"," "))</f>
        <v>DELETE</v>
      </c>
      <c r="T3213" s="498"/>
    </row>
    <row r="3214" spans="3:26" ht="36" customHeight="1" x14ac:dyDescent="0.45">
      <c r="C3214" s="575"/>
      <c r="D3214" s="616" t="s">
        <v>235</v>
      </c>
      <c r="E3214" s="616"/>
      <c r="F3214" s="616"/>
      <c r="G3214" s="616"/>
      <c r="H3214" s="616"/>
      <c r="I3214" s="616"/>
      <c r="J3214" s="645"/>
      <c r="K3214" s="450"/>
      <c r="L3214" s="450"/>
      <c r="M3214" s="580">
        <f>TrialBalanceA!I103</f>
        <v>0</v>
      </c>
      <c r="N3214" s="458"/>
      <c r="O3214" s="581">
        <f>TrialBalanceA!K103</f>
        <v>0</v>
      </c>
      <c r="P3214" s="454"/>
      <c r="R3214" s="490" t="str">
        <f t="shared" ref="R3214:R3243" si="199">IF(R$3110="DELETE","DELETE",IF(M3214+O3214=0,"DELETE"," "))</f>
        <v>DELETE</v>
      </c>
      <c r="T3214" s="498"/>
    </row>
    <row r="3215" spans="3:26" ht="36" customHeight="1" x14ac:dyDescent="0.45">
      <c r="C3215" s="575"/>
      <c r="D3215" s="616" t="s">
        <v>291</v>
      </c>
      <c r="E3215" s="616"/>
      <c r="F3215" s="616"/>
      <c r="G3215" s="616"/>
      <c r="H3215" s="616"/>
      <c r="I3215" s="616"/>
      <c r="J3215" s="645"/>
      <c r="K3215" s="450"/>
      <c r="L3215" s="450"/>
      <c r="M3215" s="580">
        <f>TrialBalanceA!I105</f>
        <v>0</v>
      </c>
      <c r="N3215" s="458"/>
      <c r="O3215" s="581">
        <f>TrialBalanceA!K105</f>
        <v>0</v>
      </c>
      <c r="P3215" s="454"/>
      <c r="R3215" s="490" t="str">
        <f t="shared" si="199"/>
        <v>DELETE</v>
      </c>
      <c r="T3215" s="498"/>
    </row>
    <row r="3216" spans="3:26" ht="36" customHeight="1" x14ac:dyDescent="0.45">
      <c r="C3216" s="575"/>
      <c r="D3216" s="616" t="s">
        <v>240</v>
      </c>
      <c r="E3216" s="616"/>
      <c r="F3216" s="616"/>
      <c r="G3216" s="616"/>
      <c r="H3216" s="616"/>
      <c r="I3216" s="616"/>
      <c r="J3216" s="645"/>
      <c r="K3216" s="450"/>
      <c r="L3216" s="450"/>
      <c r="M3216" s="580">
        <f>TrialBalanceA!I106</f>
        <v>0</v>
      </c>
      <c r="N3216" s="458"/>
      <c r="O3216" s="581">
        <f>TrialBalanceA!K106</f>
        <v>0</v>
      </c>
      <c r="P3216" s="454"/>
      <c r="R3216" s="490" t="str">
        <f t="shared" si="199"/>
        <v>DELETE</v>
      </c>
      <c r="T3216" s="498"/>
    </row>
    <row r="3217" spans="3:20" ht="36" customHeight="1" x14ac:dyDescent="0.45">
      <c r="C3217" s="575"/>
      <c r="D3217" s="616" t="s">
        <v>873</v>
      </c>
      <c r="E3217" s="616"/>
      <c r="F3217" s="616"/>
      <c r="G3217" s="616"/>
      <c r="H3217" s="616"/>
      <c r="I3217" s="616"/>
      <c r="J3217" s="645"/>
      <c r="K3217" s="450"/>
      <c r="L3217" s="450"/>
      <c r="M3217" s="580">
        <f>TrialBalanceA!I107</f>
        <v>0</v>
      </c>
      <c r="N3217" s="458"/>
      <c r="O3217" s="581">
        <f>TrialBalanceA!K107</f>
        <v>0</v>
      </c>
      <c r="P3217" s="454"/>
      <c r="R3217" s="490" t="str">
        <f t="shared" si="199"/>
        <v>DELETE</v>
      </c>
      <c r="T3217" s="498"/>
    </row>
    <row r="3218" spans="3:20" ht="36" customHeight="1" x14ac:dyDescent="0.45">
      <c r="C3218" s="575"/>
      <c r="D3218" s="616" t="s">
        <v>1759</v>
      </c>
      <c r="E3218" s="616"/>
      <c r="F3218" s="616"/>
      <c r="G3218" s="616"/>
      <c r="H3218" s="616"/>
      <c r="I3218" s="616"/>
      <c r="J3218" s="645"/>
      <c r="K3218" s="450"/>
      <c r="L3218" s="450"/>
      <c r="M3218" s="580">
        <f>TrialBalanceA!I108</f>
        <v>0</v>
      </c>
      <c r="N3218" s="458"/>
      <c r="O3218" s="581">
        <f>TrialBalanceA!K108</f>
        <v>0</v>
      </c>
      <c r="P3218" s="454"/>
      <c r="R3218" s="490" t="str">
        <f t="shared" ref="R3218" si="200">IF(R$3110="DELETE","DELETE",IF(M3218+O3218=0,"DELETE"," "))</f>
        <v>DELETE</v>
      </c>
      <c r="T3218" s="498"/>
    </row>
    <row r="3219" spans="3:20" ht="36" customHeight="1" x14ac:dyDescent="0.45">
      <c r="C3219" s="575"/>
      <c r="D3219" s="616" t="s">
        <v>304</v>
      </c>
      <c r="E3219" s="616"/>
      <c r="F3219" s="616"/>
      <c r="G3219" s="616"/>
      <c r="H3219" s="616"/>
      <c r="I3219" s="616"/>
      <c r="J3219" s="645"/>
      <c r="K3219" s="450">
        <f>B$1250</f>
        <v>5</v>
      </c>
      <c r="L3219" s="450"/>
      <c r="M3219" s="580">
        <f>SUM(TrialBalanceA!I110:I111)</f>
        <v>0</v>
      </c>
      <c r="N3219" s="458"/>
      <c r="O3219" s="581">
        <f>SUM(TrialBalanceA!K110:K111)</f>
        <v>0</v>
      </c>
      <c r="P3219" s="454"/>
      <c r="R3219" s="490" t="str">
        <f t="shared" si="199"/>
        <v>DELETE</v>
      </c>
      <c r="T3219" s="498"/>
    </row>
    <row r="3220" spans="3:20" ht="36" customHeight="1" x14ac:dyDescent="0.45">
      <c r="C3220" s="575"/>
      <c r="D3220" s="616" t="str">
        <f>IF(MAX(Criteria!I41:I45)&gt;1,"Directors' remuneration","Director's remuneration")</f>
        <v>Directors' remuneration</v>
      </c>
      <c r="E3220" s="616"/>
      <c r="F3220" s="616"/>
      <c r="G3220" s="616"/>
      <c r="H3220" s="616"/>
      <c r="I3220" s="616"/>
      <c r="J3220" s="645"/>
      <c r="K3220" s="450">
        <f>B$1250</f>
        <v>5</v>
      </c>
      <c r="L3220" s="450"/>
      <c r="M3220" s="580">
        <f>SUM(TrialBalanceA!I113:I117)</f>
        <v>0</v>
      </c>
      <c r="N3220" s="458"/>
      <c r="O3220" s="581">
        <f>SUM(TrialBalanceA!K113:K117)</f>
        <v>0</v>
      </c>
      <c r="P3220" s="454"/>
      <c r="R3220" s="490" t="str">
        <f t="shared" si="199"/>
        <v>DELETE</v>
      </c>
      <c r="T3220" s="498"/>
    </row>
    <row r="3221" spans="3:20" ht="36" customHeight="1" x14ac:dyDescent="0.45">
      <c r="C3221" s="575"/>
      <c r="D3221" s="616" t="s">
        <v>292</v>
      </c>
      <c r="E3221" s="616"/>
      <c r="F3221" s="616"/>
      <c r="G3221" s="616"/>
      <c r="H3221" s="616"/>
      <c r="I3221" s="616"/>
      <c r="J3221" s="645"/>
      <c r="K3221" s="450"/>
      <c r="L3221" s="450"/>
      <c r="M3221" s="580">
        <f>TrialBalanceA!I118</f>
        <v>0</v>
      </c>
      <c r="N3221" s="458"/>
      <c r="O3221" s="581">
        <f>TrialBalanceA!K118</f>
        <v>0</v>
      </c>
      <c r="P3221" s="454"/>
      <c r="R3221" s="490" t="str">
        <f t="shared" si="199"/>
        <v>DELETE</v>
      </c>
      <c r="T3221" s="498"/>
    </row>
    <row r="3222" spans="3:20" ht="36" customHeight="1" x14ac:dyDescent="0.45">
      <c r="C3222" s="575"/>
      <c r="D3222" s="616" t="s">
        <v>408</v>
      </c>
      <c r="E3222" s="616"/>
      <c r="F3222" s="616"/>
      <c r="G3222" s="616"/>
      <c r="H3222" s="616"/>
      <c r="I3222" s="616"/>
      <c r="J3222" s="645"/>
      <c r="K3222" s="450"/>
      <c r="L3222" s="450"/>
      <c r="M3222" s="580">
        <f>TrialBalanceA!I119</f>
        <v>0</v>
      </c>
      <c r="N3222" s="458"/>
      <c r="O3222" s="581">
        <f>TrialBalanceA!K119</f>
        <v>0</v>
      </c>
      <c r="P3222" s="454"/>
      <c r="R3222" s="490" t="str">
        <f t="shared" si="199"/>
        <v>DELETE</v>
      </c>
      <c r="T3222" s="498"/>
    </row>
    <row r="3223" spans="3:20" ht="36" customHeight="1" x14ac:dyDescent="0.45">
      <c r="C3223" s="575"/>
      <c r="D3223" s="616" t="s">
        <v>357</v>
      </c>
      <c r="E3223" s="616"/>
      <c r="F3223" s="616"/>
      <c r="G3223" s="616"/>
      <c r="H3223" s="616"/>
      <c r="I3223" s="616"/>
      <c r="J3223" s="645"/>
      <c r="K3223" s="450"/>
      <c r="L3223" s="450"/>
      <c r="M3223" s="580">
        <f>TrialBalanceA!I120</f>
        <v>0</v>
      </c>
      <c r="N3223" s="458"/>
      <c r="O3223" s="581">
        <f>TrialBalanceA!K120</f>
        <v>0</v>
      </c>
      <c r="P3223" s="454"/>
      <c r="R3223" s="490" t="str">
        <f t="shared" si="199"/>
        <v>DELETE</v>
      </c>
      <c r="T3223" s="498"/>
    </row>
    <row r="3224" spans="3:20" ht="36" customHeight="1" x14ac:dyDescent="0.45">
      <c r="C3224" s="575"/>
      <c r="D3224" s="616" t="s">
        <v>410</v>
      </c>
      <c r="E3224" s="616"/>
      <c r="F3224" s="616"/>
      <c r="G3224" s="616"/>
      <c r="H3224" s="616"/>
      <c r="I3224" s="616"/>
      <c r="J3224" s="645"/>
      <c r="K3224" s="450"/>
      <c r="L3224" s="450"/>
      <c r="M3224" s="580">
        <f>TrialBalanceA!I121</f>
        <v>0</v>
      </c>
      <c r="N3224" s="458"/>
      <c r="O3224" s="581">
        <f>TrialBalanceA!K121</f>
        <v>0</v>
      </c>
      <c r="P3224" s="454"/>
      <c r="R3224" s="490" t="str">
        <f t="shared" si="199"/>
        <v>DELETE</v>
      </c>
      <c r="T3224" s="498"/>
    </row>
    <row r="3225" spans="3:20" ht="36" customHeight="1" x14ac:dyDescent="0.45">
      <c r="C3225" s="575"/>
      <c r="D3225" s="616" t="s">
        <v>1256</v>
      </c>
      <c r="E3225" s="616"/>
      <c r="F3225" s="616"/>
      <c r="G3225" s="616"/>
      <c r="H3225" s="616"/>
      <c r="I3225" s="616"/>
      <c r="J3225" s="645"/>
      <c r="K3225" s="450"/>
      <c r="L3225" s="450"/>
      <c r="M3225" s="580">
        <f>TrialBalanceA!I156</f>
        <v>0</v>
      </c>
      <c r="N3225" s="458"/>
      <c r="O3225" s="581">
        <f>TrialBalanceA!K156</f>
        <v>0</v>
      </c>
      <c r="P3225" s="454"/>
      <c r="R3225" s="490" t="str">
        <f t="shared" si="199"/>
        <v>DELETE</v>
      </c>
      <c r="T3225" s="498"/>
    </row>
    <row r="3226" spans="3:20" ht="36" customHeight="1" x14ac:dyDescent="0.45">
      <c r="C3226" s="575"/>
      <c r="D3226" s="616" t="s">
        <v>561</v>
      </c>
      <c r="E3226" s="616"/>
      <c r="F3226" s="616"/>
      <c r="G3226" s="616"/>
      <c r="H3226" s="616"/>
      <c r="I3226" s="616"/>
      <c r="J3226" s="645"/>
      <c r="K3226" s="450"/>
      <c r="L3226" s="450"/>
      <c r="M3226" s="580">
        <f>TrialBalanceA!I122+TrialBalanceA!I123</f>
        <v>0</v>
      </c>
      <c r="N3226" s="458"/>
      <c r="O3226" s="581">
        <f>TrialBalanceA!K122+TrialBalanceA!K123</f>
        <v>0</v>
      </c>
      <c r="P3226" s="454"/>
      <c r="R3226" s="490" t="str">
        <f t="shared" si="199"/>
        <v>DELETE</v>
      </c>
      <c r="T3226" s="498"/>
    </row>
    <row r="3227" spans="3:20" ht="36" customHeight="1" x14ac:dyDescent="0.45">
      <c r="C3227" s="575"/>
      <c r="D3227" s="616" t="s">
        <v>588</v>
      </c>
      <c r="E3227" s="616"/>
      <c r="F3227" s="616"/>
      <c r="G3227" s="616"/>
      <c r="H3227" s="616"/>
      <c r="I3227" s="616"/>
      <c r="J3227" s="645"/>
      <c r="K3227" s="450"/>
      <c r="L3227" s="450"/>
      <c r="M3227" s="580">
        <f>IF(TrialBalanceA!I94&gt;0,TrialBalanceA!I94,0)</f>
        <v>0</v>
      </c>
      <c r="N3227" s="458"/>
      <c r="O3227" s="581">
        <f>IF(TrialBalanceA!K94&gt;0,TrialBalanceA!K94,0)</f>
        <v>0</v>
      </c>
      <c r="P3227" s="454"/>
      <c r="R3227" s="490" t="str">
        <f t="shared" si="199"/>
        <v>DELETE</v>
      </c>
      <c r="T3227" s="498"/>
    </row>
    <row r="3228" spans="3:20" ht="36" customHeight="1" x14ac:dyDescent="0.45">
      <c r="C3228" s="575"/>
      <c r="D3228" s="616" t="s">
        <v>874</v>
      </c>
      <c r="E3228" s="616"/>
      <c r="F3228" s="616"/>
      <c r="G3228" s="616"/>
      <c r="H3228" s="616"/>
      <c r="I3228" s="616"/>
      <c r="J3228" s="645"/>
      <c r="K3228" s="450"/>
      <c r="L3228" s="450"/>
      <c r="M3228" s="580">
        <f>TrialBalanceA!I124</f>
        <v>0</v>
      </c>
      <c r="N3228" s="458"/>
      <c r="O3228" s="581">
        <f>TrialBalanceA!K124</f>
        <v>0</v>
      </c>
      <c r="P3228" s="454"/>
      <c r="R3228" s="490" t="str">
        <f t="shared" si="199"/>
        <v>DELETE</v>
      </c>
      <c r="T3228" s="498"/>
    </row>
    <row r="3229" spans="3:20" ht="36" customHeight="1" x14ac:dyDescent="0.45">
      <c r="C3229" s="575"/>
      <c r="D3229" s="616" t="s">
        <v>293</v>
      </c>
      <c r="E3229" s="616"/>
      <c r="F3229" s="616"/>
      <c r="G3229" s="616"/>
      <c r="H3229" s="616"/>
      <c r="I3229" s="616"/>
      <c r="J3229" s="645"/>
      <c r="K3229" s="450"/>
      <c r="L3229" s="450"/>
      <c r="M3229" s="580">
        <f>TrialBalanceA!I125</f>
        <v>0</v>
      </c>
      <c r="N3229" s="458"/>
      <c r="O3229" s="581">
        <f>TrialBalanceA!K125</f>
        <v>0</v>
      </c>
      <c r="P3229" s="454"/>
      <c r="R3229" s="490" t="str">
        <f t="shared" si="199"/>
        <v>DELETE</v>
      </c>
      <c r="T3229" s="498"/>
    </row>
    <row r="3230" spans="3:20" ht="36" customHeight="1" x14ac:dyDescent="0.45">
      <c r="C3230" s="575"/>
      <c r="D3230" s="616" t="s">
        <v>286</v>
      </c>
      <c r="E3230" s="616"/>
      <c r="F3230" s="616"/>
      <c r="G3230" s="616"/>
      <c r="H3230" s="616"/>
      <c r="I3230" s="616"/>
      <c r="J3230" s="645"/>
      <c r="K3230" s="450"/>
      <c r="L3230" s="450"/>
      <c r="M3230" s="580">
        <f>SUM(TrialBalanceA!I126:I127)</f>
        <v>0</v>
      </c>
      <c r="N3230" s="458"/>
      <c r="O3230" s="581">
        <f>SUM(TrialBalanceA!K126:K127)</f>
        <v>0</v>
      </c>
      <c r="P3230" s="454"/>
      <c r="R3230" s="490" t="str">
        <f t="shared" si="199"/>
        <v>DELETE</v>
      </c>
      <c r="T3230" s="498"/>
    </row>
    <row r="3231" spans="3:20" ht="36" customHeight="1" x14ac:dyDescent="0.45">
      <c r="C3231" s="575"/>
      <c r="D3231" s="616" t="s">
        <v>294</v>
      </c>
      <c r="E3231" s="616"/>
      <c r="F3231" s="616"/>
      <c r="G3231" s="616"/>
      <c r="H3231" s="616"/>
      <c r="I3231" s="616"/>
      <c r="J3231" s="645"/>
      <c r="K3231" s="450"/>
      <c r="L3231" s="450"/>
      <c r="M3231" s="580">
        <f>TrialBalanceA!I128</f>
        <v>0</v>
      </c>
      <c r="N3231" s="458"/>
      <c r="O3231" s="581">
        <f>TrialBalanceA!K128</f>
        <v>0</v>
      </c>
      <c r="P3231" s="454"/>
      <c r="R3231" s="490" t="str">
        <f t="shared" si="199"/>
        <v>DELETE</v>
      </c>
      <c r="T3231" s="498"/>
    </row>
    <row r="3232" spans="3:20" ht="36" customHeight="1" x14ac:dyDescent="0.45">
      <c r="C3232" s="575"/>
      <c r="D3232" s="616" t="s">
        <v>875</v>
      </c>
      <c r="E3232" s="616"/>
      <c r="F3232" s="616"/>
      <c r="G3232" s="616"/>
      <c r="H3232" s="616"/>
      <c r="I3232" s="616"/>
      <c r="J3232" s="645"/>
      <c r="K3232" s="450"/>
      <c r="L3232" s="450"/>
      <c r="M3232" s="580">
        <f>TrialBalanceA!I129</f>
        <v>0</v>
      </c>
      <c r="N3232" s="458"/>
      <c r="O3232" s="581">
        <f>TrialBalanceA!K129</f>
        <v>0</v>
      </c>
      <c r="P3232" s="454"/>
      <c r="R3232" s="490" t="str">
        <f t="shared" si="199"/>
        <v>DELETE</v>
      </c>
      <c r="T3232" s="498"/>
    </row>
    <row r="3233" spans="3:26" ht="36" customHeight="1" x14ac:dyDescent="0.45">
      <c r="C3233" s="575"/>
      <c r="D3233" s="616" t="s">
        <v>94</v>
      </c>
      <c r="E3233" s="616"/>
      <c r="F3233" s="616"/>
      <c r="G3233" s="616"/>
      <c r="H3233" s="616"/>
      <c r="I3233" s="616"/>
      <c r="J3233" s="645"/>
      <c r="K3233" s="450"/>
      <c r="L3233" s="450"/>
      <c r="M3233" s="580">
        <f>TrialBalanceA!I130</f>
        <v>0</v>
      </c>
      <c r="N3233" s="458"/>
      <c r="O3233" s="581">
        <f>TrialBalanceA!K130</f>
        <v>0</v>
      </c>
      <c r="P3233" s="454"/>
      <c r="R3233" s="490" t="str">
        <f t="shared" si="199"/>
        <v>DELETE</v>
      </c>
      <c r="T3233" s="498"/>
    </row>
    <row r="3234" spans="3:26" ht="36" customHeight="1" x14ac:dyDescent="0.45">
      <c r="C3234" s="575"/>
      <c r="D3234" s="616">
        <f>TrialBalanceA!C131</f>
        <v>0</v>
      </c>
      <c r="E3234" s="616"/>
      <c r="F3234" s="616"/>
      <c r="G3234" s="616"/>
      <c r="H3234" s="616"/>
      <c r="I3234" s="616"/>
      <c r="J3234" s="645"/>
      <c r="K3234" s="450"/>
      <c r="L3234" s="450"/>
      <c r="M3234" s="580">
        <f>TrialBalanceA!I131</f>
        <v>0</v>
      </c>
      <c r="N3234" s="458"/>
      <c r="O3234" s="581">
        <f>TrialBalanceA!K131</f>
        <v>0</v>
      </c>
      <c r="P3234" s="454"/>
      <c r="R3234" s="490" t="str">
        <f t="shared" si="199"/>
        <v>DELETE</v>
      </c>
      <c r="T3234" s="498"/>
    </row>
    <row r="3235" spans="3:26" ht="36" customHeight="1" x14ac:dyDescent="0.45">
      <c r="C3235" s="575"/>
      <c r="D3235" s="616">
        <f>TrialBalanceA!C132</f>
        <v>0</v>
      </c>
      <c r="E3235" s="616"/>
      <c r="F3235" s="616"/>
      <c r="G3235" s="616"/>
      <c r="H3235" s="616"/>
      <c r="I3235" s="616"/>
      <c r="J3235" s="645"/>
      <c r="K3235" s="450"/>
      <c r="L3235" s="450"/>
      <c r="M3235" s="580">
        <f>TrialBalanceA!I132</f>
        <v>0</v>
      </c>
      <c r="N3235" s="458"/>
      <c r="O3235" s="581">
        <f>TrialBalanceA!K132</f>
        <v>0</v>
      </c>
      <c r="P3235" s="454"/>
      <c r="R3235" s="490" t="str">
        <f t="shared" si="199"/>
        <v>DELETE</v>
      </c>
      <c r="T3235" s="498"/>
    </row>
    <row r="3236" spans="3:26" ht="36" customHeight="1" x14ac:dyDescent="0.45">
      <c r="C3236" s="575"/>
      <c r="D3236" s="616">
        <f>TrialBalanceA!C133</f>
        <v>0</v>
      </c>
      <c r="E3236" s="616"/>
      <c r="F3236" s="616"/>
      <c r="G3236" s="616"/>
      <c r="H3236" s="616"/>
      <c r="I3236" s="616"/>
      <c r="J3236" s="645"/>
      <c r="K3236" s="450"/>
      <c r="L3236" s="450"/>
      <c r="M3236" s="580">
        <f>TrialBalanceA!I133</f>
        <v>0</v>
      </c>
      <c r="N3236" s="458"/>
      <c r="O3236" s="581">
        <f>TrialBalanceA!K133</f>
        <v>0</v>
      </c>
      <c r="P3236" s="454"/>
      <c r="R3236" s="490" t="str">
        <f t="shared" si="199"/>
        <v>DELETE</v>
      </c>
      <c r="T3236" s="498"/>
    </row>
    <row r="3237" spans="3:26" ht="36" customHeight="1" x14ac:dyDescent="0.45">
      <c r="C3237" s="575"/>
      <c r="D3237" s="616">
        <f>TrialBalanceA!C134</f>
        <v>0</v>
      </c>
      <c r="E3237" s="616"/>
      <c r="F3237" s="616"/>
      <c r="G3237" s="616"/>
      <c r="H3237" s="616"/>
      <c r="I3237" s="616"/>
      <c r="J3237" s="645"/>
      <c r="K3237" s="450"/>
      <c r="L3237" s="450"/>
      <c r="M3237" s="580">
        <f>TrialBalanceA!I134</f>
        <v>0</v>
      </c>
      <c r="N3237" s="458"/>
      <c r="O3237" s="581">
        <f>TrialBalanceA!K134</f>
        <v>0</v>
      </c>
      <c r="P3237" s="454"/>
      <c r="R3237" s="490" t="str">
        <f t="shared" si="199"/>
        <v>DELETE</v>
      </c>
      <c r="T3237" s="498"/>
    </row>
    <row r="3238" spans="3:26" ht="36" customHeight="1" x14ac:dyDescent="0.45">
      <c r="C3238" s="575"/>
      <c r="D3238" s="616">
        <f>TrialBalanceA!C135</f>
        <v>0</v>
      </c>
      <c r="E3238" s="616"/>
      <c r="F3238" s="616"/>
      <c r="G3238" s="616"/>
      <c r="H3238" s="616"/>
      <c r="I3238" s="616"/>
      <c r="J3238" s="645"/>
      <c r="K3238" s="450"/>
      <c r="L3238" s="450"/>
      <c r="M3238" s="580">
        <f>TrialBalanceA!I135</f>
        <v>0</v>
      </c>
      <c r="N3238" s="458"/>
      <c r="O3238" s="581">
        <f>TrialBalanceA!K135</f>
        <v>0</v>
      </c>
      <c r="P3238" s="454"/>
      <c r="R3238" s="490" t="str">
        <f t="shared" si="199"/>
        <v>DELETE</v>
      </c>
      <c r="T3238" s="498"/>
    </row>
    <row r="3239" spans="3:26" ht="36" customHeight="1" x14ac:dyDescent="0.45">
      <c r="C3239" s="575"/>
      <c r="D3239" s="616">
        <f>TrialBalanceA!C136</f>
        <v>0</v>
      </c>
      <c r="E3239" s="616"/>
      <c r="F3239" s="616"/>
      <c r="G3239" s="616"/>
      <c r="H3239" s="616"/>
      <c r="I3239" s="616"/>
      <c r="J3239" s="645"/>
      <c r="K3239" s="450"/>
      <c r="L3239" s="450"/>
      <c r="M3239" s="580">
        <f>TrialBalanceA!I136</f>
        <v>0</v>
      </c>
      <c r="N3239" s="458"/>
      <c r="O3239" s="581">
        <f>TrialBalanceA!K136</f>
        <v>0</v>
      </c>
      <c r="P3239" s="454"/>
      <c r="R3239" s="490" t="str">
        <f t="shared" si="199"/>
        <v>DELETE</v>
      </c>
      <c r="T3239" s="498"/>
    </row>
    <row r="3240" spans="3:26" ht="36" customHeight="1" x14ac:dyDescent="0.45">
      <c r="C3240" s="575"/>
      <c r="D3240" s="616">
        <f>TrialBalanceA!C137</f>
        <v>0</v>
      </c>
      <c r="E3240" s="616"/>
      <c r="F3240" s="616"/>
      <c r="G3240" s="616"/>
      <c r="H3240" s="616"/>
      <c r="I3240" s="616"/>
      <c r="J3240" s="645"/>
      <c r="K3240" s="450"/>
      <c r="L3240" s="450"/>
      <c r="M3240" s="580">
        <f>TrialBalanceA!I137</f>
        <v>0</v>
      </c>
      <c r="N3240" s="458"/>
      <c r="O3240" s="581">
        <f>TrialBalanceA!K137</f>
        <v>0</v>
      </c>
      <c r="P3240" s="454"/>
      <c r="R3240" s="490" t="str">
        <f t="shared" si="199"/>
        <v>DELETE</v>
      </c>
      <c r="T3240" s="498"/>
    </row>
    <row r="3241" spans="3:26" ht="36" customHeight="1" x14ac:dyDescent="0.45">
      <c r="C3241" s="575"/>
      <c r="D3241" s="616">
        <f>TrialBalanceA!C138</f>
        <v>0</v>
      </c>
      <c r="E3241" s="616"/>
      <c r="F3241" s="616"/>
      <c r="G3241" s="616"/>
      <c r="H3241" s="616"/>
      <c r="I3241" s="616"/>
      <c r="J3241" s="645"/>
      <c r="K3241" s="450"/>
      <c r="L3241" s="450"/>
      <c r="M3241" s="580">
        <f>TrialBalanceA!I138</f>
        <v>0</v>
      </c>
      <c r="N3241" s="458"/>
      <c r="O3241" s="581">
        <f>TrialBalanceA!K138</f>
        <v>0</v>
      </c>
      <c r="P3241" s="454"/>
      <c r="R3241" s="490" t="str">
        <f t="shared" si="199"/>
        <v>DELETE</v>
      </c>
      <c r="T3241" s="498"/>
    </row>
    <row r="3242" spans="3:26" ht="36" customHeight="1" x14ac:dyDescent="0.45">
      <c r="C3242" s="575"/>
      <c r="D3242" s="616">
        <f>TrialBalanceA!C139</f>
        <v>0</v>
      </c>
      <c r="E3242" s="616"/>
      <c r="F3242" s="616"/>
      <c r="G3242" s="616"/>
      <c r="H3242" s="616"/>
      <c r="I3242" s="616"/>
      <c r="J3242" s="645"/>
      <c r="K3242" s="450"/>
      <c r="L3242" s="450"/>
      <c r="M3242" s="580">
        <f>TrialBalanceA!I139</f>
        <v>0</v>
      </c>
      <c r="N3242" s="458"/>
      <c r="O3242" s="581">
        <f>TrialBalanceA!K139</f>
        <v>0</v>
      </c>
      <c r="P3242" s="454"/>
      <c r="R3242" s="490" t="str">
        <f t="shared" si="199"/>
        <v>DELETE</v>
      </c>
      <c r="T3242" s="498"/>
    </row>
    <row r="3243" spans="3:26" ht="36" customHeight="1" x14ac:dyDescent="0.45">
      <c r="C3243" s="575"/>
      <c r="D3243" s="616" t="str">
        <f>TrialBalanceA!C140</f>
        <v>Amortisation of prepaid lease agreement</v>
      </c>
      <c r="E3243" s="616"/>
      <c r="F3243" s="616"/>
      <c r="G3243" s="616"/>
      <c r="H3243" s="616"/>
      <c r="I3243" s="616"/>
      <c r="J3243" s="645"/>
      <c r="K3243" s="450"/>
      <c r="L3243" s="450"/>
      <c r="M3243" s="580">
        <f>TrialBalanceA!I140</f>
        <v>0</v>
      </c>
      <c r="N3243" s="458"/>
      <c r="O3243" s="581">
        <f>TrialBalanceA!K140</f>
        <v>0</v>
      </c>
      <c r="P3243" s="454"/>
      <c r="R3243" s="490" t="str">
        <f t="shared" si="199"/>
        <v>DELETE</v>
      </c>
      <c r="T3243" s="498"/>
    </row>
    <row r="3244" spans="3:26" ht="36" customHeight="1" x14ac:dyDescent="0.45">
      <c r="C3244" s="575"/>
      <c r="D3244" s="616" t="str">
        <f>TrialBalanceA!C141</f>
        <v>Amortisation of goodwill</v>
      </c>
      <c r="E3244" s="616"/>
      <c r="F3244" s="616"/>
      <c r="G3244" s="616"/>
      <c r="H3244" s="616"/>
      <c r="I3244" s="616"/>
      <c r="J3244" s="645"/>
      <c r="K3244" s="450"/>
      <c r="L3244" s="450"/>
      <c r="M3244" s="580">
        <f>TrialBalanceA!I141</f>
        <v>0</v>
      </c>
      <c r="N3244" s="458"/>
      <c r="O3244" s="581">
        <f>TrialBalanceA!K141</f>
        <v>0</v>
      </c>
      <c r="P3244" s="454"/>
      <c r="R3244" s="490" t="str">
        <f t="shared" ref="R3244" si="201">IF(R$3110="DELETE","DELETE",IF(M3244+O3244=0,"DELETE"," "))</f>
        <v>DELETE</v>
      </c>
      <c r="T3244" s="498"/>
    </row>
    <row r="3245" spans="3:26" ht="9" customHeight="1" x14ac:dyDescent="0.45">
      <c r="C3245" s="575"/>
      <c r="D3245" s="616"/>
      <c r="E3245" s="616"/>
      <c r="F3245" s="616"/>
      <c r="G3245" s="616"/>
      <c r="H3245" s="616"/>
      <c r="I3245" s="616"/>
      <c r="J3245" s="645"/>
      <c r="K3245" s="450"/>
      <c r="L3245" s="450"/>
      <c r="M3245" s="460"/>
      <c r="N3245" s="461"/>
      <c r="O3245" s="582"/>
      <c r="P3245" s="454"/>
      <c r="R3245" s="490" t="str">
        <f>R3209</f>
        <v>DELETE</v>
      </c>
      <c r="T3245" s="498"/>
    </row>
    <row r="3246" spans="3:26" ht="9" customHeight="1" x14ac:dyDescent="0.45">
      <c r="C3246" s="575"/>
      <c r="D3246" s="616"/>
      <c r="E3246" s="616"/>
      <c r="F3246" s="616"/>
      <c r="G3246" s="616"/>
      <c r="H3246" s="616"/>
      <c r="I3246" s="616"/>
      <c r="J3246" s="645"/>
      <c r="K3246" s="450"/>
      <c r="L3246" s="450"/>
      <c r="M3246" s="461"/>
      <c r="N3246" s="461"/>
      <c r="O3246" s="461"/>
      <c r="P3246" s="454"/>
      <c r="R3246" s="490" t="str">
        <f>R$3110</f>
        <v>DELETE</v>
      </c>
      <c r="T3246" s="498"/>
    </row>
    <row r="3247" spans="3:26" ht="9" customHeight="1" x14ac:dyDescent="0.45">
      <c r="C3247" s="575"/>
      <c r="D3247" s="616"/>
      <c r="E3247" s="616"/>
      <c r="F3247" s="616"/>
      <c r="G3247" s="616"/>
      <c r="H3247" s="616"/>
      <c r="I3247" s="616"/>
      <c r="J3247" s="645"/>
      <c r="K3247" s="450"/>
      <c r="L3247" s="450"/>
      <c r="M3247" s="458"/>
      <c r="N3247" s="458"/>
      <c r="O3247" s="458"/>
      <c r="P3247" s="454"/>
      <c r="R3247" s="490" t="str">
        <f>R$3110</f>
        <v>DELETE</v>
      </c>
      <c r="T3247" s="498"/>
    </row>
    <row r="3248" spans="3:26" ht="36" customHeight="1" x14ac:dyDescent="0.45">
      <c r="D3248" s="637" t="str">
        <f>IF((Y3248+Z3248)=3,"Operating profit/(loss) for the year",(IF((Y3248+Z3248=4),"Operating profit for the year","Operating loss for the year")))</f>
        <v>Operating profit for the year</v>
      </c>
      <c r="E3248" s="616"/>
      <c r="F3248" s="616"/>
      <c r="G3248" s="616"/>
      <c r="H3248" s="616"/>
      <c r="I3248" s="616"/>
      <c r="J3248" s="645"/>
      <c r="K3248" s="450">
        <f>FS!B1250</f>
        <v>5</v>
      </c>
      <c r="L3248" s="450"/>
      <c r="M3248" s="458">
        <f>SUM(S3122:S3245)</f>
        <v>0</v>
      </c>
      <c r="N3248" s="458"/>
      <c r="O3248" s="458">
        <f>SUM(U3122:U3245)</f>
        <v>0</v>
      </c>
      <c r="P3248" s="454"/>
      <c r="R3248" s="490" t="str">
        <f>R$3110</f>
        <v>DELETE</v>
      </c>
      <c r="T3248" s="498"/>
      <c r="Y3248" s="491">
        <f>IF(M3248&lt;0,1,IF(M3248=0,IF(O3248&lt;0,1,2),2))</f>
        <v>2</v>
      </c>
      <c r="Z3248" s="491">
        <f>IF(O3248&lt;0,1,IF(O3248=0,IF(M3248&lt;0,1,2),2))</f>
        <v>2</v>
      </c>
    </row>
    <row r="3249" spans="3:24" ht="36" customHeight="1" x14ac:dyDescent="0.45">
      <c r="C3249" s="575"/>
      <c r="D3249" s="616"/>
      <c r="E3249" s="616"/>
      <c r="F3249" s="616"/>
      <c r="G3249" s="616"/>
      <c r="H3249" s="616"/>
      <c r="I3249" s="616"/>
      <c r="J3249" s="645"/>
      <c r="K3249" s="450"/>
      <c r="L3249" s="450"/>
      <c r="M3249" s="458"/>
      <c r="N3249" s="458"/>
      <c r="O3249" s="458"/>
      <c r="P3249" s="454"/>
      <c r="R3249" s="490" t="str">
        <f>R$3110</f>
        <v>DELETE</v>
      </c>
      <c r="T3249" s="498"/>
    </row>
    <row r="3250" spans="3:24" ht="36" customHeight="1" x14ac:dyDescent="0.45">
      <c r="D3250" s="615" t="s">
        <v>225</v>
      </c>
      <c r="E3250" s="616"/>
      <c r="F3250" s="616"/>
      <c r="G3250" s="616"/>
      <c r="H3250" s="616"/>
      <c r="I3250" s="616"/>
      <c r="J3250" s="645"/>
      <c r="K3250" s="450">
        <f>FS!B1364</f>
        <v>6</v>
      </c>
      <c r="L3250" s="450"/>
      <c r="M3250" s="458">
        <f>SUM(M3253:M3259)</f>
        <v>0</v>
      </c>
      <c r="N3250" s="458"/>
      <c r="O3250" s="458">
        <f>SUM(O3253:O3259)</f>
        <v>0</v>
      </c>
      <c r="P3250" s="454"/>
      <c r="R3250" s="490" t="str">
        <f t="shared" ref="R3250" si="202">IF(R$3110="DELETE","DELETE",IF(M3250+O3250=0,"DELETE"," "))</f>
        <v>DELETE</v>
      </c>
      <c r="S3250" s="495">
        <f>M3250</f>
        <v>0</v>
      </c>
      <c r="T3250" s="498"/>
      <c r="U3250" s="495">
        <f>O3250</f>
        <v>0</v>
      </c>
      <c r="V3250" s="495"/>
      <c r="W3250" s="495"/>
      <c r="X3250" s="495"/>
    </row>
    <row r="3251" spans="3:24" ht="9" customHeight="1" x14ac:dyDescent="0.45">
      <c r="C3251" s="575"/>
      <c r="D3251" s="616"/>
      <c r="E3251" s="616"/>
      <c r="F3251" s="616"/>
      <c r="G3251" s="616"/>
      <c r="H3251" s="616"/>
      <c r="I3251" s="616"/>
      <c r="J3251" s="645"/>
      <c r="K3251" s="450"/>
      <c r="L3251" s="450"/>
      <c r="M3251" s="458"/>
      <c r="N3251" s="458"/>
      <c r="O3251" s="458"/>
      <c r="P3251" s="454"/>
      <c r="R3251" s="490" t="str">
        <f>R3250</f>
        <v>DELETE</v>
      </c>
      <c r="T3251" s="498"/>
    </row>
    <row r="3252" spans="3:24" ht="9" customHeight="1" x14ac:dyDescent="0.45">
      <c r="C3252" s="575"/>
      <c r="D3252" s="616"/>
      <c r="E3252" s="616"/>
      <c r="F3252" s="616"/>
      <c r="G3252" s="616"/>
      <c r="H3252" s="616"/>
      <c r="I3252" s="616"/>
      <c r="J3252" s="645"/>
      <c r="K3252" s="450"/>
      <c r="L3252" s="450"/>
      <c r="M3252" s="578"/>
      <c r="N3252" s="459"/>
      <c r="O3252" s="579"/>
      <c r="P3252" s="454"/>
      <c r="R3252" s="490" t="str">
        <f>R3251</f>
        <v>DELETE</v>
      </c>
      <c r="T3252" s="498"/>
    </row>
    <row r="3253" spans="3:24" ht="36" customHeight="1" x14ac:dyDescent="0.45">
      <c r="C3253" s="575"/>
      <c r="D3253" s="616" t="s">
        <v>223</v>
      </c>
      <c r="E3253" s="616"/>
      <c r="F3253" s="616"/>
      <c r="G3253" s="616"/>
      <c r="H3253" s="616"/>
      <c r="I3253" s="616"/>
      <c r="J3253" s="645"/>
      <c r="K3253" s="450"/>
      <c r="L3253" s="450"/>
      <c r="M3253" s="580">
        <f>-TrialBalanceA!I95</f>
        <v>0</v>
      </c>
      <c r="N3253" s="458"/>
      <c r="O3253" s="581">
        <f>-TrialBalanceA!K95</f>
        <v>0</v>
      </c>
      <c r="P3253" s="454"/>
      <c r="R3253" s="490" t="str">
        <f t="shared" ref="R3253:R3258" si="203">IF(R$3110="DELETE","DELETE",IF(M3253+O3253=0,"DELETE"," "))</f>
        <v>DELETE</v>
      </c>
      <c r="T3253" s="498"/>
    </row>
    <row r="3254" spans="3:24" ht="36" customHeight="1" x14ac:dyDescent="0.45">
      <c r="C3254" s="575"/>
      <c r="D3254" s="616" t="s">
        <v>567</v>
      </c>
      <c r="E3254" s="616"/>
      <c r="F3254" s="616"/>
      <c r="G3254" s="616"/>
      <c r="H3254" s="616"/>
      <c r="I3254" s="616"/>
      <c r="J3254" s="645"/>
      <c r="K3254" s="450"/>
      <c r="L3254" s="450"/>
      <c r="M3254" s="580">
        <f>-SUM(TrialBalanceA!I91:I93)</f>
        <v>0</v>
      </c>
      <c r="N3254" s="458"/>
      <c r="O3254" s="581">
        <f>-SUM(TrialBalanceA!K91:K93)</f>
        <v>0</v>
      </c>
      <c r="P3254" s="454"/>
      <c r="R3254" s="490" t="str">
        <f t="shared" si="203"/>
        <v>DELETE</v>
      </c>
      <c r="T3254" s="498"/>
    </row>
    <row r="3255" spans="3:24" ht="36" customHeight="1" x14ac:dyDescent="0.45">
      <c r="C3255" s="575"/>
      <c r="D3255" s="616" t="s">
        <v>568</v>
      </c>
      <c r="E3255" s="616"/>
      <c r="F3255" s="616"/>
      <c r="G3255" s="616"/>
      <c r="H3255" s="616"/>
      <c r="I3255" s="616"/>
      <c r="J3255" s="645"/>
      <c r="K3255" s="450"/>
      <c r="L3255" s="450"/>
      <c r="M3255" s="602">
        <f>-SUM(TrialBalanceA!I86:I89)</f>
        <v>0</v>
      </c>
      <c r="N3255" s="465"/>
      <c r="O3255" s="603">
        <f>-SUM(TrialBalanceA!K86:K89)</f>
        <v>0</v>
      </c>
      <c r="P3255" s="454"/>
      <c r="R3255" s="490" t="str">
        <f t="shared" si="203"/>
        <v>DELETE</v>
      </c>
      <c r="T3255" s="498"/>
    </row>
    <row r="3256" spans="3:24" ht="36" customHeight="1" x14ac:dyDescent="0.45">
      <c r="C3256" s="575"/>
      <c r="D3256" s="616" t="s">
        <v>225</v>
      </c>
      <c r="E3256" s="616"/>
      <c r="F3256" s="616"/>
      <c r="G3256" s="616"/>
      <c r="H3256" s="616"/>
      <c r="I3256" s="616"/>
      <c r="J3256" s="645"/>
      <c r="K3256" s="450"/>
      <c r="L3256" s="450"/>
      <c r="M3256" s="602">
        <f>-SUM(TrialBalanceA!I96)</f>
        <v>0</v>
      </c>
      <c r="N3256" s="465"/>
      <c r="O3256" s="603">
        <f>-TrialBalanceA!K96</f>
        <v>0</v>
      </c>
      <c r="P3256" s="454"/>
      <c r="R3256" s="490" t="str">
        <f t="shared" si="203"/>
        <v>DELETE</v>
      </c>
      <c r="T3256" s="498"/>
    </row>
    <row r="3257" spans="3:24" ht="36" customHeight="1" x14ac:dyDescent="0.45">
      <c r="C3257" s="575"/>
      <c r="D3257" s="616" t="s">
        <v>589</v>
      </c>
      <c r="E3257" s="616"/>
      <c r="F3257" s="616"/>
      <c r="G3257" s="616"/>
      <c r="H3257" s="616"/>
      <c r="I3257" s="616"/>
      <c r="J3257" s="645"/>
      <c r="K3257" s="450"/>
      <c r="L3257" s="450"/>
      <c r="M3257" s="580">
        <f>IF(TrialBalanceA!I94&lt;0,-TrialBalanceA!I94,0)</f>
        <v>0</v>
      </c>
      <c r="N3257" s="458"/>
      <c r="O3257" s="581">
        <f>IF(TrialBalanceA!K94&lt;0,-TrialBalanceA!K94,0)</f>
        <v>0</v>
      </c>
      <c r="P3257" s="454"/>
      <c r="R3257" s="490" t="str">
        <f t="shared" si="203"/>
        <v>DELETE</v>
      </c>
      <c r="T3257" s="498"/>
    </row>
    <row r="3258" spans="3:24" ht="36" customHeight="1" x14ac:dyDescent="0.45">
      <c r="C3258" s="575"/>
      <c r="D3258" s="616" t="s">
        <v>398</v>
      </c>
      <c r="E3258" s="616"/>
      <c r="F3258" s="616"/>
      <c r="G3258" s="616"/>
      <c r="H3258" s="616"/>
      <c r="I3258" s="616"/>
      <c r="J3258" s="645"/>
      <c r="K3258" s="450"/>
      <c r="L3258" s="450"/>
      <c r="M3258" s="580">
        <f>-TrialBalanceA!I84</f>
        <v>0</v>
      </c>
      <c r="N3258" s="458"/>
      <c r="O3258" s="581">
        <f>-TrialBalanceA!K84</f>
        <v>0</v>
      </c>
      <c r="P3258" s="454"/>
      <c r="R3258" s="490" t="str">
        <f t="shared" si="203"/>
        <v>DELETE</v>
      </c>
      <c r="T3258" s="498"/>
    </row>
    <row r="3259" spans="3:24" ht="9" customHeight="1" x14ac:dyDescent="0.45">
      <c r="C3259" s="575"/>
      <c r="D3259" s="616"/>
      <c r="E3259" s="616"/>
      <c r="F3259" s="616"/>
      <c r="G3259" s="616"/>
      <c r="H3259" s="616"/>
      <c r="I3259" s="616"/>
      <c r="J3259" s="645"/>
      <c r="K3259" s="450"/>
      <c r="L3259" s="450"/>
      <c r="M3259" s="460"/>
      <c r="N3259" s="461"/>
      <c r="O3259" s="582"/>
      <c r="P3259" s="454"/>
      <c r="R3259" s="490" t="str">
        <f>R3250</f>
        <v>DELETE</v>
      </c>
      <c r="T3259" s="498"/>
    </row>
    <row r="3260" spans="3:24" ht="9" customHeight="1" x14ac:dyDescent="0.45">
      <c r="C3260" s="575"/>
      <c r="D3260" s="616"/>
      <c r="E3260" s="616"/>
      <c r="F3260" s="616"/>
      <c r="G3260" s="616"/>
      <c r="H3260" s="616"/>
      <c r="I3260" s="616"/>
      <c r="J3260" s="645"/>
      <c r="K3260" s="450"/>
      <c r="L3260" s="450"/>
      <c r="M3260" s="461"/>
      <c r="N3260" s="461"/>
      <c r="O3260" s="461"/>
      <c r="P3260" s="454"/>
      <c r="R3260" s="490" t="str">
        <f>R$3262</f>
        <v>DELETE</v>
      </c>
      <c r="T3260" s="498"/>
    </row>
    <row r="3261" spans="3:24" ht="9" customHeight="1" x14ac:dyDescent="0.45">
      <c r="C3261" s="575"/>
      <c r="D3261" s="616"/>
      <c r="E3261" s="616"/>
      <c r="F3261" s="616"/>
      <c r="G3261" s="616"/>
      <c r="H3261" s="616"/>
      <c r="I3261" s="616"/>
      <c r="J3261" s="645"/>
      <c r="K3261" s="450"/>
      <c r="L3261" s="450"/>
      <c r="M3261" s="458"/>
      <c r="N3261" s="458"/>
      <c r="O3261" s="458"/>
      <c r="P3261" s="454"/>
      <c r="R3261" s="490" t="str">
        <f>R$3262</f>
        <v>DELETE</v>
      </c>
      <c r="T3261" s="498"/>
    </row>
    <row r="3262" spans="3:24" ht="36" customHeight="1" x14ac:dyDescent="0.45">
      <c r="C3262" s="575"/>
      <c r="D3262" s="616"/>
      <c r="E3262" s="616"/>
      <c r="F3262" s="616"/>
      <c r="G3262" s="616"/>
      <c r="H3262" s="616"/>
      <c r="I3262" s="616"/>
      <c r="J3262" s="645"/>
      <c r="K3262" s="450"/>
      <c r="L3262" s="450"/>
      <c r="M3262" s="458">
        <f>SUM(S3122:S3259)</f>
        <v>0</v>
      </c>
      <c r="N3262" s="458"/>
      <c r="O3262" s="458">
        <f>SUM(U3122:U3259)</f>
        <v>0</v>
      </c>
      <c r="P3262" s="454"/>
      <c r="R3262" s="490" t="str">
        <f>IF(R$3110="DELETE","DELETE",IF(M3250+O3250=0,"DELETE",IF(M3262=M3267,IF(O3262=O3267,"DELETE"," ")," ")))</f>
        <v>DELETE</v>
      </c>
      <c r="T3262" s="498"/>
    </row>
    <row r="3263" spans="3:24" ht="36" customHeight="1" x14ac:dyDescent="0.45">
      <c r="C3263" s="575"/>
      <c r="D3263" s="616"/>
      <c r="E3263" s="616"/>
      <c r="F3263" s="616"/>
      <c r="G3263" s="616"/>
      <c r="H3263" s="616"/>
      <c r="I3263" s="616"/>
      <c r="J3263" s="645"/>
      <c r="K3263" s="450"/>
      <c r="L3263" s="450"/>
      <c r="M3263" s="458"/>
      <c r="N3263" s="458"/>
      <c r="O3263" s="458"/>
      <c r="P3263" s="454"/>
      <c r="R3263" s="490" t="str">
        <f>R3262</f>
        <v>DELETE</v>
      </c>
      <c r="T3263" s="498"/>
    </row>
    <row r="3264" spans="3:24" ht="36" customHeight="1" x14ac:dyDescent="0.45">
      <c r="D3264" s="616" t="s">
        <v>1534</v>
      </c>
      <c r="E3264" s="616"/>
      <c r="F3264" s="616"/>
      <c r="G3264" s="616"/>
      <c r="H3264" s="616"/>
      <c r="I3264" s="616"/>
      <c r="J3264" s="645"/>
      <c r="K3264" s="450">
        <f>FS!B1423</f>
        <v>7</v>
      </c>
      <c r="L3264" s="450"/>
      <c r="M3264" s="458">
        <f>SUM(TrialBalanceA!I144:I154)</f>
        <v>0</v>
      </c>
      <c r="N3264" s="458"/>
      <c r="O3264" s="458">
        <f>SUM(TrialBalanceA!K144:K154)</f>
        <v>0</v>
      </c>
      <c r="P3264" s="454"/>
      <c r="R3264" s="490" t="str">
        <f t="shared" ref="R3264" si="204">IF(R$3110="DELETE","DELETE",IF(M3264+O3264=0,"DELETE"," "))</f>
        <v>DELETE</v>
      </c>
      <c r="S3264" s="495">
        <f>-M3264</f>
        <v>0</v>
      </c>
      <c r="T3264" s="498"/>
      <c r="U3264" s="495">
        <f>-O3264</f>
        <v>0</v>
      </c>
      <c r="V3264" s="495"/>
      <c r="W3264" s="495"/>
      <c r="X3264" s="495"/>
    </row>
    <row r="3265" spans="3:26" ht="9" customHeight="1" x14ac:dyDescent="0.45">
      <c r="C3265" s="575"/>
      <c r="D3265" s="616"/>
      <c r="E3265" s="616"/>
      <c r="F3265" s="616"/>
      <c r="G3265" s="616"/>
      <c r="H3265" s="616"/>
      <c r="I3265" s="616"/>
      <c r="J3265" s="645"/>
      <c r="K3265" s="450"/>
      <c r="L3265" s="450"/>
      <c r="M3265" s="461"/>
      <c r="N3265" s="461"/>
      <c r="O3265" s="461"/>
      <c r="P3265" s="454"/>
      <c r="R3265" s="490" t="str">
        <f t="shared" ref="R3265:R3273" si="205">R$3110</f>
        <v>DELETE</v>
      </c>
      <c r="T3265" s="498"/>
    </row>
    <row r="3266" spans="3:26" ht="9" customHeight="1" x14ac:dyDescent="0.45">
      <c r="C3266" s="575"/>
      <c r="D3266" s="616"/>
      <c r="E3266" s="616"/>
      <c r="F3266" s="616"/>
      <c r="G3266" s="616"/>
      <c r="H3266" s="616"/>
      <c r="I3266" s="616"/>
      <c r="J3266" s="645"/>
      <c r="K3266" s="450"/>
      <c r="L3266" s="450"/>
      <c r="M3266" s="458"/>
      <c r="N3266" s="458"/>
      <c r="O3266" s="458"/>
      <c r="P3266" s="454"/>
      <c r="R3266" s="490" t="str">
        <f t="shared" si="205"/>
        <v>DELETE</v>
      </c>
      <c r="T3266" s="498"/>
    </row>
    <row r="3267" spans="3:26" ht="36.75" customHeight="1" x14ac:dyDescent="0.45">
      <c r="D3267" s="637" t="str">
        <f>IF((Y3267+Z3267)=3,"Profit/(Loss) before taxation",(IF((Y3267+Z3267=4),"Profit before taxation","Loss before taxation")))</f>
        <v>Profit before taxation</v>
      </c>
      <c r="E3267" s="616"/>
      <c r="F3267" s="616"/>
      <c r="G3267" s="616"/>
      <c r="H3267" s="616"/>
      <c r="I3267" s="616"/>
      <c r="J3267" s="645"/>
      <c r="K3267" s="450"/>
      <c r="L3267" s="450"/>
      <c r="M3267" s="458">
        <f>SUM(S3122:S3266)</f>
        <v>0</v>
      </c>
      <c r="N3267" s="458"/>
      <c r="O3267" s="458">
        <f>SUM(U3122:U3266)</f>
        <v>0</v>
      </c>
      <c r="P3267" s="454"/>
      <c r="R3267" s="490" t="str">
        <f t="shared" si="205"/>
        <v>DELETE</v>
      </c>
      <c r="T3267" s="498"/>
      <c r="V3267" s="491" t="b">
        <f>M3267=FS!M2951</f>
        <v>1</v>
      </c>
      <c r="X3267" s="491" t="b">
        <f>O3267=FS!O2951</f>
        <v>1</v>
      </c>
      <c r="Y3267" s="491">
        <f>IF(M3267&lt;0,1,IF(M3267=0,IF(O3267&lt;0,1,2),2))</f>
        <v>2</v>
      </c>
      <c r="Z3267" s="491">
        <f>IF(O3267&lt;0,1,IF(O3267=0,IF(M3267&lt;0,1,2),2))</f>
        <v>2</v>
      </c>
    </row>
    <row r="3268" spans="3:26" ht="9" customHeight="1" thickBot="1" x14ac:dyDescent="0.5">
      <c r="C3268" s="575"/>
      <c r="D3268" s="616"/>
      <c r="E3268" s="616"/>
      <c r="F3268" s="616"/>
      <c r="G3268" s="616"/>
      <c r="H3268" s="616"/>
      <c r="I3268" s="616"/>
      <c r="J3268" s="645"/>
      <c r="K3268" s="450"/>
      <c r="L3268" s="450"/>
      <c r="M3268" s="462"/>
      <c r="N3268" s="462"/>
      <c r="O3268" s="462"/>
      <c r="P3268" s="454"/>
      <c r="R3268" s="490" t="str">
        <f t="shared" si="205"/>
        <v>DELETE</v>
      </c>
      <c r="T3268" s="498"/>
    </row>
    <row r="3269" spans="3:26" ht="9" customHeight="1" thickTop="1" x14ac:dyDescent="0.45">
      <c r="C3269" s="575"/>
      <c r="D3269" s="616"/>
      <c r="E3269" s="616"/>
      <c r="F3269" s="616"/>
      <c r="G3269" s="616"/>
      <c r="H3269" s="616"/>
      <c r="I3269" s="616"/>
      <c r="J3269" s="645"/>
      <c r="K3269" s="450"/>
      <c r="L3269" s="450"/>
      <c r="M3269" s="475"/>
      <c r="N3269" s="475"/>
      <c r="O3269" s="475"/>
      <c r="P3269" s="454"/>
      <c r="R3269" s="490" t="str">
        <f t="shared" si="205"/>
        <v>DELETE</v>
      </c>
      <c r="T3269" s="498"/>
    </row>
    <row r="3270" spans="3:26" ht="36" customHeight="1" x14ac:dyDescent="0.45">
      <c r="C3270" s="575"/>
      <c r="D3270" s="616"/>
      <c r="E3270" s="616"/>
      <c r="F3270" s="616"/>
      <c r="G3270" s="616"/>
      <c r="H3270" s="616"/>
      <c r="I3270" s="616"/>
      <c r="J3270" s="645"/>
      <c r="K3270" s="450"/>
      <c r="L3270" s="450"/>
      <c r="M3270" s="458"/>
      <c r="N3270" s="458"/>
      <c r="O3270" s="458"/>
      <c r="P3270" s="454"/>
      <c r="R3270" s="490" t="str">
        <f t="shared" si="205"/>
        <v>DELETE</v>
      </c>
      <c r="T3270" s="498"/>
    </row>
    <row r="3271" spans="3:26" ht="36" customHeight="1" x14ac:dyDescent="0.45">
      <c r="C3271" s="575"/>
      <c r="D3271" s="616"/>
      <c r="E3271" s="616"/>
      <c r="F3271" s="616"/>
      <c r="G3271" s="616"/>
      <c r="H3271" s="616"/>
      <c r="I3271" s="616"/>
      <c r="J3271" s="645"/>
      <c r="K3271" s="450"/>
      <c r="L3271" s="450"/>
      <c r="M3271" s="458"/>
      <c r="N3271" s="458"/>
      <c r="O3271" s="458"/>
      <c r="P3271" s="454"/>
      <c r="R3271" s="490" t="str">
        <f t="shared" si="205"/>
        <v>DELETE</v>
      </c>
      <c r="T3271" s="498"/>
    </row>
    <row r="3272" spans="3:26" ht="36" customHeight="1" x14ac:dyDescent="0.5">
      <c r="C3272" s="520"/>
      <c r="D3272" s="616"/>
      <c r="E3272" s="616"/>
      <c r="F3272" s="616"/>
      <c r="G3272" s="616"/>
      <c r="H3272" s="616"/>
      <c r="I3272" s="616"/>
      <c r="J3272" s="616"/>
      <c r="M3272" s="555"/>
      <c r="N3272" s="555"/>
      <c r="O3272" s="555"/>
      <c r="P3272" s="545"/>
      <c r="R3272" s="490" t="str">
        <f t="shared" si="205"/>
        <v>DELETE</v>
      </c>
      <c r="T3272" s="498"/>
    </row>
    <row r="3273" spans="3:26" ht="36" customHeight="1" x14ac:dyDescent="0.5">
      <c r="C3273" s="520"/>
      <c r="D3273" s="616"/>
      <c r="E3273" s="616"/>
      <c r="F3273" s="616"/>
      <c r="G3273" s="616"/>
      <c r="H3273" s="616"/>
      <c r="I3273" s="616"/>
      <c r="J3273" s="616"/>
      <c r="M3273" s="541"/>
      <c r="N3273" s="541"/>
      <c r="O3273" s="541"/>
      <c r="R3273" s="490" t="str">
        <f t="shared" si="205"/>
        <v>DELETE</v>
      </c>
      <c r="T3273" s="498"/>
    </row>
    <row r="3274" spans="3:26" ht="36" customHeight="1" x14ac:dyDescent="0.5">
      <c r="C3274" s="520"/>
      <c r="D3274" s="616"/>
      <c r="E3274" s="616"/>
      <c r="F3274" s="616"/>
      <c r="G3274" s="616"/>
      <c r="H3274" s="616"/>
      <c r="I3274" s="616"/>
      <c r="J3274" s="616"/>
      <c r="M3274" s="541"/>
      <c r="N3274" s="541"/>
      <c r="O3274" s="458" t="s">
        <v>112</v>
      </c>
      <c r="Q3274" s="450">
        <v>1</v>
      </c>
      <c r="R3274" s="490" t="str">
        <f>IF(SUM(U3122:U3126)+SUM(U3142:U3151)+SUM(U3250:U3259)+O3267=0,IF(SUM(S3286:S3288)+SUM(S3306:S3313)+SUM(S3414:S3423)+O3431=0,"DELETE"," "),"DELETE")</f>
        <v>DELETE</v>
      </c>
      <c r="T3274" s="498"/>
      <c r="V3274" s="494"/>
      <c r="W3274" s="494"/>
      <c r="X3274" s="494"/>
      <c r="Y3274" s="498"/>
    </row>
    <row r="3275" spans="3:26" ht="36" customHeight="1" x14ac:dyDescent="0.5">
      <c r="C3275" s="520"/>
      <c r="D3275" s="615" t="s">
        <v>562</v>
      </c>
      <c r="E3275" s="616"/>
      <c r="F3275" s="616"/>
      <c r="G3275" s="616"/>
      <c r="H3275" s="616"/>
      <c r="I3275" s="616"/>
      <c r="J3275" s="616"/>
      <c r="M3275" s="541"/>
      <c r="N3275" s="541"/>
      <c r="O3275" s="541"/>
      <c r="R3275" s="490" t="str">
        <f t="shared" ref="R3275:R3285" si="206">R$3274</f>
        <v>DELETE</v>
      </c>
      <c r="T3275" s="498"/>
      <c r="V3275" s="493"/>
      <c r="X3275" s="493"/>
      <c r="Z3275" s="493"/>
    </row>
    <row r="3276" spans="3:26" ht="36" customHeight="1" x14ac:dyDescent="0.5">
      <c r="C3276" s="520"/>
      <c r="D3276" s="616"/>
      <c r="E3276" s="616"/>
      <c r="F3276" s="616"/>
      <c r="G3276" s="616"/>
      <c r="H3276" s="616"/>
      <c r="I3276" s="616"/>
      <c r="J3276" s="616"/>
      <c r="M3276" s="541"/>
      <c r="N3276" s="541"/>
      <c r="O3276" s="541"/>
      <c r="R3276" s="490" t="str">
        <f t="shared" si="206"/>
        <v>DELETE</v>
      </c>
      <c r="T3276" s="498"/>
    </row>
    <row r="3277" spans="3:26" ht="36" customHeight="1" x14ac:dyDescent="0.5">
      <c r="C3277" s="520"/>
      <c r="D3277" s="615" t="str">
        <f>Criteria!E9</f>
        <v>ABC COMPANY (PROPRIETARY) LIMITED</v>
      </c>
      <c r="E3277" s="616"/>
      <c r="F3277" s="616"/>
      <c r="G3277" s="616"/>
      <c r="H3277" s="616"/>
      <c r="I3277" s="616"/>
      <c r="J3277" s="616"/>
      <c r="M3277" s="541"/>
      <c r="N3277" s="541"/>
      <c r="O3277" s="540"/>
      <c r="R3277" s="490" t="str">
        <f t="shared" si="206"/>
        <v>DELETE</v>
      </c>
      <c r="T3277" s="498"/>
    </row>
    <row r="3278" spans="3:26" ht="36" customHeight="1" x14ac:dyDescent="0.5">
      <c r="C3278" s="520"/>
      <c r="D3278" s="615" t="str">
        <f>CONCATENATE("T/A ",Criteria!E14)</f>
        <v>T/A ABC RESTAURANT</v>
      </c>
      <c r="E3278" s="616"/>
      <c r="F3278" s="616"/>
      <c r="G3278" s="616"/>
      <c r="H3278" s="616"/>
      <c r="I3278" s="616"/>
      <c r="J3278" s="616"/>
      <c r="M3278" s="541"/>
      <c r="N3278" s="541"/>
      <c r="O3278" s="541"/>
      <c r="R3278" s="490" t="str">
        <f t="shared" si="206"/>
        <v>DELETE</v>
      </c>
      <c r="T3278" s="498"/>
    </row>
    <row r="3279" spans="3:26" ht="36" customHeight="1" x14ac:dyDescent="0.5">
      <c r="C3279" s="520"/>
      <c r="D3279" s="616"/>
      <c r="E3279" s="616"/>
      <c r="F3279" s="616"/>
      <c r="G3279" s="616"/>
      <c r="H3279" s="616"/>
      <c r="I3279" s="616"/>
      <c r="J3279" s="616"/>
      <c r="M3279" s="541"/>
      <c r="N3279" s="541"/>
      <c r="O3279" s="541"/>
      <c r="R3279" s="490" t="str">
        <f t="shared" si="206"/>
        <v>DELETE</v>
      </c>
      <c r="T3279" s="498"/>
    </row>
    <row r="3280" spans="3:26" ht="36" customHeight="1" x14ac:dyDescent="0.5">
      <c r="C3280" s="520"/>
      <c r="D3280" s="615" t="s">
        <v>109</v>
      </c>
      <c r="E3280" s="616"/>
      <c r="F3280" s="616"/>
      <c r="G3280" s="616"/>
      <c r="H3280" s="616"/>
      <c r="I3280" s="616"/>
      <c r="J3280" s="616"/>
      <c r="M3280" s="541"/>
      <c r="N3280" s="541"/>
      <c r="O3280" s="541"/>
      <c r="R3280" s="490" t="str">
        <f t="shared" si="206"/>
        <v>DELETE</v>
      </c>
      <c r="T3280" s="498"/>
    </row>
    <row r="3281" spans="3:24" ht="36" customHeight="1" x14ac:dyDescent="0.5">
      <c r="C3281" s="520"/>
      <c r="D3281" s="615" t="str">
        <f>Criteria!E20</f>
        <v>28 FEBRUARY 2026</v>
      </c>
      <c r="E3281" s="616"/>
      <c r="F3281" s="616"/>
      <c r="G3281" s="616"/>
      <c r="H3281" s="616"/>
      <c r="I3281" s="616"/>
      <c r="J3281" s="616"/>
      <c r="M3281" s="541"/>
      <c r="N3281" s="541"/>
      <c r="O3281" s="541"/>
      <c r="R3281" s="490" t="str">
        <f t="shared" si="206"/>
        <v>DELETE</v>
      </c>
      <c r="T3281" s="498"/>
    </row>
    <row r="3282" spans="3:24" ht="36" customHeight="1" x14ac:dyDescent="0.5">
      <c r="C3282" s="520"/>
      <c r="D3282" s="616"/>
      <c r="E3282" s="616"/>
      <c r="F3282" s="616"/>
      <c r="G3282" s="616"/>
      <c r="H3282" s="616"/>
      <c r="I3282" s="616"/>
      <c r="J3282" s="616"/>
      <c r="M3282" s="541"/>
      <c r="N3282" s="541"/>
      <c r="O3282" s="541"/>
      <c r="R3282" s="490" t="str">
        <f t="shared" si="206"/>
        <v>DELETE</v>
      </c>
      <c r="T3282" s="498"/>
    </row>
    <row r="3283" spans="3:24" ht="36" customHeight="1" x14ac:dyDescent="0.5">
      <c r="C3283" s="520"/>
      <c r="D3283" s="634"/>
      <c r="E3283" s="634"/>
      <c r="F3283" s="634"/>
      <c r="G3283" s="634"/>
      <c r="H3283" s="634"/>
      <c r="I3283" s="634"/>
      <c r="J3283" s="634"/>
      <c r="K3283" s="457"/>
      <c r="L3283" s="457"/>
      <c r="M3283" s="557"/>
      <c r="N3283" s="557"/>
      <c r="O3283" s="557"/>
      <c r="P3283" s="551"/>
      <c r="Q3283" s="457"/>
      <c r="R3283" s="490" t="str">
        <f t="shared" si="206"/>
        <v>DELETE</v>
      </c>
      <c r="T3283" s="498"/>
    </row>
    <row r="3284" spans="3:24" ht="36" customHeight="1" x14ac:dyDescent="0.5">
      <c r="C3284" s="520"/>
      <c r="D3284" s="616"/>
      <c r="E3284" s="616"/>
      <c r="F3284" s="616"/>
      <c r="G3284" s="616"/>
      <c r="H3284" s="616"/>
      <c r="I3284" s="616"/>
      <c r="J3284" s="645"/>
      <c r="K3284" s="450" t="s">
        <v>1494</v>
      </c>
      <c r="L3284" s="451"/>
      <c r="M3284" s="451"/>
      <c r="N3284" s="450"/>
      <c r="O3284" s="453">
        <f>Criteria!E22</f>
        <v>2026</v>
      </c>
      <c r="P3284" s="454"/>
      <c r="R3284" s="490" t="str">
        <f t="shared" si="206"/>
        <v>DELETE</v>
      </c>
      <c r="T3284" s="498"/>
    </row>
    <row r="3285" spans="3:24" ht="36" customHeight="1" x14ac:dyDescent="0.5">
      <c r="C3285" s="520"/>
      <c r="D3285" s="616"/>
      <c r="E3285" s="616"/>
      <c r="F3285" s="616"/>
      <c r="G3285" s="616"/>
      <c r="H3285" s="616"/>
      <c r="I3285" s="616"/>
      <c r="J3285" s="645"/>
      <c r="K3285" s="450"/>
      <c r="L3285" s="451"/>
      <c r="M3285" s="451"/>
      <c r="N3285" s="450"/>
      <c r="O3285" s="458"/>
      <c r="P3285" s="454"/>
      <c r="R3285" s="490" t="str">
        <f t="shared" si="206"/>
        <v>DELETE</v>
      </c>
      <c r="T3285" s="498"/>
    </row>
    <row r="3286" spans="3:24" ht="36" customHeight="1" x14ac:dyDescent="0.45">
      <c r="D3286" s="615" t="s">
        <v>1194</v>
      </c>
      <c r="E3286" s="616"/>
      <c r="F3286" s="616"/>
      <c r="G3286" s="616"/>
      <c r="H3286" s="616"/>
      <c r="I3286" s="616"/>
      <c r="J3286" s="645"/>
      <c r="K3286" s="450"/>
      <c r="L3286" s="451"/>
      <c r="M3286" s="451"/>
      <c r="N3286" s="450"/>
      <c r="O3286" s="458">
        <f>-SUM(TrialBalanceA!I5:I10)</f>
        <v>0</v>
      </c>
      <c r="P3286" s="454"/>
      <c r="R3286" s="490" t="str">
        <f>IF(R3274="DELETE","DELETE",IF(O3286=0,IF(O3288=0," ","DELETE")," "))</f>
        <v>DELETE</v>
      </c>
      <c r="S3286" s="495">
        <f>O3286</f>
        <v>0</v>
      </c>
      <c r="T3286" s="498"/>
      <c r="U3286" s="495"/>
      <c r="V3286" s="495"/>
      <c r="W3286" s="495"/>
      <c r="X3286" s="495"/>
    </row>
    <row r="3287" spans="3:24" ht="36" customHeight="1" x14ac:dyDescent="0.45">
      <c r="D3287" s="615"/>
      <c r="E3287" s="616"/>
      <c r="F3287" s="616"/>
      <c r="G3287" s="616"/>
      <c r="H3287" s="616"/>
      <c r="I3287" s="616"/>
      <c r="J3287" s="645"/>
      <c r="K3287" s="450"/>
      <c r="L3287" s="451"/>
      <c r="M3287" s="451"/>
      <c r="N3287" s="450"/>
      <c r="O3287" s="458"/>
      <c r="P3287" s="454"/>
      <c r="R3287" s="490" t="str">
        <f>R3286</f>
        <v>DELETE</v>
      </c>
      <c r="S3287" s="495"/>
      <c r="T3287" s="498"/>
      <c r="U3287" s="495"/>
      <c r="V3287" s="495"/>
      <c r="W3287" s="495"/>
      <c r="X3287" s="495"/>
    </row>
    <row r="3288" spans="3:24" ht="36" customHeight="1" x14ac:dyDescent="0.45">
      <c r="D3288" s="615" t="s">
        <v>398</v>
      </c>
      <c r="E3288" s="616"/>
      <c r="F3288" s="616"/>
      <c r="G3288" s="616"/>
      <c r="H3288" s="616"/>
      <c r="I3288" s="616"/>
      <c r="J3288" s="645"/>
      <c r="K3288" s="450"/>
      <c r="L3288" s="451"/>
      <c r="M3288" s="451"/>
      <c r="N3288" s="450"/>
      <c r="O3288" s="458">
        <f>-TrialBalanceA!I11</f>
        <v>0</v>
      </c>
      <c r="P3288" s="454"/>
      <c r="R3288" s="490" t="str">
        <f>IF(R$3274="DELETE","DELETE",IF(O3288=0,"DELETE"," "))</f>
        <v>DELETE</v>
      </c>
      <c r="S3288" s="495">
        <f>O3288</f>
        <v>0</v>
      </c>
      <c r="T3288" s="498"/>
      <c r="U3288" s="495"/>
      <c r="V3288" s="495"/>
      <c r="W3288" s="495"/>
      <c r="X3288" s="495"/>
    </row>
    <row r="3289" spans="3:24" ht="36" customHeight="1" x14ac:dyDescent="0.45">
      <c r="D3289" s="615"/>
      <c r="E3289" s="616"/>
      <c r="F3289" s="616"/>
      <c r="G3289" s="616"/>
      <c r="H3289" s="616"/>
      <c r="I3289" s="616"/>
      <c r="J3289" s="645"/>
      <c r="K3289" s="450"/>
      <c r="L3289" s="451"/>
      <c r="M3289" s="451"/>
      <c r="N3289" s="450"/>
      <c r="O3289" s="458"/>
      <c r="P3289" s="454"/>
      <c r="R3289" s="490" t="str">
        <f>R3288</f>
        <v>DELETE</v>
      </c>
      <c r="T3289" s="498"/>
    </row>
    <row r="3290" spans="3:24" ht="36" customHeight="1" x14ac:dyDescent="0.45">
      <c r="D3290" s="615" t="s">
        <v>1119</v>
      </c>
      <c r="E3290" s="616"/>
      <c r="F3290" s="616"/>
      <c r="G3290" s="616"/>
      <c r="H3290" s="616"/>
      <c r="I3290" s="616"/>
      <c r="J3290" s="645"/>
      <c r="K3290" s="450"/>
      <c r="L3290" s="451"/>
      <c r="M3290" s="451"/>
      <c r="N3290" s="450"/>
      <c r="O3290" s="458">
        <f>SUM(O3293:O3300)</f>
        <v>0</v>
      </c>
      <c r="P3290" s="454"/>
      <c r="R3290" s="490" t="str">
        <f>IF(R$3274="DELETE","DELETE",IF(O3290=0,"DELETE"," "))</f>
        <v>DELETE</v>
      </c>
      <c r="S3290" s="495">
        <f>-O3290</f>
        <v>0</v>
      </c>
      <c r="T3290" s="498"/>
      <c r="U3290" s="495"/>
      <c r="V3290" s="495"/>
      <c r="W3290" s="495"/>
      <c r="X3290" s="495"/>
    </row>
    <row r="3291" spans="3:24" ht="9" customHeight="1" x14ac:dyDescent="0.45">
      <c r="C3291" s="575"/>
      <c r="D3291" s="616"/>
      <c r="E3291" s="616"/>
      <c r="F3291" s="616"/>
      <c r="G3291" s="616"/>
      <c r="H3291" s="616"/>
      <c r="I3291" s="616"/>
      <c r="J3291" s="645"/>
      <c r="K3291" s="450"/>
      <c r="L3291" s="451"/>
      <c r="M3291" s="451"/>
      <c r="N3291" s="450"/>
      <c r="O3291" s="458"/>
      <c r="P3291" s="454"/>
      <c r="R3291" s="490" t="str">
        <f>R3290</f>
        <v>DELETE</v>
      </c>
      <c r="T3291" s="498"/>
    </row>
    <row r="3292" spans="3:24" ht="9" customHeight="1" x14ac:dyDescent="0.45">
      <c r="C3292" s="575"/>
      <c r="D3292" s="616"/>
      <c r="E3292" s="616"/>
      <c r="F3292" s="616"/>
      <c r="G3292" s="616"/>
      <c r="H3292" s="616"/>
      <c r="I3292" s="616"/>
      <c r="J3292" s="645"/>
      <c r="K3292" s="450"/>
      <c r="L3292" s="451"/>
      <c r="M3292" s="451"/>
      <c r="N3292" s="450"/>
      <c r="O3292" s="587"/>
      <c r="P3292" s="454"/>
      <c r="R3292" s="490" t="str">
        <f>R3291</f>
        <v>DELETE</v>
      </c>
      <c r="T3292" s="498"/>
    </row>
    <row r="3293" spans="3:24" ht="36" customHeight="1" x14ac:dyDescent="0.45">
      <c r="C3293" s="575"/>
      <c r="D3293" s="616" t="s">
        <v>563</v>
      </c>
      <c r="E3293" s="616"/>
      <c r="F3293" s="616"/>
      <c r="G3293" s="616"/>
      <c r="H3293" s="616"/>
      <c r="I3293" s="616"/>
      <c r="J3293" s="645"/>
      <c r="K3293" s="450"/>
      <c r="L3293" s="451"/>
      <c r="M3293" s="451"/>
      <c r="N3293" s="450"/>
      <c r="O3293" s="588">
        <f>SUM(TrialBalanceA!I13:I16)</f>
        <v>0</v>
      </c>
      <c r="P3293" s="454"/>
      <c r="R3293" s="490" t="str">
        <f t="shared" ref="R3293:R3300" si="207">IF(R$3274="DELETE","DELETE",IF(O3293=0,"DELETE"," "))</f>
        <v>DELETE</v>
      </c>
      <c r="T3293" s="498"/>
    </row>
    <row r="3294" spans="3:24" ht="36" customHeight="1" x14ac:dyDescent="0.45">
      <c r="C3294" s="575"/>
      <c r="D3294" s="616" t="s">
        <v>301</v>
      </c>
      <c r="E3294" s="616"/>
      <c r="F3294" s="616"/>
      <c r="G3294" s="616"/>
      <c r="H3294" s="616"/>
      <c r="I3294" s="616"/>
      <c r="J3294" s="645"/>
      <c r="K3294" s="450"/>
      <c r="L3294" s="451"/>
      <c r="M3294" s="451"/>
      <c r="N3294" s="450"/>
      <c r="O3294" s="588">
        <f>TrialBalanceA!I17</f>
        <v>0</v>
      </c>
      <c r="P3294" s="454"/>
      <c r="R3294" s="490" t="str">
        <f t="shared" si="207"/>
        <v>DELETE</v>
      </c>
      <c r="T3294" s="498"/>
    </row>
    <row r="3295" spans="3:24" ht="36" customHeight="1" x14ac:dyDescent="0.45">
      <c r="C3295" s="575"/>
      <c r="D3295" s="616">
        <f>TrialBalanceA!C18</f>
        <v>0</v>
      </c>
      <c r="E3295" s="616"/>
      <c r="F3295" s="616"/>
      <c r="G3295" s="616"/>
      <c r="H3295" s="616"/>
      <c r="I3295" s="616"/>
      <c r="J3295" s="645"/>
      <c r="K3295" s="450"/>
      <c r="L3295" s="451"/>
      <c r="M3295" s="451"/>
      <c r="N3295" s="450"/>
      <c r="O3295" s="588">
        <f>TrialBalanceA!I18</f>
        <v>0</v>
      </c>
      <c r="P3295" s="454"/>
      <c r="R3295" s="490" t="str">
        <f t="shared" si="207"/>
        <v>DELETE</v>
      </c>
      <c r="T3295" s="498"/>
    </row>
    <row r="3296" spans="3:24" ht="36" customHeight="1" x14ac:dyDescent="0.45">
      <c r="C3296" s="575"/>
      <c r="D3296" s="616">
        <f>TrialBalanceA!C19</f>
        <v>0</v>
      </c>
      <c r="E3296" s="616"/>
      <c r="F3296" s="616"/>
      <c r="G3296" s="616"/>
      <c r="H3296" s="616"/>
      <c r="I3296" s="616"/>
      <c r="J3296" s="645"/>
      <c r="K3296" s="450"/>
      <c r="L3296" s="451"/>
      <c r="M3296" s="451"/>
      <c r="N3296" s="450"/>
      <c r="O3296" s="588">
        <f>TrialBalanceA!I19</f>
        <v>0</v>
      </c>
      <c r="P3296" s="454"/>
      <c r="R3296" s="490" t="str">
        <f t="shared" si="207"/>
        <v>DELETE</v>
      </c>
      <c r="T3296" s="498"/>
    </row>
    <row r="3297" spans="3:24" ht="36" customHeight="1" x14ac:dyDescent="0.45">
      <c r="C3297" s="575"/>
      <c r="D3297" s="616">
        <f>TrialBalanceA!C20</f>
        <v>0</v>
      </c>
      <c r="E3297" s="616"/>
      <c r="F3297" s="616"/>
      <c r="G3297" s="616"/>
      <c r="H3297" s="616"/>
      <c r="I3297" s="616"/>
      <c r="J3297" s="645"/>
      <c r="K3297" s="450"/>
      <c r="L3297" s="451"/>
      <c r="M3297" s="451"/>
      <c r="N3297" s="450"/>
      <c r="O3297" s="588">
        <f>TrialBalanceA!I20</f>
        <v>0</v>
      </c>
      <c r="P3297" s="454"/>
      <c r="R3297" s="490" t="str">
        <f t="shared" si="207"/>
        <v>DELETE</v>
      </c>
      <c r="T3297" s="498"/>
    </row>
    <row r="3298" spans="3:24" ht="36" customHeight="1" x14ac:dyDescent="0.45">
      <c r="C3298" s="575"/>
      <c r="D3298" s="616">
        <f>TrialBalanceA!C21</f>
        <v>0</v>
      </c>
      <c r="E3298" s="616"/>
      <c r="F3298" s="616"/>
      <c r="G3298" s="616"/>
      <c r="H3298" s="616"/>
      <c r="I3298" s="616"/>
      <c r="J3298" s="645"/>
      <c r="K3298" s="450"/>
      <c r="L3298" s="451"/>
      <c r="M3298" s="451"/>
      <c r="N3298" s="450"/>
      <c r="O3298" s="588">
        <f>TrialBalanceA!I21</f>
        <v>0</v>
      </c>
      <c r="P3298" s="454"/>
      <c r="R3298" s="490" t="str">
        <f t="shared" si="207"/>
        <v>DELETE</v>
      </c>
      <c r="T3298" s="498"/>
    </row>
    <row r="3299" spans="3:24" ht="36" customHeight="1" x14ac:dyDescent="0.45">
      <c r="C3299" s="575"/>
      <c r="D3299" s="616">
        <f>TrialBalanceA!C22</f>
        <v>0</v>
      </c>
      <c r="E3299" s="616"/>
      <c r="F3299" s="616"/>
      <c r="G3299" s="616"/>
      <c r="H3299" s="616"/>
      <c r="I3299" s="616"/>
      <c r="J3299" s="645"/>
      <c r="K3299" s="450"/>
      <c r="L3299" s="451"/>
      <c r="M3299" s="451"/>
      <c r="N3299" s="450"/>
      <c r="O3299" s="588">
        <f>TrialBalanceA!I22</f>
        <v>0</v>
      </c>
      <c r="P3299" s="454"/>
      <c r="R3299" s="490" t="str">
        <f t="shared" si="207"/>
        <v>DELETE</v>
      </c>
      <c r="T3299" s="498"/>
    </row>
    <row r="3300" spans="3:24" ht="36" customHeight="1" x14ac:dyDescent="0.45">
      <c r="C3300" s="575"/>
      <c r="D3300" s="616" t="s">
        <v>564</v>
      </c>
      <c r="E3300" s="616"/>
      <c r="F3300" s="616"/>
      <c r="G3300" s="616"/>
      <c r="H3300" s="616"/>
      <c r="I3300" s="616"/>
      <c r="J3300" s="645"/>
      <c r="K3300" s="450"/>
      <c r="L3300" s="451"/>
      <c r="M3300" s="451"/>
      <c r="N3300" s="450"/>
      <c r="O3300" s="588">
        <f>SUM(TrialBalanceA!I23:I26)</f>
        <v>0</v>
      </c>
      <c r="P3300" s="454"/>
      <c r="R3300" s="490" t="str">
        <f t="shared" si="207"/>
        <v>DELETE</v>
      </c>
      <c r="T3300" s="498"/>
    </row>
    <row r="3301" spans="3:24" ht="9" customHeight="1" x14ac:dyDescent="0.45">
      <c r="C3301" s="575"/>
      <c r="D3301" s="616"/>
      <c r="E3301" s="616"/>
      <c r="F3301" s="616"/>
      <c r="G3301" s="616"/>
      <c r="H3301" s="616"/>
      <c r="I3301" s="616"/>
      <c r="J3301" s="645"/>
      <c r="K3301" s="450"/>
      <c r="L3301" s="451"/>
      <c r="M3301" s="451"/>
      <c r="N3301" s="450"/>
      <c r="O3301" s="589"/>
      <c r="P3301" s="454"/>
      <c r="R3301" s="490" t="str">
        <f>R3290</f>
        <v>DELETE</v>
      </c>
      <c r="T3301" s="498"/>
    </row>
    <row r="3302" spans="3:24" ht="9" customHeight="1" x14ac:dyDescent="0.45">
      <c r="C3302" s="575"/>
      <c r="D3302" s="616"/>
      <c r="E3302" s="616"/>
      <c r="F3302" s="616"/>
      <c r="G3302" s="616"/>
      <c r="H3302" s="616"/>
      <c r="I3302" s="616"/>
      <c r="J3302" s="645"/>
      <c r="K3302" s="450"/>
      <c r="L3302" s="451"/>
      <c r="M3302" s="451"/>
      <c r="N3302" s="450"/>
      <c r="O3302" s="461"/>
      <c r="P3302" s="454"/>
      <c r="R3302" s="490" t="str">
        <f>R3290</f>
        <v>DELETE</v>
      </c>
      <c r="T3302" s="498"/>
    </row>
    <row r="3303" spans="3:24" ht="9" customHeight="1" x14ac:dyDescent="0.45">
      <c r="C3303" s="575"/>
      <c r="D3303" s="616"/>
      <c r="E3303" s="616"/>
      <c r="F3303" s="616"/>
      <c r="G3303" s="616"/>
      <c r="H3303" s="616"/>
      <c r="I3303" s="616"/>
      <c r="J3303" s="645"/>
      <c r="K3303" s="450"/>
      <c r="L3303" s="451"/>
      <c r="M3303" s="451"/>
      <c r="N3303" s="450"/>
      <c r="O3303" s="458"/>
      <c r="P3303" s="454"/>
      <c r="R3303" s="490" t="str">
        <f>R3302</f>
        <v>DELETE</v>
      </c>
      <c r="T3303" s="498"/>
    </row>
    <row r="3304" spans="3:24" ht="36" customHeight="1" x14ac:dyDescent="0.45">
      <c r="D3304" s="637" t="str">
        <f>IF(O3304&lt;0,"Gross loss","Gross profit")</f>
        <v>Gross profit</v>
      </c>
      <c r="E3304" s="616"/>
      <c r="F3304" s="616"/>
      <c r="G3304" s="616"/>
      <c r="H3304" s="616"/>
      <c r="I3304" s="616"/>
      <c r="J3304" s="645"/>
      <c r="K3304" s="450"/>
      <c r="L3304" s="451"/>
      <c r="M3304" s="451"/>
      <c r="N3304" s="450"/>
      <c r="O3304" s="458">
        <f>SUM(S3286:S3301)</f>
        <v>0</v>
      </c>
      <c r="P3304" s="454"/>
      <c r="R3304" s="490" t="str">
        <f>R3303</f>
        <v>DELETE</v>
      </c>
      <c r="T3304" s="498"/>
    </row>
    <row r="3305" spans="3:24" ht="36" customHeight="1" x14ac:dyDescent="0.45">
      <c r="C3305" s="575"/>
      <c r="D3305" s="616"/>
      <c r="E3305" s="616"/>
      <c r="F3305" s="616"/>
      <c r="G3305" s="616"/>
      <c r="H3305" s="616"/>
      <c r="I3305" s="616"/>
      <c r="J3305" s="645"/>
      <c r="K3305" s="450"/>
      <c r="L3305" s="451"/>
      <c r="M3305" s="451"/>
      <c r="N3305" s="450"/>
      <c r="O3305" s="458"/>
      <c r="P3305" s="454"/>
      <c r="R3305" s="490" t="str">
        <f>R3304</f>
        <v>DELETE</v>
      </c>
      <c r="T3305" s="498"/>
    </row>
    <row r="3306" spans="3:24" ht="36" customHeight="1" x14ac:dyDescent="0.45">
      <c r="D3306" s="615" t="s">
        <v>1491</v>
      </c>
      <c r="E3306" s="616"/>
      <c r="F3306" s="616"/>
      <c r="G3306" s="616"/>
      <c r="H3306" s="616"/>
      <c r="I3306" s="616"/>
      <c r="J3306" s="645"/>
      <c r="K3306" s="450"/>
      <c r="L3306" s="451"/>
      <c r="M3306" s="451"/>
      <c r="N3306" s="450"/>
      <c r="O3306" s="458">
        <f>SUM(O3308:O3315)</f>
        <v>0</v>
      </c>
      <c r="P3306" s="454"/>
      <c r="R3306" s="490" t="str">
        <f t="shared" ref="R3306" si="208">IF(R$3274="DELETE","DELETE",IF(O3306=0,"DELETE"," "))</f>
        <v>DELETE</v>
      </c>
      <c r="S3306" s="495">
        <f>O3306</f>
        <v>0</v>
      </c>
      <c r="T3306" s="498"/>
      <c r="U3306" s="495"/>
      <c r="V3306" s="495"/>
      <c r="W3306" s="495"/>
      <c r="X3306" s="495"/>
    </row>
    <row r="3307" spans="3:24" ht="9" customHeight="1" x14ac:dyDescent="0.45">
      <c r="C3307" s="575"/>
      <c r="D3307" s="616"/>
      <c r="E3307" s="616"/>
      <c r="F3307" s="616"/>
      <c r="G3307" s="616"/>
      <c r="H3307" s="616"/>
      <c r="I3307" s="616"/>
      <c r="J3307" s="645"/>
      <c r="K3307" s="450"/>
      <c r="L3307" s="451"/>
      <c r="M3307" s="451"/>
      <c r="N3307" s="450"/>
      <c r="O3307" s="458"/>
      <c r="P3307" s="454"/>
      <c r="R3307" s="490" t="str">
        <f>R3306</f>
        <v>DELETE</v>
      </c>
      <c r="T3307" s="498"/>
    </row>
    <row r="3308" spans="3:24" ht="9" customHeight="1" x14ac:dyDescent="0.45">
      <c r="C3308" s="575"/>
      <c r="D3308" s="616"/>
      <c r="E3308" s="616"/>
      <c r="F3308" s="616"/>
      <c r="G3308" s="616"/>
      <c r="H3308" s="616"/>
      <c r="I3308" s="616"/>
      <c r="J3308" s="645"/>
      <c r="K3308" s="450"/>
      <c r="L3308" s="451"/>
      <c r="M3308" s="451"/>
      <c r="N3308" s="450"/>
      <c r="O3308" s="587"/>
      <c r="P3308" s="454"/>
      <c r="R3308" s="490" t="str">
        <f>R3306</f>
        <v>DELETE</v>
      </c>
      <c r="T3308" s="498"/>
    </row>
    <row r="3309" spans="3:24" ht="36" customHeight="1" x14ac:dyDescent="0.45">
      <c r="C3309" s="575"/>
      <c r="D3309" s="616" t="str">
        <f>TrialBalanceA!C28</f>
        <v>Insurance claims - ABC Restaurant</v>
      </c>
      <c r="E3309" s="616"/>
      <c r="F3309" s="616"/>
      <c r="G3309" s="616"/>
      <c r="H3309" s="616"/>
      <c r="I3309" s="616"/>
      <c r="J3309" s="645"/>
      <c r="K3309" s="450"/>
      <c r="L3309" s="451"/>
      <c r="M3309" s="451"/>
      <c r="N3309" s="450"/>
      <c r="O3309" s="588">
        <f>-TrialBalanceA!I28</f>
        <v>0</v>
      </c>
      <c r="P3309" s="454"/>
      <c r="R3309" s="490" t="str">
        <f t="shared" ref="R3309:R3313" si="209">IF(R$3274="DELETE","DELETE",IF(O3309=0,"DELETE"," "))</f>
        <v>DELETE</v>
      </c>
      <c r="T3309" s="498"/>
    </row>
    <row r="3310" spans="3:24" ht="36" customHeight="1" x14ac:dyDescent="0.45">
      <c r="C3310" s="575"/>
      <c r="D3310" s="616" t="str">
        <f>TrialBalanceA!C29</f>
        <v>Government grants received</v>
      </c>
      <c r="E3310" s="616"/>
      <c r="F3310" s="616"/>
      <c r="G3310" s="616"/>
      <c r="H3310" s="616"/>
      <c r="I3310" s="616"/>
      <c r="J3310" s="645"/>
      <c r="K3310" s="450"/>
      <c r="L3310" s="451"/>
      <c r="M3310" s="451"/>
      <c r="N3310" s="450"/>
      <c r="O3310" s="588">
        <f>-TrialBalanceA!I29</f>
        <v>0</v>
      </c>
      <c r="P3310" s="454"/>
      <c r="R3310" s="490" t="str">
        <f t="shared" si="209"/>
        <v>DELETE</v>
      </c>
      <c r="T3310" s="498"/>
    </row>
    <row r="3311" spans="3:24" ht="36" customHeight="1" x14ac:dyDescent="0.45">
      <c r="C3311" s="575"/>
      <c r="D3311" s="616">
        <f>TrialBalanceA!C30</f>
        <v>0</v>
      </c>
      <c r="E3311" s="616"/>
      <c r="F3311" s="616"/>
      <c r="G3311" s="616"/>
      <c r="H3311" s="616"/>
      <c r="I3311" s="616"/>
      <c r="J3311" s="645"/>
      <c r="K3311" s="450"/>
      <c r="L3311" s="451"/>
      <c r="M3311" s="451"/>
      <c r="N3311" s="450"/>
      <c r="O3311" s="588">
        <f>-TrialBalanceA!I30</f>
        <v>0</v>
      </c>
      <c r="P3311" s="454"/>
      <c r="R3311" s="490" t="str">
        <f t="shared" si="209"/>
        <v>DELETE</v>
      </c>
      <c r="T3311" s="498"/>
    </row>
    <row r="3312" spans="3:24" ht="36" customHeight="1" x14ac:dyDescent="0.45">
      <c r="C3312" s="575"/>
      <c r="D3312" s="616">
        <f>TrialBalanceA!C31</f>
        <v>0</v>
      </c>
      <c r="E3312" s="616"/>
      <c r="F3312" s="616"/>
      <c r="G3312" s="616"/>
      <c r="H3312" s="616"/>
      <c r="I3312" s="616"/>
      <c r="J3312" s="645"/>
      <c r="K3312" s="450"/>
      <c r="L3312" s="451"/>
      <c r="M3312" s="451"/>
      <c r="N3312" s="450"/>
      <c r="O3312" s="588">
        <f>-TrialBalanceA!I31</f>
        <v>0</v>
      </c>
      <c r="P3312" s="454"/>
      <c r="R3312" s="490" t="str">
        <f t="shared" si="209"/>
        <v>DELETE</v>
      </c>
      <c r="T3312" s="498"/>
    </row>
    <row r="3313" spans="3:24" ht="36" customHeight="1" x14ac:dyDescent="0.45">
      <c r="C3313" s="575"/>
      <c r="D3313" s="616">
        <f>TrialBalanceA!C32</f>
        <v>0</v>
      </c>
      <c r="E3313" s="616"/>
      <c r="F3313" s="616"/>
      <c r="G3313" s="616"/>
      <c r="H3313" s="616"/>
      <c r="I3313" s="616"/>
      <c r="J3313" s="645"/>
      <c r="K3313" s="450"/>
      <c r="L3313" s="451"/>
      <c r="M3313" s="451"/>
      <c r="N3313" s="450"/>
      <c r="O3313" s="588">
        <f>-TrialBalanceA!I32</f>
        <v>0</v>
      </c>
      <c r="P3313" s="454"/>
      <c r="R3313" s="490" t="str">
        <f t="shared" si="209"/>
        <v>DELETE</v>
      </c>
      <c r="T3313" s="498"/>
    </row>
    <row r="3314" spans="3:24" ht="36" customHeight="1" x14ac:dyDescent="0.45">
      <c r="C3314" s="575"/>
      <c r="D3314" s="616" t="str">
        <f>TrialBalanceA!C33</f>
        <v>Recoupment of depreciation</v>
      </c>
      <c r="E3314" s="616"/>
      <c r="F3314" s="616"/>
      <c r="G3314" s="616"/>
      <c r="H3314" s="616"/>
      <c r="I3314" s="616"/>
      <c r="J3314" s="645"/>
      <c r="K3314" s="450"/>
      <c r="L3314" s="451"/>
      <c r="M3314" s="451"/>
      <c r="N3314" s="450"/>
      <c r="O3314" s="588">
        <f>-TrialBalanceA!I33</f>
        <v>0</v>
      </c>
      <c r="P3314" s="454"/>
      <c r="R3314" s="490" t="str">
        <f t="shared" ref="R3314" si="210">IF(R$3274="DELETE","DELETE",IF(O3314=0,"DELETE"," "))</f>
        <v>DELETE</v>
      </c>
      <c r="T3314" s="498"/>
    </row>
    <row r="3315" spans="3:24" ht="9" customHeight="1" x14ac:dyDescent="0.45">
      <c r="C3315" s="575"/>
      <c r="D3315" s="616"/>
      <c r="E3315" s="616"/>
      <c r="F3315" s="616"/>
      <c r="G3315" s="616"/>
      <c r="H3315" s="616"/>
      <c r="I3315" s="616"/>
      <c r="J3315" s="645"/>
      <c r="K3315" s="450"/>
      <c r="L3315" s="451"/>
      <c r="M3315" s="451"/>
      <c r="N3315" s="450"/>
      <c r="O3315" s="589"/>
      <c r="P3315" s="454"/>
      <c r="R3315" s="490" t="str">
        <f>R3306</f>
        <v>DELETE</v>
      </c>
      <c r="T3315" s="498"/>
    </row>
    <row r="3316" spans="3:24" ht="9" customHeight="1" x14ac:dyDescent="0.45">
      <c r="C3316" s="575"/>
      <c r="D3316" s="616"/>
      <c r="E3316" s="616"/>
      <c r="F3316" s="616"/>
      <c r="G3316" s="616"/>
      <c r="H3316" s="616"/>
      <c r="I3316" s="616"/>
      <c r="J3316" s="645"/>
      <c r="K3316" s="450"/>
      <c r="L3316" s="451"/>
      <c r="M3316" s="451"/>
      <c r="N3316" s="450"/>
      <c r="O3316" s="479"/>
      <c r="P3316" s="454"/>
      <c r="R3316" s="490" t="str">
        <f>R3315</f>
        <v>DELETE</v>
      </c>
      <c r="T3316" s="498"/>
    </row>
    <row r="3317" spans="3:24" ht="9" customHeight="1" x14ac:dyDescent="0.45">
      <c r="C3317" s="575"/>
      <c r="D3317" s="616"/>
      <c r="E3317" s="616"/>
      <c r="F3317" s="616"/>
      <c r="G3317" s="616"/>
      <c r="H3317" s="616"/>
      <c r="I3317" s="616"/>
      <c r="J3317" s="645"/>
      <c r="K3317" s="450"/>
      <c r="L3317" s="451"/>
      <c r="M3317" s="451"/>
      <c r="N3317" s="450"/>
      <c r="O3317" s="458"/>
      <c r="P3317" s="454"/>
      <c r="R3317" s="490" t="str">
        <f>R3316</f>
        <v>DELETE</v>
      </c>
      <c r="T3317" s="498"/>
    </row>
    <row r="3318" spans="3:24" ht="36" customHeight="1" x14ac:dyDescent="0.45">
      <c r="C3318" s="575"/>
      <c r="D3318" s="616"/>
      <c r="E3318" s="616"/>
      <c r="F3318" s="616"/>
      <c r="G3318" s="616"/>
      <c r="H3318" s="616"/>
      <c r="I3318" s="616"/>
      <c r="J3318" s="645"/>
      <c r="K3318" s="450"/>
      <c r="L3318" s="451"/>
      <c r="M3318" s="451"/>
      <c r="N3318" s="450"/>
      <c r="O3318" s="458">
        <f>SUM(S3286:S3306)</f>
        <v>0</v>
      </c>
      <c r="P3318" s="454"/>
      <c r="R3318" s="490" t="str">
        <f>R3306</f>
        <v>DELETE</v>
      </c>
      <c r="T3318" s="498"/>
    </row>
    <row r="3319" spans="3:24" ht="36" customHeight="1" x14ac:dyDescent="0.45">
      <c r="C3319" s="575"/>
      <c r="D3319" s="616"/>
      <c r="E3319" s="616"/>
      <c r="F3319" s="616"/>
      <c r="G3319" s="616"/>
      <c r="H3319" s="616"/>
      <c r="I3319" s="616"/>
      <c r="J3319" s="645"/>
      <c r="K3319" s="450"/>
      <c r="L3319" s="451"/>
      <c r="M3319" s="451"/>
      <c r="N3319" s="450"/>
      <c r="O3319" s="458"/>
      <c r="P3319" s="454"/>
      <c r="R3319" s="490" t="str">
        <f>R3318</f>
        <v>DELETE</v>
      </c>
      <c r="T3319" s="498"/>
    </row>
    <row r="3320" spans="3:24" ht="36" customHeight="1" x14ac:dyDescent="0.45">
      <c r="D3320" s="615" t="s">
        <v>1532</v>
      </c>
      <c r="E3320" s="616"/>
      <c r="F3320" s="616"/>
      <c r="G3320" s="616"/>
      <c r="H3320" s="616"/>
      <c r="I3320" s="616"/>
      <c r="J3320" s="645"/>
      <c r="K3320" s="450"/>
      <c r="L3320" s="451"/>
      <c r="M3320" s="451"/>
      <c r="N3320" s="450"/>
      <c r="O3320" s="458">
        <f>SUM(O3322:O3351)</f>
        <v>0</v>
      </c>
      <c r="P3320" s="454"/>
      <c r="R3320" s="490" t="str">
        <f t="shared" ref="R3320" si="211">IF(R$3274="DELETE","DELETE",IF(O3320=0,"DELETE"," "))</f>
        <v>DELETE</v>
      </c>
      <c r="S3320" s="495">
        <f>-O3320</f>
        <v>0</v>
      </c>
      <c r="T3320" s="498"/>
      <c r="U3320" s="495"/>
      <c r="V3320" s="495"/>
      <c r="W3320" s="495"/>
      <c r="X3320" s="495"/>
    </row>
    <row r="3321" spans="3:24" ht="9" customHeight="1" x14ac:dyDescent="0.45">
      <c r="C3321" s="575"/>
      <c r="D3321" s="616"/>
      <c r="E3321" s="616"/>
      <c r="F3321" s="616"/>
      <c r="G3321" s="616"/>
      <c r="H3321" s="616"/>
      <c r="I3321" s="616"/>
      <c r="J3321" s="645"/>
      <c r="K3321" s="450"/>
      <c r="L3321" s="451"/>
      <c r="M3321" s="451"/>
      <c r="N3321" s="450"/>
      <c r="O3321" s="458"/>
      <c r="P3321" s="454"/>
      <c r="R3321" s="490" t="str">
        <f>R3320</f>
        <v>DELETE</v>
      </c>
      <c r="T3321" s="498"/>
    </row>
    <row r="3322" spans="3:24" ht="9" customHeight="1" x14ac:dyDescent="0.45">
      <c r="C3322" s="575"/>
      <c r="D3322" s="616"/>
      <c r="E3322" s="616"/>
      <c r="F3322" s="616"/>
      <c r="G3322" s="616"/>
      <c r="H3322" s="616"/>
      <c r="I3322" s="616"/>
      <c r="J3322" s="645"/>
      <c r="K3322" s="450"/>
      <c r="L3322" s="451"/>
      <c r="M3322" s="451"/>
      <c r="N3322" s="450"/>
      <c r="O3322" s="587"/>
      <c r="P3322" s="454"/>
      <c r="R3322" s="490" t="str">
        <f>R3321</f>
        <v>DELETE</v>
      </c>
      <c r="T3322" s="498"/>
    </row>
    <row r="3323" spans="3:24" ht="36" customHeight="1" x14ac:dyDescent="0.45">
      <c r="C3323" s="575"/>
      <c r="D3323" s="616" t="s">
        <v>302</v>
      </c>
      <c r="E3323" s="616"/>
      <c r="F3323" s="616"/>
      <c r="G3323" s="616"/>
      <c r="H3323" s="616"/>
      <c r="I3323" s="616"/>
      <c r="J3323" s="645"/>
      <c r="K3323" s="450"/>
      <c r="L3323" s="451"/>
      <c r="M3323" s="451"/>
      <c r="N3323" s="450"/>
      <c r="O3323" s="588">
        <f>TrialBalanceA!I40</f>
        <v>0</v>
      </c>
      <c r="P3323" s="454"/>
      <c r="R3323" s="490" t="str">
        <f t="shared" ref="R3323:R3350" si="212">IF(R$3274="DELETE","DELETE",IF(O3323=0,"DELETE"," "))</f>
        <v>DELETE</v>
      </c>
      <c r="T3323" s="498"/>
    </row>
    <row r="3324" spans="3:24" ht="36" customHeight="1" x14ac:dyDescent="0.45">
      <c r="C3324" s="575"/>
      <c r="D3324" s="616" t="s">
        <v>831</v>
      </c>
      <c r="E3324" s="616"/>
      <c r="F3324" s="616"/>
      <c r="G3324" s="616"/>
      <c r="H3324" s="616"/>
      <c r="I3324" s="616"/>
      <c r="J3324" s="645"/>
      <c r="K3324" s="450"/>
      <c r="L3324" s="451"/>
      <c r="M3324" s="451"/>
      <c r="N3324" s="450"/>
      <c r="O3324" s="588">
        <f>TrialBalanceA!I41</f>
        <v>0</v>
      </c>
      <c r="P3324" s="454"/>
      <c r="R3324" s="490" t="str">
        <f t="shared" si="212"/>
        <v>DELETE</v>
      </c>
      <c r="T3324" s="498"/>
    </row>
    <row r="3325" spans="3:24" ht="36" customHeight="1" x14ac:dyDescent="0.45">
      <c r="C3325" s="575"/>
      <c r="D3325" s="616" t="s">
        <v>303</v>
      </c>
      <c r="E3325" s="616"/>
      <c r="F3325" s="616"/>
      <c r="G3325" s="616"/>
      <c r="H3325" s="616"/>
      <c r="I3325" s="616"/>
      <c r="J3325" s="645"/>
      <c r="K3325" s="450"/>
      <c r="L3325" s="451"/>
      <c r="M3325" s="451"/>
      <c r="N3325" s="450"/>
      <c r="O3325" s="588">
        <f>TrialBalanceA!I42</f>
        <v>0</v>
      </c>
      <c r="P3325" s="454"/>
      <c r="R3325" s="490" t="str">
        <f t="shared" si="212"/>
        <v>DELETE</v>
      </c>
      <c r="T3325" s="498"/>
    </row>
    <row r="3326" spans="3:24" ht="36" customHeight="1" x14ac:dyDescent="0.45">
      <c r="C3326" s="575"/>
      <c r="D3326" s="616" t="s">
        <v>304</v>
      </c>
      <c r="E3326" s="616"/>
      <c r="F3326" s="616"/>
      <c r="G3326" s="616"/>
      <c r="H3326" s="616"/>
      <c r="I3326" s="616"/>
      <c r="J3326" s="645"/>
      <c r="K3326" s="450">
        <f>B$1250</f>
        <v>5</v>
      </c>
      <c r="L3326" s="451"/>
      <c r="M3326" s="451"/>
      <c r="N3326" s="450"/>
      <c r="O3326" s="588">
        <f>SUM(TrialBalanceA!I44:I46)</f>
        <v>0</v>
      </c>
      <c r="P3326" s="454"/>
      <c r="R3326" s="490" t="str">
        <f t="shared" si="212"/>
        <v>DELETE</v>
      </c>
      <c r="T3326" s="498"/>
    </row>
    <row r="3327" spans="3:24" ht="36" customHeight="1" x14ac:dyDescent="0.45">
      <c r="C3327" s="575"/>
      <c r="D3327" s="616" t="s">
        <v>565</v>
      </c>
      <c r="E3327" s="616"/>
      <c r="F3327" s="616"/>
      <c r="G3327" s="616"/>
      <c r="H3327" s="616"/>
      <c r="I3327" s="616"/>
      <c r="J3327" s="645"/>
      <c r="K3327" s="450"/>
      <c r="L3327" s="451"/>
      <c r="M3327" s="451"/>
      <c r="N3327" s="450"/>
      <c r="O3327" s="588">
        <f>TrialBalanceA!I47</f>
        <v>0</v>
      </c>
      <c r="P3327" s="454"/>
      <c r="R3327" s="490" t="str">
        <f t="shared" si="212"/>
        <v>DELETE</v>
      </c>
      <c r="S3327" s="496"/>
      <c r="T3327" s="498"/>
      <c r="U3327" s="496"/>
      <c r="V3327" s="496"/>
      <c r="W3327" s="496"/>
      <c r="X3327" s="496"/>
    </row>
    <row r="3328" spans="3:24" ht="36" customHeight="1" x14ac:dyDescent="0.45">
      <c r="C3328" s="575"/>
      <c r="D3328" s="616" t="s">
        <v>871</v>
      </c>
      <c r="E3328" s="616"/>
      <c r="F3328" s="616"/>
      <c r="G3328" s="616"/>
      <c r="H3328" s="616"/>
      <c r="I3328" s="616"/>
      <c r="J3328" s="645"/>
      <c r="K3328" s="450"/>
      <c r="L3328" s="451"/>
      <c r="M3328" s="451"/>
      <c r="N3328" s="450"/>
      <c r="O3328" s="588">
        <f>TrialBalanceA!I48</f>
        <v>0</v>
      </c>
      <c r="P3328" s="454"/>
      <c r="R3328" s="490" t="str">
        <f t="shared" si="212"/>
        <v>DELETE</v>
      </c>
      <c r="T3328" s="498"/>
    </row>
    <row r="3329" spans="3:20" ht="36" customHeight="1" x14ac:dyDescent="0.45">
      <c r="C3329" s="575"/>
      <c r="D3329" s="616" t="s">
        <v>69</v>
      </c>
      <c r="E3329" s="616"/>
      <c r="F3329" s="616"/>
      <c r="G3329" s="616"/>
      <c r="H3329" s="616"/>
      <c r="I3329" s="616"/>
      <c r="J3329" s="645"/>
      <c r="K3329" s="450"/>
      <c r="L3329" s="451"/>
      <c r="M3329" s="451"/>
      <c r="N3329" s="450"/>
      <c r="O3329" s="588">
        <f>TrialBalanceA!I49</f>
        <v>0</v>
      </c>
      <c r="P3329" s="454"/>
      <c r="R3329" s="490" t="str">
        <f t="shared" si="212"/>
        <v>DELETE</v>
      </c>
      <c r="T3329" s="498"/>
    </row>
    <row r="3330" spans="3:20" ht="36" customHeight="1" x14ac:dyDescent="0.45">
      <c r="C3330" s="575"/>
      <c r="D3330" s="616" t="s">
        <v>305</v>
      </c>
      <c r="E3330" s="616"/>
      <c r="F3330" s="616"/>
      <c r="G3330" s="616"/>
      <c r="H3330" s="616"/>
      <c r="I3330" s="616"/>
      <c r="J3330" s="645"/>
      <c r="K3330" s="450"/>
      <c r="L3330" s="451"/>
      <c r="M3330" s="451"/>
      <c r="N3330" s="450"/>
      <c r="O3330" s="588">
        <f>TrialBalanceA!I50</f>
        <v>0</v>
      </c>
      <c r="P3330" s="454"/>
      <c r="R3330" s="490" t="str">
        <f t="shared" si="212"/>
        <v>DELETE</v>
      </c>
      <c r="T3330" s="498"/>
    </row>
    <row r="3331" spans="3:20" ht="36" customHeight="1" x14ac:dyDescent="0.45">
      <c r="C3331" s="575"/>
      <c r="D3331" s="616" t="s">
        <v>587</v>
      </c>
      <c r="E3331" s="616"/>
      <c r="F3331" s="616"/>
      <c r="G3331" s="616"/>
      <c r="H3331" s="616"/>
      <c r="I3331" s="616"/>
      <c r="J3331" s="645"/>
      <c r="K3331" s="450"/>
      <c r="L3331" s="451"/>
      <c r="M3331" s="451"/>
      <c r="N3331" s="450"/>
      <c r="O3331" s="588">
        <f>SUM(TrialBalanceA!I51:I52)</f>
        <v>0</v>
      </c>
      <c r="P3331" s="454"/>
      <c r="R3331" s="490" t="str">
        <f t="shared" si="212"/>
        <v>DELETE</v>
      </c>
      <c r="T3331" s="498"/>
    </row>
    <row r="3332" spans="3:20" ht="36" customHeight="1" x14ac:dyDescent="0.45">
      <c r="C3332" s="575"/>
      <c r="D3332" s="616" t="s">
        <v>585</v>
      </c>
      <c r="E3332" s="616"/>
      <c r="F3332" s="616"/>
      <c r="G3332" s="616"/>
      <c r="H3332" s="616"/>
      <c r="I3332" s="616"/>
      <c r="J3332" s="645"/>
      <c r="K3332" s="450"/>
      <c r="L3332" s="451"/>
      <c r="M3332" s="451"/>
      <c r="N3332" s="450"/>
      <c r="O3332" s="588">
        <f>TrialBalanceA!I53</f>
        <v>0</v>
      </c>
      <c r="P3332" s="454"/>
      <c r="R3332" s="490" t="str">
        <f t="shared" si="212"/>
        <v>DELETE</v>
      </c>
      <c r="T3332" s="498"/>
    </row>
    <row r="3333" spans="3:20" ht="36" customHeight="1" x14ac:dyDescent="0.45">
      <c r="C3333" s="575"/>
      <c r="D3333" s="616" t="s">
        <v>566</v>
      </c>
      <c r="E3333" s="616"/>
      <c r="F3333" s="616"/>
      <c r="G3333" s="616"/>
      <c r="H3333" s="616"/>
      <c r="I3333" s="616"/>
      <c r="J3333" s="645"/>
      <c r="K3333" s="450"/>
      <c r="L3333" s="451"/>
      <c r="M3333" s="451"/>
      <c r="N3333" s="450"/>
      <c r="O3333" s="588">
        <f>SUM(TrialBalanceA!I55:I59)</f>
        <v>0</v>
      </c>
      <c r="P3333" s="454"/>
      <c r="R3333" s="490" t="str">
        <f t="shared" si="212"/>
        <v>DELETE</v>
      </c>
      <c r="T3333" s="498"/>
    </row>
    <row r="3334" spans="3:20" ht="36" customHeight="1" x14ac:dyDescent="0.45">
      <c r="C3334" s="575"/>
      <c r="D3334" s="616" t="s">
        <v>547</v>
      </c>
      <c r="E3334" s="616"/>
      <c r="F3334" s="616"/>
      <c r="G3334" s="616"/>
      <c r="H3334" s="616"/>
      <c r="I3334" s="616"/>
      <c r="J3334" s="645"/>
      <c r="K3334" s="450">
        <f>B$1250</f>
        <v>5</v>
      </c>
      <c r="L3334" s="451"/>
      <c r="M3334" s="451"/>
      <c r="N3334" s="450"/>
      <c r="O3334" s="588">
        <f>SUM(TrialBalanceA!I61:I63)</f>
        <v>0</v>
      </c>
      <c r="P3334" s="454"/>
      <c r="R3334" s="490" t="str">
        <f t="shared" si="212"/>
        <v>DELETE</v>
      </c>
      <c r="T3334" s="498"/>
    </row>
    <row r="3335" spans="3:20" ht="36" customHeight="1" x14ac:dyDescent="0.45">
      <c r="C3335" s="575"/>
      <c r="D3335" s="616" t="s">
        <v>77</v>
      </c>
      <c r="E3335" s="616"/>
      <c r="F3335" s="616"/>
      <c r="G3335" s="616"/>
      <c r="H3335" s="616"/>
      <c r="I3335" s="616"/>
      <c r="J3335" s="645"/>
      <c r="K3335" s="450"/>
      <c r="L3335" s="451"/>
      <c r="M3335" s="451"/>
      <c r="N3335" s="450"/>
      <c r="O3335" s="588">
        <f>TrialBalanceA!I64</f>
        <v>0</v>
      </c>
      <c r="P3335" s="454"/>
      <c r="R3335" s="490" t="str">
        <f t="shared" si="212"/>
        <v>DELETE</v>
      </c>
      <c r="T3335" s="498"/>
    </row>
    <row r="3336" spans="3:20" ht="36" customHeight="1" x14ac:dyDescent="0.45">
      <c r="C3336" s="575"/>
      <c r="D3336" s="616" t="s">
        <v>1756</v>
      </c>
      <c r="E3336" s="616"/>
      <c r="F3336" s="616"/>
      <c r="G3336" s="616"/>
      <c r="H3336" s="616"/>
      <c r="I3336" s="616"/>
      <c r="J3336" s="645"/>
      <c r="K3336" s="450"/>
      <c r="L3336" s="451"/>
      <c r="M3336" s="451"/>
      <c r="N3336" s="450"/>
      <c r="O3336" s="588">
        <f>TrialBalanceA!I65</f>
        <v>0</v>
      </c>
      <c r="P3336" s="454"/>
      <c r="R3336" s="490" t="str">
        <f t="shared" ref="R3336" si="213">IF(R$3274="DELETE","DELETE",IF(O3336=0,"DELETE"," "))</f>
        <v>DELETE</v>
      </c>
      <c r="T3336" s="498"/>
    </row>
    <row r="3337" spans="3:20" ht="36" customHeight="1" x14ac:dyDescent="0.45">
      <c r="C3337" s="575"/>
      <c r="D3337" s="616" t="s">
        <v>286</v>
      </c>
      <c r="E3337" s="616"/>
      <c r="F3337" s="616"/>
      <c r="G3337" s="616"/>
      <c r="H3337" s="616"/>
      <c r="I3337" s="616"/>
      <c r="J3337" s="645"/>
      <c r="K3337" s="450"/>
      <c r="L3337" s="451"/>
      <c r="M3337" s="451"/>
      <c r="N3337" s="450"/>
      <c r="O3337" s="588">
        <f>SUM(TrialBalanceA!I66:I68)</f>
        <v>0</v>
      </c>
      <c r="P3337" s="454"/>
      <c r="R3337" s="490" t="str">
        <f t="shared" si="212"/>
        <v>DELETE</v>
      </c>
      <c r="T3337" s="498"/>
    </row>
    <row r="3338" spans="3:20" ht="36" customHeight="1" x14ac:dyDescent="0.45">
      <c r="C3338" s="575"/>
      <c r="D3338" s="616" t="s">
        <v>872</v>
      </c>
      <c r="E3338" s="616"/>
      <c r="F3338" s="616"/>
      <c r="G3338" s="616"/>
      <c r="H3338" s="616"/>
      <c r="I3338" s="616"/>
      <c r="J3338" s="645"/>
      <c r="K3338" s="450"/>
      <c r="L3338" s="451"/>
      <c r="M3338" s="451"/>
      <c r="N3338" s="450"/>
      <c r="O3338" s="588">
        <f>SUM(TrialBalanceA!I69:I70)</f>
        <v>0</v>
      </c>
      <c r="P3338" s="454"/>
      <c r="R3338" s="490" t="str">
        <f t="shared" si="212"/>
        <v>DELETE</v>
      </c>
      <c r="T3338" s="498"/>
    </row>
    <row r="3339" spans="3:20" ht="36" customHeight="1" x14ac:dyDescent="0.45">
      <c r="C3339" s="575"/>
      <c r="D3339" s="616" t="s">
        <v>287</v>
      </c>
      <c r="E3339" s="616"/>
      <c r="F3339" s="616"/>
      <c r="G3339" s="616"/>
      <c r="H3339" s="616"/>
      <c r="I3339" s="616"/>
      <c r="J3339" s="645"/>
      <c r="K3339" s="450"/>
      <c r="L3339" s="451"/>
      <c r="M3339" s="451"/>
      <c r="N3339" s="450"/>
      <c r="O3339" s="588">
        <f>TrialBalanceA!I71</f>
        <v>0</v>
      </c>
      <c r="P3339" s="454"/>
      <c r="R3339" s="490" t="str">
        <f t="shared" si="212"/>
        <v>DELETE</v>
      </c>
      <c r="T3339" s="498"/>
    </row>
    <row r="3340" spans="3:20" ht="36" customHeight="1" x14ac:dyDescent="0.45">
      <c r="C3340" s="575"/>
      <c r="D3340" s="616" t="s">
        <v>425</v>
      </c>
      <c r="E3340" s="616"/>
      <c r="F3340" s="616"/>
      <c r="G3340" s="616"/>
      <c r="H3340" s="616"/>
      <c r="I3340" s="616"/>
      <c r="J3340" s="645"/>
      <c r="K3340" s="450"/>
      <c r="L3340" s="451"/>
      <c r="M3340" s="451"/>
      <c r="N3340" s="450"/>
      <c r="O3340" s="588">
        <f>TrialBalanceA!I72</f>
        <v>0</v>
      </c>
      <c r="P3340" s="454"/>
      <c r="R3340" s="490" t="str">
        <f t="shared" si="212"/>
        <v>DELETE</v>
      </c>
      <c r="T3340" s="498"/>
    </row>
    <row r="3341" spans="3:20" ht="36" customHeight="1" x14ac:dyDescent="0.45">
      <c r="C3341" s="575"/>
      <c r="D3341" s="616">
        <f>TrialBalanceA!C73</f>
        <v>0</v>
      </c>
      <c r="E3341" s="616"/>
      <c r="F3341" s="616"/>
      <c r="G3341" s="616"/>
      <c r="H3341" s="616"/>
      <c r="I3341" s="616"/>
      <c r="J3341" s="645"/>
      <c r="K3341" s="450"/>
      <c r="L3341" s="451"/>
      <c r="M3341" s="451"/>
      <c r="N3341" s="450"/>
      <c r="O3341" s="588">
        <f>TrialBalanceA!I73</f>
        <v>0</v>
      </c>
      <c r="P3341" s="454"/>
      <c r="R3341" s="490" t="str">
        <f t="shared" si="212"/>
        <v>DELETE</v>
      </c>
      <c r="T3341" s="498"/>
    </row>
    <row r="3342" spans="3:20" ht="36" customHeight="1" x14ac:dyDescent="0.45">
      <c r="C3342" s="575"/>
      <c r="D3342" s="616">
        <f>TrialBalanceA!C74</f>
        <v>0</v>
      </c>
      <c r="E3342" s="616"/>
      <c r="F3342" s="616"/>
      <c r="G3342" s="616"/>
      <c r="H3342" s="616"/>
      <c r="I3342" s="616"/>
      <c r="J3342" s="645"/>
      <c r="K3342" s="450"/>
      <c r="L3342" s="451"/>
      <c r="M3342" s="451"/>
      <c r="N3342" s="450"/>
      <c r="O3342" s="588">
        <f>TrialBalanceA!I74</f>
        <v>0</v>
      </c>
      <c r="P3342" s="454"/>
      <c r="R3342" s="490" t="str">
        <f t="shared" si="212"/>
        <v>DELETE</v>
      </c>
      <c r="T3342" s="498"/>
    </row>
    <row r="3343" spans="3:20" ht="36" customHeight="1" x14ac:dyDescent="0.45">
      <c r="C3343" s="575"/>
      <c r="D3343" s="616">
        <f>TrialBalanceA!C75</f>
        <v>0</v>
      </c>
      <c r="E3343" s="616"/>
      <c r="F3343" s="616"/>
      <c r="G3343" s="616"/>
      <c r="H3343" s="616"/>
      <c r="I3343" s="616"/>
      <c r="J3343" s="645"/>
      <c r="K3343" s="450"/>
      <c r="L3343" s="451"/>
      <c r="M3343" s="451"/>
      <c r="N3343" s="450"/>
      <c r="O3343" s="588">
        <f>TrialBalanceA!I75</f>
        <v>0</v>
      </c>
      <c r="P3343" s="454"/>
      <c r="R3343" s="490" t="str">
        <f t="shared" si="212"/>
        <v>DELETE</v>
      </c>
      <c r="T3343" s="498"/>
    </row>
    <row r="3344" spans="3:20" ht="36" customHeight="1" x14ac:dyDescent="0.45">
      <c r="C3344" s="575"/>
      <c r="D3344" s="616">
        <f>TrialBalanceA!C76</f>
        <v>0</v>
      </c>
      <c r="E3344" s="616"/>
      <c r="F3344" s="616"/>
      <c r="G3344" s="616"/>
      <c r="H3344" s="616"/>
      <c r="I3344" s="616"/>
      <c r="J3344" s="645"/>
      <c r="K3344" s="450"/>
      <c r="L3344" s="451"/>
      <c r="M3344" s="451"/>
      <c r="N3344" s="450"/>
      <c r="O3344" s="588">
        <f>TrialBalanceA!I76</f>
        <v>0</v>
      </c>
      <c r="P3344" s="454"/>
      <c r="R3344" s="490" t="str">
        <f t="shared" si="212"/>
        <v>DELETE</v>
      </c>
      <c r="T3344" s="498"/>
    </row>
    <row r="3345" spans="3:20" ht="36" customHeight="1" x14ac:dyDescent="0.45">
      <c r="C3345" s="575"/>
      <c r="D3345" s="616">
        <f>TrialBalanceA!C77</f>
        <v>0</v>
      </c>
      <c r="E3345" s="616"/>
      <c r="F3345" s="616"/>
      <c r="G3345" s="616"/>
      <c r="H3345" s="616"/>
      <c r="I3345" s="616"/>
      <c r="J3345" s="645"/>
      <c r="K3345" s="450"/>
      <c r="L3345" s="451"/>
      <c r="M3345" s="451"/>
      <c r="N3345" s="450"/>
      <c r="O3345" s="588">
        <f>TrialBalanceA!I77</f>
        <v>0</v>
      </c>
      <c r="P3345" s="454"/>
      <c r="R3345" s="490" t="str">
        <f t="shared" si="212"/>
        <v>DELETE</v>
      </c>
      <c r="T3345" s="498"/>
    </row>
    <row r="3346" spans="3:20" ht="36" customHeight="1" x14ac:dyDescent="0.45">
      <c r="C3346" s="575"/>
      <c r="D3346" s="616">
        <f>TrialBalanceA!C78</f>
        <v>0</v>
      </c>
      <c r="E3346" s="616"/>
      <c r="F3346" s="616"/>
      <c r="G3346" s="616"/>
      <c r="H3346" s="616"/>
      <c r="I3346" s="616"/>
      <c r="J3346" s="645"/>
      <c r="K3346" s="450"/>
      <c r="L3346" s="451"/>
      <c r="M3346" s="451"/>
      <c r="N3346" s="450"/>
      <c r="O3346" s="588">
        <f>TrialBalanceA!I78</f>
        <v>0</v>
      </c>
      <c r="P3346" s="454"/>
      <c r="R3346" s="490" t="str">
        <f t="shared" si="212"/>
        <v>DELETE</v>
      </c>
      <c r="T3346" s="498"/>
    </row>
    <row r="3347" spans="3:20" ht="36" customHeight="1" x14ac:dyDescent="0.45">
      <c r="C3347" s="575"/>
      <c r="D3347" s="616">
        <f>TrialBalanceA!C79</f>
        <v>0</v>
      </c>
      <c r="E3347" s="616"/>
      <c r="F3347" s="616"/>
      <c r="G3347" s="616"/>
      <c r="H3347" s="616"/>
      <c r="I3347" s="616"/>
      <c r="J3347" s="645"/>
      <c r="K3347" s="450"/>
      <c r="L3347" s="451"/>
      <c r="M3347" s="451"/>
      <c r="N3347" s="450"/>
      <c r="O3347" s="588">
        <f>TrialBalanceA!I79</f>
        <v>0</v>
      </c>
      <c r="P3347" s="454"/>
      <c r="R3347" s="490" t="str">
        <f t="shared" si="212"/>
        <v>DELETE</v>
      </c>
      <c r="T3347" s="498"/>
    </row>
    <row r="3348" spans="3:20" ht="36" customHeight="1" x14ac:dyDescent="0.45">
      <c r="C3348" s="575"/>
      <c r="D3348" s="616">
        <f>TrialBalanceA!C80</f>
        <v>0</v>
      </c>
      <c r="E3348" s="616"/>
      <c r="F3348" s="616"/>
      <c r="G3348" s="616"/>
      <c r="H3348" s="616"/>
      <c r="I3348" s="616"/>
      <c r="J3348" s="645"/>
      <c r="K3348" s="450"/>
      <c r="L3348" s="451"/>
      <c r="M3348" s="451"/>
      <c r="N3348" s="450"/>
      <c r="O3348" s="588">
        <f>TrialBalanceA!I80</f>
        <v>0</v>
      </c>
      <c r="P3348" s="454"/>
      <c r="R3348" s="490" t="str">
        <f t="shared" si="212"/>
        <v>DELETE</v>
      </c>
      <c r="T3348" s="498"/>
    </row>
    <row r="3349" spans="3:20" ht="36" customHeight="1" x14ac:dyDescent="0.45">
      <c r="C3349" s="575"/>
      <c r="D3349" s="616">
        <f>TrialBalanceA!C81</f>
        <v>0</v>
      </c>
      <c r="E3349" s="616"/>
      <c r="F3349" s="616"/>
      <c r="G3349" s="616"/>
      <c r="H3349" s="616"/>
      <c r="I3349" s="616"/>
      <c r="J3349" s="645"/>
      <c r="K3349" s="450"/>
      <c r="L3349" s="451"/>
      <c r="M3349" s="451"/>
      <c r="N3349" s="450"/>
      <c r="O3349" s="588">
        <f>TrialBalanceA!I81</f>
        <v>0</v>
      </c>
      <c r="P3349" s="454"/>
      <c r="R3349" s="490" t="str">
        <f t="shared" si="212"/>
        <v>DELETE</v>
      </c>
      <c r="T3349" s="498"/>
    </row>
    <row r="3350" spans="3:20" ht="36" customHeight="1" x14ac:dyDescent="0.45">
      <c r="C3350" s="575"/>
      <c r="D3350" s="616">
        <f>TrialBalanceA!C82</f>
        <v>0</v>
      </c>
      <c r="E3350" s="616"/>
      <c r="F3350" s="616"/>
      <c r="G3350" s="616"/>
      <c r="H3350" s="616"/>
      <c r="I3350" s="616"/>
      <c r="J3350" s="645"/>
      <c r="K3350" s="450"/>
      <c r="L3350" s="451"/>
      <c r="M3350" s="451"/>
      <c r="N3350" s="450"/>
      <c r="O3350" s="588">
        <f>TrialBalanceA!I82</f>
        <v>0</v>
      </c>
      <c r="P3350" s="454"/>
      <c r="R3350" s="490" t="str">
        <f t="shared" si="212"/>
        <v>DELETE</v>
      </c>
      <c r="T3350" s="498"/>
    </row>
    <row r="3351" spans="3:20" ht="9" customHeight="1" x14ac:dyDescent="0.45">
      <c r="C3351" s="575"/>
      <c r="D3351" s="616"/>
      <c r="E3351" s="616"/>
      <c r="F3351" s="616"/>
      <c r="G3351" s="616"/>
      <c r="H3351" s="616"/>
      <c r="I3351" s="616"/>
      <c r="J3351" s="645"/>
      <c r="K3351" s="450"/>
      <c r="L3351" s="451"/>
      <c r="M3351" s="451"/>
      <c r="N3351" s="450"/>
      <c r="O3351" s="589"/>
      <c r="P3351" s="454"/>
      <c r="R3351" s="490" t="str">
        <f>R3320</f>
        <v>DELETE</v>
      </c>
      <c r="T3351" s="498"/>
    </row>
    <row r="3352" spans="3:20" ht="9" customHeight="1" x14ac:dyDescent="0.45">
      <c r="C3352" s="575"/>
      <c r="D3352" s="616"/>
      <c r="E3352" s="616"/>
      <c r="F3352" s="616"/>
      <c r="G3352" s="616"/>
      <c r="H3352" s="616"/>
      <c r="I3352" s="616"/>
      <c r="J3352" s="645"/>
      <c r="K3352" s="450"/>
      <c r="L3352" s="451"/>
      <c r="M3352" s="451"/>
      <c r="N3352" s="450"/>
      <c r="O3352" s="461"/>
      <c r="P3352" s="454"/>
      <c r="R3352" s="490" t="str">
        <f t="shared" ref="R3352:R3372" si="214">R$3274</f>
        <v>DELETE</v>
      </c>
      <c r="T3352" s="498"/>
    </row>
    <row r="3353" spans="3:20" ht="9" customHeight="1" x14ac:dyDescent="0.45">
      <c r="C3353" s="575"/>
      <c r="D3353" s="616"/>
      <c r="E3353" s="616"/>
      <c r="F3353" s="616"/>
      <c r="G3353" s="616"/>
      <c r="H3353" s="616"/>
      <c r="I3353" s="616"/>
      <c r="J3353" s="645"/>
      <c r="K3353" s="450"/>
      <c r="L3353" s="451"/>
      <c r="M3353" s="451"/>
      <c r="N3353" s="450"/>
      <c r="O3353" s="458"/>
      <c r="P3353" s="454"/>
      <c r="R3353" s="490" t="str">
        <f t="shared" si="214"/>
        <v>DELETE</v>
      </c>
      <c r="T3353" s="498"/>
    </row>
    <row r="3354" spans="3:20" ht="36" customHeight="1" x14ac:dyDescent="0.45">
      <c r="D3354" s="637" t="str">
        <f>IF(O3354&lt;0,"Operating loss","Operating profit")</f>
        <v>Operating profit</v>
      </c>
      <c r="E3354" s="616"/>
      <c r="F3354" s="616"/>
      <c r="G3354" s="616"/>
      <c r="H3354" s="616"/>
      <c r="I3354" s="616"/>
      <c r="J3354" s="645"/>
      <c r="K3354" s="450"/>
      <c r="L3354" s="451"/>
      <c r="M3354" s="451"/>
      <c r="N3354" s="450"/>
      <c r="O3354" s="458">
        <f>SUM(S3286:S3352)</f>
        <v>0</v>
      </c>
      <c r="P3354" s="454"/>
      <c r="R3354" s="490" t="str">
        <f t="shared" si="214"/>
        <v>DELETE</v>
      </c>
      <c r="T3354" s="498"/>
    </row>
    <row r="3355" spans="3:20" ht="36" customHeight="1" x14ac:dyDescent="0.45">
      <c r="C3355" s="575"/>
      <c r="D3355" s="616"/>
      <c r="E3355" s="616" t="s">
        <v>289</v>
      </c>
      <c r="F3355" s="616"/>
      <c r="G3355" s="616"/>
      <c r="H3355" s="616"/>
      <c r="I3355" s="616"/>
      <c r="J3355" s="645"/>
      <c r="K3355" s="450"/>
      <c r="L3355" s="451"/>
      <c r="M3355" s="451"/>
      <c r="N3355" s="450"/>
      <c r="O3355" s="458"/>
      <c r="P3355" s="454"/>
      <c r="R3355" s="490" t="str">
        <f t="shared" si="214"/>
        <v>DELETE</v>
      </c>
      <c r="T3355" s="498"/>
    </row>
    <row r="3356" spans="3:20" ht="36" customHeight="1" x14ac:dyDescent="0.45">
      <c r="C3356" s="575"/>
      <c r="D3356" s="616"/>
      <c r="E3356" s="616"/>
      <c r="F3356" s="616"/>
      <c r="G3356" s="616"/>
      <c r="H3356" s="616"/>
      <c r="I3356" s="616"/>
      <c r="J3356" s="645"/>
      <c r="K3356" s="450"/>
      <c r="L3356" s="451"/>
      <c r="M3356" s="451"/>
      <c r="N3356" s="450"/>
      <c r="O3356" s="458"/>
      <c r="P3356" s="454"/>
      <c r="R3356" s="490" t="str">
        <f t="shared" si="214"/>
        <v>DELETE</v>
      </c>
      <c r="T3356" s="498"/>
    </row>
    <row r="3357" spans="3:20" ht="36" customHeight="1" x14ac:dyDescent="0.45">
      <c r="C3357" s="575"/>
      <c r="D3357" s="616"/>
      <c r="E3357" s="616"/>
      <c r="F3357" s="616"/>
      <c r="G3357" s="616"/>
      <c r="H3357" s="616"/>
      <c r="I3357" s="616"/>
      <c r="J3357" s="645"/>
      <c r="K3357" s="450"/>
      <c r="L3357" s="451"/>
      <c r="M3357" s="451"/>
      <c r="N3357" s="450"/>
      <c r="O3357" s="458"/>
      <c r="P3357" s="454"/>
      <c r="R3357" s="490" t="str">
        <f t="shared" si="214"/>
        <v>DELETE</v>
      </c>
      <c r="T3357" s="498"/>
    </row>
    <row r="3358" spans="3:20" ht="36" customHeight="1" x14ac:dyDescent="0.45">
      <c r="C3358" s="575"/>
      <c r="D3358" s="616"/>
      <c r="E3358" s="616"/>
      <c r="F3358" s="616"/>
      <c r="G3358" s="616"/>
      <c r="H3358" s="616"/>
      <c r="I3358" s="616"/>
      <c r="J3358" s="645"/>
      <c r="K3358" s="450"/>
      <c r="L3358" s="450"/>
      <c r="M3358" s="475"/>
      <c r="N3358" s="475"/>
      <c r="O3358" s="475"/>
      <c r="P3358" s="521"/>
      <c r="R3358" s="490" t="str">
        <f t="shared" si="214"/>
        <v>DELETE</v>
      </c>
      <c r="T3358" s="498"/>
    </row>
    <row r="3359" spans="3:20" ht="36" customHeight="1" x14ac:dyDescent="0.45">
      <c r="C3359" s="575"/>
      <c r="D3359" s="616"/>
      <c r="E3359" s="616"/>
      <c r="F3359" s="616"/>
      <c r="G3359" s="616"/>
      <c r="H3359" s="616"/>
      <c r="I3359" s="616"/>
      <c r="J3359" s="645"/>
      <c r="K3359" s="450"/>
      <c r="L3359" s="450"/>
      <c r="M3359" s="458"/>
      <c r="N3359" s="458"/>
      <c r="O3359" s="458"/>
      <c r="P3359" s="454"/>
      <c r="R3359" s="490" t="str">
        <f t="shared" si="214"/>
        <v>DELETE</v>
      </c>
      <c r="T3359" s="498"/>
    </row>
    <row r="3360" spans="3:20" ht="36" customHeight="1" x14ac:dyDescent="0.45">
      <c r="C3360" s="575"/>
      <c r="D3360" s="616"/>
      <c r="E3360" s="616"/>
      <c r="F3360" s="616"/>
      <c r="G3360" s="616"/>
      <c r="H3360" s="616"/>
      <c r="I3360" s="616"/>
      <c r="J3360" s="645"/>
      <c r="K3360" s="450"/>
      <c r="L3360" s="450"/>
      <c r="M3360" s="458"/>
      <c r="N3360" s="458"/>
      <c r="O3360" s="458" t="s">
        <v>112</v>
      </c>
      <c r="P3360" s="454"/>
      <c r="Q3360" s="450">
        <f>MAX($Q$3274:Q3359)+1</f>
        <v>2</v>
      </c>
      <c r="R3360" s="490" t="str">
        <f t="shared" si="214"/>
        <v>DELETE</v>
      </c>
      <c r="T3360" s="498"/>
    </row>
    <row r="3361" spans="3:24" ht="36" customHeight="1" x14ac:dyDescent="0.45">
      <c r="C3361" s="575"/>
      <c r="D3361" s="615" t="str">
        <f>Criteria!E9</f>
        <v>ABC COMPANY (PROPRIETARY) LIMITED</v>
      </c>
      <c r="E3361" s="616"/>
      <c r="F3361" s="616"/>
      <c r="G3361" s="616"/>
      <c r="H3361" s="616"/>
      <c r="I3361" s="616"/>
      <c r="J3361" s="645"/>
      <c r="K3361" s="450"/>
      <c r="L3361" s="450"/>
      <c r="M3361" s="458"/>
      <c r="N3361" s="458"/>
      <c r="O3361" s="540"/>
      <c r="R3361" s="490" t="str">
        <f t="shared" si="214"/>
        <v>DELETE</v>
      </c>
      <c r="T3361" s="498"/>
    </row>
    <row r="3362" spans="3:24" ht="36" customHeight="1" x14ac:dyDescent="0.45">
      <c r="C3362" s="575"/>
      <c r="D3362" s="615" t="str">
        <f>CONCATENATE("T/A ",Criteria!E14)</f>
        <v>T/A ABC RESTAURANT</v>
      </c>
      <c r="E3362" s="616"/>
      <c r="F3362" s="616"/>
      <c r="G3362" s="616"/>
      <c r="H3362" s="616"/>
      <c r="I3362" s="616"/>
      <c r="J3362" s="645"/>
      <c r="K3362" s="450"/>
      <c r="L3362" s="450"/>
      <c r="M3362" s="458"/>
      <c r="N3362" s="458"/>
      <c r="O3362" s="458"/>
      <c r="P3362" s="454"/>
      <c r="R3362" s="490" t="str">
        <f t="shared" si="214"/>
        <v>DELETE</v>
      </c>
      <c r="T3362" s="498"/>
    </row>
    <row r="3363" spans="3:24" ht="36" customHeight="1" x14ac:dyDescent="0.45">
      <c r="C3363" s="575"/>
      <c r="D3363" s="616"/>
      <c r="E3363" s="616"/>
      <c r="F3363" s="616"/>
      <c r="G3363" s="616"/>
      <c r="H3363" s="616"/>
      <c r="I3363" s="616"/>
      <c r="J3363" s="645"/>
      <c r="K3363" s="450"/>
      <c r="L3363" s="450"/>
      <c r="M3363" s="458"/>
      <c r="N3363" s="458"/>
      <c r="O3363" s="458"/>
      <c r="P3363" s="454"/>
      <c r="R3363" s="490" t="str">
        <f t="shared" si="214"/>
        <v>DELETE</v>
      </c>
      <c r="T3363" s="498"/>
    </row>
    <row r="3364" spans="3:24" ht="36" customHeight="1" x14ac:dyDescent="0.45">
      <c r="C3364" s="575"/>
      <c r="D3364" s="615" t="s">
        <v>109</v>
      </c>
      <c r="E3364" s="616"/>
      <c r="F3364" s="616"/>
      <c r="G3364" s="616"/>
      <c r="H3364" s="616"/>
      <c r="I3364" s="616"/>
      <c r="J3364" s="645"/>
      <c r="K3364" s="450"/>
      <c r="L3364" s="450"/>
      <c r="M3364" s="458"/>
      <c r="N3364" s="458"/>
      <c r="O3364" s="458"/>
      <c r="P3364" s="454"/>
      <c r="R3364" s="490" t="str">
        <f t="shared" si="214"/>
        <v>DELETE</v>
      </c>
      <c r="T3364" s="498"/>
    </row>
    <row r="3365" spans="3:24" ht="36" customHeight="1" x14ac:dyDescent="0.45">
      <c r="C3365" s="575"/>
      <c r="D3365" s="615" t="str">
        <f>D3281</f>
        <v>28 FEBRUARY 2026</v>
      </c>
      <c r="E3365" s="616"/>
      <c r="F3365" s="616"/>
      <c r="G3365" s="616"/>
      <c r="H3365" s="616"/>
      <c r="I3365" s="616"/>
      <c r="J3365" s="616" t="s">
        <v>118</v>
      </c>
      <c r="K3365" s="450"/>
      <c r="L3365" s="450"/>
      <c r="M3365" s="458"/>
      <c r="N3365" s="458"/>
      <c r="O3365" s="458"/>
      <c r="P3365" s="454"/>
      <c r="R3365" s="490" t="str">
        <f t="shared" si="214"/>
        <v>DELETE</v>
      </c>
      <c r="T3365" s="498"/>
    </row>
    <row r="3366" spans="3:24" ht="36" customHeight="1" x14ac:dyDescent="0.45">
      <c r="C3366" s="575"/>
      <c r="D3366" s="616"/>
      <c r="E3366" s="616"/>
      <c r="F3366" s="616"/>
      <c r="G3366" s="616"/>
      <c r="H3366" s="616"/>
      <c r="I3366" s="616"/>
      <c r="J3366" s="645"/>
      <c r="K3366" s="467"/>
      <c r="L3366" s="467"/>
      <c r="M3366" s="461"/>
      <c r="N3366" s="461"/>
      <c r="O3366" s="461"/>
      <c r="P3366" s="454"/>
      <c r="R3366" s="490" t="str">
        <f t="shared" si="214"/>
        <v>DELETE</v>
      </c>
      <c r="T3366" s="498"/>
    </row>
    <row r="3367" spans="3:24" ht="36" customHeight="1" x14ac:dyDescent="0.45">
      <c r="C3367" s="575"/>
      <c r="D3367" s="634"/>
      <c r="E3367" s="634"/>
      <c r="F3367" s="634"/>
      <c r="G3367" s="634"/>
      <c r="H3367" s="634"/>
      <c r="I3367" s="634"/>
      <c r="J3367" s="647"/>
      <c r="M3367" s="541"/>
      <c r="N3367" s="541"/>
      <c r="O3367" s="541"/>
      <c r="P3367" s="486"/>
      <c r="Q3367" s="457"/>
      <c r="R3367" s="490" t="str">
        <f t="shared" si="214"/>
        <v>DELETE</v>
      </c>
      <c r="T3367" s="498"/>
    </row>
    <row r="3368" spans="3:24" ht="36" customHeight="1" x14ac:dyDescent="0.45">
      <c r="C3368" s="575"/>
      <c r="D3368" s="616"/>
      <c r="E3368" s="616"/>
      <c r="F3368" s="616"/>
      <c r="G3368" s="616"/>
      <c r="H3368" s="616"/>
      <c r="I3368" s="616"/>
      <c r="J3368" s="645"/>
      <c r="K3368" s="450" t="s">
        <v>1494</v>
      </c>
      <c r="L3368" s="450"/>
      <c r="M3368" s="451"/>
      <c r="N3368" s="453"/>
      <c r="O3368" s="453">
        <f>Criteria!E22</f>
        <v>2026</v>
      </c>
      <c r="P3368" s="454"/>
      <c r="R3368" s="490" t="str">
        <f t="shared" si="214"/>
        <v>DELETE</v>
      </c>
      <c r="T3368" s="498"/>
    </row>
    <row r="3369" spans="3:24" ht="36" customHeight="1" x14ac:dyDescent="0.45">
      <c r="C3369" s="575"/>
      <c r="D3369" s="616"/>
      <c r="E3369" s="616"/>
      <c r="F3369" s="616"/>
      <c r="G3369" s="616"/>
      <c r="H3369" s="616"/>
      <c r="I3369" s="616"/>
      <c r="J3369" s="645"/>
      <c r="K3369" s="450"/>
      <c r="L3369" s="450"/>
      <c r="M3369" s="458"/>
      <c r="N3369" s="458"/>
      <c r="O3369" s="458"/>
      <c r="P3369" s="454"/>
      <c r="R3369" s="490" t="str">
        <f t="shared" si="214"/>
        <v>DELETE</v>
      </c>
      <c r="T3369" s="498"/>
    </row>
    <row r="3370" spans="3:24" ht="36" customHeight="1" x14ac:dyDescent="0.45">
      <c r="D3370" s="637" t="str">
        <f>IF(O3370&lt;0,"Operating loss","Operating profit")</f>
        <v>Operating profit</v>
      </c>
      <c r="E3370" s="616"/>
      <c r="F3370" s="616"/>
      <c r="G3370" s="616"/>
      <c r="H3370" s="616"/>
      <c r="I3370" s="616"/>
      <c r="J3370" s="645"/>
      <c r="K3370" s="450"/>
      <c r="L3370" s="451"/>
      <c r="M3370" s="451"/>
      <c r="N3370" s="450"/>
      <c r="O3370" s="458">
        <f>SUM(S3286:S3351)</f>
        <v>0</v>
      </c>
      <c r="P3370" s="454"/>
      <c r="R3370" s="490" t="str">
        <f t="shared" si="214"/>
        <v>DELETE</v>
      </c>
      <c r="T3370" s="498"/>
      <c r="V3370" s="491" t="b">
        <f>O3370=O3354</f>
        <v>1</v>
      </c>
    </row>
    <row r="3371" spans="3:24" ht="36" customHeight="1" x14ac:dyDescent="0.45">
      <c r="C3371" s="575"/>
      <c r="D3371" s="616"/>
      <c r="E3371" s="616" t="s">
        <v>290</v>
      </c>
      <c r="F3371" s="616"/>
      <c r="G3371" s="616"/>
      <c r="H3371" s="616"/>
      <c r="I3371" s="616"/>
      <c r="J3371" s="645"/>
      <c r="K3371" s="450"/>
      <c r="L3371" s="451"/>
      <c r="M3371" s="451"/>
      <c r="N3371" s="450"/>
      <c r="O3371" s="458"/>
      <c r="P3371" s="454"/>
      <c r="R3371" s="490" t="str">
        <f t="shared" si="214"/>
        <v>DELETE</v>
      </c>
      <c r="T3371" s="498"/>
    </row>
    <row r="3372" spans="3:24" ht="36" customHeight="1" x14ac:dyDescent="0.45">
      <c r="C3372" s="575"/>
      <c r="D3372" s="616"/>
      <c r="E3372" s="616"/>
      <c r="F3372" s="616"/>
      <c r="G3372" s="616"/>
      <c r="H3372" s="616"/>
      <c r="I3372" s="616"/>
      <c r="J3372" s="645"/>
      <c r="K3372" s="450"/>
      <c r="L3372" s="451"/>
      <c r="M3372" s="451"/>
      <c r="N3372" s="450"/>
      <c r="O3372" s="458"/>
      <c r="P3372" s="454"/>
      <c r="R3372" s="490" t="str">
        <f t="shared" si="214"/>
        <v>DELETE</v>
      </c>
      <c r="T3372" s="498"/>
    </row>
    <row r="3373" spans="3:24" ht="36" customHeight="1" x14ac:dyDescent="0.45">
      <c r="D3373" s="615" t="s">
        <v>1533</v>
      </c>
      <c r="E3373" s="616"/>
      <c r="F3373" s="616"/>
      <c r="G3373" s="616"/>
      <c r="H3373" s="616"/>
      <c r="I3373" s="616"/>
      <c r="J3373" s="645"/>
      <c r="K3373" s="450"/>
      <c r="L3373" s="451"/>
      <c r="M3373" s="451"/>
      <c r="N3373" s="450"/>
      <c r="O3373" s="458">
        <f>SUM(O3376:O3409)</f>
        <v>0</v>
      </c>
      <c r="P3373" s="454"/>
      <c r="R3373" s="490" t="str">
        <f t="shared" ref="R3373" si="215">IF(R$3274="DELETE","DELETE",IF(O3373=0,"DELETE"," "))</f>
        <v>DELETE</v>
      </c>
      <c r="S3373" s="495">
        <f>-O3373</f>
        <v>0</v>
      </c>
      <c r="T3373" s="498"/>
      <c r="U3373" s="495"/>
      <c r="V3373" s="495"/>
      <c r="W3373" s="495"/>
      <c r="X3373" s="495"/>
    </row>
    <row r="3374" spans="3:24" ht="9" customHeight="1" x14ac:dyDescent="0.45">
      <c r="C3374" s="575"/>
      <c r="D3374" s="616"/>
      <c r="E3374" s="616"/>
      <c r="F3374" s="616"/>
      <c r="G3374" s="616"/>
      <c r="H3374" s="616"/>
      <c r="I3374" s="616"/>
      <c r="J3374" s="645"/>
      <c r="K3374" s="450"/>
      <c r="L3374" s="451"/>
      <c r="M3374" s="451"/>
      <c r="N3374" s="450"/>
      <c r="O3374" s="458"/>
      <c r="P3374" s="454"/>
      <c r="R3374" s="490" t="str">
        <f>R3373</f>
        <v>DELETE</v>
      </c>
      <c r="T3374" s="498"/>
    </row>
    <row r="3375" spans="3:24" ht="9" customHeight="1" x14ac:dyDescent="0.45">
      <c r="C3375" s="575"/>
      <c r="D3375" s="616"/>
      <c r="E3375" s="616"/>
      <c r="F3375" s="616"/>
      <c r="G3375" s="616"/>
      <c r="H3375" s="616"/>
      <c r="I3375" s="616"/>
      <c r="J3375" s="645"/>
      <c r="K3375" s="450"/>
      <c r="L3375" s="451"/>
      <c r="M3375" s="451"/>
      <c r="N3375" s="450"/>
      <c r="O3375" s="587"/>
      <c r="P3375" s="454"/>
      <c r="R3375" s="490" t="str">
        <f>R3374</f>
        <v>DELETE</v>
      </c>
      <c r="T3375" s="498"/>
    </row>
    <row r="3376" spans="3:24" ht="36" customHeight="1" x14ac:dyDescent="0.45">
      <c r="C3376" s="575"/>
      <c r="D3376" s="616" t="s">
        <v>233</v>
      </c>
      <c r="E3376" s="616"/>
      <c r="F3376" s="616"/>
      <c r="G3376" s="616"/>
      <c r="H3376" s="616"/>
      <c r="I3376" s="616"/>
      <c r="J3376" s="645"/>
      <c r="K3376" s="450"/>
      <c r="L3376" s="451"/>
      <c r="M3376" s="451"/>
      <c r="N3376" s="450"/>
      <c r="O3376" s="588">
        <f>SUM(TrialBalanceA!I99:I102)</f>
        <v>0</v>
      </c>
      <c r="P3376" s="454"/>
      <c r="R3376" s="490" t="str">
        <f t="shared" ref="R3376:R3407" si="216">IF(R$3274="DELETE","DELETE",IF(O3376=0,"DELETE"," "))</f>
        <v>DELETE</v>
      </c>
      <c r="T3376" s="498"/>
    </row>
    <row r="3377" spans="3:20" ht="36" customHeight="1" x14ac:dyDescent="0.45">
      <c r="C3377" s="575"/>
      <c r="D3377" s="616" t="s">
        <v>237</v>
      </c>
      <c r="E3377" s="616"/>
      <c r="F3377" s="616"/>
      <c r="G3377" s="616"/>
      <c r="H3377" s="616"/>
      <c r="I3377" s="616"/>
      <c r="J3377" s="645"/>
      <c r="K3377" s="450"/>
      <c r="L3377" s="451"/>
      <c r="M3377" s="451"/>
      <c r="N3377" s="450"/>
      <c r="O3377" s="588">
        <f>TrialBalanceA!I104</f>
        <v>0</v>
      </c>
      <c r="P3377" s="454"/>
      <c r="R3377" s="490" t="str">
        <f t="shared" si="216"/>
        <v>DELETE</v>
      </c>
      <c r="T3377" s="498"/>
    </row>
    <row r="3378" spans="3:20" ht="36" customHeight="1" x14ac:dyDescent="0.45">
      <c r="C3378" s="575"/>
      <c r="D3378" s="616" t="s">
        <v>235</v>
      </c>
      <c r="E3378" s="616"/>
      <c r="F3378" s="616"/>
      <c r="G3378" s="616"/>
      <c r="H3378" s="616"/>
      <c r="I3378" s="616"/>
      <c r="J3378" s="645"/>
      <c r="K3378" s="450"/>
      <c r="L3378" s="451"/>
      <c r="M3378" s="451"/>
      <c r="N3378" s="450"/>
      <c r="O3378" s="588">
        <f>TrialBalanceA!I103</f>
        <v>0</v>
      </c>
      <c r="P3378" s="454"/>
      <c r="R3378" s="490" t="str">
        <f t="shared" si="216"/>
        <v>DELETE</v>
      </c>
      <c r="T3378" s="498"/>
    </row>
    <row r="3379" spans="3:20" ht="36" customHeight="1" x14ac:dyDescent="0.45">
      <c r="C3379" s="575"/>
      <c r="D3379" s="616" t="s">
        <v>291</v>
      </c>
      <c r="E3379" s="616"/>
      <c r="F3379" s="616"/>
      <c r="G3379" s="616"/>
      <c r="H3379" s="616"/>
      <c r="I3379" s="616"/>
      <c r="J3379" s="645"/>
      <c r="K3379" s="450"/>
      <c r="L3379" s="451"/>
      <c r="M3379" s="451"/>
      <c r="N3379" s="450"/>
      <c r="O3379" s="588">
        <f>TrialBalanceA!I105</f>
        <v>0</v>
      </c>
      <c r="P3379" s="454"/>
      <c r="R3379" s="490" t="str">
        <f t="shared" si="216"/>
        <v>DELETE</v>
      </c>
      <c r="T3379" s="498"/>
    </row>
    <row r="3380" spans="3:20" ht="36" customHeight="1" x14ac:dyDescent="0.45">
      <c r="C3380" s="575"/>
      <c r="D3380" s="616" t="s">
        <v>240</v>
      </c>
      <c r="E3380" s="616"/>
      <c r="F3380" s="616"/>
      <c r="G3380" s="616"/>
      <c r="H3380" s="616"/>
      <c r="I3380" s="616"/>
      <c r="J3380" s="645"/>
      <c r="K3380" s="450"/>
      <c r="L3380" s="451"/>
      <c r="M3380" s="451"/>
      <c r="N3380" s="450"/>
      <c r="O3380" s="588">
        <f>TrialBalanceA!I106</f>
        <v>0</v>
      </c>
      <c r="P3380" s="454"/>
      <c r="R3380" s="490" t="str">
        <f t="shared" si="216"/>
        <v>DELETE</v>
      </c>
      <c r="T3380" s="498"/>
    </row>
    <row r="3381" spans="3:20" ht="36" customHeight="1" x14ac:dyDescent="0.45">
      <c r="C3381" s="575"/>
      <c r="D3381" s="616" t="s">
        <v>873</v>
      </c>
      <c r="E3381" s="616"/>
      <c r="F3381" s="616"/>
      <c r="G3381" s="616"/>
      <c r="H3381" s="616"/>
      <c r="I3381" s="616"/>
      <c r="J3381" s="645"/>
      <c r="K3381" s="450"/>
      <c r="L3381" s="451"/>
      <c r="M3381" s="451"/>
      <c r="N3381" s="450"/>
      <c r="O3381" s="588">
        <f>TrialBalanceA!I107</f>
        <v>0</v>
      </c>
      <c r="P3381" s="454"/>
      <c r="R3381" s="490" t="str">
        <f t="shared" si="216"/>
        <v>DELETE</v>
      </c>
      <c r="T3381" s="498"/>
    </row>
    <row r="3382" spans="3:20" ht="36" customHeight="1" x14ac:dyDescent="0.45">
      <c r="C3382" s="575"/>
      <c r="D3382" s="616" t="s">
        <v>1759</v>
      </c>
      <c r="E3382" s="616"/>
      <c r="F3382" s="616"/>
      <c r="G3382" s="616"/>
      <c r="H3382" s="616"/>
      <c r="I3382" s="616"/>
      <c r="J3382" s="645"/>
      <c r="K3382" s="450"/>
      <c r="L3382" s="451"/>
      <c r="M3382" s="451"/>
      <c r="N3382" s="450"/>
      <c r="O3382" s="588">
        <f>TrialBalanceA!I108</f>
        <v>0</v>
      </c>
      <c r="P3382" s="454"/>
      <c r="R3382" s="490" t="str">
        <f>IF(R$3274="DELETE","DELETE",IF(O3382=0,"DELETE"," "))</f>
        <v>DELETE</v>
      </c>
      <c r="T3382" s="498"/>
    </row>
    <row r="3383" spans="3:20" ht="36" customHeight="1" x14ac:dyDescent="0.45">
      <c r="C3383" s="575"/>
      <c r="D3383" s="616" t="s">
        <v>304</v>
      </c>
      <c r="E3383" s="616"/>
      <c r="F3383" s="616"/>
      <c r="G3383" s="616"/>
      <c r="H3383" s="616"/>
      <c r="I3383" s="616"/>
      <c r="J3383" s="645"/>
      <c r="K3383" s="450">
        <f>B$1250</f>
        <v>5</v>
      </c>
      <c r="L3383" s="451"/>
      <c r="M3383" s="451"/>
      <c r="N3383" s="450"/>
      <c r="O3383" s="588">
        <f>SUM(TrialBalanceA!I110:I111)</f>
        <v>0</v>
      </c>
      <c r="P3383" s="454"/>
      <c r="R3383" s="490" t="str">
        <f t="shared" si="216"/>
        <v>DELETE</v>
      </c>
      <c r="T3383" s="498"/>
    </row>
    <row r="3384" spans="3:20" ht="36" customHeight="1" x14ac:dyDescent="0.45">
      <c r="C3384" s="575"/>
      <c r="D3384" s="616" t="str">
        <f>IF(MAX(Criteria!I41:I45)&gt;1,"Directors' remuneration","Director's remuneration")</f>
        <v>Directors' remuneration</v>
      </c>
      <c r="E3384" s="616"/>
      <c r="F3384" s="616"/>
      <c r="G3384" s="616"/>
      <c r="H3384" s="616"/>
      <c r="I3384" s="616"/>
      <c r="J3384" s="645"/>
      <c r="K3384" s="450">
        <f>B$1250</f>
        <v>5</v>
      </c>
      <c r="L3384" s="451"/>
      <c r="M3384" s="451"/>
      <c r="N3384" s="450"/>
      <c r="O3384" s="588">
        <f>SUM(TrialBalanceA!I113:I117)</f>
        <v>0</v>
      </c>
      <c r="P3384" s="454"/>
      <c r="R3384" s="490" t="str">
        <f t="shared" si="216"/>
        <v>DELETE</v>
      </c>
      <c r="T3384" s="498"/>
    </row>
    <row r="3385" spans="3:20" ht="36" customHeight="1" x14ac:dyDescent="0.45">
      <c r="C3385" s="575"/>
      <c r="D3385" s="616" t="s">
        <v>292</v>
      </c>
      <c r="E3385" s="616"/>
      <c r="F3385" s="616"/>
      <c r="G3385" s="616"/>
      <c r="H3385" s="616"/>
      <c r="I3385" s="616"/>
      <c r="J3385" s="645"/>
      <c r="K3385" s="450"/>
      <c r="L3385" s="451"/>
      <c r="M3385" s="451"/>
      <c r="N3385" s="450"/>
      <c r="O3385" s="588">
        <f>TrialBalanceA!I118</f>
        <v>0</v>
      </c>
      <c r="P3385" s="454"/>
      <c r="R3385" s="490" t="str">
        <f t="shared" si="216"/>
        <v>DELETE</v>
      </c>
      <c r="T3385" s="498"/>
    </row>
    <row r="3386" spans="3:20" ht="36" customHeight="1" x14ac:dyDescent="0.45">
      <c r="C3386" s="575"/>
      <c r="D3386" s="616" t="s">
        <v>408</v>
      </c>
      <c r="E3386" s="616"/>
      <c r="F3386" s="616"/>
      <c r="G3386" s="616"/>
      <c r="H3386" s="616"/>
      <c r="I3386" s="616"/>
      <c r="J3386" s="645"/>
      <c r="K3386" s="450"/>
      <c r="L3386" s="451"/>
      <c r="M3386" s="451"/>
      <c r="N3386" s="450"/>
      <c r="O3386" s="588">
        <f>TrialBalanceA!I119</f>
        <v>0</v>
      </c>
      <c r="P3386" s="454"/>
      <c r="R3386" s="490" t="str">
        <f t="shared" si="216"/>
        <v>DELETE</v>
      </c>
      <c r="T3386" s="498"/>
    </row>
    <row r="3387" spans="3:20" ht="36" customHeight="1" x14ac:dyDescent="0.45">
      <c r="C3387" s="575"/>
      <c r="D3387" s="616" t="s">
        <v>357</v>
      </c>
      <c r="E3387" s="616"/>
      <c r="F3387" s="616"/>
      <c r="G3387" s="616"/>
      <c r="H3387" s="616"/>
      <c r="I3387" s="616"/>
      <c r="J3387" s="645"/>
      <c r="K3387" s="450"/>
      <c r="L3387" s="451"/>
      <c r="M3387" s="451"/>
      <c r="N3387" s="450"/>
      <c r="O3387" s="588">
        <f>TrialBalanceA!I120</f>
        <v>0</v>
      </c>
      <c r="P3387" s="454"/>
      <c r="R3387" s="490" t="str">
        <f t="shared" si="216"/>
        <v>DELETE</v>
      </c>
      <c r="T3387" s="498"/>
    </row>
    <row r="3388" spans="3:20" ht="36" customHeight="1" x14ac:dyDescent="0.45">
      <c r="C3388" s="575"/>
      <c r="D3388" s="616" t="s">
        <v>410</v>
      </c>
      <c r="E3388" s="616"/>
      <c r="F3388" s="616"/>
      <c r="G3388" s="616"/>
      <c r="H3388" s="616"/>
      <c r="I3388" s="616"/>
      <c r="J3388" s="645"/>
      <c r="K3388" s="450"/>
      <c r="L3388" s="451"/>
      <c r="M3388" s="451"/>
      <c r="N3388" s="450"/>
      <c r="O3388" s="588">
        <f>TrialBalanceA!I121</f>
        <v>0</v>
      </c>
      <c r="P3388" s="454"/>
      <c r="R3388" s="490" t="str">
        <f t="shared" si="216"/>
        <v>DELETE</v>
      </c>
      <c r="T3388" s="498"/>
    </row>
    <row r="3389" spans="3:20" ht="36" customHeight="1" x14ac:dyDescent="0.45">
      <c r="C3389" s="575"/>
      <c r="D3389" s="616" t="s">
        <v>1256</v>
      </c>
      <c r="E3389" s="616"/>
      <c r="F3389" s="616"/>
      <c r="G3389" s="616"/>
      <c r="H3389" s="616"/>
      <c r="I3389" s="616"/>
      <c r="J3389" s="645"/>
      <c r="K3389" s="450"/>
      <c r="L3389" s="451"/>
      <c r="M3389" s="451"/>
      <c r="N3389" s="450"/>
      <c r="O3389" s="588">
        <f>TrialBalanceA!I156</f>
        <v>0</v>
      </c>
      <c r="P3389" s="454"/>
      <c r="R3389" s="490" t="str">
        <f t="shared" si="216"/>
        <v>DELETE</v>
      </c>
      <c r="T3389" s="498"/>
    </row>
    <row r="3390" spans="3:20" ht="36" customHeight="1" x14ac:dyDescent="0.45">
      <c r="C3390" s="575"/>
      <c r="D3390" s="616" t="s">
        <v>561</v>
      </c>
      <c r="E3390" s="616"/>
      <c r="F3390" s="616"/>
      <c r="G3390" s="616"/>
      <c r="H3390" s="616"/>
      <c r="I3390" s="616"/>
      <c r="J3390" s="645"/>
      <c r="K3390" s="450"/>
      <c r="L3390" s="451"/>
      <c r="M3390" s="451"/>
      <c r="N3390" s="450"/>
      <c r="O3390" s="588">
        <f>TrialBalanceA!I122+TrialBalanceA!I123</f>
        <v>0</v>
      </c>
      <c r="P3390" s="454"/>
      <c r="R3390" s="490" t="str">
        <f t="shared" si="216"/>
        <v>DELETE</v>
      </c>
      <c r="T3390" s="498"/>
    </row>
    <row r="3391" spans="3:20" ht="36" customHeight="1" x14ac:dyDescent="0.45">
      <c r="C3391" s="575"/>
      <c r="D3391" s="616" t="s">
        <v>588</v>
      </c>
      <c r="E3391" s="616"/>
      <c r="F3391" s="616"/>
      <c r="G3391" s="616"/>
      <c r="H3391" s="616"/>
      <c r="I3391" s="616"/>
      <c r="J3391" s="645"/>
      <c r="K3391" s="450"/>
      <c r="L3391" s="451"/>
      <c r="M3391" s="451"/>
      <c r="N3391" s="450"/>
      <c r="O3391" s="588">
        <f>IF(TrialBalanceA!I94&gt;0,TrialBalanceA!I94,0)</f>
        <v>0</v>
      </c>
      <c r="P3391" s="454"/>
      <c r="R3391" s="490" t="str">
        <f t="shared" si="216"/>
        <v>DELETE</v>
      </c>
      <c r="T3391" s="498"/>
    </row>
    <row r="3392" spans="3:20" ht="36" customHeight="1" x14ac:dyDescent="0.45">
      <c r="C3392" s="575"/>
      <c r="D3392" s="616" t="s">
        <v>874</v>
      </c>
      <c r="E3392" s="616"/>
      <c r="F3392" s="616"/>
      <c r="G3392" s="616"/>
      <c r="H3392" s="616"/>
      <c r="I3392" s="616"/>
      <c r="J3392" s="645"/>
      <c r="K3392" s="450"/>
      <c r="L3392" s="451"/>
      <c r="M3392" s="451"/>
      <c r="N3392" s="450"/>
      <c r="O3392" s="588">
        <f>TrialBalanceA!I124</f>
        <v>0</v>
      </c>
      <c r="P3392" s="454"/>
      <c r="R3392" s="490" t="str">
        <f t="shared" si="216"/>
        <v>DELETE</v>
      </c>
      <c r="T3392" s="498"/>
    </row>
    <row r="3393" spans="3:20" ht="36" customHeight="1" x14ac:dyDescent="0.45">
      <c r="C3393" s="575"/>
      <c r="D3393" s="616" t="s">
        <v>293</v>
      </c>
      <c r="E3393" s="616"/>
      <c r="F3393" s="616"/>
      <c r="G3393" s="616"/>
      <c r="H3393" s="616"/>
      <c r="I3393" s="616"/>
      <c r="J3393" s="645"/>
      <c r="K3393" s="450"/>
      <c r="L3393" s="451"/>
      <c r="M3393" s="451"/>
      <c r="N3393" s="450"/>
      <c r="O3393" s="588">
        <f>TrialBalanceA!I125</f>
        <v>0</v>
      </c>
      <c r="P3393" s="454"/>
      <c r="R3393" s="490" t="str">
        <f t="shared" si="216"/>
        <v>DELETE</v>
      </c>
      <c r="T3393" s="498"/>
    </row>
    <row r="3394" spans="3:20" ht="36" customHeight="1" x14ac:dyDescent="0.45">
      <c r="C3394" s="575"/>
      <c r="D3394" s="616" t="s">
        <v>286</v>
      </c>
      <c r="E3394" s="616"/>
      <c r="F3394" s="616"/>
      <c r="G3394" s="616"/>
      <c r="H3394" s="616"/>
      <c r="I3394" s="616"/>
      <c r="J3394" s="645"/>
      <c r="K3394" s="450"/>
      <c r="L3394" s="451"/>
      <c r="M3394" s="451"/>
      <c r="N3394" s="450"/>
      <c r="O3394" s="588">
        <f>SUM(TrialBalanceA!I126:I127)</f>
        <v>0</v>
      </c>
      <c r="P3394" s="454"/>
      <c r="R3394" s="490" t="str">
        <f t="shared" si="216"/>
        <v>DELETE</v>
      </c>
      <c r="T3394" s="498"/>
    </row>
    <row r="3395" spans="3:20" ht="36" customHeight="1" x14ac:dyDescent="0.45">
      <c r="C3395" s="575"/>
      <c r="D3395" s="616" t="s">
        <v>294</v>
      </c>
      <c r="E3395" s="616"/>
      <c r="F3395" s="616"/>
      <c r="G3395" s="616"/>
      <c r="H3395" s="616"/>
      <c r="I3395" s="616"/>
      <c r="J3395" s="645"/>
      <c r="K3395" s="450"/>
      <c r="L3395" s="451"/>
      <c r="M3395" s="451"/>
      <c r="N3395" s="450"/>
      <c r="O3395" s="588">
        <f>TrialBalanceA!I128</f>
        <v>0</v>
      </c>
      <c r="P3395" s="454"/>
      <c r="R3395" s="490" t="str">
        <f t="shared" si="216"/>
        <v>DELETE</v>
      </c>
      <c r="T3395" s="498"/>
    </row>
    <row r="3396" spans="3:20" ht="36" customHeight="1" x14ac:dyDescent="0.45">
      <c r="C3396" s="575"/>
      <c r="D3396" s="616" t="s">
        <v>875</v>
      </c>
      <c r="E3396" s="616"/>
      <c r="F3396" s="616"/>
      <c r="G3396" s="616"/>
      <c r="H3396" s="616"/>
      <c r="I3396" s="616"/>
      <c r="J3396" s="645"/>
      <c r="K3396" s="450"/>
      <c r="L3396" s="451"/>
      <c r="M3396" s="451"/>
      <c r="N3396" s="450"/>
      <c r="O3396" s="588">
        <f>TrialBalanceA!I129</f>
        <v>0</v>
      </c>
      <c r="P3396" s="454"/>
      <c r="R3396" s="490" t="str">
        <f t="shared" si="216"/>
        <v>DELETE</v>
      </c>
      <c r="T3396" s="498"/>
    </row>
    <row r="3397" spans="3:20" ht="36" customHeight="1" x14ac:dyDescent="0.45">
      <c r="C3397" s="575"/>
      <c r="D3397" s="616" t="s">
        <v>94</v>
      </c>
      <c r="E3397" s="616"/>
      <c r="F3397" s="616"/>
      <c r="G3397" s="616"/>
      <c r="H3397" s="616"/>
      <c r="I3397" s="616"/>
      <c r="J3397" s="645"/>
      <c r="K3397" s="450"/>
      <c r="L3397" s="451"/>
      <c r="M3397" s="451"/>
      <c r="N3397" s="450"/>
      <c r="O3397" s="588">
        <f>TrialBalanceA!I130</f>
        <v>0</v>
      </c>
      <c r="P3397" s="454"/>
      <c r="R3397" s="490" t="str">
        <f t="shared" si="216"/>
        <v>DELETE</v>
      </c>
      <c r="T3397" s="498"/>
    </row>
    <row r="3398" spans="3:20" ht="36" customHeight="1" x14ac:dyDescent="0.45">
      <c r="C3398" s="575"/>
      <c r="D3398" s="616">
        <f>TrialBalanceA!C131</f>
        <v>0</v>
      </c>
      <c r="E3398" s="616"/>
      <c r="F3398" s="616"/>
      <c r="G3398" s="616"/>
      <c r="H3398" s="616"/>
      <c r="I3398" s="616"/>
      <c r="J3398" s="645"/>
      <c r="K3398" s="450"/>
      <c r="L3398" s="451"/>
      <c r="M3398" s="451"/>
      <c r="N3398" s="450"/>
      <c r="O3398" s="588">
        <f>TrialBalanceA!I131</f>
        <v>0</v>
      </c>
      <c r="P3398" s="454"/>
      <c r="R3398" s="490" t="str">
        <f t="shared" si="216"/>
        <v>DELETE</v>
      </c>
      <c r="T3398" s="498"/>
    </row>
    <row r="3399" spans="3:20" ht="36" customHeight="1" x14ac:dyDescent="0.45">
      <c r="C3399" s="575"/>
      <c r="D3399" s="616">
        <f>TrialBalanceA!C132</f>
        <v>0</v>
      </c>
      <c r="E3399" s="616"/>
      <c r="F3399" s="616"/>
      <c r="G3399" s="616"/>
      <c r="H3399" s="616"/>
      <c r="I3399" s="616"/>
      <c r="J3399" s="645"/>
      <c r="K3399" s="450"/>
      <c r="L3399" s="451"/>
      <c r="M3399" s="451"/>
      <c r="N3399" s="450"/>
      <c r="O3399" s="588">
        <f>TrialBalanceA!I132</f>
        <v>0</v>
      </c>
      <c r="P3399" s="454"/>
      <c r="R3399" s="490" t="str">
        <f t="shared" si="216"/>
        <v>DELETE</v>
      </c>
      <c r="T3399" s="498"/>
    </row>
    <row r="3400" spans="3:20" ht="36" customHeight="1" x14ac:dyDescent="0.45">
      <c r="C3400" s="575"/>
      <c r="D3400" s="616">
        <f>TrialBalanceA!C133</f>
        <v>0</v>
      </c>
      <c r="E3400" s="616"/>
      <c r="F3400" s="616"/>
      <c r="G3400" s="616"/>
      <c r="H3400" s="616"/>
      <c r="I3400" s="616"/>
      <c r="J3400" s="645"/>
      <c r="K3400" s="450"/>
      <c r="L3400" s="451"/>
      <c r="M3400" s="451"/>
      <c r="N3400" s="450"/>
      <c r="O3400" s="588">
        <f>TrialBalanceA!I133</f>
        <v>0</v>
      </c>
      <c r="P3400" s="454"/>
      <c r="R3400" s="490" t="str">
        <f t="shared" si="216"/>
        <v>DELETE</v>
      </c>
      <c r="T3400" s="498"/>
    </row>
    <row r="3401" spans="3:20" ht="36" customHeight="1" x14ac:dyDescent="0.45">
      <c r="C3401" s="575"/>
      <c r="D3401" s="616">
        <f>TrialBalanceA!C134</f>
        <v>0</v>
      </c>
      <c r="E3401" s="616"/>
      <c r="F3401" s="616"/>
      <c r="G3401" s="616"/>
      <c r="H3401" s="616"/>
      <c r="I3401" s="616"/>
      <c r="J3401" s="645"/>
      <c r="K3401" s="450"/>
      <c r="L3401" s="451"/>
      <c r="M3401" s="451"/>
      <c r="N3401" s="450"/>
      <c r="O3401" s="588">
        <f>TrialBalanceA!I134</f>
        <v>0</v>
      </c>
      <c r="P3401" s="454"/>
      <c r="R3401" s="490" t="str">
        <f t="shared" si="216"/>
        <v>DELETE</v>
      </c>
      <c r="T3401" s="498"/>
    </row>
    <row r="3402" spans="3:20" ht="36" customHeight="1" x14ac:dyDescent="0.45">
      <c r="C3402" s="575"/>
      <c r="D3402" s="616">
        <f>TrialBalanceA!C135</f>
        <v>0</v>
      </c>
      <c r="E3402" s="616"/>
      <c r="F3402" s="616"/>
      <c r="G3402" s="616"/>
      <c r="H3402" s="616"/>
      <c r="I3402" s="616"/>
      <c r="J3402" s="645"/>
      <c r="K3402" s="450"/>
      <c r="L3402" s="451"/>
      <c r="M3402" s="451"/>
      <c r="N3402" s="450"/>
      <c r="O3402" s="588">
        <f>TrialBalanceA!I135</f>
        <v>0</v>
      </c>
      <c r="P3402" s="454"/>
      <c r="R3402" s="490" t="str">
        <f t="shared" si="216"/>
        <v>DELETE</v>
      </c>
      <c r="T3402" s="498"/>
    </row>
    <row r="3403" spans="3:20" ht="36" customHeight="1" x14ac:dyDescent="0.45">
      <c r="C3403" s="575"/>
      <c r="D3403" s="616">
        <f>TrialBalanceA!C136</f>
        <v>0</v>
      </c>
      <c r="E3403" s="616"/>
      <c r="F3403" s="616"/>
      <c r="G3403" s="616"/>
      <c r="H3403" s="616"/>
      <c r="I3403" s="616"/>
      <c r="J3403" s="645"/>
      <c r="K3403" s="450"/>
      <c r="L3403" s="451"/>
      <c r="M3403" s="451"/>
      <c r="N3403" s="450"/>
      <c r="O3403" s="588">
        <f>TrialBalanceA!I136</f>
        <v>0</v>
      </c>
      <c r="P3403" s="454"/>
      <c r="R3403" s="490" t="str">
        <f t="shared" si="216"/>
        <v>DELETE</v>
      </c>
      <c r="T3403" s="498"/>
    </row>
    <row r="3404" spans="3:20" ht="36" customHeight="1" x14ac:dyDescent="0.45">
      <c r="C3404" s="575"/>
      <c r="D3404" s="616">
        <f>TrialBalanceA!C137</f>
        <v>0</v>
      </c>
      <c r="E3404" s="616"/>
      <c r="F3404" s="616"/>
      <c r="G3404" s="616"/>
      <c r="H3404" s="616"/>
      <c r="I3404" s="616"/>
      <c r="J3404" s="645"/>
      <c r="K3404" s="450"/>
      <c r="L3404" s="451"/>
      <c r="M3404" s="451"/>
      <c r="N3404" s="450"/>
      <c r="O3404" s="588">
        <f>TrialBalanceA!I137</f>
        <v>0</v>
      </c>
      <c r="P3404" s="454"/>
      <c r="R3404" s="490" t="str">
        <f t="shared" si="216"/>
        <v>DELETE</v>
      </c>
      <c r="T3404" s="498"/>
    </row>
    <row r="3405" spans="3:20" ht="36" customHeight="1" x14ac:dyDescent="0.45">
      <c r="C3405" s="575"/>
      <c r="D3405" s="616">
        <f>TrialBalanceA!C138</f>
        <v>0</v>
      </c>
      <c r="E3405" s="616"/>
      <c r="F3405" s="616"/>
      <c r="G3405" s="616"/>
      <c r="H3405" s="616"/>
      <c r="I3405" s="616"/>
      <c r="J3405" s="645"/>
      <c r="K3405" s="450"/>
      <c r="L3405" s="451"/>
      <c r="M3405" s="451"/>
      <c r="N3405" s="450"/>
      <c r="O3405" s="588">
        <f>TrialBalanceA!I138</f>
        <v>0</v>
      </c>
      <c r="P3405" s="454"/>
      <c r="R3405" s="490" t="str">
        <f t="shared" si="216"/>
        <v>DELETE</v>
      </c>
      <c r="T3405" s="498"/>
    </row>
    <row r="3406" spans="3:20" ht="36" customHeight="1" x14ac:dyDescent="0.45">
      <c r="C3406" s="575"/>
      <c r="D3406" s="616">
        <f>TrialBalanceA!C139</f>
        <v>0</v>
      </c>
      <c r="E3406" s="616"/>
      <c r="F3406" s="616"/>
      <c r="G3406" s="616"/>
      <c r="H3406" s="616"/>
      <c r="I3406" s="616"/>
      <c r="J3406" s="645"/>
      <c r="K3406" s="450"/>
      <c r="L3406" s="451"/>
      <c r="M3406" s="451"/>
      <c r="N3406" s="450"/>
      <c r="O3406" s="588">
        <f>TrialBalanceA!I139</f>
        <v>0</v>
      </c>
      <c r="P3406" s="454"/>
      <c r="R3406" s="490" t="str">
        <f t="shared" si="216"/>
        <v>DELETE</v>
      </c>
      <c r="T3406" s="498"/>
    </row>
    <row r="3407" spans="3:20" ht="36" customHeight="1" x14ac:dyDescent="0.45">
      <c r="C3407" s="575"/>
      <c r="D3407" s="616" t="str">
        <f>TrialBalanceA!C140</f>
        <v>Amortisation of prepaid lease agreement</v>
      </c>
      <c r="E3407" s="616"/>
      <c r="F3407" s="616"/>
      <c r="G3407" s="616"/>
      <c r="H3407" s="616"/>
      <c r="I3407" s="616"/>
      <c r="J3407" s="645"/>
      <c r="K3407" s="450"/>
      <c r="L3407" s="451"/>
      <c r="M3407" s="451"/>
      <c r="N3407" s="450"/>
      <c r="O3407" s="588">
        <f>TrialBalanceA!I140</f>
        <v>0</v>
      </c>
      <c r="P3407" s="454"/>
      <c r="R3407" s="490" t="str">
        <f t="shared" si="216"/>
        <v>DELETE</v>
      </c>
      <c r="T3407" s="498"/>
    </row>
    <row r="3408" spans="3:20" ht="36" customHeight="1" x14ac:dyDescent="0.45">
      <c r="C3408" s="575"/>
      <c r="D3408" s="616" t="str">
        <f>TrialBalanceA!C141</f>
        <v>Amortisation of goodwill</v>
      </c>
      <c r="E3408" s="616"/>
      <c r="F3408" s="616"/>
      <c r="G3408" s="616"/>
      <c r="H3408" s="616"/>
      <c r="I3408" s="616"/>
      <c r="J3408" s="645"/>
      <c r="K3408" s="450"/>
      <c r="L3408" s="451"/>
      <c r="M3408" s="451"/>
      <c r="N3408" s="450"/>
      <c r="O3408" s="588">
        <f>TrialBalanceA!I141</f>
        <v>0</v>
      </c>
      <c r="P3408" s="454"/>
      <c r="R3408" s="490" t="str">
        <f t="shared" ref="R3408" si="217">IF(R$3274="DELETE","DELETE",IF(O3408=0,"DELETE"," "))</f>
        <v>DELETE</v>
      </c>
      <c r="T3408" s="498"/>
    </row>
    <row r="3409" spans="3:24" ht="9" customHeight="1" x14ac:dyDescent="0.45">
      <c r="C3409" s="575"/>
      <c r="D3409" s="616"/>
      <c r="E3409" s="616"/>
      <c r="F3409" s="616"/>
      <c r="G3409" s="616"/>
      <c r="H3409" s="616"/>
      <c r="I3409" s="616"/>
      <c r="J3409" s="645"/>
      <c r="K3409" s="450"/>
      <c r="L3409" s="451"/>
      <c r="M3409" s="451"/>
      <c r="N3409" s="450"/>
      <c r="O3409" s="589"/>
      <c r="P3409" s="454"/>
      <c r="R3409" s="490" t="str">
        <f>R3373</f>
        <v>DELETE</v>
      </c>
      <c r="T3409" s="498"/>
    </row>
    <row r="3410" spans="3:24" ht="9" customHeight="1" x14ac:dyDescent="0.45">
      <c r="C3410" s="575"/>
      <c r="D3410" s="616"/>
      <c r="E3410" s="616"/>
      <c r="F3410" s="616"/>
      <c r="G3410" s="616"/>
      <c r="H3410" s="616"/>
      <c r="I3410" s="616"/>
      <c r="J3410" s="645"/>
      <c r="K3410" s="450"/>
      <c r="L3410" s="451"/>
      <c r="M3410" s="451"/>
      <c r="N3410" s="450"/>
      <c r="O3410" s="461"/>
      <c r="P3410" s="454"/>
      <c r="R3410" s="490" t="str">
        <f>R$3274</f>
        <v>DELETE</v>
      </c>
      <c r="T3410" s="498"/>
    </row>
    <row r="3411" spans="3:24" ht="9" customHeight="1" x14ac:dyDescent="0.45">
      <c r="C3411" s="575"/>
      <c r="D3411" s="616"/>
      <c r="E3411" s="616"/>
      <c r="F3411" s="616"/>
      <c r="G3411" s="616"/>
      <c r="H3411" s="616"/>
      <c r="I3411" s="616"/>
      <c r="J3411" s="645"/>
      <c r="K3411" s="450"/>
      <c r="L3411" s="451"/>
      <c r="M3411" s="451"/>
      <c r="N3411" s="450"/>
      <c r="O3411" s="458"/>
      <c r="P3411" s="454"/>
      <c r="R3411" s="490" t="str">
        <f>R$3274</f>
        <v>DELETE</v>
      </c>
      <c r="T3411" s="498"/>
    </row>
    <row r="3412" spans="3:24" ht="36" customHeight="1" x14ac:dyDescent="0.45">
      <c r="D3412" s="637" t="str">
        <f>IF(O3412&lt;0,"Operating loss for the year","Operating profit for the year")</f>
        <v>Operating profit for the year</v>
      </c>
      <c r="E3412" s="616"/>
      <c r="F3412" s="616"/>
      <c r="G3412" s="616"/>
      <c r="H3412" s="616"/>
      <c r="I3412" s="616"/>
      <c r="J3412" s="645"/>
      <c r="K3412" s="450">
        <f>FS!B1250</f>
        <v>5</v>
      </c>
      <c r="L3412" s="451"/>
      <c r="M3412" s="451"/>
      <c r="N3412" s="450"/>
      <c r="O3412" s="458">
        <f>SUM(S3286:S3409)</f>
        <v>0</v>
      </c>
      <c r="P3412" s="454"/>
      <c r="R3412" s="490" t="str">
        <f>R$3274</f>
        <v>DELETE</v>
      </c>
      <c r="T3412" s="498"/>
    </row>
    <row r="3413" spans="3:24" ht="36" customHeight="1" x14ac:dyDescent="0.45">
      <c r="C3413" s="575"/>
      <c r="D3413" s="616"/>
      <c r="E3413" s="616"/>
      <c r="F3413" s="616"/>
      <c r="G3413" s="616"/>
      <c r="H3413" s="616"/>
      <c r="I3413" s="616"/>
      <c r="J3413" s="645"/>
      <c r="K3413" s="450"/>
      <c r="L3413" s="451"/>
      <c r="M3413" s="451"/>
      <c r="N3413" s="450"/>
      <c r="O3413" s="458"/>
      <c r="P3413" s="454"/>
      <c r="R3413" s="490" t="str">
        <f>R$3274</f>
        <v>DELETE</v>
      </c>
      <c r="T3413" s="498"/>
    </row>
    <row r="3414" spans="3:24" ht="36" customHeight="1" x14ac:dyDescent="0.45">
      <c r="D3414" s="615" t="s">
        <v>225</v>
      </c>
      <c r="E3414" s="616"/>
      <c r="F3414" s="616"/>
      <c r="G3414" s="616"/>
      <c r="H3414" s="616"/>
      <c r="I3414" s="616"/>
      <c r="J3414" s="645"/>
      <c r="K3414" s="450">
        <f>FS!B1364</f>
        <v>6</v>
      </c>
      <c r="L3414" s="451"/>
      <c r="M3414" s="451"/>
      <c r="N3414" s="450"/>
      <c r="O3414" s="458">
        <f>SUM(O3417:O3423)</f>
        <v>0</v>
      </c>
      <c r="P3414" s="454"/>
      <c r="R3414" s="490" t="str">
        <f t="shared" ref="R3414" si="218">IF(R$3274="DELETE","DELETE",IF(O3414=0,"DELETE"," "))</f>
        <v>DELETE</v>
      </c>
      <c r="S3414" s="495">
        <f>O3414</f>
        <v>0</v>
      </c>
      <c r="T3414" s="498"/>
      <c r="U3414" s="495"/>
      <c r="V3414" s="495"/>
      <c r="W3414" s="495"/>
      <c r="X3414" s="495"/>
    </row>
    <row r="3415" spans="3:24" ht="9" customHeight="1" x14ac:dyDescent="0.45">
      <c r="C3415" s="575"/>
      <c r="D3415" s="616"/>
      <c r="E3415" s="616"/>
      <c r="F3415" s="616"/>
      <c r="G3415" s="616"/>
      <c r="H3415" s="616"/>
      <c r="I3415" s="616"/>
      <c r="J3415" s="645"/>
      <c r="K3415" s="450"/>
      <c r="L3415" s="451"/>
      <c r="M3415" s="451"/>
      <c r="N3415" s="450"/>
      <c r="O3415" s="458"/>
      <c r="P3415" s="454"/>
      <c r="R3415" s="490" t="str">
        <f>R3414</f>
        <v>DELETE</v>
      </c>
      <c r="T3415" s="498"/>
    </row>
    <row r="3416" spans="3:24" ht="9" customHeight="1" x14ac:dyDescent="0.45">
      <c r="C3416" s="575"/>
      <c r="D3416" s="616"/>
      <c r="E3416" s="616"/>
      <c r="F3416" s="616"/>
      <c r="G3416" s="616"/>
      <c r="H3416" s="616"/>
      <c r="I3416" s="616"/>
      <c r="J3416" s="645"/>
      <c r="K3416" s="450"/>
      <c r="L3416" s="451"/>
      <c r="M3416" s="451"/>
      <c r="N3416" s="450"/>
      <c r="O3416" s="587"/>
      <c r="P3416" s="454"/>
      <c r="R3416" s="490" t="str">
        <f>R3415</f>
        <v>DELETE</v>
      </c>
      <c r="T3416" s="498"/>
    </row>
    <row r="3417" spans="3:24" ht="36" customHeight="1" x14ac:dyDescent="0.45">
      <c r="C3417" s="575"/>
      <c r="D3417" s="616" t="s">
        <v>223</v>
      </c>
      <c r="E3417" s="616"/>
      <c r="F3417" s="616"/>
      <c r="G3417" s="616"/>
      <c r="H3417" s="616"/>
      <c r="I3417" s="616"/>
      <c r="J3417" s="645"/>
      <c r="K3417" s="450"/>
      <c r="L3417" s="451"/>
      <c r="M3417" s="451"/>
      <c r="N3417" s="450"/>
      <c r="O3417" s="588">
        <f>-TrialBalanceA!I95</f>
        <v>0</v>
      </c>
      <c r="P3417" s="454"/>
      <c r="R3417" s="490" t="str">
        <f t="shared" ref="R3417:R3422" si="219">IF(R$3274="DELETE","DELETE",IF(O3417=0,"DELETE"," "))</f>
        <v>DELETE</v>
      </c>
      <c r="T3417" s="498"/>
    </row>
    <row r="3418" spans="3:24" ht="36" customHeight="1" x14ac:dyDescent="0.45">
      <c r="C3418" s="575"/>
      <c r="D3418" s="616" t="s">
        <v>567</v>
      </c>
      <c r="E3418" s="616"/>
      <c r="F3418" s="616"/>
      <c r="G3418" s="616"/>
      <c r="H3418" s="616"/>
      <c r="I3418" s="616"/>
      <c r="J3418" s="645"/>
      <c r="K3418" s="450"/>
      <c r="L3418" s="451"/>
      <c r="M3418" s="451"/>
      <c r="N3418" s="450"/>
      <c r="O3418" s="588">
        <f>-SUM(TrialBalanceA!I91:I93)</f>
        <v>0</v>
      </c>
      <c r="P3418" s="454"/>
      <c r="R3418" s="490" t="str">
        <f t="shared" si="219"/>
        <v>DELETE</v>
      </c>
      <c r="T3418" s="498"/>
    </row>
    <row r="3419" spans="3:24" ht="36" customHeight="1" x14ac:dyDescent="0.45">
      <c r="C3419" s="575"/>
      <c r="D3419" s="616" t="s">
        <v>568</v>
      </c>
      <c r="E3419" s="616"/>
      <c r="F3419" s="616"/>
      <c r="G3419" s="616"/>
      <c r="H3419" s="616"/>
      <c r="I3419" s="616"/>
      <c r="J3419" s="645"/>
      <c r="K3419" s="450"/>
      <c r="L3419" s="451"/>
      <c r="M3419" s="451"/>
      <c r="N3419" s="450"/>
      <c r="O3419" s="604">
        <f>-SUM(TrialBalanceA!I86:I89)</f>
        <v>0</v>
      </c>
      <c r="P3419" s="454"/>
      <c r="R3419" s="490" t="str">
        <f t="shared" si="219"/>
        <v>DELETE</v>
      </c>
      <c r="T3419" s="498"/>
    </row>
    <row r="3420" spans="3:24" ht="36" customHeight="1" x14ac:dyDescent="0.45">
      <c r="C3420" s="575"/>
      <c r="D3420" s="616" t="s">
        <v>225</v>
      </c>
      <c r="E3420" s="616"/>
      <c r="F3420" s="616"/>
      <c r="G3420" s="616"/>
      <c r="H3420" s="616"/>
      <c r="I3420" s="616"/>
      <c r="J3420" s="645"/>
      <c r="K3420" s="450"/>
      <c r="L3420" s="451"/>
      <c r="M3420" s="451"/>
      <c r="N3420" s="450"/>
      <c r="O3420" s="604">
        <f>-SUM(TrialBalanceA!I96)</f>
        <v>0</v>
      </c>
      <c r="P3420" s="454"/>
      <c r="R3420" s="490" t="str">
        <f t="shared" si="219"/>
        <v>DELETE</v>
      </c>
      <c r="T3420" s="498"/>
    </row>
    <row r="3421" spans="3:24" ht="36" customHeight="1" x14ac:dyDescent="0.45">
      <c r="C3421" s="575"/>
      <c r="D3421" s="616" t="s">
        <v>589</v>
      </c>
      <c r="E3421" s="616"/>
      <c r="F3421" s="616"/>
      <c r="G3421" s="616"/>
      <c r="H3421" s="616"/>
      <c r="I3421" s="616"/>
      <c r="J3421" s="645"/>
      <c r="K3421" s="450"/>
      <c r="L3421" s="451"/>
      <c r="M3421" s="451"/>
      <c r="N3421" s="450"/>
      <c r="O3421" s="588">
        <f>IF(TrialBalanceA!I94&lt;0,-TrialBalanceA!I94,0)</f>
        <v>0</v>
      </c>
      <c r="P3421" s="454"/>
      <c r="R3421" s="490" t="str">
        <f t="shared" si="219"/>
        <v>DELETE</v>
      </c>
      <c r="T3421" s="498"/>
    </row>
    <row r="3422" spans="3:24" ht="36" customHeight="1" x14ac:dyDescent="0.45">
      <c r="C3422" s="575"/>
      <c r="D3422" s="616" t="s">
        <v>398</v>
      </c>
      <c r="E3422" s="616"/>
      <c r="F3422" s="616"/>
      <c r="G3422" s="616"/>
      <c r="H3422" s="616"/>
      <c r="I3422" s="616"/>
      <c r="J3422" s="645"/>
      <c r="K3422" s="450"/>
      <c r="L3422" s="451"/>
      <c r="M3422" s="451"/>
      <c r="N3422" s="450"/>
      <c r="O3422" s="588">
        <f>-TrialBalanceA!I84</f>
        <v>0</v>
      </c>
      <c r="P3422" s="454"/>
      <c r="R3422" s="490" t="str">
        <f t="shared" si="219"/>
        <v>DELETE</v>
      </c>
      <c r="T3422" s="498"/>
    </row>
    <row r="3423" spans="3:24" ht="9" customHeight="1" x14ac:dyDescent="0.45">
      <c r="C3423" s="575"/>
      <c r="D3423" s="616"/>
      <c r="E3423" s="616"/>
      <c r="F3423" s="616"/>
      <c r="G3423" s="616"/>
      <c r="H3423" s="616"/>
      <c r="I3423" s="616"/>
      <c r="J3423" s="645"/>
      <c r="K3423" s="450"/>
      <c r="L3423" s="451"/>
      <c r="M3423" s="451"/>
      <c r="N3423" s="450"/>
      <c r="O3423" s="589"/>
      <c r="P3423" s="454"/>
      <c r="R3423" s="490" t="str">
        <f>R3414</f>
        <v>DELETE</v>
      </c>
      <c r="T3423" s="498"/>
    </row>
    <row r="3424" spans="3:24" ht="9" customHeight="1" x14ac:dyDescent="0.45">
      <c r="C3424" s="575"/>
      <c r="D3424" s="616"/>
      <c r="E3424" s="616"/>
      <c r="F3424" s="616"/>
      <c r="G3424" s="616"/>
      <c r="H3424" s="616"/>
      <c r="I3424" s="616"/>
      <c r="J3424" s="645"/>
      <c r="K3424" s="450"/>
      <c r="L3424" s="451"/>
      <c r="M3424" s="451"/>
      <c r="N3424" s="450"/>
      <c r="O3424" s="461"/>
      <c r="P3424" s="454"/>
      <c r="R3424" s="490" t="str">
        <f>R$3426</f>
        <v>DELETE</v>
      </c>
      <c r="T3424" s="498"/>
    </row>
    <row r="3425" spans="3:24" ht="9" customHeight="1" x14ac:dyDescent="0.45">
      <c r="C3425" s="575"/>
      <c r="D3425" s="616"/>
      <c r="E3425" s="616"/>
      <c r="F3425" s="616"/>
      <c r="G3425" s="616"/>
      <c r="H3425" s="616"/>
      <c r="I3425" s="616"/>
      <c r="J3425" s="645"/>
      <c r="K3425" s="450"/>
      <c r="L3425" s="451"/>
      <c r="M3425" s="451"/>
      <c r="N3425" s="450"/>
      <c r="O3425" s="458"/>
      <c r="P3425" s="454"/>
      <c r="R3425" s="490" t="str">
        <f>R$3426</f>
        <v>DELETE</v>
      </c>
      <c r="T3425" s="498"/>
    </row>
    <row r="3426" spans="3:24" ht="36" customHeight="1" x14ac:dyDescent="0.45">
      <c r="C3426" s="575"/>
      <c r="D3426" s="616"/>
      <c r="E3426" s="616"/>
      <c r="F3426" s="616"/>
      <c r="G3426" s="616"/>
      <c r="H3426" s="616"/>
      <c r="I3426" s="616"/>
      <c r="J3426" s="645"/>
      <c r="K3426" s="450"/>
      <c r="L3426" s="451"/>
      <c r="M3426" s="451"/>
      <c r="N3426" s="450"/>
      <c r="O3426" s="458">
        <f>SUM(S3286:S3423)</f>
        <v>0</v>
      </c>
      <c r="P3426" s="454"/>
      <c r="R3426" s="490" t="str">
        <f>IF(R$3274="DELETE","DELETE",IF(O3414=0,"DELETE",IF(O3426=O3431,"DELETE"," ")))</f>
        <v>DELETE</v>
      </c>
      <c r="T3426" s="498"/>
    </row>
    <row r="3427" spans="3:24" ht="36" customHeight="1" x14ac:dyDescent="0.45">
      <c r="C3427" s="575"/>
      <c r="D3427" s="616"/>
      <c r="E3427" s="616"/>
      <c r="F3427" s="616"/>
      <c r="G3427" s="616"/>
      <c r="H3427" s="616"/>
      <c r="I3427" s="616"/>
      <c r="J3427" s="645"/>
      <c r="K3427" s="450"/>
      <c r="L3427" s="451"/>
      <c r="M3427" s="451"/>
      <c r="N3427" s="450"/>
      <c r="O3427" s="458"/>
      <c r="P3427" s="454"/>
      <c r="R3427" s="490" t="str">
        <f>R3426</f>
        <v>DELETE</v>
      </c>
      <c r="T3427" s="498"/>
    </row>
    <row r="3428" spans="3:24" ht="36" customHeight="1" x14ac:dyDescent="0.45">
      <c r="D3428" s="616" t="s">
        <v>1534</v>
      </c>
      <c r="E3428" s="616"/>
      <c r="F3428" s="616"/>
      <c r="G3428" s="616"/>
      <c r="H3428" s="616"/>
      <c r="I3428" s="616"/>
      <c r="J3428" s="645"/>
      <c r="K3428" s="450">
        <f>FS!B1423</f>
        <v>7</v>
      </c>
      <c r="L3428" s="451"/>
      <c r="M3428" s="451"/>
      <c r="N3428" s="450"/>
      <c r="O3428" s="458">
        <f>SUM(TrialBalanceA!I144:I154)</f>
        <v>0</v>
      </c>
      <c r="P3428" s="454"/>
      <c r="R3428" s="490" t="str">
        <f t="shared" ref="R3428" si="220">IF(R$3274="DELETE","DELETE",IF(O3428=0,"DELETE"," "))</f>
        <v>DELETE</v>
      </c>
      <c r="S3428" s="495">
        <f>-O3428</f>
        <v>0</v>
      </c>
      <c r="T3428" s="498"/>
      <c r="U3428" s="495"/>
      <c r="V3428" s="495"/>
      <c r="W3428" s="495"/>
      <c r="X3428" s="495"/>
    </row>
    <row r="3429" spans="3:24" ht="9" customHeight="1" x14ac:dyDescent="0.45">
      <c r="C3429" s="575"/>
      <c r="D3429" s="616"/>
      <c r="E3429" s="616"/>
      <c r="F3429" s="616"/>
      <c r="G3429" s="616"/>
      <c r="H3429" s="616"/>
      <c r="I3429" s="616"/>
      <c r="J3429" s="645"/>
      <c r="K3429" s="450"/>
      <c r="L3429" s="451"/>
      <c r="M3429" s="451"/>
      <c r="N3429" s="450"/>
      <c r="O3429" s="461"/>
      <c r="P3429" s="454"/>
      <c r="R3429" s="490" t="str">
        <f t="shared" ref="R3429:R3437" si="221">R$3274</f>
        <v>DELETE</v>
      </c>
      <c r="T3429" s="498"/>
    </row>
    <row r="3430" spans="3:24" ht="9" customHeight="1" x14ac:dyDescent="0.45">
      <c r="C3430" s="575"/>
      <c r="D3430" s="616"/>
      <c r="E3430" s="616"/>
      <c r="F3430" s="616"/>
      <c r="G3430" s="616"/>
      <c r="H3430" s="616"/>
      <c r="I3430" s="616"/>
      <c r="J3430" s="645"/>
      <c r="K3430" s="450"/>
      <c r="L3430" s="451"/>
      <c r="M3430" s="451"/>
      <c r="N3430" s="450"/>
      <c r="O3430" s="458"/>
      <c r="P3430" s="454"/>
      <c r="R3430" s="490" t="str">
        <f t="shared" si="221"/>
        <v>DELETE</v>
      </c>
      <c r="T3430" s="498"/>
    </row>
    <row r="3431" spans="3:24" ht="36.75" customHeight="1" x14ac:dyDescent="0.45">
      <c r="D3431" s="637" t="str">
        <f>IF(O3431&lt;0,"Net loss before taxation","Net profit before taxation")</f>
        <v>Net profit before taxation</v>
      </c>
      <c r="E3431" s="616"/>
      <c r="F3431" s="616"/>
      <c r="G3431" s="616"/>
      <c r="H3431" s="616"/>
      <c r="I3431" s="616"/>
      <c r="J3431" s="645"/>
      <c r="K3431" s="450"/>
      <c r="L3431" s="451"/>
      <c r="M3431" s="451"/>
      <c r="N3431" s="450"/>
      <c r="O3431" s="458">
        <f>SUM(S3286:S3430)</f>
        <v>0</v>
      </c>
      <c r="P3431" s="454"/>
      <c r="R3431" s="490" t="str">
        <f t="shared" si="221"/>
        <v>DELETE</v>
      </c>
      <c r="T3431" s="498"/>
      <c r="V3431" s="491" t="b">
        <f>O3431=FS!M2951</f>
        <v>1</v>
      </c>
    </row>
    <row r="3432" spans="3:24" ht="9" customHeight="1" thickBot="1" x14ac:dyDescent="0.5">
      <c r="C3432" s="575"/>
      <c r="D3432" s="616"/>
      <c r="E3432" s="616"/>
      <c r="F3432" s="616"/>
      <c r="G3432" s="616"/>
      <c r="H3432" s="616"/>
      <c r="I3432" s="616"/>
      <c r="J3432" s="645"/>
      <c r="K3432" s="450"/>
      <c r="L3432" s="451"/>
      <c r="M3432" s="451"/>
      <c r="N3432" s="450"/>
      <c r="O3432" s="462"/>
      <c r="P3432" s="454"/>
      <c r="R3432" s="490" t="str">
        <f t="shared" si="221"/>
        <v>DELETE</v>
      </c>
      <c r="T3432" s="498"/>
    </row>
    <row r="3433" spans="3:24" ht="9" customHeight="1" thickTop="1" x14ac:dyDescent="0.45">
      <c r="C3433" s="575"/>
      <c r="D3433" s="616"/>
      <c r="E3433" s="616"/>
      <c r="F3433" s="616"/>
      <c r="G3433" s="616"/>
      <c r="H3433" s="616"/>
      <c r="I3433" s="616"/>
      <c r="J3433" s="645"/>
      <c r="K3433" s="450"/>
      <c r="L3433" s="451"/>
      <c r="M3433" s="451"/>
      <c r="N3433" s="450"/>
      <c r="O3433" s="475"/>
      <c r="P3433" s="454"/>
      <c r="R3433" s="490" t="str">
        <f t="shared" si="221"/>
        <v>DELETE</v>
      </c>
      <c r="T3433" s="498"/>
    </row>
    <row r="3434" spans="3:24" ht="36" customHeight="1" x14ac:dyDescent="0.45">
      <c r="C3434" s="575"/>
      <c r="D3434" s="616"/>
      <c r="E3434" s="616"/>
      <c r="F3434" s="616"/>
      <c r="G3434" s="616"/>
      <c r="H3434" s="616"/>
      <c r="I3434" s="616"/>
      <c r="J3434" s="645"/>
      <c r="K3434" s="450"/>
      <c r="L3434" s="451"/>
      <c r="M3434" s="451"/>
      <c r="N3434" s="450"/>
      <c r="O3434" s="458"/>
      <c r="P3434" s="454"/>
      <c r="R3434" s="490" t="str">
        <f t="shared" si="221"/>
        <v>DELETE</v>
      </c>
      <c r="T3434" s="498"/>
    </row>
    <row r="3435" spans="3:24" ht="36" customHeight="1" x14ac:dyDescent="0.45">
      <c r="C3435" s="575"/>
      <c r="D3435" s="616"/>
      <c r="E3435" s="616"/>
      <c r="F3435" s="616"/>
      <c r="G3435" s="616"/>
      <c r="H3435" s="616"/>
      <c r="I3435" s="616"/>
      <c r="J3435" s="645"/>
      <c r="K3435" s="450"/>
      <c r="L3435" s="450"/>
      <c r="M3435" s="458"/>
      <c r="N3435" s="458"/>
      <c r="O3435" s="458"/>
      <c r="P3435" s="454"/>
      <c r="R3435" s="490" t="str">
        <f t="shared" si="221"/>
        <v>DELETE</v>
      </c>
      <c r="T3435" s="498"/>
    </row>
    <row r="3436" spans="3:24" ht="36" customHeight="1" x14ac:dyDescent="0.5">
      <c r="C3436" s="520"/>
      <c r="D3436" s="616"/>
      <c r="E3436" s="616"/>
      <c r="F3436" s="616"/>
      <c r="G3436" s="616"/>
      <c r="H3436" s="616"/>
      <c r="I3436" s="616"/>
      <c r="J3436" s="616"/>
      <c r="M3436" s="555"/>
      <c r="N3436" s="555"/>
      <c r="O3436" s="555"/>
      <c r="P3436" s="545"/>
      <c r="R3436" s="490" t="str">
        <f t="shared" si="221"/>
        <v>DELETE</v>
      </c>
      <c r="T3436" s="498"/>
    </row>
    <row r="3437" spans="3:24" ht="36" customHeight="1" x14ac:dyDescent="0.5">
      <c r="C3437" s="520"/>
      <c r="D3437" s="616"/>
      <c r="E3437" s="616"/>
      <c r="F3437" s="616"/>
      <c r="G3437" s="616"/>
      <c r="H3437" s="616"/>
      <c r="I3437" s="616"/>
      <c r="J3437" s="616"/>
      <c r="M3437" s="541"/>
      <c r="N3437" s="541"/>
      <c r="O3437" s="541"/>
      <c r="R3437" s="490" t="str">
        <f t="shared" si="221"/>
        <v>DELETE</v>
      </c>
      <c r="T3437" s="498"/>
    </row>
    <row r="3438" spans="3:24" ht="36" customHeight="1" x14ac:dyDescent="0.5">
      <c r="C3438" s="520"/>
      <c r="D3438" s="616"/>
      <c r="E3438" s="616"/>
      <c r="F3438" s="616"/>
      <c r="G3438" s="616"/>
      <c r="H3438" s="616"/>
      <c r="I3438" s="616"/>
      <c r="J3438" s="616"/>
      <c r="M3438" s="541"/>
      <c r="N3438" s="541"/>
      <c r="O3438" s="458" t="s">
        <v>112</v>
      </c>
      <c r="Q3438" s="450">
        <v>1</v>
      </c>
      <c r="R3438" s="490" t="str">
        <f>IF(SUM(U3450:U3452)+SUM(U3470:U3477)+SUM(U3578:U3587)+O3595=0,"DELETE",IF(SUM(S3450:S3452)+SUM(U3450:U3452)+SUM(S3470:S3477)+SUM(U3470:U3477)+SUM(S3578:S3587)+SUM(U3578:U3587)+M3595+O3595=0,"DELETE"," "))</f>
        <v>DELETE</v>
      </c>
      <c r="T3438" s="498"/>
      <c r="V3438" s="494"/>
      <c r="W3438" s="494"/>
      <c r="X3438" s="494"/>
    </row>
    <row r="3439" spans="3:24" ht="36" customHeight="1" x14ac:dyDescent="0.5">
      <c r="C3439" s="520"/>
      <c r="D3439" s="615" t="s">
        <v>696</v>
      </c>
      <c r="E3439" s="616"/>
      <c r="F3439" s="616"/>
      <c r="G3439" s="616"/>
      <c r="H3439" s="616"/>
      <c r="I3439" s="616"/>
      <c r="J3439" s="616"/>
      <c r="M3439" s="541"/>
      <c r="N3439" s="541"/>
      <c r="O3439" s="541"/>
      <c r="R3439" s="490" t="str">
        <f>R$3438</f>
        <v>DELETE</v>
      </c>
      <c r="T3439" s="498"/>
      <c r="V3439" s="493"/>
      <c r="X3439" s="493"/>
    </row>
    <row r="3440" spans="3:24" ht="36" customHeight="1" x14ac:dyDescent="0.5">
      <c r="C3440" s="520"/>
      <c r="D3440" s="616"/>
      <c r="E3440" s="616"/>
      <c r="F3440" s="616"/>
      <c r="G3440" s="616"/>
      <c r="H3440" s="616"/>
      <c r="I3440" s="616"/>
      <c r="J3440" s="616"/>
      <c r="M3440" s="541"/>
      <c r="N3440" s="541"/>
      <c r="O3440" s="541"/>
      <c r="R3440" s="490" t="str">
        <f t="shared" ref="R3440:R3449" si="222">R$3438</f>
        <v>DELETE</v>
      </c>
      <c r="T3440" s="498"/>
    </row>
    <row r="3441" spans="3:24" ht="36" customHeight="1" x14ac:dyDescent="0.5">
      <c r="C3441" s="520"/>
      <c r="D3441" s="615" t="str">
        <f>Criteria!E9</f>
        <v>ABC COMPANY (PROPRIETARY) LIMITED</v>
      </c>
      <c r="E3441" s="616"/>
      <c r="F3441" s="616"/>
      <c r="G3441" s="616"/>
      <c r="H3441" s="616"/>
      <c r="I3441" s="616"/>
      <c r="J3441" s="616"/>
      <c r="M3441" s="541"/>
      <c r="N3441" s="541"/>
      <c r="O3441" s="540"/>
      <c r="R3441" s="490" t="str">
        <f t="shared" si="222"/>
        <v>DELETE</v>
      </c>
      <c r="T3441" s="498"/>
    </row>
    <row r="3442" spans="3:24" ht="36" customHeight="1" x14ac:dyDescent="0.5">
      <c r="C3442" s="520"/>
      <c r="D3442" s="615" t="str">
        <f>CONCATENATE("T/A ",Criteria!E15)</f>
        <v>T/A RENTAL PROPERTIES</v>
      </c>
      <c r="E3442" s="616"/>
      <c r="F3442" s="616"/>
      <c r="G3442" s="616"/>
      <c r="H3442" s="616"/>
      <c r="I3442" s="616"/>
      <c r="J3442" s="616"/>
      <c r="M3442" s="541"/>
      <c r="N3442" s="541"/>
      <c r="O3442" s="541"/>
      <c r="R3442" s="490" t="str">
        <f t="shared" si="222"/>
        <v>DELETE</v>
      </c>
      <c r="T3442" s="498"/>
    </row>
    <row r="3443" spans="3:24" ht="36" customHeight="1" x14ac:dyDescent="0.5">
      <c r="C3443" s="520"/>
      <c r="D3443" s="616"/>
      <c r="E3443" s="616"/>
      <c r="F3443" s="616"/>
      <c r="G3443" s="616"/>
      <c r="H3443" s="616"/>
      <c r="I3443" s="616"/>
      <c r="J3443" s="616"/>
      <c r="M3443" s="541"/>
      <c r="N3443" s="541"/>
      <c r="O3443" s="541"/>
      <c r="R3443" s="490" t="str">
        <f t="shared" si="222"/>
        <v>DELETE</v>
      </c>
      <c r="T3443" s="498"/>
    </row>
    <row r="3444" spans="3:24" ht="36" customHeight="1" x14ac:dyDescent="0.5">
      <c r="C3444" s="520"/>
      <c r="D3444" s="615" t="s">
        <v>109</v>
      </c>
      <c r="E3444" s="616"/>
      <c r="F3444" s="616"/>
      <c r="G3444" s="616"/>
      <c r="H3444" s="616"/>
      <c r="I3444" s="616"/>
      <c r="J3444" s="616"/>
      <c r="M3444" s="541"/>
      <c r="N3444" s="541"/>
      <c r="O3444" s="541"/>
      <c r="R3444" s="490" t="str">
        <f t="shared" si="222"/>
        <v>DELETE</v>
      </c>
      <c r="T3444" s="498"/>
    </row>
    <row r="3445" spans="3:24" ht="36" customHeight="1" x14ac:dyDescent="0.5">
      <c r="C3445" s="520"/>
      <c r="D3445" s="615" t="str">
        <f>Criteria!E20</f>
        <v>28 FEBRUARY 2026</v>
      </c>
      <c r="E3445" s="616"/>
      <c r="F3445" s="616"/>
      <c r="G3445" s="616"/>
      <c r="H3445" s="616"/>
      <c r="I3445" s="616"/>
      <c r="J3445" s="616"/>
      <c r="M3445" s="541"/>
      <c r="N3445" s="541"/>
      <c r="O3445" s="541"/>
      <c r="R3445" s="490" t="str">
        <f t="shared" si="222"/>
        <v>DELETE</v>
      </c>
      <c r="T3445" s="498"/>
    </row>
    <row r="3446" spans="3:24" ht="36" customHeight="1" x14ac:dyDescent="0.5">
      <c r="C3446" s="520"/>
      <c r="D3446" s="616"/>
      <c r="E3446" s="616"/>
      <c r="F3446" s="616"/>
      <c r="G3446" s="616"/>
      <c r="H3446" s="616"/>
      <c r="I3446" s="616"/>
      <c r="J3446" s="616"/>
      <c r="M3446" s="541"/>
      <c r="N3446" s="541"/>
      <c r="O3446" s="541"/>
      <c r="R3446" s="490" t="str">
        <f t="shared" si="222"/>
        <v>DELETE</v>
      </c>
      <c r="T3446" s="498"/>
    </row>
    <row r="3447" spans="3:24" ht="36" customHeight="1" x14ac:dyDescent="0.5">
      <c r="C3447" s="520"/>
      <c r="D3447" s="634"/>
      <c r="E3447" s="634"/>
      <c r="F3447" s="634"/>
      <c r="G3447" s="634"/>
      <c r="H3447" s="634"/>
      <c r="I3447" s="634"/>
      <c r="J3447" s="634"/>
      <c r="K3447" s="457"/>
      <c r="L3447" s="457"/>
      <c r="M3447" s="557"/>
      <c r="N3447" s="557"/>
      <c r="O3447" s="557"/>
      <c r="P3447" s="551"/>
      <c r="Q3447" s="457"/>
      <c r="R3447" s="490" t="str">
        <f t="shared" si="222"/>
        <v>DELETE</v>
      </c>
      <c r="T3447" s="498"/>
    </row>
    <row r="3448" spans="3:24" ht="36" customHeight="1" x14ac:dyDescent="0.5">
      <c r="C3448" s="520"/>
      <c r="D3448" s="616"/>
      <c r="E3448" s="616"/>
      <c r="F3448" s="616"/>
      <c r="G3448" s="616"/>
      <c r="H3448" s="616"/>
      <c r="I3448" s="616"/>
      <c r="J3448" s="645"/>
      <c r="K3448" s="450" t="s">
        <v>1494</v>
      </c>
      <c r="L3448" s="450"/>
      <c r="M3448" s="453">
        <f>Criteria!E22</f>
        <v>2026</v>
      </c>
      <c r="N3448" s="453"/>
      <c r="O3448" s="453">
        <f>Criteria!E27</f>
        <v>2025</v>
      </c>
      <c r="P3448" s="454"/>
      <c r="R3448" s="490" t="str">
        <f t="shared" si="222"/>
        <v>DELETE</v>
      </c>
      <c r="T3448" s="498"/>
    </row>
    <row r="3449" spans="3:24" ht="36" customHeight="1" x14ac:dyDescent="0.5">
      <c r="C3449" s="520"/>
      <c r="D3449" s="616"/>
      <c r="E3449" s="616"/>
      <c r="F3449" s="616"/>
      <c r="G3449" s="616"/>
      <c r="H3449" s="616"/>
      <c r="I3449" s="616"/>
      <c r="J3449" s="645"/>
      <c r="K3449" s="450"/>
      <c r="L3449" s="450"/>
      <c r="M3449" s="458"/>
      <c r="N3449" s="458"/>
      <c r="O3449" s="458"/>
      <c r="P3449" s="454"/>
      <c r="R3449" s="490" t="str">
        <f t="shared" si="222"/>
        <v>DELETE</v>
      </c>
      <c r="T3449" s="498"/>
    </row>
    <row r="3450" spans="3:24" ht="36" customHeight="1" x14ac:dyDescent="0.45">
      <c r="D3450" s="615" t="s">
        <v>1194</v>
      </c>
      <c r="E3450" s="616"/>
      <c r="F3450" s="616"/>
      <c r="G3450" s="616"/>
      <c r="H3450" s="616"/>
      <c r="I3450" s="616"/>
      <c r="J3450" s="645"/>
      <c r="K3450" s="450"/>
      <c r="L3450" s="450"/>
      <c r="M3450" s="458">
        <f>-SUM(TrialBalanceB!I5:I10)</f>
        <v>0</v>
      </c>
      <c r="N3450" s="458"/>
      <c r="O3450" s="458">
        <f>-SUM(TrialBalanceB!K5:K10)</f>
        <v>0</v>
      </c>
      <c r="P3450" s="454"/>
      <c r="R3450" s="490" t="str">
        <f>IF(R3438="DELETE","DELETE",IF(M3450+O3450=0,IF(M3452+O3452=0," ","DELETE")," "))</f>
        <v>DELETE</v>
      </c>
      <c r="S3450" s="495">
        <f>M3450</f>
        <v>0</v>
      </c>
      <c r="T3450" s="498"/>
      <c r="U3450" s="495">
        <f>O3450</f>
        <v>0</v>
      </c>
      <c r="V3450" s="495"/>
      <c r="W3450" s="495"/>
      <c r="X3450" s="495"/>
    </row>
    <row r="3451" spans="3:24" ht="36" customHeight="1" x14ac:dyDescent="0.45">
      <c r="D3451" s="615"/>
      <c r="E3451" s="616"/>
      <c r="F3451" s="616"/>
      <c r="G3451" s="616"/>
      <c r="H3451" s="616"/>
      <c r="I3451" s="616"/>
      <c r="J3451" s="645"/>
      <c r="K3451" s="450"/>
      <c r="L3451" s="450"/>
      <c r="M3451" s="458"/>
      <c r="N3451" s="458"/>
      <c r="O3451" s="458"/>
      <c r="P3451" s="454"/>
      <c r="R3451" s="490" t="str">
        <f>R3450</f>
        <v>DELETE</v>
      </c>
      <c r="S3451" s="495"/>
      <c r="T3451" s="498"/>
      <c r="U3451" s="495"/>
      <c r="V3451" s="495"/>
      <c r="W3451" s="495"/>
      <c r="X3451" s="495"/>
    </row>
    <row r="3452" spans="3:24" ht="36" customHeight="1" x14ac:dyDescent="0.45">
      <c r="D3452" s="615" t="s">
        <v>398</v>
      </c>
      <c r="E3452" s="616"/>
      <c r="F3452" s="616"/>
      <c r="G3452" s="616"/>
      <c r="H3452" s="616"/>
      <c r="I3452" s="616"/>
      <c r="J3452" s="645"/>
      <c r="K3452" s="450"/>
      <c r="L3452" s="450"/>
      <c r="M3452" s="458">
        <f>-TrialBalanceB!I11</f>
        <v>0</v>
      </c>
      <c r="N3452" s="458"/>
      <c r="O3452" s="458">
        <f>-TrialBalanceB!K11</f>
        <v>0</v>
      </c>
      <c r="P3452" s="454"/>
      <c r="R3452" s="490" t="str">
        <f>IF(R$3438="DELETE","DELETE",IF(M3452+O3452=0,"DELETE"," "))</f>
        <v>DELETE</v>
      </c>
      <c r="S3452" s="495">
        <f>M3452</f>
        <v>0</v>
      </c>
      <c r="T3452" s="498"/>
      <c r="U3452" s="495">
        <f>O3452</f>
        <v>0</v>
      </c>
      <c r="V3452" s="495"/>
      <c r="W3452" s="495"/>
      <c r="X3452" s="495"/>
    </row>
    <row r="3453" spans="3:24" ht="36" customHeight="1" x14ac:dyDescent="0.45">
      <c r="D3453" s="615"/>
      <c r="E3453" s="616"/>
      <c r="F3453" s="616"/>
      <c r="G3453" s="616"/>
      <c r="H3453" s="616"/>
      <c r="I3453" s="616"/>
      <c r="J3453" s="645"/>
      <c r="K3453" s="450"/>
      <c r="L3453" s="450"/>
      <c r="M3453" s="458"/>
      <c r="N3453" s="458"/>
      <c r="O3453" s="458"/>
      <c r="P3453" s="454"/>
      <c r="R3453" s="490" t="str">
        <f>R3452</f>
        <v>DELETE</v>
      </c>
      <c r="T3453" s="498"/>
    </row>
    <row r="3454" spans="3:24" ht="36" customHeight="1" x14ac:dyDescent="0.45">
      <c r="D3454" s="615" t="s">
        <v>1119</v>
      </c>
      <c r="E3454" s="616"/>
      <c r="F3454" s="616"/>
      <c r="G3454" s="616"/>
      <c r="H3454" s="616"/>
      <c r="I3454" s="616"/>
      <c r="J3454" s="645"/>
      <c r="K3454" s="450"/>
      <c r="L3454" s="450"/>
      <c r="M3454" s="458">
        <f>SUM(M3457:M3464)</f>
        <v>0</v>
      </c>
      <c r="N3454" s="458"/>
      <c r="O3454" s="458">
        <f>SUM(O3457:O3464)</f>
        <v>0</v>
      </c>
      <c r="P3454" s="454"/>
      <c r="R3454" s="490" t="str">
        <f>IF(R$3438="DELETE","DELETE",IF(M3454=0,IF(O3454=0,"DELETE"," ")," "))</f>
        <v>DELETE</v>
      </c>
      <c r="S3454" s="495">
        <f>-M3454</f>
        <v>0</v>
      </c>
      <c r="T3454" s="498"/>
      <c r="U3454" s="495">
        <f>-O3454</f>
        <v>0</v>
      </c>
      <c r="V3454" s="495"/>
      <c r="W3454" s="495"/>
      <c r="X3454" s="495"/>
    </row>
    <row r="3455" spans="3:24" ht="9" customHeight="1" x14ac:dyDescent="0.45">
      <c r="C3455" s="575"/>
      <c r="D3455" s="616"/>
      <c r="E3455" s="616"/>
      <c r="F3455" s="616"/>
      <c r="G3455" s="616"/>
      <c r="H3455" s="616"/>
      <c r="I3455" s="616"/>
      <c r="J3455" s="645"/>
      <c r="K3455" s="450"/>
      <c r="L3455" s="450"/>
      <c r="M3455" s="458"/>
      <c r="N3455" s="458"/>
      <c r="O3455" s="458"/>
      <c r="P3455" s="454"/>
      <c r="R3455" s="490" t="str">
        <f>R3454</f>
        <v>DELETE</v>
      </c>
      <c r="T3455" s="498"/>
    </row>
    <row r="3456" spans="3:24" ht="9" customHeight="1" x14ac:dyDescent="0.45">
      <c r="C3456" s="575"/>
      <c r="D3456" s="616"/>
      <c r="E3456" s="616"/>
      <c r="F3456" s="616"/>
      <c r="G3456" s="616"/>
      <c r="H3456" s="616"/>
      <c r="I3456" s="616"/>
      <c r="J3456" s="645"/>
      <c r="K3456" s="450"/>
      <c r="L3456" s="450"/>
      <c r="M3456" s="578"/>
      <c r="N3456" s="459"/>
      <c r="O3456" s="579"/>
      <c r="P3456" s="454"/>
      <c r="R3456" s="490" t="str">
        <f>R3455</f>
        <v>DELETE</v>
      </c>
      <c r="T3456" s="498"/>
    </row>
    <row r="3457" spans="3:26" ht="36" customHeight="1" x14ac:dyDescent="0.45">
      <c r="C3457" s="575"/>
      <c r="D3457" s="616" t="s">
        <v>563</v>
      </c>
      <c r="E3457" s="616"/>
      <c r="F3457" s="616"/>
      <c r="G3457" s="616"/>
      <c r="H3457" s="616"/>
      <c r="I3457" s="616"/>
      <c r="J3457" s="645"/>
      <c r="K3457" s="450"/>
      <c r="L3457" s="450"/>
      <c r="M3457" s="580">
        <f>SUM(TrialBalanceB!I13:I16)</f>
        <v>0</v>
      </c>
      <c r="N3457" s="458"/>
      <c r="O3457" s="581">
        <f>SUM(TrialBalanceB!K13:K16)</f>
        <v>0</v>
      </c>
      <c r="P3457" s="454"/>
      <c r="R3457" s="490" t="str">
        <f t="shared" ref="R3457:R3464" si="223">IF(R$3438="DELETE","DELETE",IF(M3457+O3457=0,"DELETE"," "))</f>
        <v>DELETE</v>
      </c>
      <c r="T3457" s="498"/>
    </row>
    <row r="3458" spans="3:26" ht="36" customHeight="1" x14ac:dyDescent="0.45">
      <c r="C3458" s="575"/>
      <c r="D3458" s="616" t="s">
        <v>301</v>
      </c>
      <c r="E3458" s="616"/>
      <c r="F3458" s="616"/>
      <c r="G3458" s="616"/>
      <c r="H3458" s="616"/>
      <c r="I3458" s="616"/>
      <c r="J3458" s="645"/>
      <c r="K3458" s="450"/>
      <c r="L3458" s="450"/>
      <c r="M3458" s="580">
        <f>TrialBalanceB!I17</f>
        <v>0</v>
      </c>
      <c r="N3458" s="458"/>
      <c r="O3458" s="581">
        <f>TrialBalanceB!K17</f>
        <v>0</v>
      </c>
      <c r="P3458" s="454"/>
      <c r="R3458" s="490" t="str">
        <f t="shared" si="223"/>
        <v>DELETE</v>
      </c>
      <c r="T3458" s="498"/>
    </row>
    <row r="3459" spans="3:26" ht="36" customHeight="1" x14ac:dyDescent="0.45">
      <c r="C3459" s="575"/>
      <c r="D3459" s="616">
        <f>TrialBalanceB!C18</f>
        <v>0</v>
      </c>
      <c r="E3459" s="616"/>
      <c r="F3459" s="616"/>
      <c r="G3459" s="616"/>
      <c r="H3459" s="616"/>
      <c r="I3459" s="616"/>
      <c r="J3459" s="645"/>
      <c r="K3459" s="450"/>
      <c r="L3459" s="450"/>
      <c r="M3459" s="580">
        <f>TrialBalanceB!I18</f>
        <v>0</v>
      </c>
      <c r="N3459" s="458"/>
      <c r="O3459" s="581">
        <f>TrialBalanceB!K18</f>
        <v>0</v>
      </c>
      <c r="P3459" s="454"/>
      <c r="R3459" s="490" t="str">
        <f t="shared" si="223"/>
        <v>DELETE</v>
      </c>
      <c r="T3459" s="498"/>
    </row>
    <row r="3460" spans="3:26" ht="36" customHeight="1" x14ac:dyDescent="0.45">
      <c r="C3460" s="575"/>
      <c r="D3460" s="616">
        <f>TrialBalanceB!C19</f>
        <v>0</v>
      </c>
      <c r="E3460" s="616"/>
      <c r="F3460" s="616"/>
      <c r="G3460" s="616"/>
      <c r="H3460" s="616"/>
      <c r="I3460" s="616"/>
      <c r="J3460" s="645"/>
      <c r="K3460" s="450"/>
      <c r="L3460" s="450"/>
      <c r="M3460" s="580">
        <f>TrialBalanceB!I19</f>
        <v>0</v>
      </c>
      <c r="N3460" s="458"/>
      <c r="O3460" s="581">
        <f>TrialBalanceB!K19</f>
        <v>0</v>
      </c>
      <c r="P3460" s="454"/>
      <c r="R3460" s="490" t="str">
        <f t="shared" si="223"/>
        <v>DELETE</v>
      </c>
      <c r="T3460" s="498"/>
    </row>
    <row r="3461" spans="3:26" ht="36" customHeight="1" x14ac:dyDescent="0.45">
      <c r="C3461" s="575"/>
      <c r="D3461" s="616">
        <f>TrialBalanceB!C20</f>
        <v>0</v>
      </c>
      <c r="E3461" s="616"/>
      <c r="F3461" s="616"/>
      <c r="G3461" s="616"/>
      <c r="H3461" s="616"/>
      <c r="I3461" s="616"/>
      <c r="J3461" s="645"/>
      <c r="K3461" s="450"/>
      <c r="L3461" s="450"/>
      <c r="M3461" s="580">
        <f>TrialBalanceB!I20</f>
        <v>0</v>
      </c>
      <c r="N3461" s="458"/>
      <c r="O3461" s="581">
        <f>TrialBalanceB!K20</f>
        <v>0</v>
      </c>
      <c r="P3461" s="454"/>
      <c r="R3461" s="490" t="str">
        <f t="shared" si="223"/>
        <v>DELETE</v>
      </c>
      <c r="T3461" s="498"/>
    </row>
    <row r="3462" spans="3:26" ht="36" customHeight="1" x14ac:dyDescent="0.45">
      <c r="C3462" s="575"/>
      <c r="D3462" s="616">
        <f>TrialBalanceB!C21</f>
        <v>0</v>
      </c>
      <c r="E3462" s="616"/>
      <c r="F3462" s="616"/>
      <c r="G3462" s="616"/>
      <c r="H3462" s="616"/>
      <c r="I3462" s="616"/>
      <c r="J3462" s="645"/>
      <c r="K3462" s="450"/>
      <c r="L3462" s="450"/>
      <c r="M3462" s="580">
        <f>TrialBalanceB!I21</f>
        <v>0</v>
      </c>
      <c r="N3462" s="458"/>
      <c r="O3462" s="581">
        <f>TrialBalanceB!K21</f>
        <v>0</v>
      </c>
      <c r="P3462" s="454"/>
      <c r="R3462" s="490" t="str">
        <f t="shared" si="223"/>
        <v>DELETE</v>
      </c>
      <c r="T3462" s="498"/>
    </row>
    <row r="3463" spans="3:26" ht="36" customHeight="1" x14ac:dyDescent="0.45">
      <c r="C3463" s="575"/>
      <c r="D3463" s="616">
        <f>TrialBalanceB!C22</f>
        <v>0</v>
      </c>
      <c r="E3463" s="616"/>
      <c r="F3463" s="616"/>
      <c r="G3463" s="616"/>
      <c r="H3463" s="616"/>
      <c r="I3463" s="616"/>
      <c r="J3463" s="645"/>
      <c r="K3463" s="450"/>
      <c r="L3463" s="450"/>
      <c r="M3463" s="580">
        <f>TrialBalanceB!I22</f>
        <v>0</v>
      </c>
      <c r="N3463" s="458"/>
      <c r="O3463" s="581">
        <f>TrialBalanceB!K22</f>
        <v>0</v>
      </c>
      <c r="P3463" s="454"/>
      <c r="R3463" s="490" t="str">
        <f t="shared" si="223"/>
        <v>DELETE</v>
      </c>
      <c r="T3463" s="498"/>
    </row>
    <row r="3464" spans="3:26" ht="36" customHeight="1" x14ac:dyDescent="0.45">
      <c r="C3464" s="575"/>
      <c r="D3464" s="616" t="s">
        <v>564</v>
      </c>
      <c r="E3464" s="616"/>
      <c r="F3464" s="616"/>
      <c r="G3464" s="616"/>
      <c r="H3464" s="616"/>
      <c r="I3464" s="616"/>
      <c r="J3464" s="645"/>
      <c r="K3464" s="450"/>
      <c r="L3464" s="450"/>
      <c r="M3464" s="580">
        <f>SUM(TrialBalanceB!I23:I26)</f>
        <v>0</v>
      </c>
      <c r="N3464" s="458"/>
      <c r="O3464" s="581">
        <f>SUM(TrialBalanceB!K23:K26)</f>
        <v>0</v>
      </c>
      <c r="P3464" s="454"/>
      <c r="R3464" s="490" t="str">
        <f t="shared" si="223"/>
        <v>DELETE</v>
      </c>
      <c r="T3464" s="498"/>
    </row>
    <row r="3465" spans="3:26" ht="9" customHeight="1" x14ac:dyDescent="0.45">
      <c r="C3465" s="575"/>
      <c r="D3465" s="616"/>
      <c r="E3465" s="616"/>
      <c r="F3465" s="616"/>
      <c r="G3465" s="616"/>
      <c r="H3465" s="616"/>
      <c r="I3465" s="616"/>
      <c r="J3465" s="645"/>
      <c r="K3465" s="450"/>
      <c r="L3465" s="450"/>
      <c r="M3465" s="460"/>
      <c r="N3465" s="461"/>
      <c r="O3465" s="582"/>
      <c r="P3465" s="454"/>
      <c r="R3465" s="490" t="str">
        <f>R3454</f>
        <v>DELETE</v>
      </c>
      <c r="T3465" s="498"/>
    </row>
    <row r="3466" spans="3:26" ht="9" customHeight="1" x14ac:dyDescent="0.45">
      <c r="C3466" s="575"/>
      <c r="D3466" s="616"/>
      <c r="E3466" s="616"/>
      <c r="F3466" s="616"/>
      <c r="G3466" s="616"/>
      <c r="H3466" s="616"/>
      <c r="I3466" s="616"/>
      <c r="J3466" s="645"/>
      <c r="K3466" s="450"/>
      <c r="L3466" s="450"/>
      <c r="M3466" s="461"/>
      <c r="N3466" s="461"/>
      <c r="O3466" s="461"/>
      <c r="P3466" s="454"/>
      <c r="R3466" s="490" t="str">
        <f>R3454</f>
        <v>DELETE</v>
      </c>
      <c r="T3466" s="498"/>
    </row>
    <row r="3467" spans="3:26" ht="9" customHeight="1" x14ac:dyDescent="0.45">
      <c r="C3467" s="575"/>
      <c r="D3467" s="616"/>
      <c r="E3467" s="616"/>
      <c r="F3467" s="616"/>
      <c r="G3467" s="616"/>
      <c r="H3467" s="616"/>
      <c r="I3467" s="616"/>
      <c r="J3467" s="645"/>
      <c r="K3467" s="450"/>
      <c r="L3467" s="450"/>
      <c r="M3467" s="458"/>
      <c r="N3467" s="458"/>
      <c r="O3467" s="458"/>
      <c r="P3467" s="454"/>
      <c r="R3467" s="490" t="str">
        <f>R3466</f>
        <v>DELETE</v>
      </c>
      <c r="T3467" s="498"/>
    </row>
    <row r="3468" spans="3:26" ht="36" customHeight="1" x14ac:dyDescent="0.45">
      <c r="D3468" s="637" t="str">
        <f>IF((Y3468+Z3468)=3,"Gross profit/(loss)",(IF((Y3468+Z3468=4),"Gross profit","Gross loss")))</f>
        <v>Gross profit</v>
      </c>
      <c r="E3468" s="616"/>
      <c r="F3468" s="616"/>
      <c r="G3468" s="616"/>
      <c r="H3468" s="616"/>
      <c r="I3468" s="616"/>
      <c r="J3468" s="645"/>
      <c r="K3468" s="450"/>
      <c r="L3468" s="450"/>
      <c r="M3468" s="458">
        <f>SUM(S3450:S3465)</f>
        <v>0</v>
      </c>
      <c r="N3468" s="458"/>
      <c r="O3468" s="458">
        <f>SUM(U3450:U3465)</f>
        <v>0</v>
      </c>
      <c r="P3468" s="454"/>
      <c r="R3468" s="490" t="str">
        <f>R3467</f>
        <v>DELETE</v>
      </c>
      <c r="T3468" s="498"/>
      <c r="Y3468" s="491">
        <f>IF(M3468&lt;0,1,IF(M3468=0,IF(O3468&lt;0,1,2),2))</f>
        <v>2</v>
      </c>
      <c r="Z3468" s="491">
        <f>IF(O3468&lt;0,1,IF(O3468=0,IF(M3468&lt;0,1,2),2))</f>
        <v>2</v>
      </c>
    </row>
    <row r="3469" spans="3:26" ht="36" customHeight="1" x14ac:dyDescent="0.45">
      <c r="C3469" s="575"/>
      <c r="D3469" s="616"/>
      <c r="E3469" s="616"/>
      <c r="F3469" s="616"/>
      <c r="G3469" s="616"/>
      <c r="H3469" s="616"/>
      <c r="I3469" s="616"/>
      <c r="J3469" s="645"/>
      <c r="K3469" s="450"/>
      <c r="L3469" s="450"/>
      <c r="M3469" s="458"/>
      <c r="N3469" s="458"/>
      <c r="O3469" s="458"/>
      <c r="P3469" s="454"/>
      <c r="R3469" s="490" t="str">
        <f>R3468</f>
        <v>DELETE</v>
      </c>
      <c r="T3469" s="498"/>
    </row>
    <row r="3470" spans="3:26" ht="36" customHeight="1" x14ac:dyDescent="0.45">
      <c r="D3470" s="615" t="s">
        <v>1491</v>
      </c>
      <c r="E3470" s="616"/>
      <c r="F3470" s="616"/>
      <c r="G3470" s="616"/>
      <c r="H3470" s="616"/>
      <c r="I3470" s="616"/>
      <c r="J3470" s="645"/>
      <c r="K3470" s="450"/>
      <c r="L3470" s="450"/>
      <c r="M3470" s="458">
        <f>SUM(M3472:M3479)</f>
        <v>0</v>
      </c>
      <c r="N3470" s="458"/>
      <c r="O3470" s="458">
        <f>SUM(O3472:O3479)</f>
        <v>0</v>
      </c>
      <c r="P3470" s="454"/>
      <c r="R3470" s="490" t="str">
        <f t="shared" ref="R3470" si="224">IF(R$3438="DELETE","DELETE",IF(M3470+O3470=0,"DELETE"," "))</f>
        <v>DELETE</v>
      </c>
      <c r="S3470" s="495">
        <f>M3470</f>
        <v>0</v>
      </c>
      <c r="T3470" s="498"/>
      <c r="U3470" s="495">
        <f>O3470</f>
        <v>0</v>
      </c>
    </row>
    <row r="3471" spans="3:26" ht="9" customHeight="1" x14ac:dyDescent="0.45">
      <c r="C3471" s="575"/>
      <c r="D3471" s="616"/>
      <c r="E3471" s="616"/>
      <c r="F3471" s="616"/>
      <c r="G3471" s="616"/>
      <c r="H3471" s="616"/>
      <c r="I3471" s="616"/>
      <c r="J3471" s="645"/>
      <c r="K3471" s="450"/>
      <c r="L3471" s="450"/>
      <c r="M3471" s="458"/>
      <c r="N3471" s="458"/>
      <c r="O3471" s="458"/>
      <c r="P3471" s="454"/>
      <c r="R3471" s="490" t="str">
        <f>R3470</f>
        <v>DELETE</v>
      </c>
      <c r="T3471" s="498"/>
    </row>
    <row r="3472" spans="3:26" ht="9" customHeight="1" x14ac:dyDescent="0.45">
      <c r="C3472" s="575"/>
      <c r="D3472" s="616"/>
      <c r="E3472" s="616"/>
      <c r="F3472" s="616"/>
      <c r="G3472" s="616"/>
      <c r="H3472" s="616"/>
      <c r="I3472" s="616"/>
      <c r="J3472" s="645"/>
      <c r="K3472" s="450"/>
      <c r="L3472" s="450"/>
      <c r="M3472" s="578"/>
      <c r="N3472" s="459"/>
      <c r="O3472" s="579"/>
      <c r="P3472" s="454"/>
      <c r="R3472" s="490" t="str">
        <f>R3470</f>
        <v>DELETE</v>
      </c>
      <c r="T3472" s="498"/>
    </row>
    <row r="3473" spans="3:24" ht="36" customHeight="1" x14ac:dyDescent="0.45">
      <c r="C3473" s="575"/>
      <c r="D3473" s="616" t="str">
        <f>TrialBalanceB!C28</f>
        <v>Insurance claims - Rental Properties</v>
      </c>
      <c r="E3473" s="616"/>
      <c r="F3473" s="616"/>
      <c r="G3473" s="616"/>
      <c r="H3473" s="616"/>
      <c r="I3473" s="616"/>
      <c r="J3473" s="645"/>
      <c r="K3473" s="450"/>
      <c r="L3473" s="450"/>
      <c r="M3473" s="580">
        <f>-TrialBalanceB!I28</f>
        <v>0</v>
      </c>
      <c r="N3473" s="458"/>
      <c r="O3473" s="581">
        <f>-TrialBalanceB!K28</f>
        <v>0</v>
      </c>
      <c r="P3473" s="454"/>
      <c r="R3473" s="490" t="str">
        <f t="shared" ref="R3473:R3477" si="225">IF(R$3438="DELETE","DELETE",IF(M3473+O3473=0,"DELETE"," "))</f>
        <v>DELETE</v>
      </c>
      <c r="T3473" s="498"/>
    </row>
    <row r="3474" spans="3:24" ht="36" customHeight="1" x14ac:dyDescent="0.45">
      <c r="C3474" s="575"/>
      <c r="D3474" s="616" t="str">
        <f>TrialBalanceB!C29</f>
        <v>Government grants received</v>
      </c>
      <c r="E3474" s="616"/>
      <c r="F3474" s="616"/>
      <c r="G3474" s="616"/>
      <c r="H3474" s="616"/>
      <c r="I3474" s="616"/>
      <c r="J3474" s="645"/>
      <c r="K3474" s="450"/>
      <c r="L3474" s="450"/>
      <c r="M3474" s="580">
        <f>-TrialBalanceB!I29</f>
        <v>0</v>
      </c>
      <c r="N3474" s="458"/>
      <c r="O3474" s="581">
        <f>-TrialBalanceB!K29</f>
        <v>0</v>
      </c>
      <c r="P3474" s="454"/>
      <c r="R3474" s="490" t="str">
        <f t="shared" si="225"/>
        <v>DELETE</v>
      </c>
      <c r="T3474" s="498"/>
    </row>
    <row r="3475" spans="3:24" ht="36" customHeight="1" x14ac:dyDescent="0.45">
      <c r="C3475" s="575"/>
      <c r="D3475" s="616">
        <f>TrialBalanceB!C30</f>
        <v>0</v>
      </c>
      <c r="E3475" s="616"/>
      <c r="F3475" s="616"/>
      <c r="G3475" s="616"/>
      <c r="H3475" s="616"/>
      <c r="I3475" s="616"/>
      <c r="J3475" s="645"/>
      <c r="K3475" s="450"/>
      <c r="L3475" s="450"/>
      <c r="M3475" s="580">
        <f>-TrialBalanceB!I30</f>
        <v>0</v>
      </c>
      <c r="N3475" s="458"/>
      <c r="O3475" s="581">
        <f>-TrialBalanceB!K30</f>
        <v>0</v>
      </c>
      <c r="P3475" s="454"/>
      <c r="R3475" s="490" t="str">
        <f t="shared" si="225"/>
        <v>DELETE</v>
      </c>
      <c r="T3475" s="498"/>
    </row>
    <row r="3476" spans="3:24" ht="36" customHeight="1" x14ac:dyDescent="0.45">
      <c r="C3476" s="575"/>
      <c r="D3476" s="616">
        <f>TrialBalanceB!C31</f>
        <v>0</v>
      </c>
      <c r="E3476" s="616"/>
      <c r="F3476" s="616"/>
      <c r="G3476" s="616"/>
      <c r="H3476" s="616"/>
      <c r="I3476" s="616"/>
      <c r="J3476" s="645"/>
      <c r="K3476" s="450"/>
      <c r="L3476" s="450"/>
      <c r="M3476" s="580">
        <f>-TrialBalanceB!I31</f>
        <v>0</v>
      </c>
      <c r="N3476" s="458"/>
      <c r="O3476" s="581">
        <f>-TrialBalanceB!K31</f>
        <v>0</v>
      </c>
      <c r="P3476" s="454"/>
      <c r="R3476" s="490" t="str">
        <f t="shared" si="225"/>
        <v>DELETE</v>
      </c>
      <c r="T3476" s="498"/>
    </row>
    <row r="3477" spans="3:24" ht="36" customHeight="1" x14ac:dyDescent="0.45">
      <c r="C3477" s="575"/>
      <c r="D3477" s="616">
        <f>TrialBalanceB!C32</f>
        <v>0</v>
      </c>
      <c r="E3477" s="616"/>
      <c r="F3477" s="616"/>
      <c r="G3477" s="616"/>
      <c r="H3477" s="616"/>
      <c r="I3477" s="616"/>
      <c r="J3477" s="645"/>
      <c r="K3477" s="450"/>
      <c r="L3477" s="450"/>
      <c r="M3477" s="580">
        <f>-TrialBalanceB!I32</f>
        <v>0</v>
      </c>
      <c r="N3477" s="458"/>
      <c r="O3477" s="581">
        <f>-TrialBalanceB!K32</f>
        <v>0</v>
      </c>
      <c r="P3477" s="454"/>
      <c r="R3477" s="490" t="str">
        <f t="shared" si="225"/>
        <v>DELETE</v>
      </c>
      <c r="T3477" s="498"/>
    </row>
    <row r="3478" spans="3:24" ht="36" customHeight="1" x14ac:dyDescent="0.45">
      <c r="C3478" s="575"/>
      <c r="D3478" s="616" t="str">
        <f>TrialBalanceB!C33</f>
        <v>Recoupment of depreciation</v>
      </c>
      <c r="E3478" s="616"/>
      <c r="F3478" s="616"/>
      <c r="G3478" s="616"/>
      <c r="H3478" s="616"/>
      <c r="I3478" s="616"/>
      <c r="J3478" s="645"/>
      <c r="K3478" s="450"/>
      <c r="L3478" s="450"/>
      <c r="M3478" s="580">
        <f>-TrialBalanceB!I33</f>
        <v>0</v>
      </c>
      <c r="N3478" s="458"/>
      <c r="O3478" s="581">
        <f>-TrialBalanceB!K33</f>
        <v>0</v>
      </c>
      <c r="P3478" s="454"/>
      <c r="R3478" s="490" t="str">
        <f t="shared" ref="R3478" si="226">IF(R$3438="DELETE","DELETE",IF(M3478+O3478=0,"DELETE"," "))</f>
        <v>DELETE</v>
      </c>
      <c r="T3478" s="498"/>
    </row>
    <row r="3479" spans="3:24" ht="9" customHeight="1" x14ac:dyDescent="0.45">
      <c r="C3479" s="575"/>
      <c r="D3479" s="616"/>
      <c r="E3479" s="616"/>
      <c r="F3479" s="616"/>
      <c r="G3479" s="616"/>
      <c r="H3479" s="616"/>
      <c r="I3479" s="616"/>
      <c r="J3479" s="645"/>
      <c r="K3479" s="450"/>
      <c r="L3479" s="450"/>
      <c r="M3479" s="460"/>
      <c r="N3479" s="461"/>
      <c r="O3479" s="582"/>
      <c r="P3479" s="454"/>
      <c r="R3479" s="490" t="str">
        <f>R3470</f>
        <v>DELETE</v>
      </c>
      <c r="T3479" s="498"/>
    </row>
    <row r="3480" spans="3:24" ht="9" customHeight="1" x14ac:dyDescent="0.45">
      <c r="C3480" s="575"/>
      <c r="D3480" s="616"/>
      <c r="E3480" s="616"/>
      <c r="F3480" s="616"/>
      <c r="G3480" s="616"/>
      <c r="H3480" s="616"/>
      <c r="I3480" s="616"/>
      <c r="J3480" s="645"/>
      <c r="K3480" s="450"/>
      <c r="L3480" s="450"/>
      <c r="M3480" s="479"/>
      <c r="N3480" s="479"/>
      <c r="O3480" s="479"/>
      <c r="P3480" s="454"/>
      <c r="R3480" s="490" t="str">
        <f>R3479</f>
        <v>DELETE</v>
      </c>
      <c r="T3480" s="498"/>
    </row>
    <row r="3481" spans="3:24" ht="9" customHeight="1" x14ac:dyDescent="0.45">
      <c r="C3481" s="575"/>
      <c r="D3481" s="616"/>
      <c r="E3481" s="616"/>
      <c r="F3481" s="616"/>
      <c r="G3481" s="616"/>
      <c r="H3481" s="616"/>
      <c r="I3481" s="616"/>
      <c r="J3481" s="645"/>
      <c r="K3481" s="450"/>
      <c r="L3481" s="450"/>
      <c r="M3481" s="458"/>
      <c r="N3481" s="458"/>
      <c r="O3481" s="458"/>
      <c r="P3481" s="454"/>
      <c r="R3481" s="490" t="str">
        <f>R3480</f>
        <v>DELETE</v>
      </c>
      <c r="T3481" s="498"/>
    </row>
    <row r="3482" spans="3:24" ht="36" customHeight="1" x14ac:dyDescent="0.45">
      <c r="C3482" s="575"/>
      <c r="D3482" s="616"/>
      <c r="E3482" s="616"/>
      <c r="F3482" s="616"/>
      <c r="G3482" s="616"/>
      <c r="H3482" s="616"/>
      <c r="I3482" s="616"/>
      <c r="J3482" s="645"/>
      <c r="K3482" s="450"/>
      <c r="L3482" s="450"/>
      <c r="M3482" s="458">
        <f>SUM(S3450:S3470)</f>
        <v>0</v>
      </c>
      <c r="N3482" s="458"/>
      <c r="O3482" s="458">
        <f>SUM(U3450:U3470)</f>
        <v>0</v>
      </c>
      <c r="P3482" s="454"/>
      <c r="R3482" s="490" t="str">
        <f>R3470</f>
        <v>DELETE</v>
      </c>
      <c r="T3482" s="498"/>
    </row>
    <row r="3483" spans="3:24" ht="36" customHeight="1" x14ac:dyDescent="0.45">
      <c r="C3483" s="575"/>
      <c r="D3483" s="616"/>
      <c r="E3483" s="616"/>
      <c r="F3483" s="616"/>
      <c r="G3483" s="616"/>
      <c r="H3483" s="616"/>
      <c r="I3483" s="616"/>
      <c r="J3483" s="645"/>
      <c r="K3483" s="450"/>
      <c r="L3483" s="450"/>
      <c r="M3483" s="458"/>
      <c r="N3483" s="458"/>
      <c r="O3483" s="458"/>
      <c r="P3483" s="454"/>
      <c r="R3483" s="490" t="str">
        <f>R3482</f>
        <v>DELETE</v>
      </c>
      <c r="T3483" s="498"/>
    </row>
    <row r="3484" spans="3:24" ht="36" customHeight="1" x14ac:dyDescent="0.45">
      <c r="D3484" s="615" t="s">
        <v>1532</v>
      </c>
      <c r="E3484" s="616"/>
      <c r="F3484" s="616"/>
      <c r="G3484" s="616"/>
      <c r="H3484" s="616"/>
      <c r="I3484" s="616"/>
      <c r="J3484" s="645"/>
      <c r="K3484" s="450"/>
      <c r="L3484" s="450"/>
      <c r="M3484" s="458">
        <f>SUM(M3486:M3515)</f>
        <v>0</v>
      </c>
      <c r="N3484" s="458"/>
      <c r="O3484" s="458">
        <f>SUM(O3486:O3515)</f>
        <v>0</v>
      </c>
      <c r="P3484" s="454"/>
      <c r="R3484" s="490" t="str">
        <f t="shared" ref="R3484" si="227">IF(R$3438="DELETE","DELETE",IF(M3484+O3484=0,"DELETE"," "))</f>
        <v>DELETE</v>
      </c>
      <c r="S3484" s="495">
        <f>-M3484</f>
        <v>0</v>
      </c>
      <c r="T3484" s="498"/>
      <c r="U3484" s="495">
        <f>-O3484</f>
        <v>0</v>
      </c>
      <c r="V3484" s="495"/>
      <c r="W3484" s="495"/>
      <c r="X3484" s="495"/>
    </row>
    <row r="3485" spans="3:24" ht="9" customHeight="1" x14ac:dyDescent="0.45">
      <c r="C3485" s="575"/>
      <c r="D3485" s="616"/>
      <c r="E3485" s="616"/>
      <c r="F3485" s="616"/>
      <c r="G3485" s="616"/>
      <c r="H3485" s="616"/>
      <c r="I3485" s="616"/>
      <c r="J3485" s="645"/>
      <c r="K3485" s="450"/>
      <c r="L3485" s="450"/>
      <c r="M3485" s="458"/>
      <c r="N3485" s="458"/>
      <c r="O3485" s="458"/>
      <c r="P3485" s="454"/>
      <c r="R3485" s="490" t="str">
        <f>R3484</f>
        <v>DELETE</v>
      </c>
      <c r="T3485" s="498"/>
    </row>
    <row r="3486" spans="3:24" ht="9" customHeight="1" x14ac:dyDescent="0.45">
      <c r="C3486" s="575"/>
      <c r="D3486" s="616"/>
      <c r="E3486" s="616"/>
      <c r="F3486" s="616"/>
      <c r="G3486" s="616"/>
      <c r="H3486" s="616"/>
      <c r="I3486" s="616"/>
      <c r="J3486" s="645"/>
      <c r="K3486" s="450"/>
      <c r="L3486" s="450"/>
      <c r="M3486" s="578"/>
      <c r="N3486" s="459"/>
      <c r="O3486" s="579"/>
      <c r="P3486" s="454"/>
      <c r="R3486" s="490" t="str">
        <f>R3485</f>
        <v>DELETE</v>
      </c>
      <c r="T3486" s="498"/>
    </row>
    <row r="3487" spans="3:24" ht="36" customHeight="1" x14ac:dyDescent="0.45">
      <c r="C3487" s="575"/>
      <c r="D3487" s="616" t="s">
        <v>302</v>
      </c>
      <c r="E3487" s="616"/>
      <c r="F3487" s="616"/>
      <c r="G3487" s="616"/>
      <c r="H3487" s="616"/>
      <c r="I3487" s="616"/>
      <c r="J3487" s="645"/>
      <c r="K3487" s="450"/>
      <c r="L3487" s="450"/>
      <c r="M3487" s="580">
        <f>TrialBalanceB!I40</f>
        <v>0</v>
      </c>
      <c r="N3487" s="458"/>
      <c r="O3487" s="581">
        <f>TrialBalanceB!K40</f>
        <v>0</v>
      </c>
      <c r="P3487" s="454"/>
      <c r="R3487" s="490" t="str">
        <f t="shared" ref="R3487:R3514" si="228">IF(R$3438="DELETE","DELETE",IF(M3487+O3487=0,"DELETE"," "))</f>
        <v>DELETE</v>
      </c>
      <c r="T3487" s="498"/>
    </row>
    <row r="3488" spans="3:24" ht="36" customHeight="1" x14ac:dyDescent="0.45">
      <c r="C3488" s="575"/>
      <c r="D3488" s="616" t="s">
        <v>831</v>
      </c>
      <c r="E3488" s="616"/>
      <c r="F3488" s="616"/>
      <c r="G3488" s="616"/>
      <c r="H3488" s="616"/>
      <c r="I3488" s="616"/>
      <c r="J3488" s="645"/>
      <c r="K3488" s="450"/>
      <c r="L3488" s="450"/>
      <c r="M3488" s="580">
        <f>TrialBalanceB!I41</f>
        <v>0</v>
      </c>
      <c r="N3488" s="458"/>
      <c r="O3488" s="581">
        <f>TrialBalanceB!K41</f>
        <v>0</v>
      </c>
      <c r="P3488" s="454"/>
      <c r="R3488" s="490" t="str">
        <f t="shared" si="228"/>
        <v>DELETE</v>
      </c>
      <c r="T3488" s="498"/>
    </row>
    <row r="3489" spans="3:24" ht="36" customHeight="1" x14ac:dyDescent="0.45">
      <c r="C3489" s="575"/>
      <c r="D3489" s="616" t="s">
        <v>303</v>
      </c>
      <c r="E3489" s="616"/>
      <c r="F3489" s="616"/>
      <c r="G3489" s="616"/>
      <c r="H3489" s="616"/>
      <c r="I3489" s="616"/>
      <c r="J3489" s="645"/>
      <c r="K3489" s="450"/>
      <c r="L3489" s="450"/>
      <c r="M3489" s="580">
        <f>TrialBalanceB!I42</f>
        <v>0</v>
      </c>
      <c r="N3489" s="458"/>
      <c r="O3489" s="581">
        <f>TrialBalanceB!K42</f>
        <v>0</v>
      </c>
      <c r="P3489" s="454"/>
      <c r="R3489" s="490" t="str">
        <f t="shared" si="228"/>
        <v>DELETE</v>
      </c>
      <c r="T3489" s="498"/>
    </row>
    <row r="3490" spans="3:24" ht="36" customHeight="1" x14ac:dyDescent="0.45">
      <c r="C3490" s="575"/>
      <c r="D3490" s="616" t="s">
        <v>304</v>
      </c>
      <c r="E3490" s="616"/>
      <c r="F3490" s="616"/>
      <c r="G3490" s="616"/>
      <c r="H3490" s="616"/>
      <c r="I3490" s="616"/>
      <c r="J3490" s="645"/>
      <c r="K3490" s="450">
        <f>B$1250</f>
        <v>5</v>
      </c>
      <c r="L3490" s="450"/>
      <c r="M3490" s="580">
        <f>SUM(TrialBalanceB!I44:I46)</f>
        <v>0</v>
      </c>
      <c r="N3490" s="458"/>
      <c r="O3490" s="581">
        <f>SUM(TrialBalanceB!K44:K46)</f>
        <v>0</v>
      </c>
      <c r="P3490" s="454"/>
      <c r="R3490" s="490" t="str">
        <f t="shared" si="228"/>
        <v>DELETE</v>
      </c>
      <c r="T3490" s="498"/>
    </row>
    <row r="3491" spans="3:24" ht="36" customHeight="1" x14ac:dyDescent="0.45">
      <c r="C3491" s="575"/>
      <c r="D3491" s="616" t="s">
        <v>565</v>
      </c>
      <c r="E3491" s="616"/>
      <c r="F3491" s="616"/>
      <c r="G3491" s="616"/>
      <c r="H3491" s="616"/>
      <c r="I3491" s="616"/>
      <c r="J3491" s="645"/>
      <c r="K3491" s="450"/>
      <c r="L3491" s="450"/>
      <c r="M3491" s="580">
        <f>TrialBalanceB!I47</f>
        <v>0</v>
      </c>
      <c r="N3491" s="458"/>
      <c r="O3491" s="581">
        <f>TrialBalanceB!K47</f>
        <v>0</v>
      </c>
      <c r="P3491" s="454"/>
      <c r="R3491" s="490" t="str">
        <f t="shared" si="228"/>
        <v>DELETE</v>
      </c>
      <c r="S3491" s="496"/>
      <c r="T3491" s="498"/>
      <c r="U3491" s="496"/>
      <c r="V3491" s="496"/>
      <c r="W3491" s="496"/>
      <c r="X3491" s="496"/>
    </row>
    <row r="3492" spans="3:24" ht="36" customHeight="1" x14ac:dyDescent="0.45">
      <c r="C3492" s="575"/>
      <c r="D3492" s="616" t="s">
        <v>871</v>
      </c>
      <c r="E3492" s="616"/>
      <c r="F3492" s="616"/>
      <c r="G3492" s="616"/>
      <c r="H3492" s="616"/>
      <c r="I3492" s="616"/>
      <c r="J3492" s="645"/>
      <c r="K3492" s="450"/>
      <c r="L3492" s="450"/>
      <c r="M3492" s="580">
        <f>TrialBalanceB!I48</f>
        <v>0</v>
      </c>
      <c r="N3492" s="458"/>
      <c r="O3492" s="581">
        <f>TrialBalanceB!K48</f>
        <v>0</v>
      </c>
      <c r="P3492" s="454"/>
      <c r="R3492" s="490" t="str">
        <f t="shared" si="228"/>
        <v>DELETE</v>
      </c>
      <c r="T3492" s="498"/>
    </row>
    <row r="3493" spans="3:24" ht="36" customHeight="1" x14ac:dyDescent="0.45">
      <c r="C3493" s="575"/>
      <c r="D3493" s="616" t="s">
        <v>69</v>
      </c>
      <c r="E3493" s="616"/>
      <c r="F3493" s="616"/>
      <c r="G3493" s="616"/>
      <c r="H3493" s="616"/>
      <c r="I3493" s="616"/>
      <c r="J3493" s="645"/>
      <c r="K3493" s="450"/>
      <c r="L3493" s="450"/>
      <c r="M3493" s="580">
        <f>TrialBalanceB!I49</f>
        <v>0</v>
      </c>
      <c r="N3493" s="458"/>
      <c r="O3493" s="581">
        <f>TrialBalanceB!K49</f>
        <v>0</v>
      </c>
      <c r="P3493" s="454"/>
      <c r="R3493" s="490" t="str">
        <f t="shared" si="228"/>
        <v>DELETE</v>
      </c>
      <c r="T3493" s="498"/>
    </row>
    <row r="3494" spans="3:24" ht="36" customHeight="1" x14ac:dyDescent="0.45">
      <c r="C3494" s="575"/>
      <c r="D3494" s="616" t="s">
        <v>305</v>
      </c>
      <c r="E3494" s="616"/>
      <c r="F3494" s="616"/>
      <c r="G3494" s="616"/>
      <c r="H3494" s="616"/>
      <c r="I3494" s="616"/>
      <c r="J3494" s="645"/>
      <c r="K3494" s="450"/>
      <c r="L3494" s="450"/>
      <c r="M3494" s="580">
        <f>TrialBalanceB!I50</f>
        <v>0</v>
      </c>
      <c r="N3494" s="458"/>
      <c r="O3494" s="581">
        <f>TrialBalanceB!K50</f>
        <v>0</v>
      </c>
      <c r="P3494" s="454"/>
      <c r="R3494" s="490" t="str">
        <f t="shared" si="228"/>
        <v>DELETE</v>
      </c>
      <c r="T3494" s="498"/>
    </row>
    <row r="3495" spans="3:24" ht="36" customHeight="1" x14ac:dyDescent="0.45">
      <c r="C3495" s="575"/>
      <c r="D3495" s="616" t="s">
        <v>587</v>
      </c>
      <c r="E3495" s="616"/>
      <c r="F3495" s="616"/>
      <c r="G3495" s="616"/>
      <c r="H3495" s="616"/>
      <c r="I3495" s="616"/>
      <c r="J3495" s="645"/>
      <c r="K3495" s="450"/>
      <c r="L3495" s="450"/>
      <c r="M3495" s="580">
        <f>SUM(TrialBalanceB!I51:I52)</f>
        <v>0</v>
      </c>
      <c r="N3495" s="458"/>
      <c r="O3495" s="581">
        <f>SUM(TrialBalanceB!K51:K52)</f>
        <v>0</v>
      </c>
      <c r="P3495" s="454"/>
      <c r="R3495" s="490" t="str">
        <f t="shared" si="228"/>
        <v>DELETE</v>
      </c>
      <c r="T3495" s="498"/>
    </row>
    <row r="3496" spans="3:24" ht="36" customHeight="1" x14ac:dyDescent="0.45">
      <c r="C3496" s="575"/>
      <c r="D3496" s="616" t="s">
        <v>585</v>
      </c>
      <c r="E3496" s="616"/>
      <c r="F3496" s="616"/>
      <c r="G3496" s="616"/>
      <c r="H3496" s="616"/>
      <c r="I3496" s="616"/>
      <c r="J3496" s="645"/>
      <c r="K3496" s="450"/>
      <c r="L3496" s="450"/>
      <c r="M3496" s="580">
        <f>TrialBalanceB!I53</f>
        <v>0</v>
      </c>
      <c r="N3496" s="458"/>
      <c r="O3496" s="581">
        <f>TrialBalanceB!K53</f>
        <v>0</v>
      </c>
      <c r="P3496" s="454"/>
      <c r="R3496" s="490" t="str">
        <f t="shared" si="228"/>
        <v>DELETE</v>
      </c>
      <c r="T3496" s="498"/>
    </row>
    <row r="3497" spans="3:24" ht="36" customHeight="1" x14ac:dyDescent="0.45">
      <c r="C3497" s="575"/>
      <c r="D3497" s="616" t="s">
        <v>566</v>
      </c>
      <c r="E3497" s="616"/>
      <c r="F3497" s="616"/>
      <c r="G3497" s="616"/>
      <c r="H3497" s="616"/>
      <c r="I3497" s="616"/>
      <c r="J3497" s="645"/>
      <c r="K3497" s="450"/>
      <c r="L3497" s="450"/>
      <c r="M3497" s="580">
        <f>SUM(TrialBalanceB!I55:I59)</f>
        <v>0</v>
      </c>
      <c r="N3497" s="458"/>
      <c r="O3497" s="581">
        <f>SUM(TrialBalanceB!K55:K59)</f>
        <v>0</v>
      </c>
      <c r="P3497" s="454"/>
      <c r="R3497" s="490" t="str">
        <f t="shared" si="228"/>
        <v>DELETE</v>
      </c>
      <c r="T3497" s="498"/>
    </row>
    <row r="3498" spans="3:24" ht="36" customHeight="1" x14ac:dyDescent="0.45">
      <c r="C3498" s="575"/>
      <c r="D3498" s="616" t="s">
        <v>547</v>
      </c>
      <c r="E3498" s="616"/>
      <c r="F3498" s="616"/>
      <c r="G3498" s="616"/>
      <c r="H3498" s="616"/>
      <c r="I3498" s="616"/>
      <c r="J3498" s="645"/>
      <c r="K3498" s="450">
        <f>B$1250</f>
        <v>5</v>
      </c>
      <c r="L3498" s="450"/>
      <c r="M3498" s="580">
        <f>SUM(TrialBalanceB!I61:I63)</f>
        <v>0</v>
      </c>
      <c r="N3498" s="458"/>
      <c r="O3498" s="581">
        <f>SUM(TrialBalanceB!K61:K63)</f>
        <v>0</v>
      </c>
      <c r="P3498" s="454"/>
      <c r="R3498" s="490" t="str">
        <f t="shared" si="228"/>
        <v>DELETE</v>
      </c>
      <c r="T3498" s="498"/>
    </row>
    <row r="3499" spans="3:24" ht="36" customHeight="1" x14ac:dyDescent="0.45">
      <c r="C3499" s="575"/>
      <c r="D3499" s="616" t="s">
        <v>77</v>
      </c>
      <c r="E3499" s="616"/>
      <c r="F3499" s="616"/>
      <c r="G3499" s="616"/>
      <c r="H3499" s="616"/>
      <c r="I3499" s="616"/>
      <c r="J3499" s="645"/>
      <c r="K3499" s="450"/>
      <c r="L3499" s="450"/>
      <c r="M3499" s="580">
        <f>TrialBalanceB!I64</f>
        <v>0</v>
      </c>
      <c r="N3499" s="458"/>
      <c r="O3499" s="581">
        <f>TrialBalanceB!K64</f>
        <v>0</v>
      </c>
      <c r="P3499" s="454"/>
      <c r="R3499" s="490" t="str">
        <f t="shared" si="228"/>
        <v>DELETE</v>
      </c>
      <c r="T3499" s="498"/>
    </row>
    <row r="3500" spans="3:24" ht="36" customHeight="1" x14ac:dyDescent="0.45">
      <c r="C3500" s="575"/>
      <c r="D3500" s="616" t="s">
        <v>1756</v>
      </c>
      <c r="E3500" s="616"/>
      <c r="F3500" s="616"/>
      <c r="G3500" s="616"/>
      <c r="H3500" s="616"/>
      <c r="I3500" s="616"/>
      <c r="J3500" s="645"/>
      <c r="K3500" s="450"/>
      <c r="L3500" s="450"/>
      <c r="M3500" s="580">
        <f>TrialBalanceB!I65</f>
        <v>0</v>
      </c>
      <c r="N3500" s="458"/>
      <c r="O3500" s="581">
        <f>TrialBalanceB!K65</f>
        <v>0</v>
      </c>
      <c r="P3500" s="454"/>
      <c r="R3500" s="490" t="str">
        <f t="shared" ref="R3500" si="229">IF(R$3438="DELETE","DELETE",IF(M3500+O3500=0,"DELETE"," "))</f>
        <v>DELETE</v>
      </c>
      <c r="T3500" s="498"/>
    </row>
    <row r="3501" spans="3:24" ht="36" customHeight="1" x14ac:dyDescent="0.45">
      <c r="C3501" s="575"/>
      <c r="D3501" s="616" t="s">
        <v>286</v>
      </c>
      <c r="E3501" s="616"/>
      <c r="F3501" s="616"/>
      <c r="G3501" s="616"/>
      <c r="H3501" s="616"/>
      <c r="I3501" s="616"/>
      <c r="J3501" s="645"/>
      <c r="K3501" s="450"/>
      <c r="L3501" s="450"/>
      <c r="M3501" s="580">
        <f>SUM(TrialBalanceB!I66:I68)</f>
        <v>0</v>
      </c>
      <c r="N3501" s="458"/>
      <c r="O3501" s="581">
        <f>SUM(TrialBalanceB!K66:K68)</f>
        <v>0</v>
      </c>
      <c r="P3501" s="454"/>
      <c r="R3501" s="490" t="str">
        <f t="shared" si="228"/>
        <v>DELETE</v>
      </c>
      <c r="T3501" s="498"/>
    </row>
    <row r="3502" spans="3:24" ht="36" customHeight="1" x14ac:dyDescent="0.45">
      <c r="C3502" s="575"/>
      <c r="D3502" s="616" t="s">
        <v>872</v>
      </c>
      <c r="E3502" s="616"/>
      <c r="F3502" s="616"/>
      <c r="G3502" s="616"/>
      <c r="H3502" s="616"/>
      <c r="I3502" s="616"/>
      <c r="J3502" s="645"/>
      <c r="K3502" s="450"/>
      <c r="L3502" s="450"/>
      <c r="M3502" s="580">
        <f>SUM(TrialBalanceB!I69:I70)</f>
        <v>0</v>
      </c>
      <c r="N3502" s="458"/>
      <c r="O3502" s="581">
        <f>SUM(TrialBalanceB!K69:K70)</f>
        <v>0</v>
      </c>
      <c r="P3502" s="454"/>
      <c r="R3502" s="490" t="str">
        <f t="shared" si="228"/>
        <v>DELETE</v>
      </c>
      <c r="T3502" s="498"/>
    </row>
    <row r="3503" spans="3:24" ht="36" customHeight="1" x14ac:dyDescent="0.45">
      <c r="C3503" s="575"/>
      <c r="D3503" s="616" t="s">
        <v>287</v>
      </c>
      <c r="E3503" s="616"/>
      <c r="F3503" s="616"/>
      <c r="G3503" s="616"/>
      <c r="H3503" s="616"/>
      <c r="I3503" s="616"/>
      <c r="J3503" s="645"/>
      <c r="K3503" s="450"/>
      <c r="L3503" s="450"/>
      <c r="M3503" s="580">
        <f>TrialBalanceB!I71</f>
        <v>0</v>
      </c>
      <c r="N3503" s="458"/>
      <c r="O3503" s="581">
        <f>TrialBalanceB!K71</f>
        <v>0</v>
      </c>
      <c r="P3503" s="454"/>
      <c r="R3503" s="490" t="str">
        <f t="shared" si="228"/>
        <v>DELETE</v>
      </c>
      <c r="T3503" s="498"/>
    </row>
    <row r="3504" spans="3:24" ht="36" customHeight="1" x14ac:dyDescent="0.45">
      <c r="C3504" s="575"/>
      <c r="D3504" s="616" t="s">
        <v>425</v>
      </c>
      <c r="E3504" s="616"/>
      <c r="F3504" s="616"/>
      <c r="G3504" s="616"/>
      <c r="H3504" s="616"/>
      <c r="I3504" s="616"/>
      <c r="J3504" s="645"/>
      <c r="K3504" s="450"/>
      <c r="L3504" s="450"/>
      <c r="M3504" s="580">
        <f>TrialBalanceB!I72</f>
        <v>0</v>
      </c>
      <c r="N3504" s="458"/>
      <c r="O3504" s="581">
        <f>TrialBalanceB!K72</f>
        <v>0</v>
      </c>
      <c r="P3504" s="454"/>
      <c r="R3504" s="490" t="str">
        <f t="shared" si="228"/>
        <v>DELETE</v>
      </c>
      <c r="T3504" s="498"/>
    </row>
    <row r="3505" spans="3:26" ht="36" customHeight="1" x14ac:dyDescent="0.45">
      <c r="C3505" s="575"/>
      <c r="D3505" s="616">
        <f>TrialBalanceB!C73</f>
        <v>0</v>
      </c>
      <c r="E3505" s="616"/>
      <c r="F3505" s="616"/>
      <c r="G3505" s="616"/>
      <c r="H3505" s="616"/>
      <c r="I3505" s="616"/>
      <c r="J3505" s="645"/>
      <c r="K3505" s="450"/>
      <c r="L3505" s="450"/>
      <c r="M3505" s="580">
        <f>TrialBalanceB!I73</f>
        <v>0</v>
      </c>
      <c r="N3505" s="458"/>
      <c r="O3505" s="581">
        <f>TrialBalanceB!K73</f>
        <v>0</v>
      </c>
      <c r="P3505" s="454"/>
      <c r="R3505" s="490" t="str">
        <f t="shared" si="228"/>
        <v>DELETE</v>
      </c>
      <c r="T3505" s="498"/>
    </row>
    <row r="3506" spans="3:26" ht="36" customHeight="1" x14ac:dyDescent="0.45">
      <c r="C3506" s="575"/>
      <c r="D3506" s="616">
        <f>TrialBalanceB!C74</f>
        <v>0</v>
      </c>
      <c r="E3506" s="616"/>
      <c r="F3506" s="616"/>
      <c r="G3506" s="616"/>
      <c r="H3506" s="616"/>
      <c r="I3506" s="616"/>
      <c r="J3506" s="645"/>
      <c r="K3506" s="450"/>
      <c r="L3506" s="450"/>
      <c r="M3506" s="580">
        <f>TrialBalanceB!I74</f>
        <v>0</v>
      </c>
      <c r="N3506" s="458"/>
      <c r="O3506" s="581">
        <f>TrialBalanceB!K74</f>
        <v>0</v>
      </c>
      <c r="P3506" s="454"/>
      <c r="R3506" s="490" t="str">
        <f t="shared" si="228"/>
        <v>DELETE</v>
      </c>
      <c r="T3506" s="498"/>
    </row>
    <row r="3507" spans="3:26" ht="36" customHeight="1" x14ac:dyDescent="0.45">
      <c r="C3507" s="575"/>
      <c r="D3507" s="616">
        <f>TrialBalanceB!C75</f>
        <v>0</v>
      </c>
      <c r="E3507" s="616"/>
      <c r="F3507" s="616"/>
      <c r="G3507" s="616"/>
      <c r="H3507" s="616"/>
      <c r="I3507" s="616"/>
      <c r="J3507" s="645"/>
      <c r="K3507" s="450"/>
      <c r="L3507" s="450"/>
      <c r="M3507" s="580">
        <f>TrialBalanceB!I75</f>
        <v>0</v>
      </c>
      <c r="N3507" s="458"/>
      <c r="O3507" s="581">
        <f>TrialBalanceB!K75</f>
        <v>0</v>
      </c>
      <c r="P3507" s="454"/>
      <c r="R3507" s="490" t="str">
        <f t="shared" si="228"/>
        <v>DELETE</v>
      </c>
      <c r="T3507" s="498"/>
    </row>
    <row r="3508" spans="3:26" ht="36" customHeight="1" x14ac:dyDescent="0.45">
      <c r="C3508" s="575"/>
      <c r="D3508" s="616">
        <f>TrialBalanceB!C76</f>
        <v>0</v>
      </c>
      <c r="E3508" s="616"/>
      <c r="F3508" s="616"/>
      <c r="G3508" s="616"/>
      <c r="H3508" s="616"/>
      <c r="I3508" s="616"/>
      <c r="J3508" s="645"/>
      <c r="K3508" s="450"/>
      <c r="L3508" s="450"/>
      <c r="M3508" s="580">
        <f>TrialBalanceB!I76</f>
        <v>0</v>
      </c>
      <c r="N3508" s="458"/>
      <c r="O3508" s="581">
        <f>TrialBalanceB!K76</f>
        <v>0</v>
      </c>
      <c r="P3508" s="454"/>
      <c r="R3508" s="490" t="str">
        <f t="shared" si="228"/>
        <v>DELETE</v>
      </c>
      <c r="T3508" s="498"/>
    </row>
    <row r="3509" spans="3:26" ht="36" customHeight="1" x14ac:dyDescent="0.45">
      <c r="C3509" s="575"/>
      <c r="D3509" s="616">
        <f>TrialBalanceB!C77</f>
        <v>0</v>
      </c>
      <c r="E3509" s="616"/>
      <c r="F3509" s="616"/>
      <c r="G3509" s="616"/>
      <c r="H3509" s="616"/>
      <c r="I3509" s="616"/>
      <c r="J3509" s="645"/>
      <c r="K3509" s="450"/>
      <c r="L3509" s="450"/>
      <c r="M3509" s="580">
        <f>TrialBalanceB!I77</f>
        <v>0</v>
      </c>
      <c r="N3509" s="458"/>
      <c r="O3509" s="581">
        <f>TrialBalanceB!K77</f>
        <v>0</v>
      </c>
      <c r="P3509" s="454"/>
      <c r="R3509" s="490" t="str">
        <f t="shared" si="228"/>
        <v>DELETE</v>
      </c>
      <c r="T3509" s="498"/>
    </row>
    <row r="3510" spans="3:26" ht="36" customHeight="1" x14ac:dyDescent="0.45">
      <c r="C3510" s="575"/>
      <c r="D3510" s="616">
        <f>TrialBalanceB!C78</f>
        <v>0</v>
      </c>
      <c r="E3510" s="616"/>
      <c r="F3510" s="616"/>
      <c r="G3510" s="616"/>
      <c r="H3510" s="616"/>
      <c r="I3510" s="616"/>
      <c r="J3510" s="645"/>
      <c r="K3510" s="450"/>
      <c r="L3510" s="450"/>
      <c r="M3510" s="580">
        <f>TrialBalanceB!I78</f>
        <v>0</v>
      </c>
      <c r="N3510" s="458"/>
      <c r="O3510" s="581">
        <f>TrialBalanceB!K78</f>
        <v>0</v>
      </c>
      <c r="P3510" s="454"/>
      <c r="R3510" s="490" t="str">
        <f t="shared" si="228"/>
        <v>DELETE</v>
      </c>
      <c r="T3510" s="498"/>
    </row>
    <row r="3511" spans="3:26" ht="36" customHeight="1" x14ac:dyDescent="0.45">
      <c r="C3511" s="575"/>
      <c r="D3511" s="616">
        <f>TrialBalanceB!C79</f>
        <v>0</v>
      </c>
      <c r="E3511" s="616"/>
      <c r="F3511" s="616"/>
      <c r="G3511" s="616"/>
      <c r="H3511" s="616"/>
      <c r="I3511" s="616"/>
      <c r="J3511" s="645"/>
      <c r="K3511" s="450"/>
      <c r="L3511" s="450"/>
      <c r="M3511" s="580">
        <f>TrialBalanceB!I79</f>
        <v>0</v>
      </c>
      <c r="N3511" s="458"/>
      <c r="O3511" s="581">
        <f>TrialBalanceB!K79</f>
        <v>0</v>
      </c>
      <c r="P3511" s="454"/>
      <c r="R3511" s="490" t="str">
        <f t="shared" si="228"/>
        <v>DELETE</v>
      </c>
      <c r="T3511" s="498"/>
    </row>
    <row r="3512" spans="3:26" ht="36" customHeight="1" x14ac:dyDescent="0.45">
      <c r="C3512" s="575"/>
      <c r="D3512" s="616">
        <f>TrialBalanceB!C80</f>
        <v>0</v>
      </c>
      <c r="E3512" s="616"/>
      <c r="F3512" s="616"/>
      <c r="G3512" s="616"/>
      <c r="H3512" s="616"/>
      <c r="I3512" s="616"/>
      <c r="J3512" s="645"/>
      <c r="K3512" s="450"/>
      <c r="L3512" s="450"/>
      <c r="M3512" s="580">
        <f>TrialBalanceB!I80</f>
        <v>0</v>
      </c>
      <c r="N3512" s="458"/>
      <c r="O3512" s="581">
        <f>TrialBalanceB!K80</f>
        <v>0</v>
      </c>
      <c r="P3512" s="454"/>
      <c r="R3512" s="490" t="str">
        <f t="shared" si="228"/>
        <v>DELETE</v>
      </c>
      <c r="T3512" s="498"/>
    </row>
    <row r="3513" spans="3:26" ht="36" customHeight="1" x14ac:dyDescent="0.45">
      <c r="C3513" s="575"/>
      <c r="D3513" s="616">
        <f>TrialBalanceB!C81</f>
        <v>0</v>
      </c>
      <c r="E3513" s="616"/>
      <c r="F3513" s="616"/>
      <c r="G3513" s="616"/>
      <c r="H3513" s="616"/>
      <c r="I3513" s="616"/>
      <c r="J3513" s="645"/>
      <c r="K3513" s="450"/>
      <c r="L3513" s="450"/>
      <c r="M3513" s="580">
        <f>TrialBalanceB!I81</f>
        <v>0</v>
      </c>
      <c r="N3513" s="458"/>
      <c r="O3513" s="581">
        <f>TrialBalanceB!K81</f>
        <v>0</v>
      </c>
      <c r="P3513" s="454"/>
      <c r="R3513" s="490" t="str">
        <f t="shared" si="228"/>
        <v>DELETE</v>
      </c>
      <c r="T3513" s="498"/>
    </row>
    <row r="3514" spans="3:26" ht="36" customHeight="1" x14ac:dyDescent="0.45">
      <c r="C3514" s="575"/>
      <c r="D3514" s="616">
        <f>TrialBalanceB!C82</f>
        <v>0</v>
      </c>
      <c r="E3514" s="616"/>
      <c r="F3514" s="616"/>
      <c r="G3514" s="616"/>
      <c r="H3514" s="616"/>
      <c r="I3514" s="616"/>
      <c r="J3514" s="645"/>
      <c r="K3514" s="450"/>
      <c r="L3514" s="450"/>
      <c r="M3514" s="580">
        <f>TrialBalanceB!I82</f>
        <v>0</v>
      </c>
      <c r="N3514" s="458"/>
      <c r="O3514" s="581">
        <f>TrialBalanceB!K82</f>
        <v>0</v>
      </c>
      <c r="P3514" s="454"/>
      <c r="R3514" s="490" t="str">
        <f t="shared" si="228"/>
        <v>DELETE</v>
      </c>
      <c r="T3514" s="498"/>
    </row>
    <row r="3515" spans="3:26" ht="9" customHeight="1" x14ac:dyDescent="0.45">
      <c r="C3515" s="575"/>
      <c r="D3515" s="616"/>
      <c r="E3515" s="616"/>
      <c r="F3515" s="616"/>
      <c r="G3515" s="616"/>
      <c r="H3515" s="616"/>
      <c r="I3515" s="616"/>
      <c r="J3515" s="645"/>
      <c r="K3515" s="450"/>
      <c r="L3515" s="450"/>
      <c r="M3515" s="460"/>
      <c r="N3515" s="461"/>
      <c r="O3515" s="582"/>
      <c r="P3515" s="454"/>
      <c r="R3515" s="490" t="str">
        <f>R3484</f>
        <v>DELETE</v>
      </c>
      <c r="T3515" s="498"/>
    </row>
    <row r="3516" spans="3:26" ht="9" customHeight="1" x14ac:dyDescent="0.45">
      <c r="C3516" s="575"/>
      <c r="D3516" s="616"/>
      <c r="E3516" s="616"/>
      <c r="F3516" s="616"/>
      <c r="G3516" s="616"/>
      <c r="H3516" s="616"/>
      <c r="I3516" s="616"/>
      <c r="J3516" s="645"/>
      <c r="K3516" s="450"/>
      <c r="L3516" s="450"/>
      <c r="M3516" s="461"/>
      <c r="N3516" s="461"/>
      <c r="O3516" s="461"/>
      <c r="P3516" s="454"/>
      <c r="R3516" s="490" t="str">
        <f t="shared" ref="R3516:R3536" si="230">R$3438</f>
        <v>DELETE</v>
      </c>
      <c r="T3516" s="498"/>
    </row>
    <row r="3517" spans="3:26" ht="9" customHeight="1" x14ac:dyDescent="0.45">
      <c r="C3517" s="575"/>
      <c r="D3517" s="616"/>
      <c r="E3517" s="616"/>
      <c r="F3517" s="616"/>
      <c r="G3517" s="616"/>
      <c r="H3517" s="616"/>
      <c r="I3517" s="616"/>
      <c r="J3517" s="645"/>
      <c r="K3517" s="450"/>
      <c r="L3517" s="450"/>
      <c r="M3517" s="458"/>
      <c r="N3517" s="458"/>
      <c r="O3517" s="458"/>
      <c r="P3517" s="454"/>
      <c r="R3517" s="490" t="str">
        <f t="shared" si="230"/>
        <v>DELETE</v>
      </c>
      <c r="T3517" s="498"/>
    </row>
    <row r="3518" spans="3:26" ht="36" customHeight="1" x14ac:dyDescent="0.45">
      <c r="D3518" s="637" t="str">
        <f>IF((Y3518+Z3518)=3,"Operating profit/(loss)",(IF((Y3518+Z3518=4),"Operating profit","Operating loss")))</f>
        <v>Operating profit</v>
      </c>
      <c r="E3518" s="616"/>
      <c r="F3518" s="616"/>
      <c r="G3518" s="616"/>
      <c r="H3518" s="616"/>
      <c r="I3518" s="616"/>
      <c r="J3518" s="645"/>
      <c r="K3518" s="450"/>
      <c r="L3518" s="450"/>
      <c r="M3518" s="458">
        <f>SUM(S3450:S3516)</f>
        <v>0</v>
      </c>
      <c r="N3518" s="458"/>
      <c r="O3518" s="458">
        <f>SUM(U3450:U3516)</f>
        <v>0</v>
      </c>
      <c r="P3518" s="454"/>
      <c r="R3518" s="490" t="str">
        <f t="shared" si="230"/>
        <v>DELETE</v>
      </c>
      <c r="T3518" s="498"/>
      <c r="Y3518" s="491">
        <f>IF(M3518&lt;0,1,IF(M3518=0,IF(O3518&lt;0,1,2),2))</f>
        <v>2</v>
      </c>
      <c r="Z3518" s="491">
        <f>IF(O3518&lt;0,1,IF(O3518=0,IF(M3518&lt;0,1,2),2))</f>
        <v>2</v>
      </c>
    </row>
    <row r="3519" spans="3:26" ht="36" customHeight="1" x14ac:dyDescent="0.45">
      <c r="C3519" s="575"/>
      <c r="D3519" s="616"/>
      <c r="E3519" s="616" t="s">
        <v>289</v>
      </c>
      <c r="F3519" s="616"/>
      <c r="G3519" s="616"/>
      <c r="H3519" s="616"/>
      <c r="I3519" s="616"/>
      <c r="J3519" s="645"/>
      <c r="K3519" s="450"/>
      <c r="L3519" s="450"/>
      <c r="M3519" s="458"/>
      <c r="N3519" s="458"/>
      <c r="O3519" s="458"/>
      <c r="P3519" s="454"/>
      <c r="R3519" s="490" t="str">
        <f t="shared" si="230"/>
        <v>DELETE</v>
      </c>
      <c r="T3519" s="498"/>
    </row>
    <row r="3520" spans="3:26" ht="36" customHeight="1" x14ac:dyDescent="0.45">
      <c r="C3520" s="575"/>
      <c r="D3520" s="616"/>
      <c r="E3520" s="616"/>
      <c r="F3520" s="616"/>
      <c r="G3520" s="616"/>
      <c r="H3520" s="616"/>
      <c r="I3520" s="616"/>
      <c r="J3520" s="645"/>
      <c r="K3520" s="450"/>
      <c r="L3520" s="450"/>
      <c r="M3520" s="458"/>
      <c r="N3520" s="458"/>
      <c r="O3520" s="458"/>
      <c r="P3520" s="454"/>
      <c r="R3520" s="490" t="str">
        <f t="shared" si="230"/>
        <v>DELETE</v>
      </c>
      <c r="T3520" s="498"/>
    </row>
    <row r="3521" spans="3:26" ht="36" customHeight="1" x14ac:dyDescent="0.45">
      <c r="C3521" s="575"/>
      <c r="D3521" s="616"/>
      <c r="E3521" s="616"/>
      <c r="F3521" s="616"/>
      <c r="G3521" s="616"/>
      <c r="H3521" s="616"/>
      <c r="I3521" s="616"/>
      <c r="J3521" s="645"/>
      <c r="K3521" s="450"/>
      <c r="L3521" s="450"/>
      <c r="M3521" s="458"/>
      <c r="N3521" s="458"/>
      <c r="O3521" s="458"/>
      <c r="P3521" s="454"/>
      <c r="R3521" s="490" t="str">
        <f t="shared" si="230"/>
        <v>DELETE</v>
      </c>
      <c r="T3521" s="498"/>
    </row>
    <row r="3522" spans="3:26" ht="36" customHeight="1" x14ac:dyDescent="0.45">
      <c r="C3522" s="575"/>
      <c r="D3522" s="616"/>
      <c r="E3522" s="616"/>
      <c r="F3522" s="616"/>
      <c r="G3522" s="616"/>
      <c r="H3522" s="616"/>
      <c r="I3522" s="616"/>
      <c r="J3522" s="645"/>
      <c r="K3522" s="450"/>
      <c r="L3522" s="450"/>
      <c r="M3522" s="475"/>
      <c r="N3522" s="475"/>
      <c r="O3522" s="475"/>
      <c r="P3522" s="521"/>
      <c r="R3522" s="490" t="str">
        <f t="shared" si="230"/>
        <v>DELETE</v>
      </c>
      <c r="T3522" s="498"/>
    </row>
    <row r="3523" spans="3:26" ht="36" customHeight="1" x14ac:dyDescent="0.45">
      <c r="C3523" s="575"/>
      <c r="D3523" s="616"/>
      <c r="E3523" s="616"/>
      <c r="F3523" s="616"/>
      <c r="G3523" s="616"/>
      <c r="H3523" s="616"/>
      <c r="I3523" s="616"/>
      <c r="J3523" s="645"/>
      <c r="K3523" s="450"/>
      <c r="L3523" s="450"/>
      <c r="M3523" s="458"/>
      <c r="N3523" s="458"/>
      <c r="O3523" s="458"/>
      <c r="P3523" s="454"/>
      <c r="R3523" s="490" t="str">
        <f t="shared" si="230"/>
        <v>DELETE</v>
      </c>
      <c r="T3523" s="498"/>
    </row>
    <row r="3524" spans="3:26" ht="36" customHeight="1" x14ac:dyDescent="0.45">
      <c r="C3524" s="575"/>
      <c r="D3524" s="616"/>
      <c r="E3524" s="616"/>
      <c r="F3524" s="616"/>
      <c r="G3524" s="616"/>
      <c r="H3524" s="616"/>
      <c r="I3524" s="616"/>
      <c r="J3524" s="645"/>
      <c r="K3524" s="450"/>
      <c r="L3524" s="450"/>
      <c r="M3524" s="458"/>
      <c r="N3524" s="458"/>
      <c r="O3524" s="458" t="s">
        <v>112</v>
      </c>
      <c r="P3524" s="454"/>
      <c r="Q3524" s="450">
        <f>MAX($Q$3438:Q3523)+1</f>
        <v>2</v>
      </c>
      <c r="R3524" s="490" t="str">
        <f t="shared" si="230"/>
        <v>DELETE</v>
      </c>
      <c r="T3524" s="498"/>
    </row>
    <row r="3525" spans="3:26" ht="36" customHeight="1" x14ac:dyDescent="0.45">
      <c r="C3525" s="575"/>
      <c r="D3525" s="615" t="str">
        <f>Criteria!E9</f>
        <v>ABC COMPANY (PROPRIETARY) LIMITED</v>
      </c>
      <c r="E3525" s="616"/>
      <c r="F3525" s="616"/>
      <c r="G3525" s="616"/>
      <c r="H3525" s="616"/>
      <c r="I3525" s="616"/>
      <c r="J3525" s="645"/>
      <c r="K3525" s="450"/>
      <c r="L3525" s="450"/>
      <c r="M3525" s="458"/>
      <c r="N3525" s="458"/>
      <c r="O3525" s="540"/>
      <c r="R3525" s="490" t="str">
        <f t="shared" si="230"/>
        <v>DELETE</v>
      </c>
      <c r="T3525" s="498"/>
    </row>
    <row r="3526" spans="3:26" ht="36" customHeight="1" x14ac:dyDescent="0.45">
      <c r="C3526" s="575"/>
      <c r="D3526" s="615" t="str">
        <f>CONCATENATE("T/A ",Criteria!E15)</f>
        <v>T/A RENTAL PROPERTIES</v>
      </c>
      <c r="E3526" s="616"/>
      <c r="F3526" s="616"/>
      <c r="G3526" s="616"/>
      <c r="H3526" s="616"/>
      <c r="I3526" s="616"/>
      <c r="J3526" s="645"/>
      <c r="K3526" s="450"/>
      <c r="L3526" s="450"/>
      <c r="M3526" s="458"/>
      <c r="N3526" s="458"/>
      <c r="O3526" s="458"/>
      <c r="P3526" s="454"/>
      <c r="R3526" s="490" t="str">
        <f t="shared" si="230"/>
        <v>DELETE</v>
      </c>
      <c r="T3526" s="498"/>
    </row>
    <row r="3527" spans="3:26" ht="36" customHeight="1" x14ac:dyDescent="0.45">
      <c r="C3527" s="575"/>
      <c r="D3527" s="616"/>
      <c r="E3527" s="616"/>
      <c r="F3527" s="616"/>
      <c r="G3527" s="616"/>
      <c r="H3527" s="616"/>
      <c r="I3527" s="616"/>
      <c r="J3527" s="645"/>
      <c r="K3527" s="450"/>
      <c r="L3527" s="450"/>
      <c r="M3527" s="458"/>
      <c r="N3527" s="458"/>
      <c r="O3527" s="458"/>
      <c r="P3527" s="454"/>
      <c r="R3527" s="490" t="str">
        <f t="shared" si="230"/>
        <v>DELETE</v>
      </c>
      <c r="T3527" s="498"/>
    </row>
    <row r="3528" spans="3:26" ht="36" customHeight="1" x14ac:dyDescent="0.45">
      <c r="C3528" s="575"/>
      <c r="D3528" s="615" t="s">
        <v>109</v>
      </c>
      <c r="E3528" s="616"/>
      <c r="F3528" s="616"/>
      <c r="G3528" s="616"/>
      <c r="H3528" s="616"/>
      <c r="I3528" s="616"/>
      <c r="J3528" s="645"/>
      <c r="K3528" s="450"/>
      <c r="L3528" s="450"/>
      <c r="M3528" s="458"/>
      <c r="N3528" s="458"/>
      <c r="O3528" s="458"/>
      <c r="P3528" s="454"/>
      <c r="R3528" s="490" t="str">
        <f t="shared" si="230"/>
        <v>DELETE</v>
      </c>
      <c r="T3528" s="498"/>
    </row>
    <row r="3529" spans="3:26" ht="36" customHeight="1" x14ac:dyDescent="0.45">
      <c r="C3529" s="575"/>
      <c r="D3529" s="615" t="str">
        <f>D3445</f>
        <v>28 FEBRUARY 2026</v>
      </c>
      <c r="E3529" s="616"/>
      <c r="F3529" s="616"/>
      <c r="G3529" s="616"/>
      <c r="H3529" s="616"/>
      <c r="I3529" s="616"/>
      <c r="J3529" s="616" t="s">
        <v>118</v>
      </c>
      <c r="K3529" s="450"/>
      <c r="L3529" s="450"/>
      <c r="M3529" s="458"/>
      <c r="N3529" s="458"/>
      <c r="O3529" s="458"/>
      <c r="P3529" s="454"/>
      <c r="R3529" s="490" t="str">
        <f t="shared" si="230"/>
        <v>DELETE</v>
      </c>
      <c r="T3529" s="498"/>
    </row>
    <row r="3530" spans="3:26" ht="36" customHeight="1" x14ac:dyDescent="0.45">
      <c r="C3530" s="575"/>
      <c r="D3530" s="616"/>
      <c r="E3530" s="616"/>
      <c r="F3530" s="616"/>
      <c r="G3530" s="616"/>
      <c r="H3530" s="616"/>
      <c r="I3530" s="616"/>
      <c r="J3530" s="645"/>
      <c r="K3530" s="467"/>
      <c r="L3530" s="467"/>
      <c r="M3530" s="461"/>
      <c r="N3530" s="461"/>
      <c r="O3530" s="461"/>
      <c r="P3530" s="454"/>
      <c r="R3530" s="490" t="str">
        <f t="shared" si="230"/>
        <v>DELETE</v>
      </c>
      <c r="T3530" s="498"/>
    </row>
    <row r="3531" spans="3:26" ht="36" customHeight="1" x14ac:dyDescent="0.45">
      <c r="C3531" s="575"/>
      <c r="D3531" s="634"/>
      <c r="E3531" s="634"/>
      <c r="F3531" s="634"/>
      <c r="G3531" s="634"/>
      <c r="H3531" s="634"/>
      <c r="I3531" s="634"/>
      <c r="J3531" s="647"/>
      <c r="M3531" s="541"/>
      <c r="N3531" s="541"/>
      <c r="O3531" s="541"/>
      <c r="P3531" s="486"/>
      <c r="Q3531" s="457"/>
      <c r="R3531" s="490" t="str">
        <f t="shared" si="230"/>
        <v>DELETE</v>
      </c>
      <c r="T3531" s="498"/>
    </row>
    <row r="3532" spans="3:26" ht="36" customHeight="1" x14ac:dyDescent="0.45">
      <c r="C3532" s="575"/>
      <c r="D3532" s="616"/>
      <c r="E3532" s="616"/>
      <c r="F3532" s="616"/>
      <c r="G3532" s="616"/>
      <c r="H3532" s="616"/>
      <c r="I3532" s="616"/>
      <c r="J3532" s="645"/>
      <c r="K3532" s="450" t="s">
        <v>1494</v>
      </c>
      <c r="L3532" s="450"/>
      <c r="M3532" s="453">
        <f>Criteria!E22</f>
        <v>2026</v>
      </c>
      <c r="N3532" s="453"/>
      <c r="O3532" s="453">
        <f>Criteria!E27</f>
        <v>2025</v>
      </c>
      <c r="P3532" s="454"/>
      <c r="R3532" s="490" t="str">
        <f t="shared" si="230"/>
        <v>DELETE</v>
      </c>
      <c r="T3532" s="498"/>
    </row>
    <row r="3533" spans="3:26" ht="36" customHeight="1" x14ac:dyDescent="0.45">
      <c r="C3533" s="575"/>
      <c r="D3533" s="616"/>
      <c r="E3533" s="616"/>
      <c r="F3533" s="616"/>
      <c r="G3533" s="616"/>
      <c r="H3533" s="616"/>
      <c r="I3533" s="616"/>
      <c r="J3533" s="645"/>
      <c r="K3533" s="450"/>
      <c r="L3533" s="450"/>
      <c r="M3533" s="458"/>
      <c r="N3533" s="458"/>
      <c r="O3533" s="458"/>
      <c r="P3533" s="454"/>
      <c r="R3533" s="490" t="str">
        <f t="shared" si="230"/>
        <v>DELETE</v>
      </c>
      <c r="T3533" s="498"/>
    </row>
    <row r="3534" spans="3:26" ht="36" customHeight="1" x14ac:dyDescent="0.45">
      <c r="D3534" s="637" t="str">
        <f>IF((Y3534+Z3534)=3,"Operating profit/(loss)",(IF((Y3534+Z3534=4),"Operating profit","Operating loss")))</f>
        <v>Operating profit</v>
      </c>
      <c r="E3534" s="616"/>
      <c r="F3534" s="616"/>
      <c r="G3534" s="616"/>
      <c r="H3534" s="616"/>
      <c r="I3534" s="616"/>
      <c r="J3534" s="645"/>
      <c r="K3534" s="450"/>
      <c r="L3534" s="450"/>
      <c r="M3534" s="458">
        <f>SUM(S3450:S3515)</f>
        <v>0</v>
      </c>
      <c r="N3534" s="458"/>
      <c r="O3534" s="458">
        <f>SUM(U3450:U3515)</f>
        <v>0</v>
      </c>
      <c r="P3534" s="454"/>
      <c r="R3534" s="490" t="str">
        <f t="shared" si="230"/>
        <v>DELETE</v>
      </c>
      <c r="T3534" s="498"/>
      <c r="V3534" s="491" t="b">
        <f>M3534=M3518</f>
        <v>1</v>
      </c>
      <c r="X3534" s="491" t="b">
        <f>O3534=O3518</f>
        <v>1</v>
      </c>
      <c r="Y3534" s="491">
        <f>IF(M3534&lt;0,1,IF(M3534=0,IF(O3534&lt;0,1,2),2))</f>
        <v>2</v>
      </c>
      <c r="Z3534" s="491">
        <f>IF(O3534&lt;0,1,IF(O3534=0,IF(M3534&lt;0,1,2),2))</f>
        <v>2</v>
      </c>
    </row>
    <row r="3535" spans="3:26" ht="36" customHeight="1" x14ac:dyDescent="0.45">
      <c r="C3535" s="575"/>
      <c r="D3535" s="616"/>
      <c r="E3535" s="616" t="s">
        <v>290</v>
      </c>
      <c r="F3535" s="616"/>
      <c r="G3535" s="616"/>
      <c r="H3535" s="616"/>
      <c r="I3535" s="616"/>
      <c r="J3535" s="645"/>
      <c r="K3535" s="450"/>
      <c r="L3535" s="450"/>
      <c r="M3535" s="458"/>
      <c r="N3535" s="458"/>
      <c r="O3535" s="458"/>
      <c r="P3535" s="454"/>
      <c r="R3535" s="490" t="str">
        <f t="shared" si="230"/>
        <v>DELETE</v>
      </c>
      <c r="T3535" s="498"/>
    </row>
    <row r="3536" spans="3:26" ht="36" customHeight="1" x14ac:dyDescent="0.45">
      <c r="C3536" s="575"/>
      <c r="D3536" s="616"/>
      <c r="E3536" s="616"/>
      <c r="F3536" s="616"/>
      <c r="G3536" s="616"/>
      <c r="H3536" s="616"/>
      <c r="I3536" s="616"/>
      <c r="J3536" s="645"/>
      <c r="K3536" s="450"/>
      <c r="L3536" s="450"/>
      <c r="M3536" s="458"/>
      <c r="N3536" s="458"/>
      <c r="O3536" s="458"/>
      <c r="P3536" s="454"/>
      <c r="R3536" s="490" t="str">
        <f t="shared" si="230"/>
        <v>DELETE</v>
      </c>
      <c r="T3536" s="498"/>
    </row>
    <row r="3537" spans="3:24" ht="36" customHeight="1" x14ac:dyDescent="0.45">
      <c r="D3537" s="615" t="s">
        <v>1533</v>
      </c>
      <c r="E3537" s="616"/>
      <c r="F3537" s="616"/>
      <c r="G3537" s="616"/>
      <c r="H3537" s="616"/>
      <c r="I3537" s="616"/>
      <c r="J3537" s="645"/>
      <c r="K3537" s="450"/>
      <c r="L3537" s="450"/>
      <c r="M3537" s="458">
        <f>SUM(M3540:M3573)</f>
        <v>0</v>
      </c>
      <c r="N3537" s="458"/>
      <c r="O3537" s="458">
        <f>SUM(O3540:O3573)</f>
        <v>0</v>
      </c>
      <c r="P3537" s="454"/>
      <c r="R3537" s="490" t="str">
        <f t="shared" ref="R3537" si="231">IF(R$3438="DELETE","DELETE",IF(M3537+O3537=0,"DELETE"," "))</f>
        <v>DELETE</v>
      </c>
      <c r="S3537" s="495">
        <f>-M3537</f>
        <v>0</v>
      </c>
      <c r="T3537" s="498"/>
      <c r="U3537" s="495">
        <f>-O3537</f>
        <v>0</v>
      </c>
      <c r="V3537" s="495"/>
      <c r="W3537" s="495"/>
      <c r="X3537" s="495"/>
    </row>
    <row r="3538" spans="3:24" ht="9" customHeight="1" x14ac:dyDescent="0.45">
      <c r="C3538" s="575"/>
      <c r="D3538" s="616"/>
      <c r="E3538" s="616"/>
      <c r="F3538" s="616"/>
      <c r="G3538" s="616"/>
      <c r="H3538" s="616"/>
      <c r="I3538" s="616"/>
      <c r="J3538" s="645"/>
      <c r="K3538" s="450"/>
      <c r="L3538" s="450"/>
      <c r="M3538" s="458"/>
      <c r="N3538" s="458"/>
      <c r="O3538" s="458"/>
      <c r="P3538" s="454"/>
      <c r="R3538" s="490" t="str">
        <f>R3537</f>
        <v>DELETE</v>
      </c>
      <c r="T3538" s="498"/>
    </row>
    <row r="3539" spans="3:24" ht="9" customHeight="1" x14ac:dyDescent="0.45">
      <c r="C3539" s="575"/>
      <c r="D3539" s="616"/>
      <c r="E3539" s="616"/>
      <c r="F3539" s="616"/>
      <c r="G3539" s="616"/>
      <c r="H3539" s="616"/>
      <c r="I3539" s="616"/>
      <c r="J3539" s="645"/>
      <c r="K3539" s="450"/>
      <c r="L3539" s="450"/>
      <c r="M3539" s="578"/>
      <c r="N3539" s="459"/>
      <c r="O3539" s="579"/>
      <c r="P3539" s="454"/>
      <c r="R3539" s="490" t="str">
        <f>R3538</f>
        <v>DELETE</v>
      </c>
      <c r="T3539" s="498"/>
    </row>
    <row r="3540" spans="3:24" ht="36" customHeight="1" x14ac:dyDescent="0.45">
      <c r="C3540" s="575"/>
      <c r="D3540" s="616" t="s">
        <v>233</v>
      </c>
      <c r="E3540" s="616"/>
      <c r="F3540" s="616"/>
      <c r="G3540" s="616"/>
      <c r="H3540" s="616"/>
      <c r="I3540" s="616"/>
      <c r="J3540" s="645"/>
      <c r="K3540" s="450"/>
      <c r="L3540" s="450"/>
      <c r="M3540" s="580">
        <f>SUM(TrialBalanceB!I99:I102)</f>
        <v>0</v>
      </c>
      <c r="N3540" s="458"/>
      <c r="O3540" s="581">
        <f>SUM(TrialBalanceB!K99:K102)</f>
        <v>0</v>
      </c>
      <c r="P3540" s="454"/>
      <c r="R3540" s="490" t="str">
        <f t="shared" ref="R3540:R3571" si="232">IF(R$3438="DELETE","DELETE",IF(M3540+O3540=0,"DELETE"," "))</f>
        <v>DELETE</v>
      </c>
      <c r="T3540" s="498"/>
    </row>
    <row r="3541" spans="3:24" ht="36" customHeight="1" x14ac:dyDescent="0.45">
      <c r="C3541" s="575"/>
      <c r="D3541" s="616" t="s">
        <v>237</v>
      </c>
      <c r="E3541" s="616"/>
      <c r="F3541" s="616"/>
      <c r="G3541" s="616"/>
      <c r="H3541" s="616"/>
      <c r="I3541" s="616"/>
      <c r="J3541" s="645"/>
      <c r="K3541" s="450"/>
      <c r="L3541" s="450"/>
      <c r="M3541" s="580">
        <f>TrialBalanceB!I104</f>
        <v>0</v>
      </c>
      <c r="N3541" s="458"/>
      <c r="O3541" s="581">
        <f>TrialBalanceB!K104</f>
        <v>0</v>
      </c>
      <c r="P3541" s="454"/>
      <c r="R3541" s="490" t="str">
        <f t="shared" si="232"/>
        <v>DELETE</v>
      </c>
      <c r="T3541" s="498"/>
    </row>
    <row r="3542" spans="3:24" ht="36" customHeight="1" x14ac:dyDescent="0.45">
      <c r="C3542" s="575"/>
      <c r="D3542" s="616" t="s">
        <v>235</v>
      </c>
      <c r="E3542" s="616"/>
      <c r="F3542" s="616"/>
      <c r="G3542" s="616"/>
      <c r="H3542" s="616"/>
      <c r="I3542" s="616"/>
      <c r="J3542" s="645"/>
      <c r="K3542" s="450"/>
      <c r="L3542" s="450"/>
      <c r="M3542" s="580">
        <f>TrialBalanceB!I103</f>
        <v>0</v>
      </c>
      <c r="N3542" s="458"/>
      <c r="O3542" s="581">
        <f>TrialBalanceB!K103</f>
        <v>0</v>
      </c>
      <c r="P3542" s="454"/>
      <c r="R3542" s="490" t="str">
        <f t="shared" si="232"/>
        <v>DELETE</v>
      </c>
      <c r="T3542" s="498"/>
    </row>
    <row r="3543" spans="3:24" ht="36" customHeight="1" x14ac:dyDescent="0.45">
      <c r="C3543" s="575"/>
      <c r="D3543" s="616" t="s">
        <v>291</v>
      </c>
      <c r="E3543" s="616"/>
      <c r="F3543" s="616"/>
      <c r="G3543" s="616"/>
      <c r="H3543" s="616"/>
      <c r="I3543" s="616"/>
      <c r="J3543" s="645"/>
      <c r="K3543" s="450"/>
      <c r="L3543" s="450"/>
      <c r="M3543" s="580">
        <f>TrialBalanceB!I105</f>
        <v>0</v>
      </c>
      <c r="N3543" s="458"/>
      <c r="O3543" s="581">
        <f>TrialBalanceB!K105</f>
        <v>0</v>
      </c>
      <c r="P3543" s="454"/>
      <c r="R3543" s="490" t="str">
        <f t="shared" si="232"/>
        <v>DELETE</v>
      </c>
      <c r="T3543" s="498"/>
    </row>
    <row r="3544" spans="3:24" ht="36" customHeight="1" x14ac:dyDescent="0.45">
      <c r="C3544" s="575"/>
      <c r="D3544" s="616" t="s">
        <v>240</v>
      </c>
      <c r="E3544" s="616"/>
      <c r="F3544" s="616"/>
      <c r="G3544" s="616"/>
      <c r="H3544" s="616"/>
      <c r="I3544" s="616"/>
      <c r="J3544" s="645"/>
      <c r="K3544" s="450"/>
      <c r="L3544" s="450"/>
      <c r="M3544" s="580">
        <f>TrialBalanceB!I106</f>
        <v>0</v>
      </c>
      <c r="N3544" s="458"/>
      <c r="O3544" s="581">
        <f>TrialBalanceB!K106</f>
        <v>0</v>
      </c>
      <c r="P3544" s="454"/>
      <c r="R3544" s="490" t="str">
        <f t="shared" si="232"/>
        <v>DELETE</v>
      </c>
      <c r="T3544" s="498"/>
    </row>
    <row r="3545" spans="3:24" ht="36" customHeight="1" x14ac:dyDescent="0.45">
      <c r="C3545" s="575"/>
      <c r="D3545" s="616" t="s">
        <v>873</v>
      </c>
      <c r="E3545" s="616"/>
      <c r="F3545" s="616"/>
      <c r="G3545" s="616"/>
      <c r="H3545" s="616"/>
      <c r="I3545" s="616"/>
      <c r="J3545" s="645"/>
      <c r="K3545" s="450"/>
      <c r="L3545" s="450"/>
      <c r="M3545" s="580">
        <f>TrialBalanceB!I107</f>
        <v>0</v>
      </c>
      <c r="N3545" s="458"/>
      <c r="O3545" s="581">
        <f>TrialBalanceB!K107</f>
        <v>0</v>
      </c>
      <c r="P3545" s="454"/>
      <c r="R3545" s="490" t="str">
        <f t="shared" si="232"/>
        <v>DELETE</v>
      </c>
      <c r="T3545" s="498"/>
    </row>
    <row r="3546" spans="3:24" ht="36" customHeight="1" x14ac:dyDescent="0.45">
      <c r="C3546" s="575"/>
      <c r="D3546" s="616" t="s">
        <v>1759</v>
      </c>
      <c r="E3546" s="616"/>
      <c r="F3546" s="616"/>
      <c r="G3546" s="616"/>
      <c r="H3546" s="616"/>
      <c r="I3546" s="616"/>
      <c r="J3546" s="645"/>
      <c r="K3546" s="450"/>
      <c r="L3546" s="450"/>
      <c r="M3546" s="580">
        <f>TrialBalanceB!I108</f>
        <v>0</v>
      </c>
      <c r="N3546" s="458"/>
      <c r="O3546" s="581">
        <f>TrialBalanceB!K108</f>
        <v>0</v>
      </c>
      <c r="P3546" s="454"/>
      <c r="R3546" s="490" t="str">
        <f t="shared" ref="R3546" si="233">IF(R$3438="DELETE","DELETE",IF(M3546+O3546=0,"DELETE"," "))</f>
        <v>DELETE</v>
      </c>
      <c r="T3546" s="498"/>
    </row>
    <row r="3547" spans="3:24" ht="36" customHeight="1" x14ac:dyDescent="0.45">
      <c r="C3547" s="575"/>
      <c r="D3547" s="616" t="s">
        <v>304</v>
      </c>
      <c r="E3547" s="616"/>
      <c r="F3547" s="616"/>
      <c r="G3547" s="616"/>
      <c r="H3547" s="616"/>
      <c r="I3547" s="616"/>
      <c r="J3547" s="645"/>
      <c r="K3547" s="450">
        <f>B$1250</f>
        <v>5</v>
      </c>
      <c r="L3547" s="450"/>
      <c r="M3547" s="580">
        <f>SUM(TrialBalanceB!I110:I111)</f>
        <v>0</v>
      </c>
      <c r="N3547" s="458"/>
      <c r="O3547" s="581">
        <f>SUM(TrialBalanceB!K110:K111)</f>
        <v>0</v>
      </c>
      <c r="P3547" s="454"/>
      <c r="R3547" s="490" t="str">
        <f t="shared" si="232"/>
        <v>DELETE</v>
      </c>
      <c r="T3547" s="498"/>
    </row>
    <row r="3548" spans="3:24" ht="36" customHeight="1" x14ac:dyDescent="0.45">
      <c r="C3548" s="575"/>
      <c r="D3548" s="616" t="str">
        <f>IF(MAX(Criteria!I41:I45)&gt;1,"Directors' remuneration","Director's remuneration")</f>
        <v>Directors' remuneration</v>
      </c>
      <c r="E3548" s="616"/>
      <c r="F3548" s="616"/>
      <c r="G3548" s="616"/>
      <c r="H3548" s="616"/>
      <c r="I3548" s="616"/>
      <c r="J3548" s="645"/>
      <c r="K3548" s="450">
        <f>B$1250</f>
        <v>5</v>
      </c>
      <c r="L3548" s="450"/>
      <c r="M3548" s="580">
        <f>SUM(TrialBalanceB!I113:I117)</f>
        <v>0</v>
      </c>
      <c r="N3548" s="458"/>
      <c r="O3548" s="581">
        <f>SUM(TrialBalanceB!K113:K117)</f>
        <v>0</v>
      </c>
      <c r="P3548" s="454"/>
      <c r="R3548" s="490" t="str">
        <f t="shared" si="232"/>
        <v>DELETE</v>
      </c>
      <c r="T3548" s="498"/>
    </row>
    <row r="3549" spans="3:24" ht="36" customHeight="1" x14ac:dyDescent="0.45">
      <c r="C3549" s="575"/>
      <c r="D3549" s="616" t="s">
        <v>292</v>
      </c>
      <c r="E3549" s="616"/>
      <c r="F3549" s="616"/>
      <c r="G3549" s="616"/>
      <c r="H3549" s="616"/>
      <c r="I3549" s="616"/>
      <c r="J3549" s="645"/>
      <c r="K3549" s="450"/>
      <c r="L3549" s="450"/>
      <c r="M3549" s="580">
        <f>TrialBalanceB!I118</f>
        <v>0</v>
      </c>
      <c r="N3549" s="458"/>
      <c r="O3549" s="581">
        <f>TrialBalanceB!K118</f>
        <v>0</v>
      </c>
      <c r="P3549" s="454"/>
      <c r="R3549" s="490" t="str">
        <f t="shared" si="232"/>
        <v>DELETE</v>
      </c>
      <c r="T3549" s="498"/>
    </row>
    <row r="3550" spans="3:24" ht="36" customHeight="1" x14ac:dyDescent="0.45">
      <c r="C3550" s="575"/>
      <c r="D3550" s="616" t="s">
        <v>408</v>
      </c>
      <c r="E3550" s="616"/>
      <c r="F3550" s="616"/>
      <c r="G3550" s="616"/>
      <c r="H3550" s="616"/>
      <c r="I3550" s="616"/>
      <c r="J3550" s="645"/>
      <c r="K3550" s="450"/>
      <c r="L3550" s="450"/>
      <c r="M3550" s="580">
        <f>TrialBalanceB!I119</f>
        <v>0</v>
      </c>
      <c r="N3550" s="458"/>
      <c r="O3550" s="581">
        <f>TrialBalanceB!K119</f>
        <v>0</v>
      </c>
      <c r="P3550" s="454"/>
      <c r="R3550" s="490" t="str">
        <f t="shared" si="232"/>
        <v>DELETE</v>
      </c>
      <c r="T3550" s="498"/>
    </row>
    <row r="3551" spans="3:24" ht="36" customHeight="1" x14ac:dyDescent="0.45">
      <c r="C3551" s="575"/>
      <c r="D3551" s="616" t="s">
        <v>357</v>
      </c>
      <c r="E3551" s="616"/>
      <c r="F3551" s="616"/>
      <c r="G3551" s="616"/>
      <c r="H3551" s="616"/>
      <c r="I3551" s="616"/>
      <c r="J3551" s="645"/>
      <c r="K3551" s="450"/>
      <c r="L3551" s="450"/>
      <c r="M3551" s="580">
        <f>TrialBalanceB!I120</f>
        <v>0</v>
      </c>
      <c r="N3551" s="458"/>
      <c r="O3551" s="581">
        <f>TrialBalanceB!K120</f>
        <v>0</v>
      </c>
      <c r="P3551" s="454"/>
      <c r="R3551" s="490" t="str">
        <f t="shared" si="232"/>
        <v>DELETE</v>
      </c>
      <c r="T3551" s="498"/>
    </row>
    <row r="3552" spans="3:24" ht="36" customHeight="1" x14ac:dyDescent="0.45">
      <c r="C3552" s="575"/>
      <c r="D3552" s="616" t="s">
        <v>410</v>
      </c>
      <c r="E3552" s="616"/>
      <c r="F3552" s="616"/>
      <c r="G3552" s="616"/>
      <c r="H3552" s="616"/>
      <c r="I3552" s="616"/>
      <c r="J3552" s="645"/>
      <c r="K3552" s="450"/>
      <c r="L3552" s="450"/>
      <c r="M3552" s="580">
        <f>TrialBalanceB!I121</f>
        <v>0</v>
      </c>
      <c r="N3552" s="458"/>
      <c r="O3552" s="581">
        <f>TrialBalanceB!K121</f>
        <v>0</v>
      </c>
      <c r="P3552" s="454"/>
      <c r="R3552" s="490" t="str">
        <f t="shared" si="232"/>
        <v>DELETE</v>
      </c>
      <c r="T3552" s="498"/>
    </row>
    <row r="3553" spans="3:20" ht="36" customHeight="1" x14ac:dyDescent="0.45">
      <c r="C3553" s="575"/>
      <c r="D3553" s="616" t="s">
        <v>1256</v>
      </c>
      <c r="E3553" s="616"/>
      <c r="F3553" s="616"/>
      <c r="G3553" s="616"/>
      <c r="H3553" s="616"/>
      <c r="I3553" s="616"/>
      <c r="J3553" s="645"/>
      <c r="K3553" s="450"/>
      <c r="L3553" s="450"/>
      <c r="M3553" s="580">
        <f>TrialBalanceB!I156</f>
        <v>0</v>
      </c>
      <c r="N3553" s="458"/>
      <c r="O3553" s="581">
        <f>TrialBalanceB!K156</f>
        <v>0</v>
      </c>
      <c r="P3553" s="454"/>
      <c r="R3553" s="490" t="str">
        <f t="shared" si="232"/>
        <v>DELETE</v>
      </c>
      <c r="T3553" s="498"/>
    </row>
    <row r="3554" spans="3:20" ht="36" customHeight="1" x14ac:dyDescent="0.45">
      <c r="C3554" s="575"/>
      <c r="D3554" s="616" t="s">
        <v>561</v>
      </c>
      <c r="E3554" s="616"/>
      <c r="F3554" s="616"/>
      <c r="G3554" s="616"/>
      <c r="H3554" s="616"/>
      <c r="I3554" s="616"/>
      <c r="J3554" s="645"/>
      <c r="K3554" s="450"/>
      <c r="L3554" s="450"/>
      <c r="M3554" s="580">
        <f>TrialBalanceB!I122+TrialBalanceB!I123</f>
        <v>0</v>
      </c>
      <c r="N3554" s="458"/>
      <c r="O3554" s="581">
        <f>TrialBalanceB!K122+TrialBalanceB!K123</f>
        <v>0</v>
      </c>
      <c r="P3554" s="454"/>
      <c r="R3554" s="490" t="str">
        <f t="shared" si="232"/>
        <v>DELETE</v>
      </c>
      <c r="T3554" s="498"/>
    </row>
    <row r="3555" spans="3:20" ht="36" customHeight="1" x14ac:dyDescent="0.45">
      <c r="C3555" s="575"/>
      <c r="D3555" s="616" t="s">
        <v>588</v>
      </c>
      <c r="E3555" s="616"/>
      <c r="F3555" s="616"/>
      <c r="G3555" s="616"/>
      <c r="H3555" s="616"/>
      <c r="I3555" s="616"/>
      <c r="J3555" s="645"/>
      <c r="K3555" s="450"/>
      <c r="L3555" s="450"/>
      <c r="M3555" s="580">
        <f>IF(TrialBalanceB!I94&gt;0,TrialBalanceB!I94,0)</f>
        <v>0</v>
      </c>
      <c r="N3555" s="458"/>
      <c r="O3555" s="581">
        <f>IF(TrialBalanceB!K94&gt;0,TrialBalanceB!K94,0)</f>
        <v>0</v>
      </c>
      <c r="P3555" s="454"/>
      <c r="R3555" s="490" t="str">
        <f t="shared" si="232"/>
        <v>DELETE</v>
      </c>
      <c r="T3555" s="498"/>
    </row>
    <row r="3556" spans="3:20" ht="36" customHeight="1" x14ac:dyDescent="0.45">
      <c r="C3556" s="575"/>
      <c r="D3556" s="616" t="s">
        <v>874</v>
      </c>
      <c r="E3556" s="616"/>
      <c r="F3556" s="616"/>
      <c r="G3556" s="616"/>
      <c r="H3556" s="616"/>
      <c r="I3556" s="616"/>
      <c r="J3556" s="645"/>
      <c r="K3556" s="450"/>
      <c r="L3556" s="450"/>
      <c r="M3556" s="580">
        <f>TrialBalanceB!I124</f>
        <v>0</v>
      </c>
      <c r="N3556" s="458"/>
      <c r="O3556" s="581">
        <f>TrialBalanceB!K124</f>
        <v>0</v>
      </c>
      <c r="P3556" s="454"/>
      <c r="R3556" s="490" t="str">
        <f t="shared" si="232"/>
        <v>DELETE</v>
      </c>
      <c r="T3556" s="498"/>
    </row>
    <row r="3557" spans="3:20" ht="36" customHeight="1" x14ac:dyDescent="0.45">
      <c r="C3557" s="575"/>
      <c r="D3557" s="616" t="s">
        <v>293</v>
      </c>
      <c r="E3557" s="616"/>
      <c r="F3557" s="616"/>
      <c r="G3557" s="616"/>
      <c r="H3557" s="616"/>
      <c r="I3557" s="616"/>
      <c r="J3557" s="645"/>
      <c r="K3557" s="450"/>
      <c r="L3557" s="450"/>
      <c r="M3557" s="580">
        <f>TrialBalanceB!I125</f>
        <v>0</v>
      </c>
      <c r="N3557" s="458"/>
      <c r="O3557" s="581">
        <f>TrialBalanceB!K125</f>
        <v>0</v>
      </c>
      <c r="P3557" s="454"/>
      <c r="R3557" s="490" t="str">
        <f t="shared" si="232"/>
        <v>DELETE</v>
      </c>
      <c r="T3557" s="498"/>
    </row>
    <row r="3558" spans="3:20" ht="36" customHeight="1" x14ac:dyDescent="0.45">
      <c r="C3558" s="575"/>
      <c r="D3558" s="616" t="s">
        <v>286</v>
      </c>
      <c r="E3558" s="616"/>
      <c r="F3558" s="616"/>
      <c r="G3558" s="616"/>
      <c r="H3558" s="616"/>
      <c r="I3558" s="616"/>
      <c r="J3558" s="645"/>
      <c r="K3558" s="450"/>
      <c r="L3558" s="450"/>
      <c r="M3558" s="580">
        <f>SUM(TrialBalanceB!I126:I127)</f>
        <v>0</v>
      </c>
      <c r="N3558" s="458"/>
      <c r="O3558" s="581">
        <f>SUM(TrialBalanceB!K126:K127)</f>
        <v>0</v>
      </c>
      <c r="P3558" s="454"/>
      <c r="R3558" s="490" t="str">
        <f t="shared" si="232"/>
        <v>DELETE</v>
      </c>
      <c r="T3558" s="498"/>
    </row>
    <row r="3559" spans="3:20" ht="36" customHeight="1" x14ac:dyDescent="0.45">
      <c r="C3559" s="575"/>
      <c r="D3559" s="616" t="s">
        <v>294</v>
      </c>
      <c r="E3559" s="616"/>
      <c r="F3559" s="616"/>
      <c r="G3559" s="616"/>
      <c r="H3559" s="616"/>
      <c r="I3559" s="616"/>
      <c r="J3559" s="645"/>
      <c r="K3559" s="450"/>
      <c r="L3559" s="450"/>
      <c r="M3559" s="580">
        <f>TrialBalanceB!I128</f>
        <v>0</v>
      </c>
      <c r="N3559" s="458"/>
      <c r="O3559" s="581">
        <f>TrialBalanceB!K128</f>
        <v>0</v>
      </c>
      <c r="P3559" s="454"/>
      <c r="R3559" s="490" t="str">
        <f t="shared" si="232"/>
        <v>DELETE</v>
      </c>
      <c r="T3559" s="498"/>
    </row>
    <row r="3560" spans="3:20" ht="36" customHeight="1" x14ac:dyDescent="0.45">
      <c r="C3560" s="575"/>
      <c r="D3560" s="616" t="s">
        <v>875</v>
      </c>
      <c r="E3560" s="616"/>
      <c r="F3560" s="616"/>
      <c r="G3560" s="616"/>
      <c r="H3560" s="616"/>
      <c r="I3560" s="616"/>
      <c r="J3560" s="645"/>
      <c r="K3560" s="450"/>
      <c r="L3560" s="450"/>
      <c r="M3560" s="580">
        <f>TrialBalanceB!I129</f>
        <v>0</v>
      </c>
      <c r="N3560" s="458"/>
      <c r="O3560" s="581">
        <f>TrialBalanceB!K129</f>
        <v>0</v>
      </c>
      <c r="P3560" s="454"/>
      <c r="R3560" s="490" t="str">
        <f t="shared" si="232"/>
        <v>DELETE</v>
      </c>
      <c r="T3560" s="498"/>
    </row>
    <row r="3561" spans="3:20" ht="36" customHeight="1" x14ac:dyDescent="0.45">
      <c r="C3561" s="575"/>
      <c r="D3561" s="616" t="s">
        <v>94</v>
      </c>
      <c r="E3561" s="616"/>
      <c r="F3561" s="616"/>
      <c r="G3561" s="616"/>
      <c r="H3561" s="616"/>
      <c r="I3561" s="616"/>
      <c r="J3561" s="645"/>
      <c r="K3561" s="450"/>
      <c r="L3561" s="450"/>
      <c r="M3561" s="580">
        <f>TrialBalanceB!I130</f>
        <v>0</v>
      </c>
      <c r="N3561" s="458"/>
      <c r="O3561" s="581">
        <f>TrialBalanceB!K130</f>
        <v>0</v>
      </c>
      <c r="P3561" s="454"/>
      <c r="R3561" s="490" t="str">
        <f t="shared" si="232"/>
        <v>DELETE</v>
      </c>
      <c r="T3561" s="498"/>
    </row>
    <row r="3562" spans="3:20" ht="36" customHeight="1" x14ac:dyDescent="0.45">
      <c r="C3562" s="575"/>
      <c r="D3562" s="616">
        <f>TrialBalanceB!C131</f>
        <v>0</v>
      </c>
      <c r="E3562" s="616"/>
      <c r="F3562" s="616"/>
      <c r="G3562" s="616"/>
      <c r="H3562" s="616"/>
      <c r="I3562" s="616"/>
      <c r="J3562" s="645"/>
      <c r="K3562" s="450"/>
      <c r="L3562" s="450"/>
      <c r="M3562" s="580">
        <f>TrialBalanceB!I131</f>
        <v>0</v>
      </c>
      <c r="N3562" s="458"/>
      <c r="O3562" s="581">
        <f>TrialBalanceB!K131</f>
        <v>0</v>
      </c>
      <c r="P3562" s="454"/>
      <c r="R3562" s="490" t="str">
        <f t="shared" si="232"/>
        <v>DELETE</v>
      </c>
      <c r="T3562" s="498"/>
    </row>
    <row r="3563" spans="3:20" ht="36" customHeight="1" x14ac:dyDescent="0.45">
      <c r="C3563" s="575"/>
      <c r="D3563" s="616">
        <f>TrialBalanceB!C132</f>
        <v>0</v>
      </c>
      <c r="E3563" s="616"/>
      <c r="F3563" s="616"/>
      <c r="G3563" s="616"/>
      <c r="H3563" s="616"/>
      <c r="I3563" s="616"/>
      <c r="J3563" s="645"/>
      <c r="K3563" s="450"/>
      <c r="L3563" s="450"/>
      <c r="M3563" s="580">
        <f>TrialBalanceB!I132</f>
        <v>0</v>
      </c>
      <c r="N3563" s="458"/>
      <c r="O3563" s="581">
        <f>TrialBalanceB!K132</f>
        <v>0</v>
      </c>
      <c r="P3563" s="454"/>
      <c r="R3563" s="490" t="str">
        <f t="shared" si="232"/>
        <v>DELETE</v>
      </c>
      <c r="T3563" s="498"/>
    </row>
    <row r="3564" spans="3:20" ht="36" customHeight="1" x14ac:dyDescent="0.45">
      <c r="C3564" s="575"/>
      <c r="D3564" s="616">
        <f>TrialBalanceB!C133</f>
        <v>0</v>
      </c>
      <c r="E3564" s="616"/>
      <c r="F3564" s="616"/>
      <c r="G3564" s="616"/>
      <c r="H3564" s="616"/>
      <c r="I3564" s="616"/>
      <c r="J3564" s="645"/>
      <c r="K3564" s="450"/>
      <c r="L3564" s="450"/>
      <c r="M3564" s="580">
        <f>TrialBalanceB!I133</f>
        <v>0</v>
      </c>
      <c r="N3564" s="458"/>
      <c r="O3564" s="581">
        <f>TrialBalanceB!K133</f>
        <v>0</v>
      </c>
      <c r="P3564" s="454"/>
      <c r="R3564" s="490" t="str">
        <f t="shared" si="232"/>
        <v>DELETE</v>
      </c>
      <c r="T3564" s="498"/>
    </row>
    <row r="3565" spans="3:20" ht="36" customHeight="1" x14ac:dyDescent="0.45">
      <c r="C3565" s="575"/>
      <c r="D3565" s="616">
        <f>TrialBalanceB!C134</f>
        <v>0</v>
      </c>
      <c r="E3565" s="616"/>
      <c r="F3565" s="616"/>
      <c r="G3565" s="616"/>
      <c r="H3565" s="616"/>
      <c r="I3565" s="616"/>
      <c r="J3565" s="645"/>
      <c r="K3565" s="450"/>
      <c r="L3565" s="450"/>
      <c r="M3565" s="580">
        <f>TrialBalanceB!I134</f>
        <v>0</v>
      </c>
      <c r="N3565" s="458"/>
      <c r="O3565" s="581">
        <f>TrialBalanceB!K134</f>
        <v>0</v>
      </c>
      <c r="P3565" s="454"/>
      <c r="R3565" s="490" t="str">
        <f t="shared" si="232"/>
        <v>DELETE</v>
      </c>
      <c r="T3565" s="498"/>
    </row>
    <row r="3566" spans="3:20" ht="36" customHeight="1" x14ac:dyDescent="0.45">
      <c r="C3566" s="575"/>
      <c r="D3566" s="616">
        <f>TrialBalanceB!C135</f>
        <v>0</v>
      </c>
      <c r="E3566" s="616"/>
      <c r="F3566" s="616"/>
      <c r="G3566" s="616"/>
      <c r="H3566" s="616"/>
      <c r="I3566" s="616"/>
      <c r="J3566" s="645"/>
      <c r="K3566" s="450"/>
      <c r="L3566" s="450"/>
      <c r="M3566" s="580">
        <f>TrialBalanceB!I135</f>
        <v>0</v>
      </c>
      <c r="N3566" s="458"/>
      <c r="O3566" s="581">
        <f>TrialBalanceB!K135</f>
        <v>0</v>
      </c>
      <c r="P3566" s="454"/>
      <c r="R3566" s="490" t="str">
        <f t="shared" si="232"/>
        <v>DELETE</v>
      </c>
      <c r="T3566" s="498"/>
    </row>
    <row r="3567" spans="3:20" ht="36" customHeight="1" x14ac:dyDescent="0.45">
      <c r="C3567" s="575"/>
      <c r="D3567" s="616">
        <f>TrialBalanceB!C136</f>
        <v>0</v>
      </c>
      <c r="E3567" s="616"/>
      <c r="F3567" s="616"/>
      <c r="G3567" s="616"/>
      <c r="H3567" s="616"/>
      <c r="I3567" s="616"/>
      <c r="J3567" s="645"/>
      <c r="K3567" s="450"/>
      <c r="L3567" s="450"/>
      <c r="M3567" s="580">
        <f>TrialBalanceB!I136</f>
        <v>0</v>
      </c>
      <c r="N3567" s="458"/>
      <c r="O3567" s="581">
        <f>TrialBalanceB!K136</f>
        <v>0</v>
      </c>
      <c r="P3567" s="454"/>
      <c r="R3567" s="490" t="str">
        <f t="shared" si="232"/>
        <v>DELETE</v>
      </c>
      <c r="T3567" s="498"/>
    </row>
    <row r="3568" spans="3:20" ht="36" customHeight="1" x14ac:dyDescent="0.45">
      <c r="C3568" s="575"/>
      <c r="D3568" s="616">
        <f>TrialBalanceB!C137</f>
        <v>0</v>
      </c>
      <c r="E3568" s="616"/>
      <c r="F3568" s="616"/>
      <c r="G3568" s="616"/>
      <c r="H3568" s="616"/>
      <c r="I3568" s="616"/>
      <c r="J3568" s="645"/>
      <c r="K3568" s="450"/>
      <c r="L3568" s="450"/>
      <c r="M3568" s="580">
        <f>TrialBalanceB!I137</f>
        <v>0</v>
      </c>
      <c r="N3568" s="458"/>
      <c r="O3568" s="581">
        <f>TrialBalanceB!K137</f>
        <v>0</v>
      </c>
      <c r="P3568" s="454"/>
      <c r="R3568" s="490" t="str">
        <f t="shared" si="232"/>
        <v>DELETE</v>
      </c>
      <c r="T3568" s="498"/>
    </row>
    <row r="3569" spans="3:26" ht="36" customHeight="1" x14ac:dyDescent="0.45">
      <c r="C3569" s="575"/>
      <c r="D3569" s="616">
        <f>TrialBalanceB!C138</f>
        <v>0</v>
      </c>
      <c r="E3569" s="616"/>
      <c r="F3569" s="616"/>
      <c r="G3569" s="616"/>
      <c r="H3569" s="616"/>
      <c r="I3569" s="616"/>
      <c r="J3569" s="645"/>
      <c r="K3569" s="450"/>
      <c r="L3569" s="450"/>
      <c r="M3569" s="580">
        <f>TrialBalanceB!I138</f>
        <v>0</v>
      </c>
      <c r="N3569" s="458"/>
      <c r="O3569" s="581">
        <f>TrialBalanceB!K138</f>
        <v>0</v>
      </c>
      <c r="P3569" s="454"/>
      <c r="R3569" s="490" t="str">
        <f t="shared" si="232"/>
        <v>DELETE</v>
      </c>
      <c r="T3569" s="498"/>
    </row>
    <row r="3570" spans="3:26" ht="36" customHeight="1" x14ac:dyDescent="0.45">
      <c r="C3570" s="575"/>
      <c r="D3570" s="616">
        <f>TrialBalanceB!C139</f>
        <v>0</v>
      </c>
      <c r="E3570" s="616"/>
      <c r="F3570" s="616"/>
      <c r="G3570" s="616"/>
      <c r="H3570" s="616"/>
      <c r="I3570" s="616"/>
      <c r="J3570" s="645"/>
      <c r="K3570" s="450"/>
      <c r="L3570" s="450"/>
      <c r="M3570" s="580">
        <f>TrialBalanceB!I139</f>
        <v>0</v>
      </c>
      <c r="N3570" s="458"/>
      <c r="O3570" s="581">
        <f>TrialBalanceB!K139</f>
        <v>0</v>
      </c>
      <c r="P3570" s="454"/>
      <c r="R3570" s="490" t="str">
        <f t="shared" si="232"/>
        <v>DELETE</v>
      </c>
      <c r="T3570" s="498"/>
    </row>
    <row r="3571" spans="3:26" ht="36" customHeight="1" x14ac:dyDescent="0.45">
      <c r="C3571" s="575"/>
      <c r="D3571" s="616" t="str">
        <f>TrialBalanceB!C140</f>
        <v>Amortisation of prepaid lease agreement</v>
      </c>
      <c r="E3571" s="616"/>
      <c r="F3571" s="616"/>
      <c r="G3571" s="616"/>
      <c r="H3571" s="616"/>
      <c r="I3571" s="616"/>
      <c r="J3571" s="645"/>
      <c r="K3571" s="450"/>
      <c r="L3571" s="450"/>
      <c r="M3571" s="580">
        <f>TrialBalanceB!I140</f>
        <v>0</v>
      </c>
      <c r="N3571" s="458"/>
      <c r="O3571" s="581">
        <f>TrialBalanceB!K140</f>
        <v>0</v>
      </c>
      <c r="P3571" s="454"/>
      <c r="R3571" s="490" t="str">
        <f t="shared" si="232"/>
        <v>DELETE</v>
      </c>
      <c r="T3571" s="498"/>
    </row>
    <row r="3572" spans="3:26" ht="36" customHeight="1" x14ac:dyDescent="0.45">
      <c r="C3572" s="575"/>
      <c r="D3572" s="616" t="str">
        <f>TrialBalanceB!C141</f>
        <v>Amortisation of goodwill</v>
      </c>
      <c r="E3572" s="616"/>
      <c r="F3572" s="616"/>
      <c r="G3572" s="616"/>
      <c r="H3572" s="616"/>
      <c r="I3572" s="616"/>
      <c r="J3572" s="645"/>
      <c r="K3572" s="450"/>
      <c r="L3572" s="450"/>
      <c r="M3572" s="580">
        <f>TrialBalanceB!I141</f>
        <v>0</v>
      </c>
      <c r="N3572" s="458"/>
      <c r="O3572" s="581">
        <f>TrialBalanceB!K141</f>
        <v>0</v>
      </c>
      <c r="P3572" s="454"/>
      <c r="R3572" s="490" t="str">
        <f t="shared" ref="R3572" si="234">IF(R$3438="DELETE","DELETE",IF(M3572+O3572=0,"DELETE"," "))</f>
        <v>DELETE</v>
      </c>
      <c r="T3572" s="498"/>
    </row>
    <row r="3573" spans="3:26" ht="9" customHeight="1" x14ac:dyDescent="0.45">
      <c r="C3573" s="575"/>
      <c r="D3573" s="616"/>
      <c r="E3573" s="616"/>
      <c r="F3573" s="616"/>
      <c r="G3573" s="616"/>
      <c r="H3573" s="616"/>
      <c r="I3573" s="616"/>
      <c r="J3573" s="645"/>
      <c r="K3573" s="450"/>
      <c r="L3573" s="450"/>
      <c r="M3573" s="460"/>
      <c r="N3573" s="461"/>
      <c r="O3573" s="582"/>
      <c r="P3573" s="454"/>
      <c r="R3573" s="490" t="str">
        <f>R3537</f>
        <v>DELETE</v>
      </c>
      <c r="T3573" s="498"/>
    </row>
    <row r="3574" spans="3:26" ht="9" customHeight="1" x14ac:dyDescent="0.45">
      <c r="C3574" s="575"/>
      <c r="D3574" s="616"/>
      <c r="E3574" s="616"/>
      <c r="F3574" s="616"/>
      <c r="G3574" s="616"/>
      <c r="H3574" s="616"/>
      <c r="I3574" s="616"/>
      <c r="J3574" s="645"/>
      <c r="K3574" s="450"/>
      <c r="L3574" s="450"/>
      <c r="M3574" s="461"/>
      <c r="N3574" s="461"/>
      <c r="O3574" s="461"/>
      <c r="P3574" s="454"/>
      <c r="R3574" s="490" t="str">
        <f t="shared" ref="R3574:R3577" si="235">R$3438</f>
        <v>DELETE</v>
      </c>
      <c r="T3574" s="498"/>
    </row>
    <row r="3575" spans="3:26" ht="9" customHeight="1" x14ac:dyDescent="0.45">
      <c r="C3575" s="575"/>
      <c r="D3575" s="616"/>
      <c r="E3575" s="616"/>
      <c r="F3575" s="616"/>
      <c r="G3575" s="616"/>
      <c r="H3575" s="616"/>
      <c r="I3575" s="616"/>
      <c r="J3575" s="645"/>
      <c r="K3575" s="450"/>
      <c r="L3575" s="450"/>
      <c r="M3575" s="458"/>
      <c r="N3575" s="458"/>
      <c r="O3575" s="458"/>
      <c r="P3575" s="454"/>
      <c r="R3575" s="490" t="str">
        <f t="shared" si="235"/>
        <v>DELETE</v>
      </c>
      <c r="T3575" s="498"/>
    </row>
    <row r="3576" spans="3:26" ht="36" customHeight="1" x14ac:dyDescent="0.45">
      <c r="D3576" s="637" t="str">
        <f>IF((Y3576+Z3576)=3,"Operating profit/(loss) for the year",(IF((Y3576+Z3576=4),"Operating profit for the year","Operating loss for the year")))</f>
        <v>Operating profit for the year</v>
      </c>
      <c r="E3576" s="616"/>
      <c r="F3576" s="616"/>
      <c r="G3576" s="616"/>
      <c r="H3576" s="616"/>
      <c r="I3576" s="616"/>
      <c r="J3576" s="645"/>
      <c r="K3576" s="450">
        <f>FS!B1250</f>
        <v>5</v>
      </c>
      <c r="L3576" s="450"/>
      <c r="M3576" s="458">
        <f>SUM(S3450:S3573)</f>
        <v>0</v>
      </c>
      <c r="N3576" s="458"/>
      <c r="O3576" s="458">
        <f>SUM(U3450:U3573)</f>
        <v>0</v>
      </c>
      <c r="P3576" s="454"/>
      <c r="R3576" s="490" t="str">
        <f t="shared" si="235"/>
        <v>DELETE</v>
      </c>
      <c r="T3576" s="498"/>
      <c r="Y3576" s="491">
        <f>IF(M3576&lt;0,1,IF(M3576=0,IF(O3576&lt;0,1,2),2))</f>
        <v>2</v>
      </c>
      <c r="Z3576" s="491">
        <f>IF(O3576&lt;0,1,IF(O3576=0,IF(M3576&lt;0,1,2),2))</f>
        <v>2</v>
      </c>
    </row>
    <row r="3577" spans="3:26" ht="36" customHeight="1" x14ac:dyDescent="0.45">
      <c r="C3577" s="575"/>
      <c r="D3577" s="616"/>
      <c r="E3577" s="616"/>
      <c r="F3577" s="616"/>
      <c r="G3577" s="616"/>
      <c r="H3577" s="616"/>
      <c r="I3577" s="616"/>
      <c r="J3577" s="645"/>
      <c r="K3577" s="450"/>
      <c r="L3577" s="450"/>
      <c r="M3577" s="458"/>
      <c r="N3577" s="458"/>
      <c r="O3577" s="458"/>
      <c r="P3577" s="454"/>
      <c r="R3577" s="490" t="str">
        <f t="shared" si="235"/>
        <v>DELETE</v>
      </c>
      <c r="T3577" s="498"/>
    </row>
    <row r="3578" spans="3:26" ht="36" customHeight="1" x14ac:dyDescent="0.45">
      <c r="D3578" s="615" t="s">
        <v>225</v>
      </c>
      <c r="E3578" s="616"/>
      <c r="F3578" s="616"/>
      <c r="G3578" s="616"/>
      <c r="H3578" s="616"/>
      <c r="I3578" s="616"/>
      <c r="J3578" s="645"/>
      <c r="K3578" s="450">
        <f>FS!B1364</f>
        <v>6</v>
      </c>
      <c r="L3578" s="450"/>
      <c r="M3578" s="458">
        <f>SUM(M3581:M3587)</f>
        <v>0</v>
      </c>
      <c r="N3578" s="458"/>
      <c r="O3578" s="458">
        <f>SUM(O3581:O3587)</f>
        <v>0</v>
      </c>
      <c r="P3578" s="454"/>
      <c r="R3578" s="490" t="str">
        <f t="shared" ref="R3578" si="236">IF(R$3438="DELETE","DELETE",IF(M3578+O3578=0,"DELETE"," "))</f>
        <v>DELETE</v>
      </c>
      <c r="S3578" s="495">
        <f>M3578</f>
        <v>0</v>
      </c>
      <c r="T3578" s="498"/>
      <c r="U3578" s="495">
        <f>O3578</f>
        <v>0</v>
      </c>
      <c r="V3578" s="495"/>
      <c r="W3578" s="495"/>
      <c r="X3578" s="495"/>
    </row>
    <row r="3579" spans="3:26" ht="9" customHeight="1" x14ac:dyDescent="0.45">
      <c r="C3579" s="575"/>
      <c r="D3579" s="616"/>
      <c r="E3579" s="616"/>
      <c r="F3579" s="616"/>
      <c r="G3579" s="616"/>
      <c r="H3579" s="616"/>
      <c r="I3579" s="616"/>
      <c r="J3579" s="645"/>
      <c r="K3579" s="450"/>
      <c r="L3579" s="450"/>
      <c r="M3579" s="458"/>
      <c r="N3579" s="458"/>
      <c r="O3579" s="458"/>
      <c r="P3579" s="454"/>
      <c r="R3579" s="490" t="str">
        <f>R3578</f>
        <v>DELETE</v>
      </c>
      <c r="T3579" s="498"/>
    </row>
    <row r="3580" spans="3:26" ht="9" customHeight="1" x14ac:dyDescent="0.45">
      <c r="C3580" s="575"/>
      <c r="D3580" s="616"/>
      <c r="E3580" s="616"/>
      <c r="F3580" s="616"/>
      <c r="G3580" s="616"/>
      <c r="H3580" s="616"/>
      <c r="I3580" s="616"/>
      <c r="J3580" s="645"/>
      <c r="K3580" s="450"/>
      <c r="L3580" s="450"/>
      <c r="M3580" s="578"/>
      <c r="N3580" s="459"/>
      <c r="O3580" s="579"/>
      <c r="P3580" s="454"/>
      <c r="R3580" s="490" t="str">
        <f>R3579</f>
        <v>DELETE</v>
      </c>
      <c r="T3580" s="498"/>
    </row>
    <row r="3581" spans="3:26" ht="36" customHeight="1" x14ac:dyDescent="0.45">
      <c r="C3581" s="575"/>
      <c r="D3581" s="616" t="s">
        <v>223</v>
      </c>
      <c r="E3581" s="616"/>
      <c r="F3581" s="616"/>
      <c r="G3581" s="616"/>
      <c r="H3581" s="616"/>
      <c r="I3581" s="616"/>
      <c r="J3581" s="645"/>
      <c r="K3581" s="450"/>
      <c r="L3581" s="450"/>
      <c r="M3581" s="580">
        <f>-TrialBalanceB!I95</f>
        <v>0</v>
      </c>
      <c r="N3581" s="458"/>
      <c r="O3581" s="581">
        <f>-TrialBalanceB!K95</f>
        <v>0</v>
      </c>
      <c r="P3581" s="454"/>
      <c r="R3581" s="490" t="str">
        <f t="shared" ref="R3581:R3586" si="237">IF(R$3438="DELETE","DELETE",IF(M3581+O3581=0,"DELETE"," "))</f>
        <v>DELETE</v>
      </c>
      <c r="T3581" s="498"/>
    </row>
    <row r="3582" spans="3:26" ht="36" customHeight="1" x14ac:dyDescent="0.45">
      <c r="C3582" s="575"/>
      <c r="D3582" s="616" t="s">
        <v>567</v>
      </c>
      <c r="E3582" s="616"/>
      <c r="F3582" s="616"/>
      <c r="G3582" s="616"/>
      <c r="H3582" s="616"/>
      <c r="I3582" s="616"/>
      <c r="J3582" s="645"/>
      <c r="K3582" s="450"/>
      <c r="L3582" s="450"/>
      <c r="M3582" s="580">
        <f>-SUM(TrialBalanceB!I91:I93)</f>
        <v>0</v>
      </c>
      <c r="N3582" s="458"/>
      <c r="O3582" s="581">
        <f>-SUM(TrialBalanceB!K91:K93)</f>
        <v>0</v>
      </c>
      <c r="P3582" s="454"/>
      <c r="R3582" s="490" t="str">
        <f t="shared" si="237"/>
        <v>DELETE</v>
      </c>
      <c r="T3582" s="498"/>
    </row>
    <row r="3583" spans="3:26" ht="36" customHeight="1" x14ac:dyDescent="0.45">
      <c r="C3583" s="575"/>
      <c r="D3583" s="616" t="s">
        <v>568</v>
      </c>
      <c r="E3583" s="616"/>
      <c r="F3583" s="616"/>
      <c r="G3583" s="616"/>
      <c r="H3583" s="616"/>
      <c r="I3583" s="616"/>
      <c r="J3583" s="645"/>
      <c r="K3583" s="450"/>
      <c r="L3583" s="450"/>
      <c r="M3583" s="602">
        <f>-SUM(TrialBalanceB!I86:I89)</f>
        <v>0</v>
      </c>
      <c r="N3583" s="465"/>
      <c r="O3583" s="603">
        <f>-SUM(TrialBalanceB!K86:K89)</f>
        <v>0</v>
      </c>
      <c r="P3583" s="454"/>
      <c r="R3583" s="490" t="str">
        <f t="shared" si="237"/>
        <v>DELETE</v>
      </c>
      <c r="T3583" s="498"/>
    </row>
    <row r="3584" spans="3:26" ht="36" customHeight="1" x14ac:dyDescent="0.45">
      <c r="C3584" s="575"/>
      <c r="D3584" s="616" t="s">
        <v>225</v>
      </c>
      <c r="E3584" s="616"/>
      <c r="F3584" s="616"/>
      <c r="G3584" s="616"/>
      <c r="H3584" s="616"/>
      <c r="I3584" s="616"/>
      <c r="J3584" s="645"/>
      <c r="K3584" s="450"/>
      <c r="L3584" s="450"/>
      <c r="M3584" s="602">
        <f>-SUM(TrialBalanceB!I96)</f>
        <v>0</v>
      </c>
      <c r="N3584" s="465"/>
      <c r="O3584" s="603">
        <f>-TrialBalanceB!K96</f>
        <v>0</v>
      </c>
      <c r="P3584" s="454"/>
      <c r="R3584" s="490" t="str">
        <f t="shared" si="237"/>
        <v>DELETE</v>
      </c>
      <c r="T3584" s="498"/>
    </row>
    <row r="3585" spans="3:26" ht="36" customHeight="1" x14ac:dyDescent="0.45">
      <c r="C3585" s="575"/>
      <c r="D3585" s="616" t="s">
        <v>589</v>
      </c>
      <c r="E3585" s="616"/>
      <c r="F3585" s="616"/>
      <c r="G3585" s="616"/>
      <c r="H3585" s="616"/>
      <c r="I3585" s="616"/>
      <c r="J3585" s="645"/>
      <c r="K3585" s="450"/>
      <c r="L3585" s="450"/>
      <c r="M3585" s="580">
        <f>IF(TrialBalanceB!I94&lt;0,-TrialBalanceB!I94,0)</f>
        <v>0</v>
      </c>
      <c r="N3585" s="458"/>
      <c r="O3585" s="581">
        <f>IF(TrialBalanceB!K94&lt;0,-TrialBalanceB!K94,0)</f>
        <v>0</v>
      </c>
      <c r="P3585" s="454"/>
      <c r="R3585" s="490" t="str">
        <f t="shared" si="237"/>
        <v>DELETE</v>
      </c>
      <c r="T3585" s="498"/>
    </row>
    <row r="3586" spans="3:26" ht="36" customHeight="1" x14ac:dyDescent="0.45">
      <c r="C3586" s="575"/>
      <c r="D3586" s="616" t="s">
        <v>398</v>
      </c>
      <c r="E3586" s="616"/>
      <c r="F3586" s="616"/>
      <c r="G3586" s="616"/>
      <c r="H3586" s="616"/>
      <c r="I3586" s="616"/>
      <c r="J3586" s="645"/>
      <c r="K3586" s="450"/>
      <c r="L3586" s="450"/>
      <c r="M3586" s="580">
        <f>-TrialBalanceB!I84</f>
        <v>0</v>
      </c>
      <c r="N3586" s="458"/>
      <c r="O3586" s="581">
        <f>-TrialBalanceB!K84</f>
        <v>0</v>
      </c>
      <c r="P3586" s="454"/>
      <c r="R3586" s="490" t="str">
        <f t="shared" si="237"/>
        <v>DELETE</v>
      </c>
      <c r="T3586" s="498"/>
    </row>
    <row r="3587" spans="3:26" ht="9" customHeight="1" x14ac:dyDescent="0.45">
      <c r="C3587" s="575"/>
      <c r="D3587" s="616"/>
      <c r="E3587" s="616"/>
      <c r="F3587" s="616"/>
      <c r="G3587" s="616"/>
      <c r="H3587" s="616"/>
      <c r="I3587" s="616"/>
      <c r="J3587" s="645"/>
      <c r="K3587" s="450"/>
      <c r="L3587" s="450"/>
      <c r="M3587" s="460"/>
      <c r="N3587" s="461"/>
      <c r="O3587" s="582"/>
      <c r="P3587" s="454"/>
      <c r="R3587" s="490" t="str">
        <f>R3578</f>
        <v>DELETE</v>
      </c>
      <c r="T3587" s="498"/>
    </row>
    <row r="3588" spans="3:26" ht="9" customHeight="1" x14ac:dyDescent="0.45">
      <c r="C3588" s="575"/>
      <c r="D3588" s="616"/>
      <c r="E3588" s="616"/>
      <c r="F3588" s="616"/>
      <c r="G3588" s="616"/>
      <c r="H3588" s="616"/>
      <c r="I3588" s="616"/>
      <c r="J3588" s="645"/>
      <c r="K3588" s="450"/>
      <c r="L3588" s="450"/>
      <c r="M3588" s="461"/>
      <c r="N3588" s="461"/>
      <c r="O3588" s="461"/>
      <c r="P3588" s="454"/>
      <c r="R3588" s="490" t="str">
        <f>R$3590</f>
        <v>DELETE</v>
      </c>
      <c r="T3588" s="498"/>
    </row>
    <row r="3589" spans="3:26" ht="9" customHeight="1" x14ac:dyDescent="0.45">
      <c r="C3589" s="575"/>
      <c r="D3589" s="616"/>
      <c r="E3589" s="616"/>
      <c r="F3589" s="616"/>
      <c r="G3589" s="616"/>
      <c r="H3589" s="616"/>
      <c r="I3589" s="616"/>
      <c r="J3589" s="645"/>
      <c r="K3589" s="450"/>
      <c r="L3589" s="450"/>
      <c r="M3589" s="458"/>
      <c r="N3589" s="458"/>
      <c r="O3589" s="458"/>
      <c r="P3589" s="454"/>
      <c r="R3589" s="490" t="str">
        <f>R$3590</f>
        <v>DELETE</v>
      </c>
      <c r="T3589" s="498"/>
    </row>
    <row r="3590" spans="3:26" ht="36" customHeight="1" x14ac:dyDescent="0.45">
      <c r="C3590" s="575"/>
      <c r="D3590" s="616"/>
      <c r="E3590" s="616"/>
      <c r="F3590" s="616"/>
      <c r="G3590" s="616"/>
      <c r="H3590" s="616"/>
      <c r="I3590" s="616"/>
      <c r="J3590" s="645"/>
      <c r="K3590" s="450"/>
      <c r="L3590" s="450"/>
      <c r="M3590" s="458">
        <f>SUM(S3450:S3587)</f>
        <v>0</v>
      </c>
      <c r="N3590" s="458"/>
      <c r="O3590" s="458">
        <f>SUM(U3450:U3587)</f>
        <v>0</v>
      </c>
      <c r="P3590" s="454"/>
      <c r="R3590" s="490" t="str">
        <f>IF(R$3438="DELETE","DELETE",IF(M3578+O3578=0,"DELETE",IF(M3590=M3595,IF(O3590=O3595,"DELETE"," ")," ")))</f>
        <v>DELETE</v>
      </c>
      <c r="T3590" s="498"/>
    </row>
    <row r="3591" spans="3:26" ht="36" customHeight="1" x14ac:dyDescent="0.45">
      <c r="C3591" s="575"/>
      <c r="D3591" s="616"/>
      <c r="E3591" s="616"/>
      <c r="F3591" s="616"/>
      <c r="G3591" s="616"/>
      <c r="H3591" s="616"/>
      <c r="I3591" s="616"/>
      <c r="J3591" s="645"/>
      <c r="K3591" s="450"/>
      <c r="L3591" s="450"/>
      <c r="M3591" s="458"/>
      <c r="N3591" s="458"/>
      <c r="O3591" s="458"/>
      <c r="P3591" s="454"/>
      <c r="R3591" s="490" t="str">
        <f>R3590</f>
        <v>DELETE</v>
      </c>
      <c r="T3591" s="498"/>
    </row>
    <row r="3592" spans="3:26" ht="36" customHeight="1" x14ac:dyDescent="0.45">
      <c r="D3592" s="616" t="s">
        <v>1534</v>
      </c>
      <c r="E3592" s="616"/>
      <c r="F3592" s="616"/>
      <c r="G3592" s="616"/>
      <c r="H3592" s="616"/>
      <c r="I3592" s="616"/>
      <c r="J3592" s="645"/>
      <c r="K3592" s="450">
        <f>FS!B1423</f>
        <v>7</v>
      </c>
      <c r="L3592" s="450"/>
      <c r="M3592" s="458">
        <f>SUM(TrialBalanceB!I144:I154)</f>
        <v>0</v>
      </c>
      <c r="N3592" s="458"/>
      <c r="O3592" s="458">
        <f>SUM(TrialBalanceB!K144:K154)</f>
        <v>0</v>
      </c>
      <c r="P3592" s="454"/>
      <c r="R3592" s="490" t="str">
        <f t="shared" ref="R3592" si="238">IF(R$3438="DELETE","DELETE",IF(M3592+O3592=0,"DELETE"," "))</f>
        <v>DELETE</v>
      </c>
      <c r="S3592" s="495">
        <f>-M3592</f>
        <v>0</v>
      </c>
      <c r="T3592" s="498"/>
      <c r="U3592" s="495">
        <f>-O3592</f>
        <v>0</v>
      </c>
      <c r="V3592" s="495"/>
      <c r="W3592" s="495"/>
      <c r="X3592" s="495"/>
    </row>
    <row r="3593" spans="3:26" ht="9" customHeight="1" x14ac:dyDescent="0.45">
      <c r="C3593" s="575"/>
      <c r="D3593" s="616"/>
      <c r="E3593" s="616"/>
      <c r="F3593" s="616"/>
      <c r="G3593" s="616"/>
      <c r="H3593" s="616"/>
      <c r="I3593" s="616"/>
      <c r="J3593" s="645"/>
      <c r="K3593" s="450"/>
      <c r="L3593" s="450"/>
      <c r="M3593" s="461"/>
      <c r="N3593" s="461"/>
      <c r="O3593" s="461"/>
      <c r="P3593" s="454"/>
      <c r="R3593" s="490" t="str">
        <f t="shared" ref="R3593:R3601" si="239">R$3438</f>
        <v>DELETE</v>
      </c>
      <c r="T3593" s="498"/>
    </row>
    <row r="3594" spans="3:26" ht="9" customHeight="1" x14ac:dyDescent="0.45">
      <c r="C3594" s="575"/>
      <c r="D3594" s="616"/>
      <c r="E3594" s="616"/>
      <c r="F3594" s="616"/>
      <c r="G3594" s="616"/>
      <c r="H3594" s="616"/>
      <c r="I3594" s="616"/>
      <c r="J3594" s="645"/>
      <c r="K3594" s="450"/>
      <c r="L3594" s="450"/>
      <c r="M3594" s="458"/>
      <c r="N3594" s="458"/>
      <c r="O3594" s="458"/>
      <c r="P3594" s="454"/>
      <c r="R3594" s="490" t="str">
        <f t="shared" si="239"/>
        <v>DELETE</v>
      </c>
      <c r="T3594" s="498"/>
    </row>
    <row r="3595" spans="3:26" ht="36.75" customHeight="1" x14ac:dyDescent="0.45">
      <c r="D3595" s="637" t="str">
        <f>IF((Y3595+Z3595)=3,"Profit/(Loss) before taxation",(IF((Y3595+Z3595=4),"Profit before taxation","Loss before taxation")))</f>
        <v>Profit before taxation</v>
      </c>
      <c r="E3595" s="616"/>
      <c r="F3595" s="616"/>
      <c r="G3595" s="616"/>
      <c r="H3595" s="616"/>
      <c r="I3595" s="616"/>
      <c r="J3595" s="645"/>
      <c r="K3595" s="450"/>
      <c r="L3595" s="450"/>
      <c r="M3595" s="458">
        <f>SUM(S3450:S3594)</f>
        <v>0</v>
      </c>
      <c r="N3595" s="458"/>
      <c r="O3595" s="458">
        <f>SUM(U3450:U3594)</f>
        <v>0</v>
      </c>
      <c r="P3595" s="454"/>
      <c r="R3595" s="490" t="str">
        <f t="shared" si="239"/>
        <v>DELETE</v>
      </c>
      <c r="T3595" s="498"/>
      <c r="V3595" s="491" t="b">
        <f>M3595=FS!M2952</f>
        <v>1</v>
      </c>
      <c r="X3595" s="491" t="b">
        <f>O3595=FS!O2952</f>
        <v>1</v>
      </c>
      <c r="Y3595" s="491">
        <f>IF(M3595&lt;0,1,IF(M3595=0,IF(O3595&lt;0,1,2),2))</f>
        <v>2</v>
      </c>
      <c r="Z3595" s="491">
        <f>IF(O3595&lt;0,1,IF(O3595=0,IF(M3595&lt;0,1,2),2))</f>
        <v>2</v>
      </c>
    </row>
    <row r="3596" spans="3:26" ht="9" customHeight="1" thickBot="1" x14ac:dyDescent="0.5">
      <c r="C3596" s="575"/>
      <c r="D3596" s="616"/>
      <c r="E3596" s="616"/>
      <c r="F3596" s="616"/>
      <c r="G3596" s="616"/>
      <c r="H3596" s="616"/>
      <c r="I3596" s="616"/>
      <c r="J3596" s="645"/>
      <c r="K3596" s="450"/>
      <c r="L3596" s="450"/>
      <c r="M3596" s="462"/>
      <c r="N3596" s="462"/>
      <c r="O3596" s="462"/>
      <c r="P3596" s="454"/>
      <c r="R3596" s="490" t="str">
        <f t="shared" si="239"/>
        <v>DELETE</v>
      </c>
      <c r="T3596" s="498"/>
    </row>
    <row r="3597" spans="3:26" ht="9" customHeight="1" thickTop="1" x14ac:dyDescent="0.45">
      <c r="C3597" s="575"/>
      <c r="D3597" s="616"/>
      <c r="E3597" s="616"/>
      <c r="F3597" s="616"/>
      <c r="G3597" s="616"/>
      <c r="H3597" s="616"/>
      <c r="I3597" s="616"/>
      <c r="J3597" s="645"/>
      <c r="K3597" s="450"/>
      <c r="L3597" s="450"/>
      <c r="M3597" s="458"/>
      <c r="N3597" s="458"/>
      <c r="O3597" s="458"/>
      <c r="P3597" s="454"/>
      <c r="R3597" s="490" t="str">
        <f t="shared" si="239"/>
        <v>DELETE</v>
      </c>
      <c r="T3597" s="498"/>
    </row>
    <row r="3598" spans="3:26" ht="36" customHeight="1" x14ac:dyDescent="0.45">
      <c r="C3598" s="575"/>
      <c r="D3598" s="616"/>
      <c r="E3598" s="616"/>
      <c r="F3598" s="616"/>
      <c r="G3598" s="616"/>
      <c r="H3598" s="616"/>
      <c r="I3598" s="616"/>
      <c r="J3598" s="645"/>
      <c r="K3598" s="450"/>
      <c r="L3598" s="450"/>
      <c r="M3598" s="458"/>
      <c r="N3598" s="458"/>
      <c r="O3598" s="458"/>
      <c r="P3598" s="454"/>
      <c r="R3598" s="490" t="str">
        <f t="shared" si="239"/>
        <v>DELETE</v>
      </c>
      <c r="T3598" s="498"/>
    </row>
    <row r="3599" spans="3:26" ht="36" customHeight="1" x14ac:dyDescent="0.45">
      <c r="C3599" s="575"/>
      <c r="D3599" s="616"/>
      <c r="E3599" s="616"/>
      <c r="F3599" s="616"/>
      <c r="G3599" s="616"/>
      <c r="H3599" s="616"/>
      <c r="I3599" s="616"/>
      <c r="J3599" s="645"/>
      <c r="K3599" s="450"/>
      <c r="L3599" s="450"/>
      <c r="M3599" s="458"/>
      <c r="N3599" s="458"/>
      <c r="O3599" s="458"/>
      <c r="P3599" s="454"/>
      <c r="R3599" s="490" t="str">
        <f t="shared" si="239"/>
        <v>DELETE</v>
      </c>
      <c r="T3599" s="498"/>
    </row>
    <row r="3600" spans="3:26" ht="36" customHeight="1" x14ac:dyDescent="0.5">
      <c r="C3600" s="520"/>
      <c r="D3600" s="616"/>
      <c r="E3600" s="616"/>
      <c r="F3600" s="616"/>
      <c r="G3600" s="616"/>
      <c r="H3600" s="616"/>
      <c r="I3600" s="616"/>
      <c r="J3600" s="616"/>
      <c r="M3600" s="555"/>
      <c r="N3600" s="555"/>
      <c r="O3600" s="555"/>
      <c r="P3600" s="545"/>
      <c r="R3600" s="490" t="str">
        <f t="shared" si="239"/>
        <v>DELETE</v>
      </c>
      <c r="T3600" s="498"/>
    </row>
    <row r="3601" spans="3:24" ht="36" customHeight="1" x14ac:dyDescent="0.5">
      <c r="C3601" s="520"/>
      <c r="D3601" s="616"/>
      <c r="E3601" s="616"/>
      <c r="F3601" s="616"/>
      <c r="G3601" s="616"/>
      <c r="H3601" s="616"/>
      <c r="I3601" s="616"/>
      <c r="J3601" s="616"/>
      <c r="M3601" s="541"/>
      <c r="N3601" s="541"/>
      <c r="O3601" s="541"/>
      <c r="R3601" s="490" t="str">
        <f t="shared" si="239"/>
        <v>DELETE</v>
      </c>
      <c r="T3601" s="498"/>
    </row>
    <row r="3602" spans="3:24" ht="36" customHeight="1" x14ac:dyDescent="0.5">
      <c r="C3602" s="520"/>
      <c r="D3602" s="616"/>
      <c r="E3602" s="616"/>
      <c r="F3602" s="616"/>
      <c r="G3602" s="616"/>
      <c r="H3602" s="616"/>
      <c r="I3602" s="616"/>
      <c r="J3602" s="616"/>
      <c r="M3602" s="541"/>
      <c r="N3602" s="541"/>
      <c r="O3602" s="458" t="s">
        <v>112</v>
      </c>
      <c r="Q3602" s="450">
        <v>1</v>
      </c>
      <c r="R3602" s="490" t="str">
        <f>IF(SUM(U3450:U3454)+SUM(U3470:U3479)+SUM(U3578:U3587)+O3595=0,IF(SUM(S3614:S3616)+SUM(S3634:S3641)+SUM(S3742:S3751)+O3759=0,"DELETE"," "),"DELETE")</f>
        <v>DELETE</v>
      </c>
      <c r="T3602" s="498"/>
      <c r="V3602" s="494"/>
      <c r="W3602" s="494"/>
      <c r="X3602" s="494"/>
    </row>
    <row r="3603" spans="3:24" ht="36" customHeight="1" x14ac:dyDescent="0.5">
      <c r="C3603" s="520"/>
      <c r="D3603" s="615" t="s">
        <v>696</v>
      </c>
      <c r="E3603" s="616"/>
      <c r="F3603" s="616"/>
      <c r="G3603" s="616"/>
      <c r="H3603" s="616"/>
      <c r="I3603" s="616"/>
      <c r="J3603" s="616"/>
      <c r="M3603" s="541"/>
      <c r="N3603" s="541"/>
      <c r="O3603" s="541"/>
      <c r="R3603" s="490" t="str">
        <f>R$3602</f>
        <v>DELETE</v>
      </c>
      <c r="T3603" s="498"/>
      <c r="V3603" s="493"/>
      <c r="X3603" s="493"/>
    </row>
    <row r="3604" spans="3:24" ht="36" customHeight="1" x14ac:dyDescent="0.5">
      <c r="C3604" s="520"/>
      <c r="D3604" s="616"/>
      <c r="E3604" s="616"/>
      <c r="F3604" s="616"/>
      <c r="G3604" s="616"/>
      <c r="H3604" s="616"/>
      <c r="I3604" s="616"/>
      <c r="J3604" s="616"/>
      <c r="M3604" s="541"/>
      <c r="N3604" s="541"/>
      <c r="O3604" s="541"/>
      <c r="R3604" s="490" t="str">
        <f t="shared" ref="R3604:R3613" si="240">R$3602</f>
        <v>DELETE</v>
      </c>
      <c r="T3604" s="498"/>
    </row>
    <row r="3605" spans="3:24" ht="36" customHeight="1" x14ac:dyDescent="0.5">
      <c r="C3605" s="520"/>
      <c r="D3605" s="615" t="str">
        <f>Criteria!E9</f>
        <v>ABC COMPANY (PROPRIETARY) LIMITED</v>
      </c>
      <c r="E3605" s="616"/>
      <c r="F3605" s="616"/>
      <c r="G3605" s="616"/>
      <c r="H3605" s="616"/>
      <c r="I3605" s="616"/>
      <c r="J3605" s="616"/>
      <c r="M3605" s="541"/>
      <c r="N3605" s="541"/>
      <c r="O3605" s="540"/>
      <c r="R3605" s="490" t="str">
        <f t="shared" si="240"/>
        <v>DELETE</v>
      </c>
      <c r="T3605" s="498"/>
    </row>
    <row r="3606" spans="3:24" ht="36" customHeight="1" x14ac:dyDescent="0.5">
      <c r="C3606" s="520"/>
      <c r="D3606" s="615" t="str">
        <f>CONCATENATE("T/A ",Criteria!E15)</f>
        <v>T/A RENTAL PROPERTIES</v>
      </c>
      <c r="E3606" s="616"/>
      <c r="F3606" s="616"/>
      <c r="G3606" s="616"/>
      <c r="H3606" s="616"/>
      <c r="I3606" s="616"/>
      <c r="J3606" s="616"/>
      <c r="M3606" s="541"/>
      <c r="N3606" s="541"/>
      <c r="O3606" s="541"/>
      <c r="R3606" s="490" t="str">
        <f t="shared" si="240"/>
        <v>DELETE</v>
      </c>
      <c r="T3606" s="498"/>
    </row>
    <row r="3607" spans="3:24" ht="36" customHeight="1" x14ac:dyDescent="0.5">
      <c r="C3607" s="520"/>
      <c r="D3607" s="616"/>
      <c r="E3607" s="616"/>
      <c r="F3607" s="616"/>
      <c r="G3607" s="616"/>
      <c r="H3607" s="616"/>
      <c r="I3607" s="616"/>
      <c r="J3607" s="616"/>
      <c r="M3607" s="541"/>
      <c r="N3607" s="541"/>
      <c r="O3607" s="541"/>
      <c r="R3607" s="490" t="str">
        <f t="shared" si="240"/>
        <v>DELETE</v>
      </c>
      <c r="T3607" s="498"/>
    </row>
    <row r="3608" spans="3:24" ht="36" customHeight="1" x14ac:dyDescent="0.5">
      <c r="C3608" s="520"/>
      <c r="D3608" s="615" t="s">
        <v>109</v>
      </c>
      <c r="E3608" s="616"/>
      <c r="F3608" s="616"/>
      <c r="G3608" s="616"/>
      <c r="H3608" s="616"/>
      <c r="I3608" s="616"/>
      <c r="J3608" s="616"/>
      <c r="M3608" s="541"/>
      <c r="N3608" s="541"/>
      <c r="O3608" s="541"/>
      <c r="R3608" s="490" t="str">
        <f t="shared" si="240"/>
        <v>DELETE</v>
      </c>
      <c r="T3608" s="498"/>
    </row>
    <row r="3609" spans="3:24" ht="36" customHeight="1" x14ac:dyDescent="0.5">
      <c r="C3609" s="520"/>
      <c r="D3609" s="615" t="str">
        <f>Criteria!E20</f>
        <v>28 FEBRUARY 2026</v>
      </c>
      <c r="E3609" s="616"/>
      <c r="F3609" s="616"/>
      <c r="G3609" s="616"/>
      <c r="H3609" s="616"/>
      <c r="I3609" s="616"/>
      <c r="J3609" s="616"/>
      <c r="M3609" s="541"/>
      <c r="N3609" s="541"/>
      <c r="O3609" s="541"/>
      <c r="R3609" s="490" t="str">
        <f t="shared" si="240"/>
        <v>DELETE</v>
      </c>
      <c r="T3609" s="498"/>
    </row>
    <row r="3610" spans="3:24" ht="36" customHeight="1" x14ac:dyDescent="0.5">
      <c r="C3610" s="520"/>
      <c r="D3610" s="616"/>
      <c r="E3610" s="616"/>
      <c r="F3610" s="616"/>
      <c r="G3610" s="616"/>
      <c r="H3610" s="616"/>
      <c r="I3610" s="616"/>
      <c r="J3610" s="616"/>
      <c r="M3610" s="541"/>
      <c r="N3610" s="541"/>
      <c r="O3610" s="541"/>
      <c r="R3610" s="490" t="str">
        <f t="shared" si="240"/>
        <v>DELETE</v>
      </c>
      <c r="T3610" s="498"/>
    </row>
    <row r="3611" spans="3:24" ht="36" customHeight="1" x14ac:dyDescent="0.5">
      <c r="C3611" s="520"/>
      <c r="D3611" s="634"/>
      <c r="E3611" s="634"/>
      <c r="F3611" s="634"/>
      <c r="G3611" s="634"/>
      <c r="H3611" s="634"/>
      <c r="I3611" s="634"/>
      <c r="J3611" s="634"/>
      <c r="K3611" s="457"/>
      <c r="L3611" s="457"/>
      <c r="M3611" s="557"/>
      <c r="N3611" s="557"/>
      <c r="O3611" s="557"/>
      <c r="P3611" s="551"/>
      <c r="Q3611" s="457"/>
      <c r="R3611" s="490" t="str">
        <f t="shared" si="240"/>
        <v>DELETE</v>
      </c>
      <c r="T3611" s="498"/>
    </row>
    <row r="3612" spans="3:24" ht="36" customHeight="1" x14ac:dyDescent="0.5">
      <c r="C3612" s="520"/>
      <c r="D3612" s="616"/>
      <c r="E3612" s="616"/>
      <c r="F3612" s="616"/>
      <c r="G3612" s="616"/>
      <c r="H3612" s="616"/>
      <c r="I3612" s="616"/>
      <c r="J3612" s="645"/>
      <c r="K3612" s="450" t="s">
        <v>1494</v>
      </c>
      <c r="L3612" s="451"/>
      <c r="M3612" s="451"/>
      <c r="N3612" s="450"/>
      <c r="O3612" s="453">
        <f>Criteria!E22</f>
        <v>2026</v>
      </c>
      <c r="P3612" s="454"/>
      <c r="R3612" s="490" t="str">
        <f t="shared" si="240"/>
        <v>DELETE</v>
      </c>
      <c r="T3612" s="498"/>
    </row>
    <row r="3613" spans="3:24" ht="36" customHeight="1" x14ac:dyDescent="0.5">
      <c r="C3613" s="520"/>
      <c r="D3613" s="616"/>
      <c r="E3613" s="616"/>
      <c r="F3613" s="616"/>
      <c r="G3613" s="616"/>
      <c r="H3613" s="616"/>
      <c r="I3613" s="616"/>
      <c r="J3613" s="645"/>
      <c r="K3613" s="450"/>
      <c r="L3613" s="451"/>
      <c r="M3613" s="451"/>
      <c r="N3613" s="450"/>
      <c r="O3613" s="458"/>
      <c r="P3613" s="454"/>
      <c r="R3613" s="490" t="str">
        <f t="shared" si="240"/>
        <v>DELETE</v>
      </c>
      <c r="T3613" s="498"/>
    </row>
    <row r="3614" spans="3:24" ht="36" customHeight="1" x14ac:dyDescent="0.45">
      <c r="D3614" s="615" t="s">
        <v>1194</v>
      </c>
      <c r="E3614" s="616"/>
      <c r="F3614" s="616"/>
      <c r="G3614" s="616"/>
      <c r="H3614" s="616"/>
      <c r="I3614" s="616"/>
      <c r="J3614" s="645"/>
      <c r="K3614" s="450"/>
      <c r="L3614" s="451"/>
      <c r="M3614" s="451"/>
      <c r="N3614" s="450"/>
      <c r="O3614" s="458">
        <f>-SUM(TrialBalanceB!I5:I10)</f>
        <v>0</v>
      </c>
      <c r="P3614" s="454"/>
      <c r="R3614" s="490" t="str">
        <f>IF(R3602="DELETE","DELETE",IF(O3614=0,IF(O3616=0," ","DELETE")," "))</f>
        <v>DELETE</v>
      </c>
      <c r="S3614" s="495">
        <f>O3614</f>
        <v>0</v>
      </c>
      <c r="T3614" s="498"/>
      <c r="U3614" s="495"/>
      <c r="V3614" s="495"/>
      <c r="W3614" s="495"/>
      <c r="X3614" s="495"/>
    </row>
    <row r="3615" spans="3:24" ht="36" customHeight="1" x14ac:dyDescent="0.45">
      <c r="D3615" s="615"/>
      <c r="E3615" s="616"/>
      <c r="F3615" s="616"/>
      <c r="G3615" s="616"/>
      <c r="H3615" s="616"/>
      <c r="I3615" s="616"/>
      <c r="J3615" s="645"/>
      <c r="K3615" s="450"/>
      <c r="L3615" s="451"/>
      <c r="M3615" s="451"/>
      <c r="N3615" s="450"/>
      <c r="O3615" s="458"/>
      <c r="P3615" s="454"/>
      <c r="R3615" s="490" t="str">
        <f>R3614</f>
        <v>DELETE</v>
      </c>
      <c r="S3615" s="495"/>
      <c r="T3615" s="498"/>
      <c r="U3615" s="495"/>
      <c r="V3615" s="495"/>
      <c r="W3615" s="495"/>
      <c r="X3615" s="495"/>
    </row>
    <row r="3616" spans="3:24" ht="36" customHeight="1" x14ac:dyDescent="0.45">
      <c r="D3616" s="615" t="s">
        <v>398</v>
      </c>
      <c r="E3616" s="616"/>
      <c r="F3616" s="616"/>
      <c r="G3616" s="616"/>
      <c r="H3616" s="616"/>
      <c r="I3616" s="616"/>
      <c r="J3616" s="645"/>
      <c r="K3616" s="450"/>
      <c r="L3616" s="451"/>
      <c r="M3616" s="451"/>
      <c r="N3616" s="450"/>
      <c r="O3616" s="458">
        <f>-TrialBalanceB!I11</f>
        <v>0</v>
      </c>
      <c r="P3616" s="454"/>
      <c r="R3616" s="490" t="str">
        <f>IF(R3602="DELETE","DELETE",IF(O3616=0,"DELETE"," "))</f>
        <v>DELETE</v>
      </c>
      <c r="S3616" s="495">
        <f>O3616</f>
        <v>0</v>
      </c>
      <c r="T3616" s="498"/>
      <c r="U3616" s="495"/>
      <c r="V3616" s="495"/>
      <c r="W3616" s="495"/>
      <c r="X3616" s="495"/>
    </row>
    <row r="3617" spans="3:24" ht="36" customHeight="1" x14ac:dyDescent="0.45">
      <c r="D3617" s="615"/>
      <c r="E3617" s="616"/>
      <c r="F3617" s="616"/>
      <c r="G3617" s="616"/>
      <c r="H3617" s="616"/>
      <c r="I3617" s="616"/>
      <c r="J3617" s="645"/>
      <c r="K3617" s="450"/>
      <c r="L3617" s="451"/>
      <c r="M3617" s="451"/>
      <c r="N3617" s="450"/>
      <c r="O3617" s="458"/>
      <c r="P3617" s="454"/>
      <c r="R3617" s="490" t="str">
        <f>R3616</f>
        <v>DELETE</v>
      </c>
      <c r="T3617" s="498"/>
    </row>
    <row r="3618" spans="3:24" ht="36" customHeight="1" x14ac:dyDescent="0.45">
      <c r="D3618" s="615" t="s">
        <v>1119</v>
      </c>
      <c r="E3618" s="616"/>
      <c r="F3618" s="616"/>
      <c r="G3618" s="616"/>
      <c r="H3618" s="616"/>
      <c r="I3618" s="616"/>
      <c r="J3618" s="645"/>
      <c r="K3618" s="450"/>
      <c r="L3618" s="451"/>
      <c r="M3618" s="451"/>
      <c r="N3618" s="450"/>
      <c r="O3618" s="458">
        <f>SUM(O3621:O3628)</f>
        <v>0</v>
      </c>
      <c r="P3618" s="454"/>
      <c r="R3618" s="490" t="str">
        <f>IF(R$3602="DELETE","DELETE",IF(O3618=0,"DELETE"," "))</f>
        <v>DELETE</v>
      </c>
      <c r="S3618" s="495">
        <f>-O3618</f>
        <v>0</v>
      </c>
      <c r="T3618" s="498"/>
      <c r="U3618" s="495"/>
      <c r="V3618" s="495"/>
      <c r="W3618" s="495"/>
      <c r="X3618" s="495"/>
    </row>
    <row r="3619" spans="3:24" ht="9" customHeight="1" x14ac:dyDescent="0.45">
      <c r="C3619" s="575"/>
      <c r="D3619" s="616"/>
      <c r="E3619" s="616"/>
      <c r="F3619" s="616"/>
      <c r="G3619" s="616"/>
      <c r="H3619" s="616"/>
      <c r="I3619" s="616"/>
      <c r="J3619" s="645"/>
      <c r="K3619" s="450"/>
      <c r="L3619" s="451"/>
      <c r="M3619" s="451"/>
      <c r="N3619" s="450"/>
      <c r="O3619" s="458"/>
      <c r="P3619" s="454"/>
      <c r="R3619" s="490" t="str">
        <f>R3618</f>
        <v>DELETE</v>
      </c>
      <c r="T3619" s="498"/>
    </row>
    <row r="3620" spans="3:24" ht="9" customHeight="1" x14ac:dyDescent="0.45">
      <c r="C3620" s="575"/>
      <c r="D3620" s="616"/>
      <c r="E3620" s="616"/>
      <c r="F3620" s="616"/>
      <c r="G3620" s="616"/>
      <c r="H3620" s="616"/>
      <c r="I3620" s="616"/>
      <c r="J3620" s="645"/>
      <c r="K3620" s="450"/>
      <c r="L3620" s="451"/>
      <c r="M3620" s="451"/>
      <c r="N3620" s="450"/>
      <c r="O3620" s="587"/>
      <c r="P3620" s="454"/>
      <c r="R3620" s="490" t="str">
        <f>R3619</f>
        <v>DELETE</v>
      </c>
      <c r="T3620" s="498"/>
    </row>
    <row r="3621" spans="3:24" ht="36" customHeight="1" x14ac:dyDescent="0.45">
      <c r="C3621" s="575"/>
      <c r="D3621" s="616" t="s">
        <v>563</v>
      </c>
      <c r="E3621" s="616"/>
      <c r="F3621" s="616"/>
      <c r="G3621" s="616"/>
      <c r="H3621" s="616"/>
      <c r="I3621" s="616"/>
      <c r="J3621" s="645"/>
      <c r="K3621" s="450"/>
      <c r="L3621" s="451"/>
      <c r="M3621" s="451"/>
      <c r="N3621" s="450"/>
      <c r="O3621" s="588">
        <f>SUM(TrialBalanceB!I13:I16)</f>
        <v>0</v>
      </c>
      <c r="P3621" s="454"/>
      <c r="R3621" s="490" t="str">
        <f t="shared" ref="R3621:R3628" si="241">IF(R$3602="DELETE","DELETE",IF(O3621=0,"DELETE"," "))</f>
        <v>DELETE</v>
      </c>
      <c r="T3621" s="498"/>
    </row>
    <row r="3622" spans="3:24" ht="36" customHeight="1" x14ac:dyDescent="0.45">
      <c r="C3622" s="575"/>
      <c r="D3622" s="616" t="s">
        <v>301</v>
      </c>
      <c r="E3622" s="616"/>
      <c r="F3622" s="616"/>
      <c r="G3622" s="616"/>
      <c r="H3622" s="616"/>
      <c r="I3622" s="616"/>
      <c r="J3622" s="645"/>
      <c r="K3622" s="450"/>
      <c r="L3622" s="451"/>
      <c r="M3622" s="451"/>
      <c r="N3622" s="450"/>
      <c r="O3622" s="588">
        <f>TrialBalanceB!I17</f>
        <v>0</v>
      </c>
      <c r="P3622" s="454"/>
      <c r="R3622" s="490" t="str">
        <f t="shared" si="241"/>
        <v>DELETE</v>
      </c>
      <c r="T3622" s="498"/>
    </row>
    <row r="3623" spans="3:24" ht="36" customHeight="1" x14ac:dyDescent="0.45">
      <c r="C3623" s="575"/>
      <c r="D3623" s="616">
        <f>TrialBalanceB!C18</f>
        <v>0</v>
      </c>
      <c r="E3623" s="616"/>
      <c r="F3623" s="616"/>
      <c r="G3623" s="616"/>
      <c r="H3623" s="616"/>
      <c r="I3623" s="616"/>
      <c r="J3623" s="645"/>
      <c r="K3623" s="450"/>
      <c r="L3623" s="451"/>
      <c r="M3623" s="451"/>
      <c r="N3623" s="450"/>
      <c r="O3623" s="588">
        <f>TrialBalanceB!I18</f>
        <v>0</v>
      </c>
      <c r="P3623" s="454"/>
      <c r="R3623" s="490" t="str">
        <f t="shared" si="241"/>
        <v>DELETE</v>
      </c>
      <c r="T3623" s="498"/>
    </row>
    <row r="3624" spans="3:24" ht="36" customHeight="1" x14ac:dyDescent="0.45">
      <c r="C3624" s="575"/>
      <c r="D3624" s="616">
        <f>TrialBalanceB!C19</f>
        <v>0</v>
      </c>
      <c r="E3624" s="616"/>
      <c r="F3624" s="616"/>
      <c r="G3624" s="616"/>
      <c r="H3624" s="616"/>
      <c r="I3624" s="616"/>
      <c r="J3624" s="645"/>
      <c r="K3624" s="450"/>
      <c r="L3624" s="451"/>
      <c r="M3624" s="451"/>
      <c r="N3624" s="450"/>
      <c r="O3624" s="588">
        <f>TrialBalanceB!I19</f>
        <v>0</v>
      </c>
      <c r="P3624" s="454"/>
      <c r="R3624" s="490" t="str">
        <f t="shared" si="241"/>
        <v>DELETE</v>
      </c>
      <c r="T3624" s="498"/>
    </row>
    <row r="3625" spans="3:24" ht="36" customHeight="1" x14ac:dyDescent="0.45">
      <c r="C3625" s="575"/>
      <c r="D3625" s="616">
        <f>TrialBalanceB!C20</f>
        <v>0</v>
      </c>
      <c r="E3625" s="616"/>
      <c r="F3625" s="616"/>
      <c r="G3625" s="616"/>
      <c r="H3625" s="616"/>
      <c r="I3625" s="616"/>
      <c r="J3625" s="645"/>
      <c r="K3625" s="450"/>
      <c r="L3625" s="451"/>
      <c r="M3625" s="451"/>
      <c r="N3625" s="450"/>
      <c r="O3625" s="588">
        <f>TrialBalanceB!I20</f>
        <v>0</v>
      </c>
      <c r="P3625" s="454"/>
      <c r="R3625" s="490" t="str">
        <f t="shared" si="241"/>
        <v>DELETE</v>
      </c>
      <c r="T3625" s="498"/>
    </row>
    <row r="3626" spans="3:24" ht="36" customHeight="1" x14ac:dyDescent="0.45">
      <c r="C3626" s="575"/>
      <c r="D3626" s="616">
        <f>TrialBalanceB!C21</f>
        <v>0</v>
      </c>
      <c r="E3626" s="616"/>
      <c r="F3626" s="616"/>
      <c r="G3626" s="616"/>
      <c r="H3626" s="616"/>
      <c r="I3626" s="616"/>
      <c r="J3626" s="645"/>
      <c r="K3626" s="450"/>
      <c r="L3626" s="451"/>
      <c r="M3626" s="451"/>
      <c r="N3626" s="450"/>
      <c r="O3626" s="588">
        <f>TrialBalanceB!I21</f>
        <v>0</v>
      </c>
      <c r="P3626" s="454"/>
      <c r="R3626" s="490" t="str">
        <f t="shared" si="241"/>
        <v>DELETE</v>
      </c>
      <c r="T3626" s="498"/>
    </row>
    <row r="3627" spans="3:24" ht="36" customHeight="1" x14ac:dyDescent="0.45">
      <c r="C3627" s="575"/>
      <c r="D3627" s="616">
        <f>TrialBalanceB!C22</f>
        <v>0</v>
      </c>
      <c r="E3627" s="616"/>
      <c r="F3627" s="616"/>
      <c r="G3627" s="616"/>
      <c r="H3627" s="616"/>
      <c r="I3627" s="616"/>
      <c r="J3627" s="645"/>
      <c r="K3627" s="450"/>
      <c r="L3627" s="451"/>
      <c r="M3627" s="451"/>
      <c r="N3627" s="450"/>
      <c r="O3627" s="588">
        <f>TrialBalanceB!I22</f>
        <v>0</v>
      </c>
      <c r="P3627" s="454"/>
      <c r="R3627" s="490" t="str">
        <f t="shared" si="241"/>
        <v>DELETE</v>
      </c>
      <c r="T3627" s="498"/>
    </row>
    <row r="3628" spans="3:24" ht="36" customHeight="1" x14ac:dyDescent="0.45">
      <c r="C3628" s="575"/>
      <c r="D3628" s="616" t="s">
        <v>564</v>
      </c>
      <c r="E3628" s="616"/>
      <c r="F3628" s="616"/>
      <c r="G3628" s="616"/>
      <c r="H3628" s="616"/>
      <c r="I3628" s="616"/>
      <c r="J3628" s="645"/>
      <c r="K3628" s="450"/>
      <c r="L3628" s="451"/>
      <c r="M3628" s="451"/>
      <c r="N3628" s="450"/>
      <c r="O3628" s="588">
        <f>SUM(TrialBalanceB!I23:I26)</f>
        <v>0</v>
      </c>
      <c r="P3628" s="454"/>
      <c r="R3628" s="490" t="str">
        <f t="shared" si="241"/>
        <v>DELETE</v>
      </c>
      <c r="T3628" s="498"/>
    </row>
    <row r="3629" spans="3:24" ht="9" customHeight="1" x14ac:dyDescent="0.45">
      <c r="C3629" s="575"/>
      <c r="D3629" s="616"/>
      <c r="E3629" s="616"/>
      <c r="F3629" s="616"/>
      <c r="G3629" s="616"/>
      <c r="H3629" s="616"/>
      <c r="I3629" s="616"/>
      <c r="J3629" s="645"/>
      <c r="K3629" s="450"/>
      <c r="L3629" s="451"/>
      <c r="M3629" s="451"/>
      <c r="N3629" s="450"/>
      <c r="O3629" s="589"/>
      <c r="P3629" s="454"/>
      <c r="R3629" s="490" t="str">
        <f>R3618</f>
        <v>DELETE</v>
      </c>
      <c r="T3629" s="498"/>
    </row>
    <row r="3630" spans="3:24" ht="9" customHeight="1" x14ac:dyDescent="0.45">
      <c r="C3630" s="575"/>
      <c r="D3630" s="616"/>
      <c r="E3630" s="616"/>
      <c r="F3630" s="616"/>
      <c r="G3630" s="616"/>
      <c r="H3630" s="616"/>
      <c r="I3630" s="616"/>
      <c r="J3630" s="645"/>
      <c r="K3630" s="450"/>
      <c r="L3630" s="451"/>
      <c r="M3630" s="451"/>
      <c r="N3630" s="450"/>
      <c r="O3630" s="461"/>
      <c r="P3630" s="454"/>
      <c r="R3630" s="490" t="str">
        <f>R3618</f>
        <v>DELETE</v>
      </c>
      <c r="T3630" s="498"/>
    </row>
    <row r="3631" spans="3:24" ht="9" customHeight="1" x14ac:dyDescent="0.45">
      <c r="C3631" s="575"/>
      <c r="D3631" s="616"/>
      <c r="E3631" s="616"/>
      <c r="F3631" s="616"/>
      <c r="G3631" s="616"/>
      <c r="H3631" s="616"/>
      <c r="I3631" s="616"/>
      <c r="J3631" s="645"/>
      <c r="K3631" s="450"/>
      <c r="L3631" s="451"/>
      <c r="M3631" s="451"/>
      <c r="N3631" s="450"/>
      <c r="O3631" s="458"/>
      <c r="P3631" s="454"/>
      <c r="R3631" s="490" t="str">
        <f>R3630</f>
        <v>DELETE</v>
      </c>
      <c r="T3631" s="498"/>
    </row>
    <row r="3632" spans="3:24" ht="36" customHeight="1" x14ac:dyDescent="0.45">
      <c r="D3632" s="637" t="str">
        <f>IF(O3632&lt;0,"Gross loss","Gross profit")</f>
        <v>Gross profit</v>
      </c>
      <c r="E3632" s="616"/>
      <c r="F3632" s="616"/>
      <c r="G3632" s="616"/>
      <c r="H3632" s="616"/>
      <c r="I3632" s="616"/>
      <c r="J3632" s="645"/>
      <c r="K3632" s="450"/>
      <c r="L3632" s="451"/>
      <c r="M3632" s="451"/>
      <c r="N3632" s="450"/>
      <c r="O3632" s="458">
        <f>SUM(S3614:S3629)</f>
        <v>0</v>
      </c>
      <c r="P3632" s="454"/>
      <c r="R3632" s="490" t="str">
        <f>R3631</f>
        <v>DELETE</v>
      </c>
      <c r="T3632" s="498"/>
    </row>
    <row r="3633" spans="3:24" ht="36" customHeight="1" x14ac:dyDescent="0.45">
      <c r="C3633" s="575"/>
      <c r="D3633" s="616"/>
      <c r="E3633" s="616"/>
      <c r="F3633" s="616"/>
      <c r="G3633" s="616"/>
      <c r="H3633" s="616"/>
      <c r="I3633" s="616"/>
      <c r="J3633" s="645"/>
      <c r="K3633" s="450"/>
      <c r="L3633" s="451"/>
      <c r="M3633" s="451"/>
      <c r="N3633" s="450"/>
      <c r="O3633" s="458"/>
      <c r="P3633" s="454"/>
      <c r="R3633" s="490" t="str">
        <f>R3632</f>
        <v>DELETE</v>
      </c>
      <c r="T3633" s="498"/>
    </row>
    <row r="3634" spans="3:24" ht="36" customHeight="1" x14ac:dyDescent="0.45">
      <c r="D3634" s="615" t="s">
        <v>1491</v>
      </c>
      <c r="E3634" s="616"/>
      <c r="F3634" s="616"/>
      <c r="G3634" s="616"/>
      <c r="H3634" s="616"/>
      <c r="I3634" s="616"/>
      <c r="J3634" s="645"/>
      <c r="K3634" s="450"/>
      <c r="L3634" s="451"/>
      <c r="M3634" s="451"/>
      <c r="N3634" s="450"/>
      <c r="O3634" s="458">
        <f>SUM(O3636:O3643)</f>
        <v>0</v>
      </c>
      <c r="P3634" s="454"/>
      <c r="R3634" s="490" t="str">
        <f t="shared" ref="R3634" si="242">IF(R$3602="DELETE","DELETE",IF(O3634=0,"DELETE"," "))</f>
        <v>DELETE</v>
      </c>
      <c r="S3634" s="495">
        <f>O3634</f>
        <v>0</v>
      </c>
      <c r="T3634" s="498"/>
      <c r="U3634" s="495"/>
    </row>
    <row r="3635" spans="3:24" ht="9" customHeight="1" x14ac:dyDescent="0.45">
      <c r="C3635" s="575"/>
      <c r="D3635" s="616"/>
      <c r="E3635" s="616"/>
      <c r="F3635" s="616"/>
      <c r="G3635" s="616"/>
      <c r="H3635" s="616"/>
      <c r="I3635" s="616"/>
      <c r="J3635" s="645"/>
      <c r="K3635" s="450"/>
      <c r="L3635" s="451"/>
      <c r="M3635" s="451"/>
      <c r="N3635" s="450"/>
      <c r="O3635" s="458"/>
      <c r="P3635" s="454"/>
      <c r="R3635" s="490" t="str">
        <f>R3634</f>
        <v>DELETE</v>
      </c>
      <c r="T3635" s="498"/>
    </row>
    <row r="3636" spans="3:24" ht="9" customHeight="1" x14ac:dyDescent="0.45">
      <c r="C3636" s="575"/>
      <c r="D3636" s="616"/>
      <c r="E3636" s="616"/>
      <c r="F3636" s="616"/>
      <c r="G3636" s="616"/>
      <c r="H3636" s="616"/>
      <c r="I3636" s="616"/>
      <c r="J3636" s="645"/>
      <c r="K3636" s="450"/>
      <c r="L3636" s="451"/>
      <c r="M3636" s="451"/>
      <c r="N3636" s="450"/>
      <c r="O3636" s="587"/>
      <c r="P3636" s="454"/>
      <c r="R3636" s="490" t="str">
        <f>R3634</f>
        <v>DELETE</v>
      </c>
      <c r="T3636" s="498"/>
    </row>
    <row r="3637" spans="3:24" ht="36" customHeight="1" x14ac:dyDescent="0.45">
      <c r="C3637" s="575"/>
      <c r="D3637" s="616" t="str">
        <f>TrialBalanceB!C28</f>
        <v>Insurance claims - Rental Properties</v>
      </c>
      <c r="E3637" s="616"/>
      <c r="F3637" s="616"/>
      <c r="G3637" s="616"/>
      <c r="H3637" s="616"/>
      <c r="I3637" s="616"/>
      <c r="J3637" s="645"/>
      <c r="K3637" s="450"/>
      <c r="L3637" s="451"/>
      <c r="M3637" s="451"/>
      <c r="N3637" s="450"/>
      <c r="O3637" s="588">
        <f>-TrialBalanceB!I28</f>
        <v>0</v>
      </c>
      <c r="P3637" s="454"/>
      <c r="R3637" s="490" t="str">
        <f t="shared" ref="R3637:R3641" si="243">IF(R$3602="DELETE","DELETE",IF(O3637=0,"DELETE"," "))</f>
        <v>DELETE</v>
      </c>
      <c r="T3637" s="498"/>
    </row>
    <row r="3638" spans="3:24" ht="36" customHeight="1" x14ac:dyDescent="0.45">
      <c r="C3638" s="575"/>
      <c r="D3638" s="616" t="str">
        <f>TrialBalanceB!C29</f>
        <v>Government grants received</v>
      </c>
      <c r="E3638" s="616"/>
      <c r="F3638" s="616"/>
      <c r="G3638" s="616"/>
      <c r="H3638" s="616"/>
      <c r="I3638" s="616"/>
      <c r="J3638" s="645"/>
      <c r="K3638" s="450"/>
      <c r="L3638" s="451"/>
      <c r="M3638" s="451"/>
      <c r="N3638" s="450"/>
      <c r="O3638" s="588">
        <f>-TrialBalanceB!I29</f>
        <v>0</v>
      </c>
      <c r="P3638" s="454"/>
      <c r="R3638" s="490" t="str">
        <f t="shared" si="243"/>
        <v>DELETE</v>
      </c>
      <c r="T3638" s="498"/>
    </row>
    <row r="3639" spans="3:24" ht="36" customHeight="1" x14ac:dyDescent="0.45">
      <c r="C3639" s="575"/>
      <c r="D3639" s="616">
        <f>TrialBalanceB!C30</f>
        <v>0</v>
      </c>
      <c r="E3639" s="616"/>
      <c r="F3639" s="616"/>
      <c r="G3639" s="616"/>
      <c r="H3639" s="616"/>
      <c r="I3639" s="616"/>
      <c r="J3639" s="645"/>
      <c r="K3639" s="450"/>
      <c r="L3639" s="451"/>
      <c r="M3639" s="451"/>
      <c r="N3639" s="450"/>
      <c r="O3639" s="588">
        <f>-TrialBalanceB!I30</f>
        <v>0</v>
      </c>
      <c r="P3639" s="454"/>
      <c r="R3639" s="490" t="str">
        <f t="shared" si="243"/>
        <v>DELETE</v>
      </c>
      <c r="T3639" s="498"/>
    </row>
    <row r="3640" spans="3:24" ht="36" customHeight="1" x14ac:dyDescent="0.45">
      <c r="C3640" s="575"/>
      <c r="D3640" s="616">
        <f>TrialBalanceB!C31</f>
        <v>0</v>
      </c>
      <c r="E3640" s="616"/>
      <c r="F3640" s="616"/>
      <c r="G3640" s="616"/>
      <c r="H3640" s="616"/>
      <c r="I3640" s="616"/>
      <c r="J3640" s="645"/>
      <c r="K3640" s="450"/>
      <c r="L3640" s="451"/>
      <c r="M3640" s="451"/>
      <c r="N3640" s="450"/>
      <c r="O3640" s="588">
        <f>-TrialBalanceB!I31</f>
        <v>0</v>
      </c>
      <c r="P3640" s="454"/>
      <c r="R3640" s="490" t="str">
        <f t="shared" si="243"/>
        <v>DELETE</v>
      </c>
      <c r="T3640" s="498"/>
    </row>
    <row r="3641" spans="3:24" ht="36" customHeight="1" x14ac:dyDescent="0.45">
      <c r="C3641" s="575"/>
      <c r="D3641" s="616">
        <f>TrialBalanceB!C32</f>
        <v>0</v>
      </c>
      <c r="E3641" s="616"/>
      <c r="F3641" s="616"/>
      <c r="G3641" s="616"/>
      <c r="H3641" s="616"/>
      <c r="I3641" s="616"/>
      <c r="J3641" s="645"/>
      <c r="K3641" s="450"/>
      <c r="L3641" s="451"/>
      <c r="M3641" s="451"/>
      <c r="N3641" s="450"/>
      <c r="O3641" s="588">
        <f>-TrialBalanceB!I32</f>
        <v>0</v>
      </c>
      <c r="P3641" s="454"/>
      <c r="R3641" s="490" t="str">
        <f t="shared" si="243"/>
        <v>DELETE</v>
      </c>
      <c r="T3641" s="498"/>
    </row>
    <row r="3642" spans="3:24" ht="36" customHeight="1" x14ac:dyDescent="0.45">
      <c r="C3642" s="575"/>
      <c r="D3642" s="616" t="str">
        <f>TrialBalanceB!C33</f>
        <v>Recoupment of depreciation</v>
      </c>
      <c r="E3642" s="616"/>
      <c r="F3642" s="616"/>
      <c r="G3642" s="616"/>
      <c r="H3642" s="616"/>
      <c r="I3642" s="616"/>
      <c r="J3642" s="645"/>
      <c r="K3642" s="450"/>
      <c r="L3642" s="451"/>
      <c r="M3642" s="451"/>
      <c r="N3642" s="450"/>
      <c r="O3642" s="588">
        <f>-TrialBalanceB!I33</f>
        <v>0</v>
      </c>
      <c r="P3642" s="454"/>
      <c r="R3642" s="490" t="str">
        <f t="shared" ref="R3642" si="244">IF(R$3602="DELETE","DELETE",IF(O3642=0,"DELETE"," "))</f>
        <v>DELETE</v>
      </c>
      <c r="T3642" s="498"/>
    </row>
    <row r="3643" spans="3:24" ht="9" customHeight="1" x14ac:dyDescent="0.45">
      <c r="C3643" s="575"/>
      <c r="D3643" s="616"/>
      <c r="E3643" s="616"/>
      <c r="F3643" s="616"/>
      <c r="G3643" s="616"/>
      <c r="H3643" s="616"/>
      <c r="I3643" s="616"/>
      <c r="J3643" s="645"/>
      <c r="K3643" s="450"/>
      <c r="L3643" s="451"/>
      <c r="M3643" s="451"/>
      <c r="N3643" s="450"/>
      <c r="O3643" s="589"/>
      <c r="P3643" s="454"/>
      <c r="R3643" s="490" t="str">
        <f>R3634</f>
        <v>DELETE</v>
      </c>
      <c r="T3643" s="498"/>
    </row>
    <row r="3644" spans="3:24" ht="9" customHeight="1" x14ac:dyDescent="0.45">
      <c r="C3644" s="575"/>
      <c r="D3644" s="616"/>
      <c r="E3644" s="616"/>
      <c r="F3644" s="616"/>
      <c r="G3644" s="616"/>
      <c r="H3644" s="616"/>
      <c r="I3644" s="616"/>
      <c r="J3644" s="645"/>
      <c r="K3644" s="450"/>
      <c r="L3644" s="451"/>
      <c r="M3644" s="451"/>
      <c r="N3644" s="450"/>
      <c r="O3644" s="479"/>
      <c r="P3644" s="454"/>
      <c r="R3644" s="490" t="str">
        <f>R3643</f>
        <v>DELETE</v>
      </c>
      <c r="T3644" s="498"/>
    </row>
    <row r="3645" spans="3:24" ht="9" customHeight="1" x14ac:dyDescent="0.45">
      <c r="C3645" s="575"/>
      <c r="D3645" s="616"/>
      <c r="E3645" s="616"/>
      <c r="F3645" s="616"/>
      <c r="G3645" s="616"/>
      <c r="H3645" s="616"/>
      <c r="I3645" s="616"/>
      <c r="J3645" s="645"/>
      <c r="K3645" s="450"/>
      <c r="L3645" s="451"/>
      <c r="M3645" s="451"/>
      <c r="N3645" s="450"/>
      <c r="O3645" s="458"/>
      <c r="P3645" s="454"/>
      <c r="R3645" s="490" t="str">
        <f>R3644</f>
        <v>DELETE</v>
      </c>
      <c r="T3645" s="498"/>
    </row>
    <row r="3646" spans="3:24" ht="36" customHeight="1" x14ac:dyDescent="0.45">
      <c r="C3646" s="575"/>
      <c r="D3646" s="616"/>
      <c r="E3646" s="616"/>
      <c r="F3646" s="616"/>
      <c r="G3646" s="616"/>
      <c r="H3646" s="616"/>
      <c r="I3646" s="616"/>
      <c r="J3646" s="645"/>
      <c r="K3646" s="450"/>
      <c r="L3646" s="451"/>
      <c r="M3646" s="451"/>
      <c r="N3646" s="450"/>
      <c r="O3646" s="458">
        <f>SUM(S3614:S3634)</f>
        <v>0</v>
      </c>
      <c r="P3646" s="454"/>
      <c r="R3646" s="490" t="str">
        <f>R3634</f>
        <v>DELETE</v>
      </c>
      <c r="T3646" s="498"/>
    </row>
    <row r="3647" spans="3:24" ht="36" customHeight="1" x14ac:dyDescent="0.45">
      <c r="C3647" s="575"/>
      <c r="D3647" s="616"/>
      <c r="E3647" s="616"/>
      <c r="F3647" s="616"/>
      <c r="G3647" s="616"/>
      <c r="H3647" s="616"/>
      <c r="I3647" s="616"/>
      <c r="J3647" s="645"/>
      <c r="K3647" s="450"/>
      <c r="L3647" s="451"/>
      <c r="M3647" s="451"/>
      <c r="N3647" s="450"/>
      <c r="O3647" s="458"/>
      <c r="P3647" s="454"/>
      <c r="R3647" s="490" t="str">
        <f>R3646</f>
        <v>DELETE</v>
      </c>
      <c r="T3647" s="498"/>
    </row>
    <row r="3648" spans="3:24" ht="36" customHeight="1" x14ac:dyDescent="0.45">
      <c r="D3648" s="615" t="s">
        <v>1532</v>
      </c>
      <c r="E3648" s="616"/>
      <c r="F3648" s="616"/>
      <c r="G3648" s="616"/>
      <c r="H3648" s="616"/>
      <c r="I3648" s="616"/>
      <c r="J3648" s="645"/>
      <c r="K3648" s="450"/>
      <c r="L3648" s="451"/>
      <c r="M3648" s="451"/>
      <c r="N3648" s="450"/>
      <c r="O3648" s="458">
        <f>SUM(O3650:O3679)</f>
        <v>0</v>
      </c>
      <c r="P3648" s="454"/>
      <c r="R3648" s="490" t="str">
        <f t="shared" ref="R3648" si="245">IF(R$3602="DELETE","DELETE",IF(O3648=0,"DELETE"," "))</f>
        <v>DELETE</v>
      </c>
      <c r="S3648" s="495">
        <f>-O3648</f>
        <v>0</v>
      </c>
      <c r="T3648" s="498"/>
      <c r="U3648" s="495"/>
      <c r="V3648" s="495"/>
      <c r="W3648" s="495"/>
      <c r="X3648" s="495"/>
    </row>
    <row r="3649" spans="3:24" ht="9" customHeight="1" x14ac:dyDescent="0.45">
      <c r="C3649" s="575"/>
      <c r="D3649" s="616"/>
      <c r="E3649" s="616"/>
      <c r="F3649" s="616"/>
      <c r="G3649" s="616"/>
      <c r="H3649" s="616"/>
      <c r="I3649" s="616"/>
      <c r="J3649" s="645"/>
      <c r="K3649" s="450"/>
      <c r="L3649" s="451"/>
      <c r="M3649" s="451"/>
      <c r="N3649" s="450"/>
      <c r="O3649" s="458"/>
      <c r="P3649" s="454"/>
      <c r="R3649" s="490" t="str">
        <f>R3648</f>
        <v>DELETE</v>
      </c>
      <c r="T3649" s="498"/>
    </row>
    <row r="3650" spans="3:24" ht="9" customHeight="1" x14ac:dyDescent="0.45">
      <c r="C3650" s="575"/>
      <c r="D3650" s="616"/>
      <c r="E3650" s="616"/>
      <c r="F3650" s="616"/>
      <c r="G3650" s="616"/>
      <c r="H3650" s="616"/>
      <c r="I3650" s="616"/>
      <c r="J3650" s="645"/>
      <c r="K3650" s="450"/>
      <c r="L3650" s="451"/>
      <c r="M3650" s="451"/>
      <c r="N3650" s="450"/>
      <c r="O3650" s="587"/>
      <c r="P3650" s="454"/>
      <c r="R3650" s="490" t="str">
        <f>R3649</f>
        <v>DELETE</v>
      </c>
      <c r="T3650" s="498"/>
    </row>
    <row r="3651" spans="3:24" ht="36" customHeight="1" x14ac:dyDescent="0.45">
      <c r="C3651" s="575"/>
      <c r="D3651" s="616" t="s">
        <v>302</v>
      </c>
      <c r="E3651" s="616"/>
      <c r="F3651" s="616"/>
      <c r="G3651" s="616"/>
      <c r="H3651" s="616"/>
      <c r="I3651" s="616"/>
      <c r="J3651" s="645"/>
      <c r="K3651" s="450"/>
      <c r="L3651" s="451"/>
      <c r="M3651" s="451"/>
      <c r="N3651" s="450"/>
      <c r="O3651" s="588">
        <f>TrialBalanceB!I40</f>
        <v>0</v>
      </c>
      <c r="P3651" s="454"/>
      <c r="R3651" s="490" t="str">
        <f t="shared" ref="R3651:R3678" si="246">IF(R$3602="DELETE","DELETE",IF(O3651=0,"DELETE"," "))</f>
        <v>DELETE</v>
      </c>
      <c r="T3651" s="498"/>
    </row>
    <row r="3652" spans="3:24" ht="36" customHeight="1" x14ac:dyDescent="0.45">
      <c r="C3652" s="575"/>
      <c r="D3652" s="616" t="s">
        <v>831</v>
      </c>
      <c r="E3652" s="616"/>
      <c r="F3652" s="616"/>
      <c r="G3652" s="616"/>
      <c r="H3652" s="616"/>
      <c r="I3652" s="616"/>
      <c r="J3652" s="645"/>
      <c r="K3652" s="450"/>
      <c r="L3652" s="451"/>
      <c r="M3652" s="451"/>
      <c r="N3652" s="450"/>
      <c r="O3652" s="588">
        <f>TrialBalanceB!I41</f>
        <v>0</v>
      </c>
      <c r="P3652" s="454"/>
      <c r="R3652" s="490" t="str">
        <f t="shared" si="246"/>
        <v>DELETE</v>
      </c>
      <c r="T3652" s="498"/>
    </row>
    <row r="3653" spans="3:24" ht="36" customHeight="1" x14ac:dyDescent="0.45">
      <c r="C3653" s="575"/>
      <c r="D3653" s="616" t="s">
        <v>303</v>
      </c>
      <c r="E3653" s="616"/>
      <c r="F3653" s="616"/>
      <c r="G3653" s="616"/>
      <c r="H3653" s="616"/>
      <c r="I3653" s="616"/>
      <c r="J3653" s="645"/>
      <c r="K3653" s="450"/>
      <c r="L3653" s="451"/>
      <c r="M3653" s="451"/>
      <c r="N3653" s="450"/>
      <c r="O3653" s="588">
        <f>TrialBalanceB!I42</f>
        <v>0</v>
      </c>
      <c r="P3653" s="454"/>
      <c r="R3653" s="490" t="str">
        <f t="shared" si="246"/>
        <v>DELETE</v>
      </c>
      <c r="T3653" s="498"/>
    </row>
    <row r="3654" spans="3:24" ht="36" customHeight="1" x14ac:dyDescent="0.45">
      <c r="C3654" s="575"/>
      <c r="D3654" s="616" t="s">
        <v>304</v>
      </c>
      <c r="E3654" s="616"/>
      <c r="F3654" s="616"/>
      <c r="G3654" s="616"/>
      <c r="H3654" s="616"/>
      <c r="I3654" s="616"/>
      <c r="J3654" s="645"/>
      <c r="K3654" s="450">
        <f>B$1250</f>
        <v>5</v>
      </c>
      <c r="L3654" s="451"/>
      <c r="M3654" s="451"/>
      <c r="N3654" s="450"/>
      <c r="O3654" s="588">
        <f>SUM(TrialBalanceB!I44:I46)</f>
        <v>0</v>
      </c>
      <c r="P3654" s="454"/>
      <c r="R3654" s="490" t="str">
        <f t="shared" si="246"/>
        <v>DELETE</v>
      </c>
      <c r="T3654" s="498"/>
    </row>
    <row r="3655" spans="3:24" ht="36" customHeight="1" x14ac:dyDescent="0.45">
      <c r="C3655" s="575"/>
      <c r="D3655" s="616" t="s">
        <v>565</v>
      </c>
      <c r="E3655" s="616"/>
      <c r="F3655" s="616"/>
      <c r="G3655" s="616"/>
      <c r="H3655" s="616"/>
      <c r="I3655" s="616"/>
      <c r="J3655" s="645"/>
      <c r="K3655" s="450"/>
      <c r="L3655" s="451"/>
      <c r="M3655" s="451"/>
      <c r="N3655" s="450"/>
      <c r="O3655" s="588">
        <f>TrialBalanceB!I47</f>
        <v>0</v>
      </c>
      <c r="P3655" s="454"/>
      <c r="R3655" s="490" t="str">
        <f t="shared" si="246"/>
        <v>DELETE</v>
      </c>
      <c r="S3655" s="496"/>
      <c r="T3655" s="498"/>
      <c r="U3655" s="496"/>
      <c r="V3655" s="496"/>
      <c r="W3655" s="496"/>
      <c r="X3655" s="496"/>
    </row>
    <row r="3656" spans="3:24" ht="36" customHeight="1" x14ac:dyDescent="0.45">
      <c r="C3656" s="575"/>
      <c r="D3656" s="616" t="s">
        <v>871</v>
      </c>
      <c r="E3656" s="616"/>
      <c r="F3656" s="616"/>
      <c r="G3656" s="616"/>
      <c r="H3656" s="616"/>
      <c r="I3656" s="616"/>
      <c r="J3656" s="645"/>
      <c r="K3656" s="450"/>
      <c r="L3656" s="451"/>
      <c r="M3656" s="451"/>
      <c r="N3656" s="450"/>
      <c r="O3656" s="588">
        <f>TrialBalanceB!I48</f>
        <v>0</v>
      </c>
      <c r="P3656" s="454"/>
      <c r="R3656" s="490" t="str">
        <f t="shared" si="246"/>
        <v>DELETE</v>
      </c>
      <c r="T3656" s="498"/>
    </row>
    <row r="3657" spans="3:24" ht="36" customHeight="1" x14ac:dyDescent="0.45">
      <c r="C3657" s="575"/>
      <c r="D3657" s="616" t="s">
        <v>69</v>
      </c>
      <c r="E3657" s="616"/>
      <c r="F3657" s="616"/>
      <c r="G3657" s="616"/>
      <c r="H3657" s="616"/>
      <c r="I3657" s="616"/>
      <c r="J3657" s="645"/>
      <c r="K3657" s="450"/>
      <c r="L3657" s="451"/>
      <c r="M3657" s="451"/>
      <c r="N3657" s="450"/>
      <c r="O3657" s="588">
        <f>TrialBalanceB!I49</f>
        <v>0</v>
      </c>
      <c r="P3657" s="454"/>
      <c r="R3657" s="490" t="str">
        <f t="shared" si="246"/>
        <v>DELETE</v>
      </c>
      <c r="T3657" s="498"/>
    </row>
    <row r="3658" spans="3:24" ht="36" customHeight="1" x14ac:dyDescent="0.45">
      <c r="C3658" s="575"/>
      <c r="D3658" s="616" t="s">
        <v>305</v>
      </c>
      <c r="E3658" s="616"/>
      <c r="F3658" s="616"/>
      <c r="G3658" s="616"/>
      <c r="H3658" s="616"/>
      <c r="I3658" s="616"/>
      <c r="J3658" s="645"/>
      <c r="K3658" s="450"/>
      <c r="L3658" s="451"/>
      <c r="M3658" s="451"/>
      <c r="N3658" s="450"/>
      <c r="O3658" s="588">
        <f>TrialBalanceB!I50</f>
        <v>0</v>
      </c>
      <c r="P3658" s="454"/>
      <c r="R3658" s="490" t="str">
        <f t="shared" si="246"/>
        <v>DELETE</v>
      </c>
      <c r="T3658" s="498"/>
    </row>
    <row r="3659" spans="3:24" ht="36" customHeight="1" x14ac:dyDescent="0.45">
      <c r="C3659" s="575"/>
      <c r="D3659" s="616" t="s">
        <v>587</v>
      </c>
      <c r="E3659" s="616"/>
      <c r="F3659" s="616"/>
      <c r="G3659" s="616"/>
      <c r="H3659" s="616"/>
      <c r="I3659" s="616"/>
      <c r="J3659" s="645"/>
      <c r="K3659" s="450"/>
      <c r="L3659" s="451"/>
      <c r="M3659" s="451"/>
      <c r="N3659" s="450"/>
      <c r="O3659" s="588">
        <f>SUM(TrialBalanceB!I51:I52)</f>
        <v>0</v>
      </c>
      <c r="P3659" s="454"/>
      <c r="R3659" s="490" t="str">
        <f t="shared" si="246"/>
        <v>DELETE</v>
      </c>
      <c r="T3659" s="498"/>
    </row>
    <row r="3660" spans="3:24" ht="36" customHeight="1" x14ac:dyDescent="0.45">
      <c r="C3660" s="575"/>
      <c r="D3660" s="616" t="s">
        <v>585</v>
      </c>
      <c r="E3660" s="616"/>
      <c r="F3660" s="616"/>
      <c r="G3660" s="616"/>
      <c r="H3660" s="616"/>
      <c r="I3660" s="616"/>
      <c r="J3660" s="645"/>
      <c r="K3660" s="450"/>
      <c r="L3660" s="451"/>
      <c r="M3660" s="451"/>
      <c r="N3660" s="450"/>
      <c r="O3660" s="588">
        <f>TrialBalanceB!I53</f>
        <v>0</v>
      </c>
      <c r="P3660" s="454"/>
      <c r="R3660" s="490" t="str">
        <f t="shared" si="246"/>
        <v>DELETE</v>
      </c>
      <c r="T3660" s="498"/>
    </row>
    <row r="3661" spans="3:24" ht="36" customHeight="1" x14ac:dyDescent="0.45">
      <c r="C3661" s="575"/>
      <c r="D3661" s="616" t="s">
        <v>566</v>
      </c>
      <c r="E3661" s="616"/>
      <c r="F3661" s="616"/>
      <c r="G3661" s="616"/>
      <c r="H3661" s="616"/>
      <c r="I3661" s="616"/>
      <c r="J3661" s="645"/>
      <c r="K3661" s="450"/>
      <c r="L3661" s="451"/>
      <c r="M3661" s="451"/>
      <c r="N3661" s="450"/>
      <c r="O3661" s="588">
        <f>SUM(TrialBalanceB!I55:I59)</f>
        <v>0</v>
      </c>
      <c r="P3661" s="454"/>
      <c r="R3661" s="490" t="str">
        <f t="shared" si="246"/>
        <v>DELETE</v>
      </c>
      <c r="T3661" s="498"/>
    </row>
    <row r="3662" spans="3:24" ht="36" customHeight="1" x14ac:dyDescent="0.45">
      <c r="C3662" s="575"/>
      <c r="D3662" s="616" t="s">
        <v>547</v>
      </c>
      <c r="E3662" s="616"/>
      <c r="F3662" s="616"/>
      <c r="G3662" s="616"/>
      <c r="H3662" s="616"/>
      <c r="I3662" s="616"/>
      <c r="J3662" s="645"/>
      <c r="K3662" s="450">
        <f>B$1250</f>
        <v>5</v>
      </c>
      <c r="L3662" s="451"/>
      <c r="M3662" s="451"/>
      <c r="N3662" s="450"/>
      <c r="O3662" s="588">
        <f>SUM(TrialBalanceB!I61:I63)</f>
        <v>0</v>
      </c>
      <c r="P3662" s="454"/>
      <c r="R3662" s="490" t="str">
        <f t="shared" si="246"/>
        <v>DELETE</v>
      </c>
      <c r="T3662" s="498"/>
    </row>
    <row r="3663" spans="3:24" ht="36" customHeight="1" x14ac:dyDescent="0.45">
      <c r="C3663" s="575"/>
      <c r="D3663" s="616" t="s">
        <v>77</v>
      </c>
      <c r="E3663" s="616"/>
      <c r="F3663" s="616"/>
      <c r="G3663" s="616"/>
      <c r="H3663" s="616"/>
      <c r="I3663" s="616"/>
      <c r="J3663" s="645"/>
      <c r="K3663" s="450"/>
      <c r="L3663" s="451"/>
      <c r="M3663" s="451"/>
      <c r="N3663" s="450"/>
      <c r="O3663" s="588">
        <f>TrialBalanceB!I64</f>
        <v>0</v>
      </c>
      <c r="P3663" s="454"/>
      <c r="R3663" s="490" t="str">
        <f t="shared" si="246"/>
        <v>DELETE</v>
      </c>
      <c r="T3663" s="498"/>
    </row>
    <row r="3664" spans="3:24" ht="36" customHeight="1" x14ac:dyDescent="0.45">
      <c r="C3664" s="575"/>
      <c r="D3664" s="616" t="s">
        <v>1756</v>
      </c>
      <c r="E3664" s="616"/>
      <c r="F3664" s="616"/>
      <c r="G3664" s="616"/>
      <c r="H3664" s="616"/>
      <c r="I3664" s="616"/>
      <c r="J3664" s="645"/>
      <c r="K3664" s="450"/>
      <c r="L3664" s="451"/>
      <c r="M3664" s="451"/>
      <c r="N3664" s="450"/>
      <c r="O3664" s="588">
        <f>TrialBalanceB!I65</f>
        <v>0</v>
      </c>
      <c r="P3664" s="454"/>
      <c r="R3664" s="490" t="str">
        <f t="shared" ref="R3664" si="247">IF(R$3602="DELETE","DELETE",IF(O3664=0,"DELETE"," "))</f>
        <v>DELETE</v>
      </c>
      <c r="T3664" s="498"/>
    </row>
    <row r="3665" spans="3:20" ht="36" customHeight="1" x14ac:dyDescent="0.45">
      <c r="C3665" s="575"/>
      <c r="D3665" s="616" t="s">
        <v>286</v>
      </c>
      <c r="E3665" s="616"/>
      <c r="F3665" s="616"/>
      <c r="G3665" s="616"/>
      <c r="H3665" s="616"/>
      <c r="I3665" s="616"/>
      <c r="J3665" s="645"/>
      <c r="K3665" s="450"/>
      <c r="L3665" s="451"/>
      <c r="M3665" s="451"/>
      <c r="N3665" s="450"/>
      <c r="O3665" s="588">
        <f>SUM(TrialBalanceB!I66:I68)</f>
        <v>0</v>
      </c>
      <c r="P3665" s="454"/>
      <c r="R3665" s="490" t="str">
        <f t="shared" si="246"/>
        <v>DELETE</v>
      </c>
      <c r="T3665" s="498"/>
    </row>
    <row r="3666" spans="3:20" ht="36" customHeight="1" x14ac:dyDescent="0.45">
      <c r="C3666" s="575"/>
      <c r="D3666" s="616" t="s">
        <v>872</v>
      </c>
      <c r="E3666" s="616"/>
      <c r="F3666" s="616"/>
      <c r="G3666" s="616"/>
      <c r="H3666" s="616"/>
      <c r="I3666" s="616"/>
      <c r="J3666" s="645"/>
      <c r="K3666" s="450"/>
      <c r="L3666" s="451"/>
      <c r="M3666" s="451"/>
      <c r="N3666" s="450"/>
      <c r="O3666" s="588">
        <f>SUM(TrialBalanceB!I69:I70)</f>
        <v>0</v>
      </c>
      <c r="P3666" s="454"/>
      <c r="R3666" s="490" t="str">
        <f t="shared" si="246"/>
        <v>DELETE</v>
      </c>
      <c r="T3666" s="498"/>
    </row>
    <row r="3667" spans="3:20" ht="36" customHeight="1" x14ac:dyDescent="0.45">
      <c r="C3667" s="575"/>
      <c r="D3667" s="616" t="s">
        <v>287</v>
      </c>
      <c r="E3667" s="616"/>
      <c r="F3667" s="616"/>
      <c r="G3667" s="616"/>
      <c r="H3667" s="616"/>
      <c r="I3667" s="616"/>
      <c r="J3667" s="645"/>
      <c r="K3667" s="450"/>
      <c r="L3667" s="451"/>
      <c r="M3667" s="451"/>
      <c r="N3667" s="450"/>
      <c r="O3667" s="588">
        <f>TrialBalanceB!I71</f>
        <v>0</v>
      </c>
      <c r="P3667" s="454"/>
      <c r="R3667" s="490" t="str">
        <f t="shared" si="246"/>
        <v>DELETE</v>
      </c>
      <c r="T3667" s="498"/>
    </row>
    <row r="3668" spans="3:20" ht="36" customHeight="1" x14ac:dyDescent="0.45">
      <c r="C3668" s="575"/>
      <c r="D3668" s="616" t="s">
        <v>425</v>
      </c>
      <c r="E3668" s="616"/>
      <c r="F3668" s="616"/>
      <c r="G3668" s="616"/>
      <c r="H3668" s="616"/>
      <c r="I3668" s="616"/>
      <c r="J3668" s="645"/>
      <c r="K3668" s="450"/>
      <c r="L3668" s="451"/>
      <c r="M3668" s="451"/>
      <c r="N3668" s="450"/>
      <c r="O3668" s="588">
        <f>TrialBalanceB!I72</f>
        <v>0</v>
      </c>
      <c r="P3668" s="454"/>
      <c r="R3668" s="490" t="str">
        <f t="shared" si="246"/>
        <v>DELETE</v>
      </c>
      <c r="T3668" s="498"/>
    </row>
    <row r="3669" spans="3:20" ht="36" customHeight="1" x14ac:dyDescent="0.45">
      <c r="C3669" s="575"/>
      <c r="D3669" s="616">
        <f>TrialBalanceB!C73</f>
        <v>0</v>
      </c>
      <c r="E3669" s="616"/>
      <c r="F3669" s="616"/>
      <c r="G3669" s="616"/>
      <c r="H3669" s="616"/>
      <c r="I3669" s="616"/>
      <c r="J3669" s="645"/>
      <c r="K3669" s="450"/>
      <c r="L3669" s="451"/>
      <c r="M3669" s="451"/>
      <c r="N3669" s="450"/>
      <c r="O3669" s="588">
        <f>TrialBalanceB!I73</f>
        <v>0</v>
      </c>
      <c r="P3669" s="454"/>
      <c r="R3669" s="490" t="str">
        <f t="shared" si="246"/>
        <v>DELETE</v>
      </c>
      <c r="T3669" s="498"/>
    </row>
    <row r="3670" spans="3:20" ht="36" customHeight="1" x14ac:dyDescent="0.45">
      <c r="C3670" s="575"/>
      <c r="D3670" s="616">
        <f>TrialBalanceB!C74</f>
        <v>0</v>
      </c>
      <c r="E3670" s="616"/>
      <c r="F3670" s="616"/>
      <c r="G3670" s="616"/>
      <c r="H3670" s="616"/>
      <c r="I3670" s="616"/>
      <c r="J3670" s="645"/>
      <c r="K3670" s="450"/>
      <c r="L3670" s="451"/>
      <c r="M3670" s="451"/>
      <c r="N3670" s="450"/>
      <c r="O3670" s="588">
        <f>TrialBalanceB!I74</f>
        <v>0</v>
      </c>
      <c r="P3670" s="454"/>
      <c r="R3670" s="490" t="str">
        <f t="shared" si="246"/>
        <v>DELETE</v>
      </c>
      <c r="T3670" s="498"/>
    </row>
    <row r="3671" spans="3:20" ht="36" customHeight="1" x14ac:dyDescent="0.45">
      <c r="C3671" s="575"/>
      <c r="D3671" s="616">
        <f>TrialBalanceB!C75</f>
        <v>0</v>
      </c>
      <c r="E3671" s="616"/>
      <c r="F3671" s="616"/>
      <c r="G3671" s="616"/>
      <c r="H3671" s="616"/>
      <c r="I3671" s="616"/>
      <c r="J3671" s="645"/>
      <c r="K3671" s="450"/>
      <c r="L3671" s="451"/>
      <c r="M3671" s="451"/>
      <c r="N3671" s="450"/>
      <c r="O3671" s="588">
        <f>TrialBalanceB!I75</f>
        <v>0</v>
      </c>
      <c r="P3671" s="454"/>
      <c r="R3671" s="490" t="str">
        <f t="shared" si="246"/>
        <v>DELETE</v>
      </c>
      <c r="T3671" s="498"/>
    </row>
    <row r="3672" spans="3:20" ht="36" customHeight="1" x14ac:dyDescent="0.45">
      <c r="C3672" s="575"/>
      <c r="D3672" s="616">
        <f>TrialBalanceB!C76</f>
        <v>0</v>
      </c>
      <c r="E3672" s="616"/>
      <c r="F3672" s="616"/>
      <c r="G3672" s="616"/>
      <c r="H3672" s="616"/>
      <c r="I3672" s="616"/>
      <c r="J3672" s="645"/>
      <c r="K3672" s="450"/>
      <c r="L3672" s="451"/>
      <c r="M3672" s="451"/>
      <c r="N3672" s="450"/>
      <c r="O3672" s="588">
        <f>TrialBalanceB!I76</f>
        <v>0</v>
      </c>
      <c r="P3672" s="454"/>
      <c r="R3672" s="490" t="str">
        <f t="shared" si="246"/>
        <v>DELETE</v>
      </c>
      <c r="T3672" s="498"/>
    </row>
    <row r="3673" spans="3:20" ht="36" customHeight="1" x14ac:dyDescent="0.45">
      <c r="C3673" s="575"/>
      <c r="D3673" s="616">
        <f>TrialBalanceB!C77</f>
        <v>0</v>
      </c>
      <c r="E3673" s="616"/>
      <c r="F3673" s="616"/>
      <c r="G3673" s="616"/>
      <c r="H3673" s="616"/>
      <c r="I3673" s="616"/>
      <c r="J3673" s="645"/>
      <c r="K3673" s="450"/>
      <c r="L3673" s="451"/>
      <c r="M3673" s="451"/>
      <c r="N3673" s="450"/>
      <c r="O3673" s="588">
        <f>TrialBalanceB!I77</f>
        <v>0</v>
      </c>
      <c r="P3673" s="454"/>
      <c r="R3673" s="490" t="str">
        <f t="shared" si="246"/>
        <v>DELETE</v>
      </c>
      <c r="T3673" s="498"/>
    </row>
    <row r="3674" spans="3:20" ht="36" customHeight="1" x14ac:dyDescent="0.45">
      <c r="C3674" s="575"/>
      <c r="D3674" s="616">
        <f>TrialBalanceB!C78</f>
        <v>0</v>
      </c>
      <c r="E3674" s="616"/>
      <c r="F3674" s="616"/>
      <c r="G3674" s="616"/>
      <c r="H3674" s="616"/>
      <c r="I3674" s="616"/>
      <c r="J3674" s="645"/>
      <c r="K3674" s="450"/>
      <c r="L3674" s="451"/>
      <c r="M3674" s="451"/>
      <c r="N3674" s="450"/>
      <c r="O3674" s="588">
        <f>TrialBalanceB!I78</f>
        <v>0</v>
      </c>
      <c r="P3674" s="454"/>
      <c r="R3674" s="490" t="str">
        <f t="shared" si="246"/>
        <v>DELETE</v>
      </c>
      <c r="T3674" s="498"/>
    </row>
    <row r="3675" spans="3:20" ht="36" customHeight="1" x14ac:dyDescent="0.45">
      <c r="C3675" s="575"/>
      <c r="D3675" s="616">
        <f>TrialBalanceB!C79</f>
        <v>0</v>
      </c>
      <c r="E3675" s="616"/>
      <c r="F3675" s="616"/>
      <c r="G3675" s="616"/>
      <c r="H3675" s="616"/>
      <c r="I3675" s="616"/>
      <c r="J3675" s="645"/>
      <c r="K3675" s="450"/>
      <c r="L3675" s="451"/>
      <c r="M3675" s="451"/>
      <c r="N3675" s="450"/>
      <c r="O3675" s="588">
        <f>TrialBalanceB!I79</f>
        <v>0</v>
      </c>
      <c r="P3675" s="454"/>
      <c r="R3675" s="490" t="str">
        <f t="shared" si="246"/>
        <v>DELETE</v>
      </c>
      <c r="T3675" s="498"/>
    </row>
    <row r="3676" spans="3:20" ht="36" customHeight="1" x14ac:dyDescent="0.45">
      <c r="C3676" s="575"/>
      <c r="D3676" s="616">
        <f>TrialBalanceB!C80</f>
        <v>0</v>
      </c>
      <c r="E3676" s="616"/>
      <c r="F3676" s="616"/>
      <c r="G3676" s="616"/>
      <c r="H3676" s="616"/>
      <c r="I3676" s="616"/>
      <c r="J3676" s="645"/>
      <c r="K3676" s="450"/>
      <c r="L3676" s="451"/>
      <c r="M3676" s="451"/>
      <c r="N3676" s="450"/>
      <c r="O3676" s="588">
        <f>TrialBalanceB!I80</f>
        <v>0</v>
      </c>
      <c r="P3676" s="454"/>
      <c r="R3676" s="490" t="str">
        <f t="shared" si="246"/>
        <v>DELETE</v>
      </c>
      <c r="T3676" s="498"/>
    </row>
    <row r="3677" spans="3:20" ht="36" customHeight="1" x14ac:dyDescent="0.45">
      <c r="C3677" s="575"/>
      <c r="D3677" s="616">
        <f>TrialBalanceB!C81</f>
        <v>0</v>
      </c>
      <c r="E3677" s="616"/>
      <c r="F3677" s="616"/>
      <c r="G3677" s="616"/>
      <c r="H3677" s="616"/>
      <c r="I3677" s="616"/>
      <c r="J3677" s="645"/>
      <c r="K3677" s="450"/>
      <c r="L3677" s="451"/>
      <c r="M3677" s="451"/>
      <c r="N3677" s="450"/>
      <c r="O3677" s="588">
        <f>TrialBalanceB!I81</f>
        <v>0</v>
      </c>
      <c r="P3677" s="454"/>
      <c r="R3677" s="490" t="str">
        <f t="shared" si="246"/>
        <v>DELETE</v>
      </c>
      <c r="T3677" s="498"/>
    </row>
    <row r="3678" spans="3:20" ht="36" customHeight="1" x14ac:dyDescent="0.45">
      <c r="C3678" s="575"/>
      <c r="D3678" s="616">
        <f>TrialBalanceB!C82</f>
        <v>0</v>
      </c>
      <c r="E3678" s="616"/>
      <c r="F3678" s="616"/>
      <c r="G3678" s="616"/>
      <c r="H3678" s="616"/>
      <c r="I3678" s="616"/>
      <c r="J3678" s="645"/>
      <c r="K3678" s="450"/>
      <c r="L3678" s="451"/>
      <c r="M3678" s="451"/>
      <c r="N3678" s="450"/>
      <c r="O3678" s="588">
        <f>TrialBalanceB!I82</f>
        <v>0</v>
      </c>
      <c r="P3678" s="454"/>
      <c r="R3678" s="490" t="str">
        <f t="shared" si="246"/>
        <v>DELETE</v>
      </c>
      <c r="T3678" s="498"/>
    </row>
    <row r="3679" spans="3:20" ht="9" customHeight="1" x14ac:dyDescent="0.45">
      <c r="C3679" s="575"/>
      <c r="D3679" s="616"/>
      <c r="E3679" s="616"/>
      <c r="F3679" s="616"/>
      <c r="G3679" s="616"/>
      <c r="H3679" s="616"/>
      <c r="I3679" s="616"/>
      <c r="J3679" s="645"/>
      <c r="K3679" s="450"/>
      <c r="L3679" s="451"/>
      <c r="M3679" s="451"/>
      <c r="N3679" s="450"/>
      <c r="O3679" s="589"/>
      <c r="P3679" s="454"/>
      <c r="R3679" s="490" t="str">
        <f>R3648</f>
        <v>DELETE</v>
      </c>
      <c r="T3679" s="498"/>
    </row>
    <row r="3680" spans="3:20" ht="9" customHeight="1" x14ac:dyDescent="0.45">
      <c r="C3680" s="575"/>
      <c r="D3680" s="616"/>
      <c r="E3680" s="616"/>
      <c r="F3680" s="616"/>
      <c r="G3680" s="616"/>
      <c r="H3680" s="616"/>
      <c r="I3680" s="616"/>
      <c r="J3680" s="645"/>
      <c r="K3680" s="450"/>
      <c r="L3680" s="451"/>
      <c r="M3680" s="451"/>
      <c r="N3680" s="450"/>
      <c r="O3680" s="461"/>
      <c r="P3680" s="454"/>
      <c r="R3680" s="490" t="str">
        <f t="shared" ref="R3680:R3700" si="248">R$3602</f>
        <v>DELETE</v>
      </c>
      <c r="T3680" s="498"/>
    </row>
    <row r="3681" spans="3:20" ht="9" customHeight="1" x14ac:dyDescent="0.45">
      <c r="C3681" s="575"/>
      <c r="D3681" s="616"/>
      <c r="E3681" s="616"/>
      <c r="F3681" s="616"/>
      <c r="G3681" s="616"/>
      <c r="H3681" s="616"/>
      <c r="I3681" s="616"/>
      <c r="J3681" s="645"/>
      <c r="K3681" s="450"/>
      <c r="L3681" s="451"/>
      <c r="M3681" s="451"/>
      <c r="N3681" s="450"/>
      <c r="O3681" s="458"/>
      <c r="P3681" s="454"/>
      <c r="R3681" s="490" t="str">
        <f t="shared" si="248"/>
        <v>DELETE</v>
      </c>
      <c r="T3681" s="498"/>
    </row>
    <row r="3682" spans="3:20" ht="36" customHeight="1" x14ac:dyDescent="0.45">
      <c r="D3682" s="637" t="str">
        <f>IF(O3682&lt;0,"Operating loss","Operating profit")</f>
        <v>Operating profit</v>
      </c>
      <c r="E3682" s="616"/>
      <c r="F3682" s="616"/>
      <c r="G3682" s="616"/>
      <c r="H3682" s="616"/>
      <c r="I3682" s="616"/>
      <c r="J3682" s="645"/>
      <c r="K3682" s="450"/>
      <c r="L3682" s="451"/>
      <c r="M3682" s="451"/>
      <c r="N3682" s="450"/>
      <c r="O3682" s="458">
        <f>SUM(S3614:S3680)</f>
        <v>0</v>
      </c>
      <c r="P3682" s="454"/>
      <c r="R3682" s="490" t="str">
        <f t="shared" si="248"/>
        <v>DELETE</v>
      </c>
      <c r="T3682" s="498"/>
    </row>
    <row r="3683" spans="3:20" ht="36" customHeight="1" x14ac:dyDescent="0.45">
      <c r="C3683" s="575"/>
      <c r="D3683" s="616"/>
      <c r="E3683" s="616" t="s">
        <v>289</v>
      </c>
      <c r="F3683" s="616"/>
      <c r="G3683" s="616"/>
      <c r="H3683" s="616"/>
      <c r="I3683" s="616"/>
      <c r="J3683" s="645"/>
      <c r="K3683" s="450"/>
      <c r="L3683" s="451"/>
      <c r="M3683" s="451"/>
      <c r="N3683" s="450"/>
      <c r="O3683" s="458"/>
      <c r="P3683" s="454"/>
      <c r="R3683" s="490" t="str">
        <f t="shared" si="248"/>
        <v>DELETE</v>
      </c>
      <c r="T3683" s="498"/>
    </row>
    <row r="3684" spans="3:20" ht="36" customHeight="1" x14ac:dyDescent="0.45">
      <c r="C3684" s="575"/>
      <c r="D3684" s="616"/>
      <c r="E3684" s="616"/>
      <c r="F3684" s="616"/>
      <c r="G3684" s="616"/>
      <c r="H3684" s="616"/>
      <c r="I3684" s="616"/>
      <c r="J3684" s="645"/>
      <c r="K3684" s="450"/>
      <c r="L3684" s="450"/>
      <c r="M3684" s="458"/>
      <c r="N3684" s="458"/>
      <c r="O3684" s="458"/>
      <c r="P3684" s="454"/>
      <c r="R3684" s="490" t="str">
        <f t="shared" si="248"/>
        <v>DELETE</v>
      </c>
      <c r="T3684" s="498"/>
    </row>
    <row r="3685" spans="3:20" ht="36" customHeight="1" x14ac:dyDescent="0.45">
      <c r="C3685" s="575"/>
      <c r="D3685" s="616"/>
      <c r="E3685" s="616"/>
      <c r="F3685" s="616"/>
      <c r="G3685" s="616"/>
      <c r="H3685" s="616"/>
      <c r="I3685" s="616"/>
      <c r="J3685" s="645"/>
      <c r="K3685" s="450"/>
      <c r="L3685" s="450"/>
      <c r="M3685" s="458"/>
      <c r="N3685" s="458"/>
      <c r="O3685" s="458"/>
      <c r="P3685" s="454"/>
      <c r="R3685" s="490" t="str">
        <f t="shared" si="248"/>
        <v>DELETE</v>
      </c>
      <c r="T3685" s="498"/>
    </row>
    <row r="3686" spans="3:20" ht="36" customHeight="1" x14ac:dyDescent="0.45">
      <c r="C3686" s="575"/>
      <c r="D3686" s="616"/>
      <c r="E3686" s="616"/>
      <c r="F3686" s="616"/>
      <c r="G3686" s="616"/>
      <c r="H3686" s="616"/>
      <c r="I3686" s="616"/>
      <c r="J3686" s="645"/>
      <c r="K3686" s="450"/>
      <c r="L3686" s="450"/>
      <c r="M3686" s="475"/>
      <c r="N3686" s="475"/>
      <c r="O3686" s="475"/>
      <c r="P3686" s="521"/>
      <c r="R3686" s="490" t="str">
        <f t="shared" si="248"/>
        <v>DELETE</v>
      </c>
      <c r="T3686" s="498"/>
    </row>
    <row r="3687" spans="3:20" ht="36" customHeight="1" x14ac:dyDescent="0.45">
      <c r="C3687" s="575"/>
      <c r="D3687" s="616"/>
      <c r="E3687" s="616"/>
      <c r="F3687" s="616"/>
      <c r="G3687" s="616"/>
      <c r="H3687" s="616"/>
      <c r="I3687" s="616"/>
      <c r="J3687" s="645"/>
      <c r="K3687" s="450"/>
      <c r="L3687" s="450"/>
      <c r="M3687" s="458"/>
      <c r="N3687" s="458"/>
      <c r="O3687" s="458"/>
      <c r="P3687" s="454"/>
      <c r="R3687" s="490" t="str">
        <f t="shared" si="248"/>
        <v>DELETE</v>
      </c>
      <c r="T3687" s="498"/>
    </row>
    <row r="3688" spans="3:20" ht="36" customHeight="1" x14ac:dyDescent="0.45">
      <c r="C3688" s="575"/>
      <c r="D3688" s="616"/>
      <c r="E3688" s="616"/>
      <c r="F3688" s="616"/>
      <c r="G3688" s="616"/>
      <c r="H3688" s="616"/>
      <c r="I3688" s="616"/>
      <c r="J3688" s="645"/>
      <c r="K3688" s="450"/>
      <c r="L3688" s="450"/>
      <c r="M3688" s="458"/>
      <c r="N3688" s="458"/>
      <c r="O3688" s="458" t="s">
        <v>112</v>
      </c>
      <c r="P3688" s="454"/>
      <c r="Q3688" s="450">
        <f>MAX($Q$3602:Q3687)+1</f>
        <v>2</v>
      </c>
      <c r="R3688" s="490" t="str">
        <f t="shared" si="248"/>
        <v>DELETE</v>
      </c>
      <c r="T3688" s="498"/>
    </row>
    <row r="3689" spans="3:20" ht="36" customHeight="1" x14ac:dyDescent="0.45">
      <c r="C3689" s="575"/>
      <c r="D3689" s="615" t="str">
        <f>Criteria!E9</f>
        <v>ABC COMPANY (PROPRIETARY) LIMITED</v>
      </c>
      <c r="E3689" s="616"/>
      <c r="F3689" s="616"/>
      <c r="G3689" s="616"/>
      <c r="H3689" s="616"/>
      <c r="I3689" s="616"/>
      <c r="J3689" s="645"/>
      <c r="K3689" s="450"/>
      <c r="L3689" s="450"/>
      <c r="M3689" s="458"/>
      <c r="N3689" s="458"/>
      <c r="O3689" s="540"/>
      <c r="R3689" s="490" t="str">
        <f t="shared" si="248"/>
        <v>DELETE</v>
      </c>
      <c r="T3689" s="498"/>
    </row>
    <row r="3690" spans="3:20" ht="36" customHeight="1" x14ac:dyDescent="0.45">
      <c r="C3690" s="575"/>
      <c r="D3690" s="615" t="str">
        <f>CONCATENATE("T/A ",Criteria!E15)</f>
        <v>T/A RENTAL PROPERTIES</v>
      </c>
      <c r="E3690" s="616"/>
      <c r="F3690" s="616"/>
      <c r="G3690" s="616"/>
      <c r="H3690" s="616"/>
      <c r="I3690" s="616"/>
      <c r="J3690" s="645"/>
      <c r="K3690" s="450"/>
      <c r="L3690" s="450"/>
      <c r="M3690" s="458"/>
      <c r="N3690" s="458"/>
      <c r="O3690" s="458"/>
      <c r="P3690" s="454"/>
      <c r="R3690" s="490" t="str">
        <f t="shared" si="248"/>
        <v>DELETE</v>
      </c>
      <c r="T3690" s="498"/>
    </row>
    <row r="3691" spans="3:20" ht="36" customHeight="1" x14ac:dyDescent="0.45">
      <c r="C3691" s="575"/>
      <c r="D3691" s="616"/>
      <c r="E3691" s="616"/>
      <c r="F3691" s="616"/>
      <c r="G3691" s="616"/>
      <c r="H3691" s="616"/>
      <c r="I3691" s="616"/>
      <c r="J3691" s="645"/>
      <c r="K3691" s="450"/>
      <c r="L3691" s="450"/>
      <c r="M3691" s="458"/>
      <c r="N3691" s="458"/>
      <c r="O3691" s="458"/>
      <c r="P3691" s="454"/>
      <c r="R3691" s="490" t="str">
        <f t="shared" si="248"/>
        <v>DELETE</v>
      </c>
      <c r="T3691" s="498"/>
    </row>
    <row r="3692" spans="3:20" ht="36" customHeight="1" x14ac:dyDescent="0.45">
      <c r="C3692" s="575"/>
      <c r="D3692" s="615" t="s">
        <v>109</v>
      </c>
      <c r="E3692" s="616"/>
      <c r="F3692" s="616"/>
      <c r="G3692" s="616"/>
      <c r="H3692" s="616"/>
      <c r="I3692" s="616"/>
      <c r="J3692" s="645"/>
      <c r="K3692" s="450"/>
      <c r="L3692" s="450"/>
      <c r="M3692" s="458"/>
      <c r="N3692" s="458"/>
      <c r="O3692" s="458"/>
      <c r="P3692" s="454"/>
      <c r="R3692" s="490" t="str">
        <f t="shared" si="248"/>
        <v>DELETE</v>
      </c>
      <c r="T3692" s="498"/>
    </row>
    <row r="3693" spans="3:20" ht="36" customHeight="1" x14ac:dyDescent="0.45">
      <c r="C3693" s="575"/>
      <c r="D3693" s="615" t="str">
        <f>D3609</f>
        <v>28 FEBRUARY 2026</v>
      </c>
      <c r="E3693" s="616"/>
      <c r="F3693" s="616"/>
      <c r="G3693" s="616"/>
      <c r="H3693" s="616"/>
      <c r="I3693" s="616"/>
      <c r="J3693" s="616" t="s">
        <v>118</v>
      </c>
      <c r="K3693" s="450"/>
      <c r="L3693" s="450"/>
      <c r="M3693" s="458"/>
      <c r="N3693" s="458"/>
      <c r="O3693" s="458"/>
      <c r="P3693" s="454"/>
      <c r="R3693" s="490" t="str">
        <f t="shared" si="248"/>
        <v>DELETE</v>
      </c>
      <c r="T3693" s="498"/>
    </row>
    <row r="3694" spans="3:20" ht="36" customHeight="1" x14ac:dyDescent="0.45">
      <c r="C3694" s="575"/>
      <c r="D3694" s="616"/>
      <c r="E3694" s="616"/>
      <c r="F3694" s="616"/>
      <c r="G3694" s="616"/>
      <c r="H3694" s="616"/>
      <c r="I3694" s="616"/>
      <c r="J3694" s="645"/>
      <c r="K3694" s="467"/>
      <c r="L3694" s="467"/>
      <c r="M3694" s="461"/>
      <c r="N3694" s="461"/>
      <c r="O3694" s="461"/>
      <c r="P3694" s="454"/>
      <c r="R3694" s="490" t="str">
        <f t="shared" si="248"/>
        <v>DELETE</v>
      </c>
      <c r="T3694" s="498"/>
    </row>
    <row r="3695" spans="3:20" ht="36" customHeight="1" x14ac:dyDescent="0.45">
      <c r="C3695" s="575"/>
      <c r="D3695" s="634"/>
      <c r="E3695" s="634"/>
      <c r="F3695" s="634"/>
      <c r="G3695" s="634"/>
      <c r="H3695" s="634"/>
      <c r="I3695" s="634"/>
      <c r="J3695" s="647"/>
      <c r="M3695" s="541"/>
      <c r="N3695" s="541"/>
      <c r="O3695" s="541"/>
      <c r="P3695" s="486"/>
      <c r="Q3695" s="457"/>
      <c r="R3695" s="490" t="str">
        <f t="shared" si="248"/>
        <v>DELETE</v>
      </c>
      <c r="T3695" s="498"/>
    </row>
    <row r="3696" spans="3:20" ht="36" customHeight="1" x14ac:dyDescent="0.45">
      <c r="C3696" s="575"/>
      <c r="D3696" s="616"/>
      <c r="E3696" s="616"/>
      <c r="F3696" s="616"/>
      <c r="G3696" s="616"/>
      <c r="H3696" s="616"/>
      <c r="I3696" s="616"/>
      <c r="J3696" s="645"/>
      <c r="K3696" s="450" t="s">
        <v>1494</v>
      </c>
      <c r="L3696" s="451"/>
      <c r="M3696" s="451"/>
      <c r="N3696" s="450"/>
      <c r="O3696" s="453">
        <f>Criteria!E22</f>
        <v>2026</v>
      </c>
      <c r="P3696" s="454"/>
      <c r="R3696" s="490" t="str">
        <f t="shared" si="248"/>
        <v>DELETE</v>
      </c>
      <c r="T3696" s="498"/>
    </row>
    <row r="3697" spans="3:24" ht="36" customHeight="1" x14ac:dyDescent="0.45">
      <c r="C3697" s="575"/>
      <c r="D3697" s="616"/>
      <c r="E3697" s="616"/>
      <c r="F3697" s="616"/>
      <c r="G3697" s="616"/>
      <c r="H3697" s="616"/>
      <c r="I3697" s="616"/>
      <c r="J3697" s="645"/>
      <c r="K3697" s="450"/>
      <c r="L3697" s="451"/>
      <c r="M3697" s="451"/>
      <c r="N3697" s="450"/>
      <c r="O3697" s="458"/>
      <c r="P3697" s="454"/>
      <c r="R3697" s="490" t="str">
        <f t="shared" si="248"/>
        <v>DELETE</v>
      </c>
      <c r="T3697" s="498"/>
    </row>
    <row r="3698" spans="3:24" ht="36" customHeight="1" x14ac:dyDescent="0.45">
      <c r="D3698" s="637" t="str">
        <f>IF(O3698&lt;0,"Operating loss","Operating profit")</f>
        <v>Operating profit</v>
      </c>
      <c r="E3698" s="616"/>
      <c r="F3698" s="616"/>
      <c r="G3698" s="616"/>
      <c r="H3698" s="616"/>
      <c r="I3698" s="616"/>
      <c r="J3698" s="645"/>
      <c r="K3698" s="450"/>
      <c r="L3698" s="451"/>
      <c r="M3698" s="451"/>
      <c r="N3698" s="450"/>
      <c r="O3698" s="458">
        <f>SUM(S3614:S3679)</f>
        <v>0</v>
      </c>
      <c r="P3698" s="454"/>
      <c r="R3698" s="490" t="str">
        <f t="shared" si="248"/>
        <v>DELETE</v>
      </c>
      <c r="T3698" s="498"/>
      <c r="V3698" s="491" t="b">
        <f>O3698=O3682</f>
        <v>1</v>
      </c>
    </row>
    <row r="3699" spans="3:24" ht="36" customHeight="1" x14ac:dyDescent="0.45">
      <c r="C3699" s="575"/>
      <c r="D3699" s="616"/>
      <c r="E3699" s="616" t="s">
        <v>290</v>
      </c>
      <c r="F3699" s="616"/>
      <c r="G3699" s="616"/>
      <c r="H3699" s="616"/>
      <c r="I3699" s="616"/>
      <c r="J3699" s="645"/>
      <c r="K3699" s="450"/>
      <c r="L3699" s="451"/>
      <c r="M3699" s="451"/>
      <c r="N3699" s="450"/>
      <c r="O3699" s="458"/>
      <c r="P3699" s="454"/>
      <c r="R3699" s="490" t="str">
        <f t="shared" si="248"/>
        <v>DELETE</v>
      </c>
      <c r="T3699" s="498"/>
    </row>
    <row r="3700" spans="3:24" ht="36" customHeight="1" x14ac:dyDescent="0.45">
      <c r="C3700" s="575"/>
      <c r="D3700" s="616"/>
      <c r="E3700" s="616"/>
      <c r="F3700" s="616"/>
      <c r="G3700" s="616"/>
      <c r="H3700" s="616"/>
      <c r="I3700" s="616"/>
      <c r="J3700" s="645"/>
      <c r="K3700" s="450"/>
      <c r="L3700" s="451"/>
      <c r="M3700" s="451"/>
      <c r="N3700" s="450"/>
      <c r="O3700" s="458"/>
      <c r="P3700" s="454"/>
      <c r="R3700" s="490" t="str">
        <f t="shared" si="248"/>
        <v>DELETE</v>
      </c>
      <c r="T3700" s="498"/>
    </row>
    <row r="3701" spans="3:24" ht="36" customHeight="1" x14ac:dyDescent="0.45">
      <c r="D3701" s="615" t="s">
        <v>1533</v>
      </c>
      <c r="E3701" s="616"/>
      <c r="F3701" s="616"/>
      <c r="G3701" s="616"/>
      <c r="H3701" s="616"/>
      <c r="I3701" s="616"/>
      <c r="J3701" s="645"/>
      <c r="K3701" s="450"/>
      <c r="L3701" s="451"/>
      <c r="M3701" s="451"/>
      <c r="N3701" s="450"/>
      <c r="O3701" s="458">
        <f>SUM(O3704:O3737)</f>
        <v>0</v>
      </c>
      <c r="P3701" s="454"/>
      <c r="R3701" s="490" t="str">
        <f t="shared" ref="R3701" si="249">IF(R$3602="DELETE","DELETE",IF(O3701=0,"DELETE"," "))</f>
        <v>DELETE</v>
      </c>
      <c r="S3701" s="495">
        <f>-O3701</f>
        <v>0</v>
      </c>
      <c r="T3701" s="498"/>
      <c r="U3701" s="495"/>
      <c r="V3701" s="495"/>
      <c r="W3701" s="495"/>
      <c r="X3701" s="495"/>
    </row>
    <row r="3702" spans="3:24" ht="9" customHeight="1" x14ac:dyDescent="0.45">
      <c r="C3702" s="575"/>
      <c r="D3702" s="616"/>
      <c r="E3702" s="616"/>
      <c r="F3702" s="616"/>
      <c r="G3702" s="616"/>
      <c r="H3702" s="616"/>
      <c r="I3702" s="616"/>
      <c r="J3702" s="645"/>
      <c r="K3702" s="450"/>
      <c r="L3702" s="451"/>
      <c r="M3702" s="451"/>
      <c r="N3702" s="450"/>
      <c r="O3702" s="458"/>
      <c r="P3702" s="454"/>
      <c r="R3702" s="490" t="str">
        <f>R3701</f>
        <v>DELETE</v>
      </c>
      <c r="T3702" s="498"/>
    </row>
    <row r="3703" spans="3:24" ht="9" customHeight="1" x14ac:dyDescent="0.45">
      <c r="C3703" s="575"/>
      <c r="D3703" s="616"/>
      <c r="E3703" s="616"/>
      <c r="F3703" s="616"/>
      <c r="G3703" s="616"/>
      <c r="H3703" s="616"/>
      <c r="I3703" s="616"/>
      <c r="J3703" s="645"/>
      <c r="K3703" s="450"/>
      <c r="L3703" s="451"/>
      <c r="M3703" s="451"/>
      <c r="N3703" s="450"/>
      <c r="O3703" s="587"/>
      <c r="P3703" s="454"/>
      <c r="R3703" s="490" t="str">
        <f>R3702</f>
        <v>DELETE</v>
      </c>
      <c r="T3703" s="498"/>
    </row>
    <row r="3704" spans="3:24" ht="36" customHeight="1" x14ac:dyDescent="0.45">
      <c r="C3704" s="575"/>
      <c r="D3704" s="616" t="s">
        <v>233</v>
      </c>
      <c r="E3704" s="616"/>
      <c r="F3704" s="616"/>
      <c r="G3704" s="616"/>
      <c r="H3704" s="616"/>
      <c r="I3704" s="616"/>
      <c r="J3704" s="645"/>
      <c r="K3704" s="450"/>
      <c r="L3704" s="451"/>
      <c r="M3704" s="451"/>
      <c r="N3704" s="450"/>
      <c r="O3704" s="588">
        <f>SUM(TrialBalanceB!I99:I102)</f>
        <v>0</v>
      </c>
      <c r="P3704" s="454"/>
      <c r="R3704" s="490" t="str">
        <f t="shared" ref="R3704:R3735" si="250">IF(R$3602="DELETE","DELETE",IF(O3704=0,"DELETE"," "))</f>
        <v>DELETE</v>
      </c>
      <c r="T3704" s="498"/>
    </row>
    <row r="3705" spans="3:24" ht="36" customHeight="1" x14ac:dyDescent="0.45">
      <c r="C3705" s="575"/>
      <c r="D3705" s="616" t="s">
        <v>237</v>
      </c>
      <c r="E3705" s="616"/>
      <c r="F3705" s="616"/>
      <c r="G3705" s="616"/>
      <c r="H3705" s="616"/>
      <c r="I3705" s="616"/>
      <c r="J3705" s="645"/>
      <c r="K3705" s="450"/>
      <c r="L3705" s="451"/>
      <c r="M3705" s="451"/>
      <c r="N3705" s="450"/>
      <c r="O3705" s="588">
        <f>TrialBalanceB!I104</f>
        <v>0</v>
      </c>
      <c r="P3705" s="454"/>
      <c r="R3705" s="490" t="str">
        <f t="shared" si="250"/>
        <v>DELETE</v>
      </c>
      <c r="T3705" s="498"/>
    </row>
    <row r="3706" spans="3:24" ht="36" customHeight="1" x14ac:dyDescent="0.45">
      <c r="C3706" s="575"/>
      <c r="D3706" s="616" t="s">
        <v>235</v>
      </c>
      <c r="E3706" s="616"/>
      <c r="F3706" s="616"/>
      <c r="G3706" s="616"/>
      <c r="H3706" s="616"/>
      <c r="I3706" s="616"/>
      <c r="J3706" s="645"/>
      <c r="K3706" s="450"/>
      <c r="L3706" s="451"/>
      <c r="M3706" s="451"/>
      <c r="N3706" s="450"/>
      <c r="O3706" s="588">
        <f>TrialBalanceB!I103</f>
        <v>0</v>
      </c>
      <c r="P3706" s="454"/>
      <c r="R3706" s="490" t="str">
        <f t="shared" si="250"/>
        <v>DELETE</v>
      </c>
      <c r="T3706" s="498"/>
    </row>
    <row r="3707" spans="3:24" ht="36" customHeight="1" x14ac:dyDescent="0.45">
      <c r="C3707" s="575"/>
      <c r="D3707" s="616" t="s">
        <v>291</v>
      </c>
      <c r="E3707" s="616"/>
      <c r="F3707" s="616"/>
      <c r="G3707" s="616"/>
      <c r="H3707" s="616"/>
      <c r="I3707" s="616"/>
      <c r="J3707" s="645"/>
      <c r="K3707" s="450"/>
      <c r="L3707" s="451"/>
      <c r="M3707" s="451"/>
      <c r="N3707" s="450"/>
      <c r="O3707" s="588">
        <f>TrialBalanceB!I105</f>
        <v>0</v>
      </c>
      <c r="P3707" s="454"/>
      <c r="R3707" s="490" t="str">
        <f t="shared" si="250"/>
        <v>DELETE</v>
      </c>
      <c r="T3707" s="498"/>
    </row>
    <row r="3708" spans="3:24" ht="36" customHeight="1" x14ac:dyDescent="0.45">
      <c r="C3708" s="575"/>
      <c r="D3708" s="616" t="s">
        <v>240</v>
      </c>
      <c r="E3708" s="616"/>
      <c r="F3708" s="616"/>
      <c r="G3708" s="616"/>
      <c r="H3708" s="616"/>
      <c r="I3708" s="616"/>
      <c r="J3708" s="645"/>
      <c r="K3708" s="450"/>
      <c r="L3708" s="451"/>
      <c r="M3708" s="451"/>
      <c r="N3708" s="450"/>
      <c r="O3708" s="588">
        <f>TrialBalanceB!I106</f>
        <v>0</v>
      </c>
      <c r="P3708" s="454"/>
      <c r="R3708" s="490" t="str">
        <f t="shared" si="250"/>
        <v>DELETE</v>
      </c>
      <c r="T3708" s="498"/>
    </row>
    <row r="3709" spans="3:24" ht="36" customHeight="1" x14ac:dyDescent="0.45">
      <c r="C3709" s="575"/>
      <c r="D3709" s="616" t="s">
        <v>873</v>
      </c>
      <c r="E3709" s="616"/>
      <c r="F3709" s="616"/>
      <c r="G3709" s="616"/>
      <c r="H3709" s="616"/>
      <c r="I3709" s="616"/>
      <c r="J3709" s="645"/>
      <c r="K3709" s="450"/>
      <c r="L3709" s="451"/>
      <c r="M3709" s="451"/>
      <c r="N3709" s="450"/>
      <c r="O3709" s="588">
        <f>TrialBalanceB!I107</f>
        <v>0</v>
      </c>
      <c r="P3709" s="454"/>
      <c r="R3709" s="490" t="str">
        <f t="shared" si="250"/>
        <v>DELETE</v>
      </c>
      <c r="T3709" s="498"/>
    </row>
    <row r="3710" spans="3:24" ht="36" customHeight="1" x14ac:dyDescent="0.45">
      <c r="C3710" s="575"/>
      <c r="D3710" s="616" t="s">
        <v>1759</v>
      </c>
      <c r="E3710" s="616"/>
      <c r="F3710" s="616"/>
      <c r="G3710" s="616"/>
      <c r="H3710" s="616"/>
      <c r="I3710" s="616"/>
      <c r="J3710" s="645"/>
      <c r="K3710" s="450"/>
      <c r="L3710" s="451"/>
      <c r="M3710" s="451"/>
      <c r="N3710" s="450"/>
      <c r="O3710" s="588">
        <f>TrialBalanceB!I108</f>
        <v>0</v>
      </c>
      <c r="P3710" s="454"/>
      <c r="R3710" s="490" t="str">
        <f t="shared" ref="R3710" si="251">IF(R$3602="DELETE","DELETE",IF(O3710=0,"DELETE"," "))</f>
        <v>DELETE</v>
      </c>
      <c r="T3710" s="498"/>
    </row>
    <row r="3711" spans="3:24" ht="36" customHeight="1" x14ac:dyDescent="0.45">
      <c r="C3711" s="575"/>
      <c r="D3711" s="616" t="s">
        <v>304</v>
      </c>
      <c r="E3711" s="616"/>
      <c r="F3711" s="616"/>
      <c r="G3711" s="616"/>
      <c r="H3711" s="616"/>
      <c r="I3711" s="616"/>
      <c r="J3711" s="645"/>
      <c r="K3711" s="450">
        <f>B$1250</f>
        <v>5</v>
      </c>
      <c r="L3711" s="451"/>
      <c r="M3711" s="451"/>
      <c r="N3711" s="450"/>
      <c r="O3711" s="588">
        <f>SUM(TrialBalanceB!I110:I111)</f>
        <v>0</v>
      </c>
      <c r="P3711" s="454"/>
      <c r="R3711" s="490" t="str">
        <f t="shared" si="250"/>
        <v>DELETE</v>
      </c>
      <c r="T3711" s="498"/>
    </row>
    <row r="3712" spans="3:24" ht="36" customHeight="1" x14ac:dyDescent="0.45">
      <c r="C3712" s="575"/>
      <c r="D3712" s="616" t="str">
        <f>IF(MAX(Criteria!I41:I45)&gt;1,"Directors' remuneration","Director's remuneration")</f>
        <v>Directors' remuneration</v>
      </c>
      <c r="E3712" s="616"/>
      <c r="F3712" s="616"/>
      <c r="G3712" s="616"/>
      <c r="H3712" s="616"/>
      <c r="I3712" s="616"/>
      <c r="J3712" s="645"/>
      <c r="K3712" s="450">
        <f>B$1250</f>
        <v>5</v>
      </c>
      <c r="L3712" s="451"/>
      <c r="M3712" s="451"/>
      <c r="N3712" s="450"/>
      <c r="O3712" s="588">
        <f>SUM(TrialBalanceB!I113:I117)</f>
        <v>0</v>
      </c>
      <c r="P3712" s="454"/>
      <c r="R3712" s="490" t="str">
        <f t="shared" si="250"/>
        <v>DELETE</v>
      </c>
      <c r="T3712" s="498"/>
    </row>
    <row r="3713" spans="3:20" ht="36" customHeight="1" x14ac:dyDescent="0.45">
      <c r="C3713" s="575"/>
      <c r="D3713" s="616" t="s">
        <v>292</v>
      </c>
      <c r="E3713" s="616"/>
      <c r="F3713" s="616"/>
      <c r="G3713" s="616"/>
      <c r="H3713" s="616"/>
      <c r="I3713" s="616"/>
      <c r="J3713" s="645"/>
      <c r="K3713" s="450"/>
      <c r="L3713" s="451"/>
      <c r="M3713" s="451"/>
      <c r="N3713" s="450"/>
      <c r="O3713" s="588">
        <f>TrialBalanceB!I118</f>
        <v>0</v>
      </c>
      <c r="P3713" s="454"/>
      <c r="R3713" s="490" t="str">
        <f t="shared" si="250"/>
        <v>DELETE</v>
      </c>
      <c r="T3713" s="498"/>
    </row>
    <row r="3714" spans="3:20" ht="36" customHeight="1" x14ac:dyDescent="0.45">
      <c r="C3714" s="575"/>
      <c r="D3714" s="616" t="s">
        <v>408</v>
      </c>
      <c r="E3714" s="616"/>
      <c r="F3714" s="616"/>
      <c r="G3714" s="616"/>
      <c r="H3714" s="616"/>
      <c r="I3714" s="616"/>
      <c r="J3714" s="645"/>
      <c r="K3714" s="450"/>
      <c r="L3714" s="451"/>
      <c r="M3714" s="451"/>
      <c r="N3714" s="450"/>
      <c r="O3714" s="588">
        <f>TrialBalanceB!I119</f>
        <v>0</v>
      </c>
      <c r="P3714" s="454"/>
      <c r="R3714" s="490" t="str">
        <f t="shared" si="250"/>
        <v>DELETE</v>
      </c>
      <c r="T3714" s="498"/>
    </row>
    <row r="3715" spans="3:20" ht="36" customHeight="1" x14ac:dyDescent="0.45">
      <c r="C3715" s="575"/>
      <c r="D3715" s="616" t="s">
        <v>357</v>
      </c>
      <c r="E3715" s="616"/>
      <c r="F3715" s="616"/>
      <c r="G3715" s="616"/>
      <c r="H3715" s="616"/>
      <c r="I3715" s="616"/>
      <c r="J3715" s="645"/>
      <c r="K3715" s="450"/>
      <c r="L3715" s="451"/>
      <c r="M3715" s="451"/>
      <c r="N3715" s="450"/>
      <c r="O3715" s="588">
        <f>TrialBalanceB!I120</f>
        <v>0</v>
      </c>
      <c r="P3715" s="454"/>
      <c r="R3715" s="490" t="str">
        <f t="shared" si="250"/>
        <v>DELETE</v>
      </c>
      <c r="T3715" s="498"/>
    </row>
    <row r="3716" spans="3:20" ht="36" customHeight="1" x14ac:dyDescent="0.45">
      <c r="C3716" s="575"/>
      <c r="D3716" s="616" t="s">
        <v>410</v>
      </c>
      <c r="E3716" s="616"/>
      <c r="F3716" s="616"/>
      <c r="G3716" s="616"/>
      <c r="H3716" s="616"/>
      <c r="I3716" s="616"/>
      <c r="J3716" s="645"/>
      <c r="K3716" s="450"/>
      <c r="L3716" s="451"/>
      <c r="M3716" s="451"/>
      <c r="N3716" s="450"/>
      <c r="O3716" s="588">
        <f>TrialBalanceB!I121</f>
        <v>0</v>
      </c>
      <c r="P3716" s="454"/>
      <c r="R3716" s="490" t="str">
        <f t="shared" si="250"/>
        <v>DELETE</v>
      </c>
      <c r="T3716" s="498"/>
    </row>
    <row r="3717" spans="3:20" ht="36" customHeight="1" x14ac:dyDescent="0.45">
      <c r="C3717" s="575"/>
      <c r="D3717" s="616" t="s">
        <v>1256</v>
      </c>
      <c r="E3717" s="616"/>
      <c r="F3717" s="616"/>
      <c r="G3717" s="616"/>
      <c r="H3717" s="616"/>
      <c r="I3717" s="616"/>
      <c r="J3717" s="645"/>
      <c r="K3717" s="450"/>
      <c r="L3717" s="451"/>
      <c r="M3717" s="451"/>
      <c r="N3717" s="450"/>
      <c r="O3717" s="588">
        <f>TrialBalanceB!I156</f>
        <v>0</v>
      </c>
      <c r="P3717" s="454"/>
      <c r="R3717" s="490" t="str">
        <f t="shared" si="250"/>
        <v>DELETE</v>
      </c>
      <c r="T3717" s="498"/>
    </row>
    <row r="3718" spans="3:20" ht="36" customHeight="1" x14ac:dyDescent="0.45">
      <c r="C3718" s="575"/>
      <c r="D3718" s="616" t="s">
        <v>561</v>
      </c>
      <c r="E3718" s="616"/>
      <c r="F3718" s="616"/>
      <c r="G3718" s="616"/>
      <c r="H3718" s="616"/>
      <c r="I3718" s="616"/>
      <c r="J3718" s="645"/>
      <c r="K3718" s="450"/>
      <c r="L3718" s="451"/>
      <c r="M3718" s="451"/>
      <c r="N3718" s="450"/>
      <c r="O3718" s="588">
        <f>TrialBalanceB!I122+TrialBalanceB!I123</f>
        <v>0</v>
      </c>
      <c r="P3718" s="454"/>
      <c r="R3718" s="490" t="str">
        <f t="shared" si="250"/>
        <v>DELETE</v>
      </c>
      <c r="T3718" s="498"/>
    </row>
    <row r="3719" spans="3:20" ht="36" customHeight="1" x14ac:dyDescent="0.45">
      <c r="C3719" s="575"/>
      <c r="D3719" s="616" t="s">
        <v>588</v>
      </c>
      <c r="E3719" s="616"/>
      <c r="F3719" s="616"/>
      <c r="G3719" s="616"/>
      <c r="H3719" s="616"/>
      <c r="I3719" s="616"/>
      <c r="J3719" s="645"/>
      <c r="K3719" s="450"/>
      <c r="L3719" s="451"/>
      <c r="M3719" s="451"/>
      <c r="N3719" s="450"/>
      <c r="O3719" s="588">
        <f>IF(TrialBalanceB!I94&gt;0,TrialBalanceB!I94,0)</f>
        <v>0</v>
      </c>
      <c r="P3719" s="454"/>
      <c r="R3719" s="490" t="str">
        <f t="shared" si="250"/>
        <v>DELETE</v>
      </c>
      <c r="T3719" s="498"/>
    </row>
    <row r="3720" spans="3:20" ht="36" customHeight="1" x14ac:dyDescent="0.45">
      <c r="C3720" s="575"/>
      <c r="D3720" s="616" t="s">
        <v>874</v>
      </c>
      <c r="E3720" s="616"/>
      <c r="F3720" s="616"/>
      <c r="G3720" s="616"/>
      <c r="H3720" s="616"/>
      <c r="I3720" s="616"/>
      <c r="J3720" s="645"/>
      <c r="K3720" s="450"/>
      <c r="L3720" s="451"/>
      <c r="M3720" s="451"/>
      <c r="N3720" s="450"/>
      <c r="O3720" s="588">
        <f>TrialBalanceB!I124</f>
        <v>0</v>
      </c>
      <c r="P3720" s="454"/>
      <c r="R3720" s="490" t="str">
        <f t="shared" si="250"/>
        <v>DELETE</v>
      </c>
      <c r="T3720" s="498"/>
    </row>
    <row r="3721" spans="3:20" ht="36" customHeight="1" x14ac:dyDescent="0.45">
      <c r="C3721" s="575"/>
      <c r="D3721" s="616" t="s">
        <v>293</v>
      </c>
      <c r="E3721" s="616"/>
      <c r="F3721" s="616"/>
      <c r="G3721" s="616"/>
      <c r="H3721" s="616"/>
      <c r="I3721" s="616"/>
      <c r="J3721" s="645"/>
      <c r="K3721" s="450"/>
      <c r="L3721" s="451"/>
      <c r="M3721" s="451"/>
      <c r="N3721" s="450"/>
      <c r="O3721" s="588">
        <f>TrialBalanceB!I125</f>
        <v>0</v>
      </c>
      <c r="P3721" s="454"/>
      <c r="R3721" s="490" t="str">
        <f t="shared" si="250"/>
        <v>DELETE</v>
      </c>
      <c r="T3721" s="498"/>
    </row>
    <row r="3722" spans="3:20" ht="36" customHeight="1" x14ac:dyDescent="0.45">
      <c r="C3722" s="575"/>
      <c r="D3722" s="616" t="s">
        <v>286</v>
      </c>
      <c r="E3722" s="616"/>
      <c r="F3722" s="616"/>
      <c r="G3722" s="616"/>
      <c r="H3722" s="616"/>
      <c r="I3722" s="616"/>
      <c r="J3722" s="645"/>
      <c r="K3722" s="450"/>
      <c r="L3722" s="451"/>
      <c r="M3722" s="451"/>
      <c r="N3722" s="450"/>
      <c r="O3722" s="588">
        <f>SUM(TrialBalanceB!I126:I127)</f>
        <v>0</v>
      </c>
      <c r="P3722" s="454"/>
      <c r="R3722" s="490" t="str">
        <f t="shared" si="250"/>
        <v>DELETE</v>
      </c>
      <c r="T3722" s="498"/>
    </row>
    <row r="3723" spans="3:20" ht="36" customHeight="1" x14ac:dyDescent="0.45">
      <c r="C3723" s="575"/>
      <c r="D3723" s="616" t="s">
        <v>294</v>
      </c>
      <c r="E3723" s="616"/>
      <c r="F3723" s="616"/>
      <c r="G3723" s="616"/>
      <c r="H3723" s="616"/>
      <c r="I3723" s="616"/>
      <c r="J3723" s="645"/>
      <c r="K3723" s="450"/>
      <c r="L3723" s="451"/>
      <c r="M3723" s="451"/>
      <c r="N3723" s="450"/>
      <c r="O3723" s="588">
        <f>TrialBalanceB!I128</f>
        <v>0</v>
      </c>
      <c r="P3723" s="454"/>
      <c r="R3723" s="490" t="str">
        <f t="shared" si="250"/>
        <v>DELETE</v>
      </c>
      <c r="T3723" s="498"/>
    </row>
    <row r="3724" spans="3:20" ht="36" customHeight="1" x14ac:dyDescent="0.45">
      <c r="C3724" s="575"/>
      <c r="D3724" s="616" t="s">
        <v>875</v>
      </c>
      <c r="E3724" s="616"/>
      <c r="F3724" s="616"/>
      <c r="G3724" s="616"/>
      <c r="H3724" s="616"/>
      <c r="I3724" s="616"/>
      <c r="J3724" s="645"/>
      <c r="K3724" s="450"/>
      <c r="L3724" s="451"/>
      <c r="M3724" s="451"/>
      <c r="N3724" s="450"/>
      <c r="O3724" s="588">
        <f>TrialBalanceB!I129</f>
        <v>0</v>
      </c>
      <c r="P3724" s="454"/>
      <c r="R3724" s="490" t="str">
        <f t="shared" si="250"/>
        <v>DELETE</v>
      </c>
      <c r="T3724" s="498"/>
    </row>
    <row r="3725" spans="3:20" ht="36" customHeight="1" x14ac:dyDescent="0.45">
      <c r="C3725" s="575"/>
      <c r="D3725" s="616" t="s">
        <v>94</v>
      </c>
      <c r="E3725" s="616"/>
      <c r="F3725" s="616"/>
      <c r="G3725" s="616"/>
      <c r="H3725" s="616"/>
      <c r="I3725" s="616"/>
      <c r="J3725" s="645"/>
      <c r="K3725" s="450"/>
      <c r="L3725" s="451"/>
      <c r="M3725" s="451"/>
      <c r="N3725" s="450"/>
      <c r="O3725" s="588">
        <f>TrialBalanceB!I130</f>
        <v>0</v>
      </c>
      <c r="P3725" s="454"/>
      <c r="R3725" s="490" t="str">
        <f t="shared" si="250"/>
        <v>DELETE</v>
      </c>
      <c r="T3725" s="498"/>
    </row>
    <row r="3726" spans="3:20" ht="36" customHeight="1" x14ac:dyDescent="0.45">
      <c r="C3726" s="575"/>
      <c r="D3726" s="616">
        <f>TrialBalanceB!C131</f>
        <v>0</v>
      </c>
      <c r="E3726" s="616"/>
      <c r="F3726" s="616"/>
      <c r="G3726" s="616"/>
      <c r="H3726" s="616"/>
      <c r="I3726" s="616"/>
      <c r="J3726" s="645"/>
      <c r="K3726" s="450"/>
      <c r="L3726" s="451"/>
      <c r="M3726" s="451"/>
      <c r="N3726" s="450"/>
      <c r="O3726" s="588">
        <f>TrialBalanceB!I131</f>
        <v>0</v>
      </c>
      <c r="P3726" s="454"/>
      <c r="R3726" s="490" t="str">
        <f t="shared" si="250"/>
        <v>DELETE</v>
      </c>
      <c r="T3726" s="498"/>
    </row>
    <row r="3727" spans="3:20" ht="36" customHeight="1" x14ac:dyDescent="0.45">
      <c r="C3727" s="575"/>
      <c r="D3727" s="616">
        <f>TrialBalanceB!C132</f>
        <v>0</v>
      </c>
      <c r="E3727" s="616"/>
      <c r="F3727" s="616"/>
      <c r="G3727" s="616"/>
      <c r="H3727" s="616"/>
      <c r="I3727" s="616"/>
      <c r="J3727" s="645"/>
      <c r="K3727" s="450"/>
      <c r="L3727" s="451"/>
      <c r="M3727" s="451"/>
      <c r="N3727" s="450"/>
      <c r="O3727" s="588">
        <f>TrialBalanceB!I132</f>
        <v>0</v>
      </c>
      <c r="P3727" s="454"/>
      <c r="R3727" s="490" t="str">
        <f t="shared" si="250"/>
        <v>DELETE</v>
      </c>
      <c r="T3727" s="498"/>
    </row>
    <row r="3728" spans="3:20" ht="36" customHeight="1" x14ac:dyDescent="0.45">
      <c r="C3728" s="575"/>
      <c r="D3728" s="616">
        <f>TrialBalanceB!C133</f>
        <v>0</v>
      </c>
      <c r="E3728" s="616"/>
      <c r="F3728" s="616"/>
      <c r="G3728" s="616"/>
      <c r="H3728" s="616"/>
      <c r="I3728" s="616"/>
      <c r="J3728" s="645"/>
      <c r="K3728" s="450"/>
      <c r="L3728" s="451"/>
      <c r="M3728" s="451"/>
      <c r="N3728" s="450"/>
      <c r="O3728" s="588">
        <f>TrialBalanceB!I133</f>
        <v>0</v>
      </c>
      <c r="P3728" s="454"/>
      <c r="R3728" s="490" t="str">
        <f t="shared" si="250"/>
        <v>DELETE</v>
      </c>
      <c r="T3728" s="498"/>
    </row>
    <row r="3729" spans="3:24" ht="36" customHeight="1" x14ac:dyDescent="0.45">
      <c r="C3729" s="575"/>
      <c r="D3729" s="616">
        <f>TrialBalanceB!C134</f>
        <v>0</v>
      </c>
      <c r="E3729" s="616"/>
      <c r="F3729" s="616"/>
      <c r="G3729" s="616"/>
      <c r="H3729" s="616"/>
      <c r="I3729" s="616"/>
      <c r="J3729" s="645"/>
      <c r="K3729" s="450"/>
      <c r="L3729" s="451"/>
      <c r="M3729" s="451"/>
      <c r="N3729" s="450"/>
      <c r="O3729" s="588">
        <f>TrialBalanceB!I134</f>
        <v>0</v>
      </c>
      <c r="P3729" s="454"/>
      <c r="R3729" s="490" t="str">
        <f t="shared" si="250"/>
        <v>DELETE</v>
      </c>
      <c r="T3729" s="498"/>
    </row>
    <row r="3730" spans="3:24" ht="36" customHeight="1" x14ac:dyDescent="0.45">
      <c r="C3730" s="575"/>
      <c r="D3730" s="616">
        <f>TrialBalanceB!C135</f>
        <v>0</v>
      </c>
      <c r="E3730" s="616"/>
      <c r="F3730" s="616"/>
      <c r="G3730" s="616"/>
      <c r="H3730" s="616"/>
      <c r="I3730" s="616"/>
      <c r="J3730" s="645"/>
      <c r="K3730" s="450"/>
      <c r="L3730" s="451"/>
      <c r="M3730" s="451"/>
      <c r="N3730" s="450"/>
      <c r="O3730" s="588">
        <f>TrialBalanceB!I135</f>
        <v>0</v>
      </c>
      <c r="P3730" s="454"/>
      <c r="R3730" s="490" t="str">
        <f t="shared" si="250"/>
        <v>DELETE</v>
      </c>
      <c r="T3730" s="498"/>
    </row>
    <row r="3731" spans="3:24" ht="36" customHeight="1" x14ac:dyDescent="0.45">
      <c r="C3731" s="575"/>
      <c r="D3731" s="616">
        <f>TrialBalanceB!C136</f>
        <v>0</v>
      </c>
      <c r="E3731" s="616"/>
      <c r="F3731" s="616"/>
      <c r="G3731" s="616"/>
      <c r="H3731" s="616"/>
      <c r="I3731" s="616"/>
      <c r="J3731" s="645"/>
      <c r="K3731" s="450"/>
      <c r="L3731" s="451"/>
      <c r="M3731" s="451"/>
      <c r="N3731" s="450"/>
      <c r="O3731" s="588">
        <f>TrialBalanceB!I136</f>
        <v>0</v>
      </c>
      <c r="P3731" s="454"/>
      <c r="R3731" s="490" t="str">
        <f t="shared" si="250"/>
        <v>DELETE</v>
      </c>
      <c r="T3731" s="498"/>
    </row>
    <row r="3732" spans="3:24" ht="36" customHeight="1" x14ac:dyDescent="0.45">
      <c r="C3732" s="575"/>
      <c r="D3732" s="616">
        <f>TrialBalanceB!C137</f>
        <v>0</v>
      </c>
      <c r="E3732" s="616"/>
      <c r="F3732" s="616"/>
      <c r="G3732" s="616"/>
      <c r="H3732" s="616"/>
      <c r="I3732" s="616"/>
      <c r="J3732" s="645"/>
      <c r="K3732" s="450"/>
      <c r="L3732" s="451"/>
      <c r="M3732" s="451"/>
      <c r="N3732" s="450"/>
      <c r="O3732" s="588">
        <f>TrialBalanceB!I137</f>
        <v>0</v>
      </c>
      <c r="P3732" s="454"/>
      <c r="R3732" s="490" t="str">
        <f t="shared" si="250"/>
        <v>DELETE</v>
      </c>
      <c r="T3732" s="498"/>
    </row>
    <row r="3733" spans="3:24" ht="36" customHeight="1" x14ac:dyDescent="0.45">
      <c r="C3733" s="575"/>
      <c r="D3733" s="616">
        <f>TrialBalanceB!C138</f>
        <v>0</v>
      </c>
      <c r="E3733" s="616"/>
      <c r="F3733" s="616"/>
      <c r="G3733" s="616"/>
      <c r="H3733" s="616"/>
      <c r="I3733" s="616"/>
      <c r="J3733" s="645"/>
      <c r="K3733" s="450"/>
      <c r="L3733" s="451"/>
      <c r="M3733" s="451"/>
      <c r="N3733" s="450"/>
      <c r="O3733" s="588">
        <f>TrialBalanceB!I138</f>
        <v>0</v>
      </c>
      <c r="P3733" s="454"/>
      <c r="R3733" s="490" t="str">
        <f t="shared" si="250"/>
        <v>DELETE</v>
      </c>
      <c r="T3733" s="498"/>
    </row>
    <row r="3734" spans="3:24" ht="36" customHeight="1" x14ac:dyDescent="0.45">
      <c r="C3734" s="575"/>
      <c r="D3734" s="616">
        <f>TrialBalanceB!C139</f>
        <v>0</v>
      </c>
      <c r="E3734" s="616"/>
      <c r="F3734" s="616"/>
      <c r="G3734" s="616"/>
      <c r="H3734" s="616"/>
      <c r="I3734" s="616"/>
      <c r="J3734" s="645"/>
      <c r="K3734" s="450"/>
      <c r="L3734" s="451"/>
      <c r="M3734" s="451"/>
      <c r="N3734" s="450"/>
      <c r="O3734" s="588">
        <f>TrialBalanceB!I139</f>
        <v>0</v>
      </c>
      <c r="P3734" s="454"/>
      <c r="R3734" s="490" t="str">
        <f t="shared" si="250"/>
        <v>DELETE</v>
      </c>
      <c r="T3734" s="498"/>
    </row>
    <row r="3735" spans="3:24" ht="36" customHeight="1" x14ac:dyDescent="0.45">
      <c r="C3735" s="575"/>
      <c r="D3735" s="616" t="str">
        <f>TrialBalanceB!C140</f>
        <v>Amortisation of prepaid lease agreement</v>
      </c>
      <c r="E3735" s="616"/>
      <c r="F3735" s="616"/>
      <c r="G3735" s="616"/>
      <c r="H3735" s="616"/>
      <c r="I3735" s="616"/>
      <c r="J3735" s="645"/>
      <c r="K3735" s="450"/>
      <c r="L3735" s="451"/>
      <c r="M3735" s="451"/>
      <c r="N3735" s="450"/>
      <c r="O3735" s="588">
        <f>TrialBalanceB!I140</f>
        <v>0</v>
      </c>
      <c r="P3735" s="454"/>
      <c r="R3735" s="490" t="str">
        <f t="shared" si="250"/>
        <v>DELETE</v>
      </c>
      <c r="T3735" s="498"/>
    </row>
    <row r="3736" spans="3:24" ht="36" customHeight="1" x14ac:dyDescent="0.45">
      <c r="C3736" s="575"/>
      <c r="D3736" s="616" t="str">
        <f>TrialBalanceB!C141</f>
        <v>Amortisation of goodwill</v>
      </c>
      <c r="E3736" s="616"/>
      <c r="F3736" s="616"/>
      <c r="G3736" s="616"/>
      <c r="H3736" s="616"/>
      <c r="I3736" s="616"/>
      <c r="J3736" s="645"/>
      <c r="K3736" s="450"/>
      <c r="L3736" s="451"/>
      <c r="M3736" s="451"/>
      <c r="N3736" s="450"/>
      <c r="O3736" s="588">
        <f>TrialBalanceB!I141</f>
        <v>0</v>
      </c>
      <c r="P3736" s="454"/>
      <c r="R3736" s="490" t="str">
        <f t="shared" ref="R3736" si="252">IF(R$3602="DELETE","DELETE",IF(O3736=0,"DELETE"," "))</f>
        <v>DELETE</v>
      </c>
      <c r="T3736" s="498"/>
    </row>
    <row r="3737" spans="3:24" ht="9" customHeight="1" x14ac:dyDescent="0.45">
      <c r="C3737" s="575"/>
      <c r="D3737" s="616"/>
      <c r="E3737" s="616"/>
      <c r="F3737" s="616"/>
      <c r="G3737" s="616"/>
      <c r="H3737" s="616"/>
      <c r="I3737" s="616"/>
      <c r="J3737" s="645"/>
      <c r="K3737" s="450"/>
      <c r="L3737" s="451"/>
      <c r="M3737" s="451"/>
      <c r="N3737" s="450"/>
      <c r="O3737" s="589"/>
      <c r="P3737" s="454"/>
      <c r="R3737" s="490" t="str">
        <f>R3701</f>
        <v>DELETE</v>
      </c>
      <c r="T3737" s="498"/>
    </row>
    <row r="3738" spans="3:24" ht="9" customHeight="1" x14ac:dyDescent="0.45">
      <c r="C3738" s="575"/>
      <c r="D3738" s="616"/>
      <c r="E3738" s="616"/>
      <c r="F3738" s="616"/>
      <c r="G3738" s="616"/>
      <c r="H3738" s="616"/>
      <c r="I3738" s="616"/>
      <c r="J3738" s="645"/>
      <c r="K3738" s="450"/>
      <c r="L3738" s="451"/>
      <c r="M3738" s="451"/>
      <c r="N3738" s="450"/>
      <c r="O3738" s="461"/>
      <c r="P3738" s="454"/>
      <c r="R3738" s="490" t="str">
        <f t="shared" ref="R3738:R3741" si="253">R$3602</f>
        <v>DELETE</v>
      </c>
      <c r="T3738" s="498"/>
    </row>
    <row r="3739" spans="3:24" ht="9" customHeight="1" x14ac:dyDescent="0.45">
      <c r="C3739" s="575"/>
      <c r="D3739" s="616"/>
      <c r="E3739" s="616"/>
      <c r="F3739" s="616"/>
      <c r="G3739" s="616"/>
      <c r="H3739" s="616"/>
      <c r="I3739" s="616"/>
      <c r="J3739" s="645"/>
      <c r="K3739" s="450"/>
      <c r="L3739" s="451"/>
      <c r="M3739" s="451"/>
      <c r="N3739" s="450"/>
      <c r="O3739" s="458"/>
      <c r="P3739" s="454"/>
      <c r="R3739" s="490" t="str">
        <f t="shared" si="253"/>
        <v>DELETE</v>
      </c>
      <c r="T3739" s="498"/>
    </row>
    <row r="3740" spans="3:24" ht="36" customHeight="1" x14ac:dyDescent="0.45">
      <c r="D3740" s="637" t="str">
        <f>IF(O3740&lt;0,"Operating loss for the year","Operating profit for the year")</f>
        <v>Operating profit for the year</v>
      </c>
      <c r="E3740" s="616"/>
      <c r="F3740" s="616"/>
      <c r="G3740" s="616"/>
      <c r="H3740" s="616"/>
      <c r="I3740" s="616"/>
      <c r="J3740" s="645"/>
      <c r="K3740" s="450">
        <f>FS!B1250</f>
        <v>5</v>
      </c>
      <c r="L3740" s="451"/>
      <c r="M3740" s="451"/>
      <c r="N3740" s="450"/>
      <c r="O3740" s="458">
        <f>SUM(S3614:S3737)</f>
        <v>0</v>
      </c>
      <c r="P3740" s="454"/>
      <c r="R3740" s="490" t="str">
        <f t="shared" si="253"/>
        <v>DELETE</v>
      </c>
      <c r="T3740" s="498"/>
    </row>
    <row r="3741" spans="3:24" ht="36" customHeight="1" x14ac:dyDescent="0.45">
      <c r="C3741" s="575"/>
      <c r="D3741" s="616"/>
      <c r="E3741" s="616"/>
      <c r="F3741" s="616"/>
      <c r="G3741" s="616"/>
      <c r="H3741" s="616"/>
      <c r="I3741" s="616"/>
      <c r="J3741" s="645"/>
      <c r="K3741" s="450"/>
      <c r="L3741" s="451"/>
      <c r="M3741" s="451"/>
      <c r="N3741" s="450"/>
      <c r="O3741" s="458"/>
      <c r="P3741" s="454"/>
      <c r="R3741" s="490" t="str">
        <f t="shared" si="253"/>
        <v>DELETE</v>
      </c>
      <c r="T3741" s="498"/>
    </row>
    <row r="3742" spans="3:24" ht="36" customHeight="1" x14ac:dyDescent="0.45">
      <c r="D3742" s="615" t="s">
        <v>225</v>
      </c>
      <c r="E3742" s="616"/>
      <c r="F3742" s="616"/>
      <c r="G3742" s="616"/>
      <c r="H3742" s="616"/>
      <c r="I3742" s="616"/>
      <c r="J3742" s="645"/>
      <c r="K3742" s="450">
        <f>FS!B1364</f>
        <v>6</v>
      </c>
      <c r="L3742" s="451"/>
      <c r="M3742" s="451"/>
      <c r="N3742" s="450"/>
      <c r="O3742" s="458">
        <f>SUM(O3745:O3751)</f>
        <v>0</v>
      </c>
      <c r="P3742" s="454"/>
      <c r="R3742" s="490" t="str">
        <f t="shared" ref="R3742" si="254">IF(R$3602="DELETE","DELETE",IF(O3742=0,"DELETE"," "))</f>
        <v>DELETE</v>
      </c>
      <c r="S3742" s="495">
        <f>O3742</f>
        <v>0</v>
      </c>
      <c r="T3742" s="498"/>
      <c r="U3742" s="495"/>
      <c r="V3742" s="495"/>
      <c r="W3742" s="495"/>
      <c r="X3742" s="495"/>
    </row>
    <row r="3743" spans="3:24" ht="9" customHeight="1" x14ac:dyDescent="0.45">
      <c r="C3743" s="575"/>
      <c r="D3743" s="616"/>
      <c r="E3743" s="616"/>
      <c r="F3743" s="616"/>
      <c r="G3743" s="616"/>
      <c r="H3743" s="616"/>
      <c r="I3743" s="616"/>
      <c r="J3743" s="645"/>
      <c r="K3743" s="450"/>
      <c r="L3743" s="451"/>
      <c r="M3743" s="451"/>
      <c r="N3743" s="450"/>
      <c r="O3743" s="458"/>
      <c r="P3743" s="454"/>
      <c r="R3743" s="490" t="str">
        <f>R3742</f>
        <v>DELETE</v>
      </c>
      <c r="T3743" s="498"/>
    </row>
    <row r="3744" spans="3:24" ht="9" customHeight="1" x14ac:dyDescent="0.45">
      <c r="C3744" s="575"/>
      <c r="D3744" s="616"/>
      <c r="E3744" s="616"/>
      <c r="F3744" s="616"/>
      <c r="G3744" s="616"/>
      <c r="H3744" s="616"/>
      <c r="I3744" s="616"/>
      <c r="J3744" s="645"/>
      <c r="K3744" s="450"/>
      <c r="L3744" s="451"/>
      <c r="M3744" s="451"/>
      <c r="N3744" s="450"/>
      <c r="O3744" s="587"/>
      <c r="P3744" s="454"/>
      <c r="R3744" s="490" t="str">
        <f>R3743</f>
        <v>DELETE</v>
      </c>
      <c r="T3744" s="498"/>
    </row>
    <row r="3745" spans="3:24" ht="36" customHeight="1" x14ac:dyDescent="0.45">
      <c r="C3745" s="575"/>
      <c r="D3745" s="616" t="s">
        <v>223</v>
      </c>
      <c r="E3745" s="616"/>
      <c r="F3745" s="616"/>
      <c r="G3745" s="616"/>
      <c r="H3745" s="616"/>
      <c r="I3745" s="616"/>
      <c r="J3745" s="645"/>
      <c r="K3745" s="450"/>
      <c r="L3745" s="451"/>
      <c r="M3745" s="451"/>
      <c r="N3745" s="450"/>
      <c r="O3745" s="588">
        <f>-TrialBalanceB!I95</f>
        <v>0</v>
      </c>
      <c r="P3745" s="454"/>
      <c r="R3745" s="490" t="str">
        <f t="shared" ref="R3745:R3750" si="255">IF(R$3602="DELETE","DELETE",IF(O3745=0,"DELETE"," "))</f>
        <v>DELETE</v>
      </c>
      <c r="T3745" s="498"/>
    </row>
    <row r="3746" spans="3:24" ht="36" customHeight="1" x14ac:dyDescent="0.45">
      <c r="C3746" s="575"/>
      <c r="D3746" s="616" t="s">
        <v>567</v>
      </c>
      <c r="E3746" s="616"/>
      <c r="F3746" s="616"/>
      <c r="G3746" s="616"/>
      <c r="H3746" s="616"/>
      <c r="I3746" s="616"/>
      <c r="J3746" s="645"/>
      <c r="K3746" s="450"/>
      <c r="L3746" s="451"/>
      <c r="M3746" s="451"/>
      <c r="N3746" s="450"/>
      <c r="O3746" s="588">
        <f>-SUM(TrialBalanceB!I91:I93)</f>
        <v>0</v>
      </c>
      <c r="P3746" s="454"/>
      <c r="R3746" s="490" t="str">
        <f t="shared" si="255"/>
        <v>DELETE</v>
      </c>
      <c r="T3746" s="498"/>
    </row>
    <row r="3747" spans="3:24" ht="36" customHeight="1" x14ac:dyDescent="0.45">
      <c r="C3747" s="575"/>
      <c r="D3747" s="616" t="s">
        <v>568</v>
      </c>
      <c r="E3747" s="616"/>
      <c r="F3747" s="616"/>
      <c r="G3747" s="616"/>
      <c r="H3747" s="616"/>
      <c r="I3747" s="616"/>
      <c r="J3747" s="645"/>
      <c r="K3747" s="450"/>
      <c r="L3747" s="451"/>
      <c r="M3747" s="451"/>
      <c r="N3747" s="450"/>
      <c r="O3747" s="604">
        <f>-SUM(TrialBalanceB!I86:I89)</f>
        <v>0</v>
      </c>
      <c r="P3747" s="454"/>
      <c r="R3747" s="490" t="str">
        <f t="shared" si="255"/>
        <v>DELETE</v>
      </c>
      <c r="T3747" s="498"/>
    </row>
    <row r="3748" spans="3:24" ht="36" customHeight="1" x14ac:dyDescent="0.45">
      <c r="C3748" s="575"/>
      <c r="D3748" s="616" t="s">
        <v>225</v>
      </c>
      <c r="E3748" s="616"/>
      <c r="F3748" s="616"/>
      <c r="G3748" s="616"/>
      <c r="H3748" s="616"/>
      <c r="I3748" s="616"/>
      <c r="J3748" s="645"/>
      <c r="K3748" s="450"/>
      <c r="L3748" s="451"/>
      <c r="M3748" s="451"/>
      <c r="N3748" s="450"/>
      <c r="O3748" s="604">
        <f>-SUM(TrialBalanceB!I96)</f>
        <v>0</v>
      </c>
      <c r="P3748" s="454"/>
      <c r="R3748" s="490" t="str">
        <f t="shared" si="255"/>
        <v>DELETE</v>
      </c>
      <c r="T3748" s="498"/>
    </row>
    <row r="3749" spans="3:24" ht="36" customHeight="1" x14ac:dyDescent="0.45">
      <c r="C3749" s="575"/>
      <c r="D3749" s="616" t="s">
        <v>589</v>
      </c>
      <c r="E3749" s="616"/>
      <c r="F3749" s="616"/>
      <c r="G3749" s="616"/>
      <c r="H3749" s="616"/>
      <c r="I3749" s="616"/>
      <c r="J3749" s="645"/>
      <c r="K3749" s="450"/>
      <c r="L3749" s="451"/>
      <c r="M3749" s="451"/>
      <c r="N3749" s="450"/>
      <c r="O3749" s="588">
        <f>IF(TrialBalanceB!I94&lt;0,-TrialBalanceB!I94,0)</f>
        <v>0</v>
      </c>
      <c r="P3749" s="454"/>
      <c r="R3749" s="490" t="str">
        <f t="shared" si="255"/>
        <v>DELETE</v>
      </c>
      <c r="T3749" s="498"/>
    </row>
    <row r="3750" spans="3:24" ht="36" customHeight="1" x14ac:dyDescent="0.45">
      <c r="C3750" s="575"/>
      <c r="D3750" s="616" t="s">
        <v>398</v>
      </c>
      <c r="E3750" s="616"/>
      <c r="F3750" s="616"/>
      <c r="G3750" s="616"/>
      <c r="H3750" s="616"/>
      <c r="I3750" s="616"/>
      <c r="J3750" s="645"/>
      <c r="K3750" s="450"/>
      <c r="L3750" s="451"/>
      <c r="M3750" s="451"/>
      <c r="N3750" s="450"/>
      <c r="O3750" s="588">
        <f>-TrialBalanceB!I84</f>
        <v>0</v>
      </c>
      <c r="P3750" s="454"/>
      <c r="R3750" s="490" t="str">
        <f t="shared" si="255"/>
        <v>DELETE</v>
      </c>
      <c r="T3750" s="498"/>
    </row>
    <row r="3751" spans="3:24" ht="9" customHeight="1" x14ac:dyDescent="0.45">
      <c r="C3751" s="575"/>
      <c r="D3751" s="616"/>
      <c r="E3751" s="616"/>
      <c r="F3751" s="616"/>
      <c r="G3751" s="616"/>
      <c r="H3751" s="616"/>
      <c r="I3751" s="616"/>
      <c r="J3751" s="645"/>
      <c r="K3751" s="450"/>
      <c r="L3751" s="451"/>
      <c r="M3751" s="451"/>
      <c r="N3751" s="450"/>
      <c r="O3751" s="589"/>
      <c r="P3751" s="454"/>
      <c r="R3751" s="490" t="str">
        <f>R3742</f>
        <v>DELETE</v>
      </c>
      <c r="T3751" s="498"/>
    </row>
    <row r="3752" spans="3:24" ht="9" customHeight="1" x14ac:dyDescent="0.45">
      <c r="C3752" s="575"/>
      <c r="D3752" s="616"/>
      <c r="E3752" s="616"/>
      <c r="F3752" s="616"/>
      <c r="G3752" s="616"/>
      <c r="H3752" s="616"/>
      <c r="I3752" s="616"/>
      <c r="J3752" s="645"/>
      <c r="K3752" s="450"/>
      <c r="L3752" s="451"/>
      <c r="M3752" s="451"/>
      <c r="N3752" s="450"/>
      <c r="O3752" s="461"/>
      <c r="P3752" s="454"/>
      <c r="R3752" s="490" t="str">
        <f>R$3754</f>
        <v>DELETE</v>
      </c>
      <c r="T3752" s="498"/>
    </row>
    <row r="3753" spans="3:24" ht="9" customHeight="1" x14ac:dyDescent="0.45">
      <c r="C3753" s="575"/>
      <c r="D3753" s="616"/>
      <c r="E3753" s="616"/>
      <c r="F3753" s="616"/>
      <c r="G3753" s="616"/>
      <c r="H3753" s="616"/>
      <c r="I3753" s="616"/>
      <c r="J3753" s="645"/>
      <c r="K3753" s="450"/>
      <c r="L3753" s="451"/>
      <c r="M3753" s="451"/>
      <c r="N3753" s="450"/>
      <c r="O3753" s="458"/>
      <c r="P3753" s="454"/>
      <c r="R3753" s="490" t="str">
        <f>R$3754</f>
        <v>DELETE</v>
      </c>
      <c r="T3753" s="498"/>
    </row>
    <row r="3754" spans="3:24" ht="36" customHeight="1" x14ac:dyDescent="0.45">
      <c r="C3754" s="575"/>
      <c r="D3754" s="616"/>
      <c r="E3754" s="616"/>
      <c r="F3754" s="616"/>
      <c r="G3754" s="616"/>
      <c r="H3754" s="616"/>
      <c r="I3754" s="616"/>
      <c r="J3754" s="645"/>
      <c r="K3754" s="450"/>
      <c r="L3754" s="451"/>
      <c r="M3754" s="451"/>
      <c r="N3754" s="450"/>
      <c r="O3754" s="458">
        <f>SUM(S3614:S3751)</f>
        <v>0</v>
      </c>
      <c r="P3754" s="454"/>
      <c r="R3754" s="490" t="str">
        <f>IF(R$3602="DELETE","DELETE",IF(O3742=0,"DELETE",IF(O3754=O3759,"DELETE"," ")))</f>
        <v>DELETE</v>
      </c>
      <c r="T3754" s="498"/>
    </row>
    <row r="3755" spans="3:24" ht="36" customHeight="1" x14ac:dyDescent="0.45">
      <c r="C3755" s="575"/>
      <c r="D3755" s="616"/>
      <c r="E3755" s="616"/>
      <c r="F3755" s="616"/>
      <c r="G3755" s="616"/>
      <c r="H3755" s="616"/>
      <c r="I3755" s="616"/>
      <c r="J3755" s="645"/>
      <c r="K3755" s="450"/>
      <c r="L3755" s="451"/>
      <c r="M3755" s="451"/>
      <c r="N3755" s="450"/>
      <c r="O3755" s="458"/>
      <c r="P3755" s="454"/>
      <c r="R3755" s="490" t="str">
        <f>R3754</f>
        <v>DELETE</v>
      </c>
      <c r="T3755" s="498"/>
    </row>
    <row r="3756" spans="3:24" ht="36" customHeight="1" x14ac:dyDescent="0.45">
      <c r="D3756" s="616" t="s">
        <v>1534</v>
      </c>
      <c r="E3756" s="616"/>
      <c r="F3756" s="616"/>
      <c r="G3756" s="616"/>
      <c r="H3756" s="616"/>
      <c r="I3756" s="616"/>
      <c r="J3756" s="645"/>
      <c r="K3756" s="450">
        <f>FS!B1423</f>
        <v>7</v>
      </c>
      <c r="L3756" s="451"/>
      <c r="M3756" s="451"/>
      <c r="N3756" s="450"/>
      <c r="O3756" s="458">
        <f>SUM(TrialBalanceB!I144:I154)</f>
        <v>0</v>
      </c>
      <c r="P3756" s="454"/>
      <c r="R3756" s="490" t="str">
        <f t="shared" ref="R3756" si="256">IF(R$3602="DELETE","DELETE",IF(O3756=0,"DELETE"," "))</f>
        <v>DELETE</v>
      </c>
      <c r="S3756" s="495">
        <f>-O3756</f>
        <v>0</v>
      </c>
      <c r="T3756" s="498"/>
      <c r="U3756" s="495"/>
      <c r="V3756" s="495"/>
      <c r="W3756" s="495"/>
      <c r="X3756" s="495"/>
    </row>
    <row r="3757" spans="3:24" ht="9" customHeight="1" x14ac:dyDescent="0.45">
      <c r="C3757" s="575"/>
      <c r="D3757" s="616"/>
      <c r="E3757" s="616"/>
      <c r="F3757" s="616"/>
      <c r="G3757" s="616"/>
      <c r="H3757" s="616"/>
      <c r="I3757" s="616"/>
      <c r="J3757" s="645"/>
      <c r="K3757" s="450"/>
      <c r="L3757" s="451"/>
      <c r="M3757" s="451"/>
      <c r="N3757" s="450"/>
      <c r="O3757" s="461"/>
      <c r="P3757" s="454"/>
      <c r="R3757" s="490" t="str">
        <f t="shared" ref="R3757:R3765" si="257">R$3602</f>
        <v>DELETE</v>
      </c>
      <c r="T3757" s="498"/>
    </row>
    <row r="3758" spans="3:24" ht="9" customHeight="1" x14ac:dyDescent="0.45">
      <c r="C3758" s="575"/>
      <c r="D3758" s="616"/>
      <c r="E3758" s="616"/>
      <c r="F3758" s="616"/>
      <c r="G3758" s="616"/>
      <c r="H3758" s="616"/>
      <c r="I3758" s="616"/>
      <c r="J3758" s="645"/>
      <c r="K3758" s="450"/>
      <c r="L3758" s="451"/>
      <c r="M3758" s="451"/>
      <c r="N3758" s="450"/>
      <c r="O3758" s="458"/>
      <c r="P3758" s="454"/>
      <c r="R3758" s="490" t="str">
        <f t="shared" si="257"/>
        <v>DELETE</v>
      </c>
      <c r="T3758" s="498"/>
    </row>
    <row r="3759" spans="3:24" ht="36.75" customHeight="1" x14ac:dyDescent="0.45">
      <c r="D3759" s="637" t="str">
        <f>IF(O3759&lt;0,"Loss before taxation","Profit before taxation")</f>
        <v>Profit before taxation</v>
      </c>
      <c r="E3759" s="616"/>
      <c r="F3759" s="616"/>
      <c r="G3759" s="616"/>
      <c r="H3759" s="616"/>
      <c r="I3759" s="616"/>
      <c r="J3759" s="645"/>
      <c r="K3759" s="450"/>
      <c r="L3759" s="451"/>
      <c r="M3759" s="451"/>
      <c r="N3759" s="450"/>
      <c r="O3759" s="458">
        <f>SUM(S3614:S3758)</f>
        <v>0</v>
      </c>
      <c r="P3759" s="454"/>
      <c r="R3759" s="490" t="str">
        <f t="shared" si="257"/>
        <v>DELETE</v>
      </c>
      <c r="T3759" s="498"/>
      <c r="V3759" s="491" t="b">
        <f>O3759=FS!M2952</f>
        <v>1</v>
      </c>
    </row>
    <row r="3760" spans="3:24" ht="9" customHeight="1" thickBot="1" x14ac:dyDescent="0.5">
      <c r="C3760" s="575"/>
      <c r="D3760" s="616"/>
      <c r="E3760" s="616"/>
      <c r="F3760" s="616"/>
      <c r="G3760" s="616"/>
      <c r="H3760" s="616"/>
      <c r="I3760" s="616"/>
      <c r="J3760" s="645"/>
      <c r="K3760" s="450"/>
      <c r="L3760" s="451"/>
      <c r="M3760" s="451"/>
      <c r="N3760" s="450"/>
      <c r="O3760" s="462"/>
      <c r="P3760" s="454"/>
      <c r="R3760" s="490" t="str">
        <f t="shared" si="257"/>
        <v>DELETE</v>
      </c>
      <c r="T3760" s="498"/>
    </row>
    <row r="3761" spans="3:24" ht="9" customHeight="1" thickTop="1" x14ac:dyDescent="0.45">
      <c r="C3761" s="575"/>
      <c r="D3761" s="616"/>
      <c r="E3761" s="616"/>
      <c r="F3761" s="616"/>
      <c r="G3761" s="616"/>
      <c r="H3761" s="616"/>
      <c r="I3761" s="616"/>
      <c r="J3761" s="645"/>
      <c r="K3761" s="450"/>
      <c r="L3761" s="451"/>
      <c r="M3761" s="451"/>
      <c r="N3761" s="450"/>
      <c r="O3761" s="458"/>
      <c r="P3761" s="454"/>
      <c r="R3761" s="490" t="str">
        <f t="shared" si="257"/>
        <v>DELETE</v>
      </c>
      <c r="T3761" s="498"/>
    </row>
    <row r="3762" spans="3:24" ht="36" customHeight="1" x14ac:dyDescent="0.45">
      <c r="C3762" s="575"/>
      <c r="D3762" s="616"/>
      <c r="E3762" s="616"/>
      <c r="F3762" s="616"/>
      <c r="G3762" s="616"/>
      <c r="H3762" s="616"/>
      <c r="I3762" s="616"/>
      <c r="J3762" s="645"/>
      <c r="K3762" s="450"/>
      <c r="L3762" s="451"/>
      <c r="M3762" s="451"/>
      <c r="N3762" s="450"/>
      <c r="O3762" s="458"/>
      <c r="P3762" s="454"/>
      <c r="R3762" s="490" t="str">
        <f t="shared" si="257"/>
        <v>DELETE</v>
      </c>
      <c r="T3762" s="498"/>
    </row>
    <row r="3763" spans="3:24" ht="36" customHeight="1" x14ac:dyDescent="0.45">
      <c r="C3763" s="575"/>
      <c r="D3763" s="616"/>
      <c r="E3763" s="616"/>
      <c r="F3763" s="616"/>
      <c r="G3763" s="616"/>
      <c r="H3763" s="616"/>
      <c r="I3763" s="616"/>
      <c r="J3763" s="645"/>
      <c r="K3763" s="450"/>
      <c r="L3763" s="451"/>
      <c r="M3763" s="451"/>
      <c r="N3763" s="450"/>
      <c r="O3763" s="458"/>
      <c r="P3763" s="454"/>
      <c r="R3763" s="490" t="str">
        <f t="shared" si="257"/>
        <v>DELETE</v>
      </c>
      <c r="T3763" s="498"/>
    </row>
    <row r="3764" spans="3:24" ht="36" customHeight="1" x14ac:dyDescent="0.5">
      <c r="C3764" s="520"/>
      <c r="D3764" s="616"/>
      <c r="E3764" s="616"/>
      <c r="F3764" s="616"/>
      <c r="G3764" s="616"/>
      <c r="H3764" s="616"/>
      <c r="I3764" s="616"/>
      <c r="J3764" s="616"/>
      <c r="M3764" s="555"/>
      <c r="N3764" s="555"/>
      <c r="O3764" s="555"/>
      <c r="P3764" s="545"/>
      <c r="R3764" s="490" t="str">
        <f t="shared" si="257"/>
        <v>DELETE</v>
      </c>
      <c r="T3764" s="498"/>
    </row>
    <row r="3765" spans="3:24" ht="36" customHeight="1" x14ac:dyDescent="0.5">
      <c r="C3765" s="520"/>
      <c r="D3765" s="616"/>
      <c r="E3765" s="616"/>
      <c r="F3765" s="616"/>
      <c r="G3765" s="616"/>
      <c r="H3765" s="616"/>
      <c r="I3765" s="616"/>
      <c r="J3765" s="616"/>
      <c r="M3765" s="541"/>
      <c r="N3765" s="541"/>
      <c r="O3765" s="541"/>
      <c r="R3765" s="490" t="str">
        <f t="shared" si="257"/>
        <v>DELETE</v>
      </c>
      <c r="T3765" s="498"/>
    </row>
    <row r="3766" spans="3:24" ht="36" customHeight="1" x14ac:dyDescent="0.5">
      <c r="C3766" s="520"/>
      <c r="D3766" s="616"/>
      <c r="E3766" s="616"/>
      <c r="F3766" s="616"/>
      <c r="G3766" s="616"/>
      <c r="H3766" s="616"/>
      <c r="I3766" s="616"/>
      <c r="J3766" s="616"/>
      <c r="M3766" s="541"/>
      <c r="N3766" s="541"/>
      <c r="O3766" s="458" t="s">
        <v>112</v>
      </c>
      <c r="Q3766" s="450">
        <v>1</v>
      </c>
      <c r="R3766" s="490" t="str">
        <f>IF(SUM(U3778:U3780)+SUM(U3798:U3805)+SUM(U3906:U3915)+O3923=0,"DELETE",IF(SUM(S3778:S3780)+SUM(U3778:U3780)+SUM(S3798:S3805)+SUM(U3798:U3805)+SUM(S3906:S3915)+SUM(U3906:U3915)+M3923+O3923=0,"DELETE"," "))</f>
        <v>DELETE</v>
      </c>
      <c r="V3766" s="494"/>
      <c r="W3766" s="494"/>
      <c r="X3766" s="494"/>
    </row>
    <row r="3767" spans="3:24" ht="36" customHeight="1" x14ac:dyDescent="0.5">
      <c r="C3767" s="520"/>
      <c r="D3767" s="615" t="s">
        <v>705</v>
      </c>
      <c r="E3767" s="616"/>
      <c r="F3767" s="616"/>
      <c r="G3767" s="616"/>
      <c r="H3767" s="616"/>
      <c r="I3767" s="616"/>
      <c r="J3767" s="616"/>
      <c r="M3767" s="541"/>
      <c r="N3767" s="541"/>
      <c r="O3767" s="541"/>
      <c r="R3767" s="490" t="str">
        <f>R$3766</f>
        <v>DELETE</v>
      </c>
      <c r="V3767" s="493"/>
      <c r="X3767" s="493"/>
    </row>
    <row r="3768" spans="3:24" ht="36" customHeight="1" x14ac:dyDescent="0.5">
      <c r="C3768" s="520"/>
      <c r="D3768" s="616"/>
      <c r="E3768" s="616"/>
      <c r="F3768" s="616"/>
      <c r="G3768" s="616"/>
      <c r="H3768" s="616"/>
      <c r="I3768" s="616"/>
      <c r="J3768" s="616"/>
      <c r="M3768" s="541"/>
      <c r="N3768" s="541"/>
      <c r="O3768" s="541"/>
      <c r="R3768" s="490" t="str">
        <f t="shared" ref="R3768:R3777" si="258">R$3766</f>
        <v>DELETE</v>
      </c>
    </row>
    <row r="3769" spans="3:24" ht="36" customHeight="1" x14ac:dyDescent="0.5">
      <c r="C3769" s="520"/>
      <c r="D3769" s="615" t="str">
        <f>Criteria!E9</f>
        <v>ABC COMPANY (PROPRIETARY) LIMITED</v>
      </c>
      <c r="E3769" s="616"/>
      <c r="F3769" s="616"/>
      <c r="G3769" s="616"/>
      <c r="H3769" s="616"/>
      <c r="I3769" s="616"/>
      <c r="J3769" s="616"/>
      <c r="M3769" s="541"/>
      <c r="N3769" s="541"/>
      <c r="O3769" s="540"/>
      <c r="R3769" s="490" t="str">
        <f t="shared" si="258"/>
        <v>DELETE</v>
      </c>
    </row>
    <row r="3770" spans="3:24" ht="36" customHeight="1" x14ac:dyDescent="0.5">
      <c r="C3770" s="520"/>
      <c r="D3770" s="615" t="str">
        <f>CONCATENATE("T/A ",Criteria!E16)</f>
        <v xml:space="preserve">T/A </v>
      </c>
      <c r="E3770" s="616"/>
      <c r="F3770" s="616"/>
      <c r="G3770" s="616"/>
      <c r="H3770" s="616"/>
      <c r="I3770" s="616"/>
      <c r="J3770" s="616"/>
      <c r="M3770" s="541"/>
      <c r="N3770" s="541"/>
      <c r="O3770" s="541"/>
      <c r="R3770" s="490" t="str">
        <f t="shared" si="258"/>
        <v>DELETE</v>
      </c>
    </row>
    <row r="3771" spans="3:24" ht="36" customHeight="1" x14ac:dyDescent="0.5">
      <c r="C3771" s="520"/>
      <c r="D3771" s="616"/>
      <c r="E3771" s="616"/>
      <c r="F3771" s="616"/>
      <c r="G3771" s="616"/>
      <c r="H3771" s="616"/>
      <c r="I3771" s="616"/>
      <c r="J3771" s="616"/>
      <c r="M3771" s="541"/>
      <c r="N3771" s="541"/>
      <c r="O3771" s="541"/>
      <c r="R3771" s="490" t="str">
        <f t="shared" si="258"/>
        <v>DELETE</v>
      </c>
    </row>
    <row r="3772" spans="3:24" ht="36" customHeight="1" x14ac:dyDescent="0.5">
      <c r="C3772" s="520"/>
      <c r="D3772" s="615" t="s">
        <v>109</v>
      </c>
      <c r="E3772" s="616"/>
      <c r="F3772" s="616"/>
      <c r="G3772" s="616"/>
      <c r="H3772" s="616"/>
      <c r="I3772" s="616"/>
      <c r="J3772" s="616"/>
      <c r="M3772" s="541"/>
      <c r="N3772" s="541"/>
      <c r="O3772" s="541"/>
      <c r="R3772" s="490" t="str">
        <f t="shared" si="258"/>
        <v>DELETE</v>
      </c>
    </row>
    <row r="3773" spans="3:24" ht="36" customHeight="1" x14ac:dyDescent="0.5">
      <c r="C3773" s="520"/>
      <c r="D3773" s="615" t="str">
        <f>Criteria!E20</f>
        <v>28 FEBRUARY 2026</v>
      </c>
      <c r="E3773" s="616"/>
      <c r="F3773" s="616"/>
      <c r="G3773" s="616"/>
      <c r="H3773" s="616"/>
      <c r="I3773" s="616"/>
      <c r="J3773" s="616"/>
      <c r="M3773" s="541"/>
      <c r="N3773" s="541"/>
      <c r="O3773" s="541"/>
      <c r="R3773" s="490" t="str">
        <f t="shared" si="258"/>
        <v>DELETE</v>
      </c>
    </row>
    <row r="3774" spans="3:24" ht="36" customHeight="1" x14ac:dyDescent="0.5">
      <c r="C3774" s="520"/>
      <c r="D3774" s="616"/>
      <c r="E3774" s="616"/>
      <c r="F3774" s="616"/>
      <c r="G3774" s="616"/>
      <c r="H3774" s="616"/>
      <c r="I3774" s="616"/>
      <c r="J3774" s="616"/>
      <c r="M3774" s="541"/>
      <c r="N3774" s="541"/>
      <c r="O3774" s="541"/>
      <c r="R3774" s="490" t="str">
        <f t="shared" si="258"/>
        <v>DELETE</v>
      </c>
    </row>
    <row r="3775" spans="3:24" ht="36" customHeight="1" x14ac:dyDescent="0.5">
      <c r="C3775" s="520"/>
      <c r="D3775" s="634"/>
      <c r="E3775" s="634"/>
      <c r="F3775" s="634"/>
      <c r="G3775" s="634"/>
      <c r="H3775" s="634"/>
      <c r="I3775" s="634"/>
      <c r="J3775" s="634"/>
      <c r="K3775" s="457"/>
      <c r="L3775" s="457"/>
      <c r="M3775" s="557"/>
      <c r="N3775" s="557"/>
      <c r="O3775" s="557"/>
      <c r="P3775" s="551"/>
      <c r="Q3775" s="457"/>
      <c r="R3775" s="490" t="str">
        <f t="shared" si="258"/>
        <v>DELETE</v>
      </c>
    </row>
    <row r="3776" spans="3:24" ht="36" customHeight="1" x14ac:dyDescent="0.5">
      <c r="C3776" s="520"/>
      <c r="D3776" s="616"/>
      <c r="E3776" s="616"/>
      <c r="F3776" s="616"/>
      <c r="G3776" s="616"/>
      <c r="H3776" s="616"/>
      <c r="I3776" s="616"/>
      <c r="J3776" s="645"/>
      <c r="K3776" s="450" t="s">
        <v>1494</v>
      </c>
      <c r="L3776" s="450"/>
      <c r="M3776" s="453">
        <f>Criteria!E22</f>
        <v>2026</v>
      </c>
      <c r="N3776" s="453"/>
      <c r="O3776" s="453">
        <f>Criteria!E27</f>
        <v>2025</v>
      </c>
      <c r="P3776" s="454"/>
      <c r="R3776" s="490" t="str">
        <f t="shared" si="258"/>
        <v>DELETE</v>
      </c>
    </row>
    <row r="3777" spans="3:24" ht="36" customHeight="1" x14ac:dyDescent="0.5">
      <c r="C3777" s="520"/>
      <c r="D3777" s="616"/>
      <c r="E3777" s="616"/>
      <c r="F3777" s="616"/>
      <c r="G3777" s="616"/>
      <c r="H3777" s="616"/>
      <c r="I3777" s="616"/>
      <c r="J3777" s="645"/>
      <c r="K3777" s="450"/>
      <c r="L3777" s="450"/>
      <c r="M3777" s="458"/>
      <c r="N3777" s="458"/>
      <c r="O3777" s="458"/>
      <c r="P3777" s="454"/>
      <c r="R3777" s="490" t="str">
        <f t="shared" si="258"/>
        <v>DELETE</v>
      </c>
    </row>
    <row r="3778" spans="3:24" ht="36" customHeight="1" x14ac:dyDescent="0.45">
      <c r="D3778" s="615" t="s">
        <v>1194</v>
      </c>
      <c r="E3778" s="616"/>
      <c r="F3778" s="616"/>
      <c r="G3778" s="616"/>
      <c r="H3778" s="616"/>
      <c r="I3778" s="616"/>
      <c r="J3778" s="645"/>
      <c r="K3778" s="450"/>
      <c r="L3778" s="450"/>
      <c r="M3778" s="458">
        <f>-SUM(TrialBalanceC!I5:I10)</f>
        <v>0</v>
      </c>
      <c r="N3778" s="458"/>
      <c r="O3778" s="458">
        <f>-SUM(TrialBalanceC!K5:K10)</f>
        <v>0</v>
      </c>
      <c r="P3778" s="454"/>
      <c r="R3778" s="490" t="str">
        <f>IF(R3766="DELETE","DELETE",IF(M3778+O3778=0,IF(M3780+O3780=0," ","DELETE")," "))</f>
        <v>DELETE</v>
      </c>
      <c r="S3778" s="495">
        <f>M3778</f>
        <v>0</v>
      </c>
      <c r="T3778" s="495"/>
      <c r="U3778" s="495">
        <f>O3778</f>
        <v>0</v>
      </c>
      <c r="V3778" s="495"/>
      <c r="W3778" s="495"/>
      <c r="X3778" s="495"/>
    </row>
    <row r="3779" spans="3:24" ht="36" customHeight="1" x14ac:dyDescent="0.45">
      <c r="D3779" s="615"/>
      <c r="E3779" s="616"/>
      <c r="F3779" s="616"/>
      <c r="G3779" s="616"/>
      <c r="H3779" s="616"/>
      <c r="I3779" s="616"/>
      <c r="J3779" s="645"/>
      <c r="K3779" s="450"/>
      <c r="L3779" s="450"/>
      <c r="M3779" s="458"/>
      <c r="N3779" s="458"/>
      <c r="O3779" s="458"/>
      <c r="P3779" s="454"/>
      <c r="R3779" s="490" t="str">
        <f>R3778</f>
        <v>DELETE</v>
      </c>
      <c r="S3779" s="495"/>
      <c r="T3779" s="495"/>
      <c r="U3779" s="495"/>
      <c r="V3779" s="495"/>
      <c r="W3779" s="495"/>
      <c r="X3779" s="495"/>
    </row>
    <row r="3780" spans="3:24" ht="36" customHeight="1" x14ac:dyDescent="0.45">
      <c r="D3780" s="615" t="s">
        <v>398</v>
      </c>
      <c r="E3780" s="616"/>
      <c r="F3780" s="616"/>
      <c r="G3780" s="616"/>
      <c r="H3780" s="616"/>
      <c r="I3780" s="616"/>
      <c r="J3780" s="645"/>
      <c r="K3780" s="450"/>
      <c r="L3780" s="450"/>
      <c r="M3780" s="458">
        <f>-TrialBalanceC!I11</f>
        <v>0</v>
      </c>
      <c r="N3780" s="458"/>
      <c r="O3780" s="458">
        <f>-TrialBalanceC!K11</f>
        <v>0</v>
      </c>
      <c r="P3780" s="454"/>
      <c r="R3780" s="490" t="str">
        <f>IF(R3766="DELETE","DELETE",IF(M3780+O3780=0,"DELETE"," "))</f>
        <v>DELETE</v>
      </c>
      <c r="S3780" s="495">
        <f>M3780</f>
        <v>0</v>
      </c>
      <c r="T3780" s="495"/>
      <c r="U3780" s="495">
        <f>O3780</f>
        <v>0</v>
      </c>
      <c r="V3780" s="495"/>
      <c r="W3780" s="495"/>
      <c r="X3780" s="495"/>
    </row>
    <row r="3781" spans="3:24" ht="36" customHeight="1" x14ac:dyDescent="0.45">
      <c r="D3781" s="615"/>
      <c r="E3781" s="616"/>
      <c r="F3781" s="616"/>
      <c r="G3781" s="616"/>
      <c r="H3781" s="616"/>
      <c r="I3781" s="616"/>
      <c r="J3781" s="645"/>
      <c r="K3781" s="450"/>
      <c r="L3781" s="450"/>
      <c r="M3781" s="458"/>
      <c r="N3781" s="458"/>
      <c r="O3781" s="458"/>
      <c r="P3781" s="454"/>
      <c r="R3781" s="490" t="str">
        <f>R3780</f>
        <v>DELETE</v>
      </c>
    </row>
    <row r="3782" spans="3:24" ht="36" customHeight="1" x14ac:dyDescent="0.45">
      <c r="D3782" s="615" t="s">
        <v>1119</v>
      </c>
      <c r="E3782" s="616"/>
      <c r="F3782" s="616"/>
      <c r="G3782" s="616"/>
      <c r="H3782" s="616"/>
      <c r="I3782" s="616"/>
      <c r="J3782" s="645"/>
      <c r="K3782" s="450"/>
      <c r="L3782" s="450"/>
      <c r="M3782" s="458">
        <f>SUM(M3785:M3792)</f>
        <v>0</v>
      </c>
      <c r="N3782" s="458"/>
      <c r="O3782" s="458">
        <f>SUM(O3785:O3792)</f>
        <v>0</v>
      </c>
      <c r="P3782" s="454"/>
      <c r="R3782" s="490" t="str">
        <f>IF(R$3766="DELETE","DELETE",IF(M3782=0,IF(O3782=0,"DELETE"," ")," "))</f>
        <v>DELETE</v>
      </c>
      <c r="S3782" s="495">
        <f>-M3782</f>
        <v>0</v>
      </c>
      <c r="T3782" s="495"/>
      <c r="U3782" s="495">
        <f>-O3782</f>
        <v>0</v>
      </c>
      <c r="V3782" s="495"/>
      <c r="W3782" s="495"/>
      <c r="X3782" s="495"/>
    </row>
    <row r="3783" spans="3:24" ht="9" customHeight="1" x14ac:dyDescent="0.45">
      <c r="C3783" s="575"/>
      <c r="D3783" s="616"/>
      <c r="E3783" s="616"/>
      <c r="F3783" s="616"/>
      <c r="G3783" s="616"/>
      <c r="H3783" s="616"/>
      <c r="I3783" s="616"/>
      <c r="J3783" s="645"/>
      <c r="K3783" s="450"/>
      <c r="L3783" s="450"/>
      <c r="M3783" s="458"/>
      <c r="N3783" s="458"/>
      <c r="O3783" s="458"/>
      <c r="P3783" s="454"/>
      <c r="R3783" s="490" t="str">
        <f>R3782</f>
        <v>DELETE</v>
      </c>
    </row>
    <row r="3784" spans="3:24" ht="9" customHeight="1" x14ac:dyDescent="0.45">
      <c r="C3784" s="575"/>
      <c r="D3784" s="616"/>
      <c r="E3784" s="616"/>
      <c r="F3784" s="616"/>
      <c r="G3784" s="616"/>
      <c r="H3784" s="616"/>
      <c r="I3784" s="616"/>
      <c r="J3784" s="645"/>
      <c r="K3784" s="450"/>
      <c r="L3784" s="450"/>
      <c r="M3784" s="578"/>
      <c r="N3784" s="459"/>
      <c r="O3784" s="579"/>
      <c r="P3784" s="454"/>
      <c r="R3784" s="490" t="str">
        <f>R3783</f>
        <v>DELETE</v>
      </c>
    </row>
    <row r="3785" spans="3:24" ht="36" customHeight="1" x14ac:dyDescent="0.45">
      <c r="C3785" s="575"/>
      <c r="D3785" s="616" t="s">
        <v>563</v>
      </c>
      <c r="E3785" s="616"/>
      <c r="F3785" s="616"/>
      <c r="G3785" s="616"/>
      <c r="H3785" s="616"/>
      <c r="I3785" s="616"/>
      <c r="J3785" s="645"/>
      <c r="K3785" s="450"/>
      <c r="L3785" s="450"/>
      <c r="M3785" s="580">
        <f>SUM(TrialBalanceC!I13:I16)</f>
        <v>0</v>
      </c>
      <c r="N3785" s="458"/>
      <c r="O3785" s="581">
        <f>SUM(TrialBalanceC!K13:K16)</f>
        <v>0</v>
      </c>
      <c r="P3785" s="454"/>
      <c r="R3785" s="490" t="str">
        <f t="shared" ref="R3785:R3792" si="259">IF(R$3766="DELETE","DELETE",IF(M3785+O3785=0,"DELETE"," "))</f>
        <v>DELETE</v>
      </c>
    </row>
    <row r="3786" spans="3:24" ht="36" customHeight="1" x14ac:dyDescent="0.45">
      <c r="C3786" s="575"/>
      <c r="D3786" s="616" t="s">
        <v>301</v>
      </c>
      <c r="E3786" s="616"/>
      <c r="F3786" s="616"/>
      <c r="G3786" s="616"/>
      <c r="H3786" s="616"/>
      <c r="I3786" s="616"/>
      <c r="J3786" s="645"/>
      <c r="K3786" s="450"/>
      <c r="L3786" s="450"/>
      <c r="M3786" s="580">
        <f>TrialBalanceC!I17</f>
        <v>0</v>
      </c>
      <c r="N3786" s="458"/>
      <c r="O3786" s="581">
        <f>TrialBalanceC!K17</f>
        <v>0</v>
      </c>
      <c r="P3786" s="454"/>
      <c r="R3786" s="490" t="str">
        <f t="shared" si="259"/>
        <v>DELETE</v>
      </c>
    </row>
    <row r="3787" spans="3:24" ht="36" customHeight="1" x14ac:dyDescent="0.45">
      <c r="C3787" s="575"/>
      <c r="D3787" s="616">
        <f>TrialBalanceC!C18</f>
        <v>0</v>
      </c>
      <c r="E3787" s="616"/>
      <c r="F3787" s="616"/>
      <c r="G3787" s="616"/>
      <c r="H3787" s="616"/>
      <c r="I3787" s="616"/>
      <c r="J3787" s="645"/>
      <c r="K3787" s="450"/>
      <c r="L3787" s="450"/>
      <c r="M3787" s="580">
        <f>TrialBalanceC!I18</f>
        <v>0</v>
      </c>
      <c r="N3787" s="458"/>
      <c r="O3787" s="581">
        <f>TrialBalanceC!K18</f>
        <v>0</v>
      </c>
      <c r="P3787" s="454"/>
      <c r="R3787" s="490" t="str">
        <f t="shared" si="259"/>
        <v>DELETE</v>
      </c>
    </row>
    <row r="3788" spans="3:24" ht="36" customHeight="1" x14ac:dyDescent="0.45">
      <c r="C3788" s="575"/>
      <c r="D3788" s="616">
        <f>TrialBalanceC!C19</f>
        <v>0</v>
      </c>
      <c r="E3788" s="616"/>
      <c r="F3788" s="616"/>
      <c r="G3788" s="616"/>
      <c r="H3788" s="616"/>
      <c r="I3788" s="616"/>
      <c r="J3788" s="645"/>
      <c r="K3788" s="450"/>
      <c r="L3788" s="450"/>
      <c r="M3788" s="580">
        <f>TrialBalanceC!I19</f>
        <v>0</v>
      </c>
      <c r="N3788" s="458"/>
      <c r="O3788" s="581">
        <f>TrialBalanceC!K19</f>
        <v>0</v>
      </c>
      <c r="P3788" s="454"/>
      <c r="R3788" s="490" t="str">
        <f t="shared" si="259"/>
        <v>DELETE</v>
      </c>
    </row>
    <row r="3789" spans="3:24" ht="36" customHeight="1" x14ac:dyDescent="0.45">
      <c r="C3789" s="575"/>
      <c r="D3789" s="616">
        <f>TrialBalanceC!C20</f>
        <v>0</v>
      </c>
      <c r="E3789" s="616"/>
      <c r="F3789" s="616"/>
      <c r="G3789" s="616"/>
      <c r="H3789" s="616"/>
      <c r="I3789" s="616"/>
      <c r="J3789" s="645"/>
      <c r="K3789" s="450"/>
      <c r="L3789" s="450"/>
      <c r="M3789" s="580">
        <f>TrialBalanceC!I20</f>
        <v>0</v>
      </c>
      <c r="N3789" s="458"/>
      <c r="O3789" s="581">
        <f>TrialBalanceC!K20</f>
        <v>0</v>
      </c>
      <c r="P3789" s="454"/>
      <c r="R3789" s="490" t="str">
        <f t="shared" si="259"/>
        <v>DELETE</v>
      </c>
    </row>
    <row r="3790" spans="3:24" ht="36" customHeight="1" x14ac:dyDescent="0.45">
      <c r="C3790" s="575"/>
      <c r="D3790" s="616">
        <f>TrialBalanceC!C21</f>
        <v>0</v>
      </c>
      <c r="E3790" s="616"/>
      <c r="F3790" s="616"/>
      <c r="G3790" s="616"/>
      <c r="H3790" s="616"/>
      <c r="I3790" s="616"/>
      <c r="J3790" s="645"/>
      <c r="K3790" s="450"/>
      <c r="L3790" s="450"/>
      <c r="M3790" s="580">
        <f>TrialBalanceC!I21</f>
        <v>0</v>
      </c>
      <c r="N3790" s="458"/>
      <c r="O3790" s="581">
        <f>TrialBalanceC!K21</f>
        <v>0</v>
      </c>
      <c r="P3790" s="454"/>
      <c r="R3790" s="490" t="str">
        <f t="shared" si="259"/>
        <v>DELETE</v>
      </c>
    </row>
    <row r="3791" spans="3:24" ht="36" customHeight="1" x14ac:dyDescent="0.45">
      <c r="C3791" s="575"/>
      <c r="D3791" s="616">
        <f>TrialBalanceC!C22</f>
        <v>0</v>
      </c>
      <c r="E3791" s="616"/>
      <c r="F3791" s="616"/>
      <c r="G3791" s="616"/>
      <c r="H3791" s="616"/>
      <c r="I3791" s="616"/>
      <c r="J3791" s="645"/>
      <c r="K3791" s="450"/>
      <c r="L3791" s="450"/>
      <c r="M3791" s="580">
        <f>TrialBalanceC!I22</f>
        <v>0</v>
      </c>
      <c r="N3791" s="458"/>
      <c r="O3791" s="581">
        <f>TrialBalanceC!K22</f>
        <v>0</v>
      </c>
      <c r="P3791" s="454"/>
      <c r="R3791" s="490" t="str">
        <f t="shared" si="259"/>
        <v>DELETE</v>
      </c>
    </row>
    <row r="3792" spans="3:24" ht="36" customHeight="1" x14ac:dyDescent="0.45">
      <c r="C3792" s="575"/>
      <c r="D3792" s="616" t="s">
        <v>564</v>
      </c>
      <c r="E3792" s="616"/>
      <c r="F3792" s="616"/>
      <c r="G3792" s="616"/>
      <c r="H3792" s="616"/>
      <c r="I3792" s="616"/>
      <c r="J3792" s="645"/>
      <c r="K3792" s="450"/>
      <c r="L3792" s="450"/>
      <c r="M3792" s="580">
        <f>SUM(TrialBalanceC!I23:I26)</f>
        <v>0</v>
      </c>
      <c r="N3792" s="458"/>
      <c r="O3792" s="581">
        <f>SUM(TrialBalanceC!K23:K26)</f>
        <v>0</v>
      </c>
      <c r="P3792" s="454"/>
      <c r="R3792" s="490" t="str">
        <f t="shared" si="259"/>
        <v>DELETE</v>
      </c>
    </row>
    <row r="3793" spans="3:26" ht="9" customHeight="1" x14ac:dyDescent="0.45">
      <c r="C3793" s="575"/>
      <c r="D3793" s="616"/>
      <c r="E3793" s="616"/>
      <c r="F3793" s="616"/>
      <c r="G3793" s="616"/>
      <c r="H3793" s="616"/>
      <c r="I3793" s="616"/>
      <c r="J3793" s="645"/>
      <c r="K3793" s="450"/>
      <c r="L3793" s="450"/>
      <c r="M3793" s="460"/>
      <c r="N3793" s="461"/>
      <c r="O3793" s="582"/>
      <c r="P3793" s="454"/>
      <c r="R3793" s="490" t="str">
        <f>R3782</f>
        <v>DELETE</v>
      </c>
    </row>
    <row r="3794" spans="3:26" ht="9" customHeight="1" x14ac:dyDescent="0.45">
      <c r="C3794" s="575"/>
      <c r="D3794" s="616"/>
      <c r="E3794" s="616"/>
      <c r="F3794" s="616"/>
      <c r="G3794" s="616"/>
      <c r="H3794" s="616"/>
      <c r="I3794" s="616"/>
      <c r="J3794" s="645"/>
      <c r="K3794" s="450"/>
      <c r="L3794" s="450"/>
      <c r="M3794" s="461"/>
      <c r="N3794" s="461"/>
      <c r="O3794" s="461"/>
      <c r="P3794" s="454"/>
      <c r="R3794" s="490" t="str">
        <f>R3782</f>
        <v>DELETE</v>
      </c>
    </row>
    <row r="3795" spans="3:26" ht="9" customHeight="1" x14ac:dyDescent="0.45">
      <c r="C3795" s="575"/>
      <c r="D3795" s="616"/>
      <c r="E3795" s="616"/>
      <c r="F3795" s="616"/>
      <c r="G3795" s="616"/>
      <c r="H3795" s="616"/>
      <c r="I3795" s="616"/>
      <c r="J3795" s="645"/>
      <c r="K3795" s="450"/>
      <c r="L3795" s="450"/>
      <c r="M3795" s="458"/>
      <c r="N3795" s="458"/>
      <c r="O3795" s="458"/>
      <c r="P3795" s="454"/>
      <c r="R3795" s="490" t="str">
        <f>R3794</f>
        <v>DELETE</v>
      </c>
    </row>
    <row r="3796" spans="3:26" ht="36" customHeight="1" x14ac:dyDescent="0.45">
      <c r="D3796" s="637" t="str">
        <f>IF((Y3796+Z3796)=3,"Gross profit/(loss)",(IF((Y3796+Z3796=4),"Gross profit","Gross loss")))</f>
        <v>Gross profit</v>
      </c>
      <c r="E3796" s="616"/>
      <c r="F3796" s="616"/>
      <c r="G3796" s="616"/>
      <c r="H3796" s="616"/>
      <c r="I3796" s="616"/>
      <c r="J3796" s="645"/>
      <c r="K3796" s="450"/>
      <c r="L3796" s="450"/>
      <c r="M3796" s="458">
        <f>SUM(S3778:S3793)</f>
        <v>0</v>
      </c>
      <c r="N3796" s="458"/>
      <c r="O3796" s="458">
        <f>SUM(U3778:U3793)</f>
        <v>0</v>
      </c>
      <c r="P3796" s="454"/>
      <c r="R3796" s="490" t="str">
        <f>R3795</f>
        <v>DELETE</v>
      </c>
      <c r="Y3796" s="491">
        <f>IF(M3796&lt;0,1,IF(M3796=0,IF(O3796&lt;0,1,2),2))</f>
        <v>2</v>
      </c>
      <c r="Z3796" s="491">
        <f>IF(O3796&lt;0,1,IF(O3796=0,IF(M3796&lt;0,1,2),2))</f>
        <v>2</v>
      </c>
    </row>
    <row r="3797" spans="3:26" ht="36" customHeight="1" x14ac:dyDescent="0.45">
      <c r="C3797" s="575"/>
      <c r="D3797" s="616"/>
      <c r="E3797" s="616"/>
      <c r="F3797" s="616"/>
      <c r="G3797" s="616"/>
      <c r="H3797" s="616"/>
      <c r="I3797" s="616"/>
      <c r="J3797" s="645"/>
      <c r="K3797" s="450"/>
      <c r="L3797" s="450"/>
      <c r="M3797" s="458"/>
      <c r="N3797" s="458"/>
      <c r="O3797" s="458"/>
      <c r="P3797" s="454"/>
      <c r="R3797" s="490" t="str">
        <f>R3796</f>
        <v>DELETE</v>
      </c>
    </row>
    <row r="3798" spans="3:26" ht="36" customHeight="1" x14ac:dyDescent="0.45">
      <c r="D3798" s="615" t="s">
        <v>1491</v>
      </c>
      <c r="E3798" s="616"/>
      <c r="F3798" s="616"/>
      <c r="G3798" s="616"/>
      <c r="H3798" s="616"/>
      <c r="I3798" s="616"/>
      <c r="J3798" s="645"/>
      <c r="K3798" s="450"/>
      <c r="L3798" s="450"/>
      <c r="M3798" s="458">
        <f>SUM(M3800:M3807)</f>
        <v>0</v>
      </c>
      <c r="N3798" s="458"/>
      <c r="O3798" s="458">
        <f>SUM(O3800:O3807)</f>
        <v>0</v>
      </c>
      <c r="P3798" s="454"/>
      <c r="R3798" s="490" t="str">
        <f t="shared" ref="R3798" si="260">IF(R$3766="DELETE","DELETE",IF(M3798+O3798=0,"DELETE"," "))</f>
        <v>DELETE</v>
      </c>
      <c r="S3798" s="495">
        <f>M3798</f>
        <v>0</v>
      </c>
      <c r="T3798" s="495"/>
      <c r="U3798" s="495">
        <f>O3798</f>
        <v>0</v>
      </c>
    </row>
    <row r="3799" spans="3:26" ht="9" customHeight="1" x14ac:dyDescent="0.45">
      <c r="C3799" s="575"/>
      <c r="D3799" s="616"/>
      <c r="E3799" s="616"/>
      <c r="F3799" s="616"/>
      <c r="G3799" s="616"/>
      <c r="H3799" s="616"/>
      <c r="I3799" s="616"/>
      <c r="J3799" s="645"/>
      <c r="K3799" s="450"/>
      <c r="L3799" s="450"/>
      <c r="M3799" s="458"/>
      <c r="N3799" s="458"/>
      <c r="O3799" s="458"/>
      <c r="P3799" s="454"/>
      <c r="R3799" s="490" t="str">
        <f>R3798</f>
        <v>DELETE</v>
      </c>
    </row>
    <row r="3800" spans="3:26" ht="9" customHeight="1" x14ac:dyDescent="0.45">
      <c r="C3800" s="575"/>
      <c r="D3800" s="616"/>
      <c r="E3800" s="616"/>
      <c r="F3800" s="616"/>
      <c r="G3800" s="616"/>
      <c r="H3800" s="616"/>
      <c r="I3800" s="616"/>
      <c r="J3800" s="645"/>
      <c r="K3800" s="450"/>
      <c r="L3800" s="450"/>
      <c r="M3800" s="578"/>
      <c r="N3800" s="459"/>
      <c r="O3800" s="579"/>
      <c r="P3800" s="454"/>
      <c r="R3800" s="490" t="str">
        <f>R3798</f>
        <v>DELETE</v>
      </c>
    </row>
    <row r="3801" spans="3:26" ht="36" customHeight="1" x14ac:dyDescent="0.45">
      <c r="C3801" s="575"/>
      <c r="D3801" s="616" t="str">
        <f>TrialBalanceC!C28</f>
        <v xml:space="preserve">Insurance claims - </v>
      </c>
      <c r="E3801" s="616"/>
      <c r="F3801" s="616"/>
      <c r="G3801" s="616"/>
      <c r="H3801" s="616"/>
      <c r="I3801" s="616"/>
      <c r="J3801" s="645"/>
      <c r="K3801" s="450"/>
      <c r="L3801" s="450"/>
      <c r="M3801" s="580">
        <f>-TrialBalanceC!I28</f>
        <v>0</v>
      </c>
      <c r="N3801" s="458"/>
      <c r="O3801" s="581">
        <f>-TrialBalanceC!K28</f>
        <v>0</v>
      </c>
      <c r="P3801" s="454"/>
      <c r="R3801" s="490" t="str">
        <f t="shared" ref="R3801:R3805" si="261">IF(R$3766="DELETE","DELETE",IF(M3801+O3801=0,"DELETE"," "))</f>
        <v>DELETE</v>
      </c>
    </row>
    <row r="3802" spans="3:26" ht="36" customHeight="1" x14ac:dyDescent="0.45">
      <c r="C3802" s="575"/>
      <c r="D3802" s="616" t="str">
        <f>TrialBalanceC!C29</f>
        <v>Government grants received</v>
      </c>
      <c r="E3802" s="616"/>
      <c r="F3802" s="616"/>
      <c r="G3802" s="616"/>
      <c r="H3802" s="616"/>
      <c r="I3802" s="616"/>
      <c r="J3802" s="645"/>
      <c r="K3802" s="450"/>
      <c r="L3802" s="450"/>
      <c r="M3802" s="580">
        <f>-TrialBalanceC!I29</f>
        <v>0</v>
      </c>
      <c r="N3802" s="458"/>
      <c r="O3802" s="581">
        <f>-TrialBalanceC!K29</f>
        <v>0</v>
      </c>
      <c r="P3802" s="454"/>
      <c r="R3802" s="490" t="str">
        <f t="shared" si="261"/>
        <v>DELETE</v>
      </c>
    </row>
    <row r="3803" spans="3:26" ht="36" customHeight="1" x14ac:dyDescent="0.45">
      <c r="C3803" s="575"/>
      <c r="D3803" s="616">
        <f>TrialBalanceC!C30</f>
        <v>0</v>
      </c>
      <c r="E3803" s="616"/>
      <c r="F3803" s="616"/>
      <c r="G3803" s="616"/>
      <c r="H3803" s="616"/>
      <c r="I3803" s="616"/>
      <c r="J3803" s="645"/>
      <c r="K3803" s="450"/>
      <c r="L3803" s="450"/>
      <c r="M3803" s="580">
        <f>-TrialBalanceC!I30</f>
        <v>0</v>
      </c>
      <c r="N3803" s="458"/>
      <c r="O3803" s="581">
        <f>-TrialBalanceC!K30</f>
        <v>0</v>
      </c>
      <c r="P3803" s="454"/>
      <c r="R3803" s="490" t="str">
        <f t="shared" si="261"/>
        <v>DELETE</v>
      </c>
    </row>
    <row r="3804" spans="3:26" ht="36" customHeight="1" x14ac:dyDescent="0.45">
      <c r="C3804" s="575"/>
      <c r="D3804" s="616">
        <f>TrialBalanceC!C31</f>
        <v>0</v>
      </c>
      <c r="E3804" s="616"/>
      <c r="F3804" s="616"/>
      <c r="G3804" s="616"/>
      <c r="H3804" s="616"/>
      <c r="I3804" s="616"/>
      <c r="J3804" s="645"/>
      <c r="K3804" s="450"/>
      <c r="L3804" s="450"/>
      <c r="M3804" s="580">
        <f>-TrialBalanceC!I31</f>
        <v>0</v>
      </c>
      <c r="N3804" s="458"/>
      <c r="O3804" s="581">
        <f>-TrialBalanceC!K31</f>
        <v>0</v>
      </c>
      <c r="P3804" s="454"/>
      <c r="R3804" s="490" t="str">
        <f t="shared" si="261"/>
        <v>DELETE</v>
      </c>
    </row>
    <row r="3805" spans="3:26" ht="36" customHeight="1" x14ac:dyDescent="0.45">
      <c r="C3805" s="575"/>
      <c r="D3805" s="616">
        <f>TrialBalanceC!C32</f>
        <v>0</v>
      </c>
      <c r="E3805" s="616"/>
      <c r="F3805" s="616"/>
      <c r="G3805" s="616"/>
      <c r="H3805" s="616"/>
      <c r="I3805" s="616"/>
      <c r="J3805" s="645"/>
      <c r="K3805" s="450"/>
      <c r="L3805" s="450"/>
      <c r="M3805" s="580">
        <f>-TrialBalanceC!I32</f>
        <v>0</v>
      </c>
      <c r="N3805" s="458"/>
      <c r="O3805" s="581">
        <f>-TrialBalanceC!K32</f>
        <v>0</v>
      </c>
      <c r="P3805" s="454"/>
      <c r="R3805" s="490" t="str">
        <f t="shared" si="261"/>
        <v>DELETE</v>
      </c>
    </row>
    <row r="3806" spans="3:26" ht="36" customHeight="1" x14ac:dyDescent="0.45">
      <c r="C3806" s="575"/>
      <c r="D3806" s="616" t="str">
        <f>TrialBalanceC!C33</f>
        <v>Recoupment of depreciation</v>
      </c>
      <c r="E3806" s="616"/>
      <c r="F3806" s="616"/>
      <c r="G3806" s="616"/>
      <c r="H3806" s="616"/>
      <c r="I3806" s="616"/>
      <c r="J3806" s="645"/>
      <c r="K3806" s="450"/>
      <c r="L3806" s="450"/>
      <c r="M3806" s="580">
        <f>-TrialBalanceC!I33</f>
        <v>0</v>
      </c>
      <c r="N3806" s="458"/>
      <c r="O3806" s="581">
        <f>-TrialBalanceC!K33</f>
        <v>0</v>
      </c>
      <c r="P3806" s="454"/>
      <c r="R3806" s="490" t="str">
        <f t="shared" ref="R3806" si="262">IF(R$3766="DELETE","DELETE",IF(M3806+O3806=0,"DELETE"," "))</f>
        <v>DELETE</v>
      </c>
    </row>
    <row r="3807" spans="3:26" ht="9" customHeight="1" x14ac:dyDescent="0.45">
      <c r="C3807" s="575"/>
      <c r="D3807" s="616"/>
      <c r="E3807" s="616"/>
      <c r="F3807" s="616"/>
      <c r="G3807" s="616"/>
      <c r="H3807" s="616"/>
      <c r="I3807" s="616"/>
      <c r="J3807" s="645"/>
      <c r="K3807" s="450"/>
      <c r="L3807" s="450"/>
      <c r="M3807" s="460"/>
      <c r="N3807" s="461"/>
      <c r="O3807" s="582"/>
      <c r="P3807" s="454"/>
      <c r="R3807" s="490" t="str">
        <f>R3798</f>
        <v>DELETE</v>
      </c>
    </row>
    <row r="3808" spans="3:26" ht="9" customHeight="1" x14ac:dyDescent="0.45">
      <c r="C3808" s="575"/>
      <c r="D3808" s="616"/>
      <c r="E3808" s="616"/>
      <c r="F3808" s="616"/>
      <c r="G3808" s="616"/>
      <c r="H3808" s="616"/>
      <c r="I3808" s="616"/>
      <c r="J3808" s="645"/>
      <c r="K3808" s="450"/>
      <c r="L3808" s="450"/>
      <c r="M3808" s="479"/>
      <c r="N3808" s="479"/>
      <c r="O3808" s="479"/>
      <c r="P3808" s="454"/>
      <c r="R3808" s="490" t="str">
        <f>R3807</f>
        <v>DELETE</v>
      </c>
    </row>
    <row r="3809" spans="3:24" ht="9" customHeight="1" x14ac:dyDescent="0.45">
      <c r="C3809" s="575"/>
      <c r="D3809" s="616"/>
      <c r="E3809" s="616"/>
      <c r="F3809" s="616"/>
      <c r="G3809" s="616"/>
      <c r="H3809" s="616"/>
      <c r="I3809" s="616"/>
      <c r="J3809" s="645"/>
      <c r="K3809" s="450"/>
      <c r="L3809" s="450"/>
      <c r="M3809" s="458"/>
      <c r="N3809" s="458"/>
      <c r="O3809" s="458"/>
      <c r="P3809" s="454"/>
      <c r="R3809" s="490" t="str">
        <f>R3808</f>
        <v>DELETE</v>
      </c>
    </row>
    <row r="3810" spans="3:24" ht="36" customHeight="1" x14ac:dyDescent="0.45">
      <c r="C3810" s="575"/>
      <c r="D3810" s="616"/>
      <c r="E3810" s="616"/>
      <c r="F3810" s="616"/>
      <c r="G3810" s="616"/>
      <c r="H3810" s="616"/>
      <c r="I3810" s="616"/>
      <c r="J3810" s="645"/>
      <c r="K3810" s="450"/>
      <c r="L3810" s="450"/>
      <c r="M3810" s="458">
        <f>SUM(S3778:S3798)</f>
        <v>0</v>
      </c>
      <c r="N3810" s="458"/>
      <c r="O3810" s="458">
        <f>SUM(U3778:U3798)</f>
        <v>0</v>
      </c>
      <c r="P3810" s="454"/>
      <c r="R3810" s="490" t="str">
        <f>R3798</f>
        <v>DELETE</v>
      </c>
    </row>
    <row r="3811" spans="3:24" ht="36" customHeight="1" x14ac:dyDescent="0.45">
      <c r="C3811" s="575"/>
      <c r="D3811" s="616"/>
      <c r="E3811" s="616"/>
      <c r="F3811" s="616"/>
      <c r="G3811" s="616"/>
      <c r="H3811" s="616"/>
      <c r="I3811" s="616"/>
      <c r="J3811" s="645"/>
      <c r="K3811" s="450"/>
      <c r="L3811" s="450"/>
      <c r="M3811" s="458"/>
      <c r="N3811" s="458"/>
      <c r="O3811" s="458"/>
      <c r="P3811" s="454"/>
      <c r="R3811" s="490" t="str">
        <f>R3810</f>
        <v>DELETE</v>
      </c>
    </row>
    <row r="3812" spans="3:24" ht="36" customHeight="1" x14ac:dyDescent="0.45">
      <c r="D3812" s="615" t="s">
        <v>1532</v>
      </c>
      <c r="E3812" s="616"/>
      <c r="F3812" s="616"/>
      <c r="G3812" s="616"/>
      <c r="H3812" s="616"/>
      <c r="I3812" s="616"/>
      <c r="J3812" s="645"/>
      <c r="K3812" s="450"/>
      <c r="L3812" s="450"/>
      <c r="M3812" s="458">
        <f>SUM(M3814:M3843)</f>
        <v>0</v>
      </c>
      <c r="N3812" s="458"/>
      <c r="O3812" s="458">
        <f>SUM(O3814:O3843)</f>
        <v>0</v>
      </c>
      <c r="P3812" s="454"/>
      <c r="R3812" s="490" t="str">
        <f t="shared" ref="R3812" si="263">IF(R$3766="DELETE","DELETE",IF(M3812+O3812=0,"DELETE"," "))</f>
        <v>DELETE</v>
      </c>
      <c r="S3812" s="495">
        <f>-M3812</f>
        <v>0</v>
      </c>
      <c r="T3812" s="495"/>
      <c r="U3812" s="495">
        <f>-O3812</f>
        <v>0</v>
      </c>
      <c r="V3812" s="495"/>
      <c r="W3812" s="495"/>
      <c r="X3812" s="495"/>
    </row>
    <row r="3813" spans="3:24" ht="9" customHeight="1" x14ac:dyDescent="0.45">
      <c r="C3813" s="575"/>
      <c r="D3813" s="616"/>
      <c r="E3813" s="616"/>
      <c r="F3813" s="616"/>
      <c r="G3813" s="616"/>
      <c r="H3813" s="616"/>
      <c r="I3813" s="616"/>
      <c r="J3813" s="645"/>
      <c r="K3813" s="450"/>
      <c r="L3813" s="450"/>
      <c r="M3813" s="458"/>
      <c r="N3813" s="458"/>
      <c r="O3813" s="458"/>
      <c r="P3813" s="454"/>
      <c r="R3813" s="490" t="str">
        <f>R3812</f>
        <v>DELETE</v>
      </c>
    </row>
    <row r="3814" spans="3:24" ht="9" customHeight="1" x14ac:dyDescent="0.45">
      <c r="C3814" s="575"/>
      <c r="D3814" s="616"/>
      <c r="E3814" s="616"/>
      <c r="F3814" s="616"/>
      <c r="G3814" s="616"/>
      <c r="H3814" s="616"/>
      <c r="I3814" s="616"/>
      <c r="J3814" s="645"/>
      <c r="K3814" s="450"/>
      <c r="L3814" s="450"/>
      <c r="M3814" s="578"/>
      <c r="N3814" s="459"/>
      <c r="O3814" s="579"/>
      <c r="P3814" s="454"/>
      <c r="R3814" s="490" t="str">
        <f>R3813</f>
        <v>DELETE</v>
      </c>
    </row>
    <row r="3815" spans="3:24" ht="36" customHeight="1" x14ac:dyDescent="0.45">
      <c r="C3815" s="575"/>
      <c r="D3815" s="616" t="s">
        <v>302</v>
      </c>
      <c r="E3815" s="616"/>
      <c r="F3815" s="616"/>
      <c r="G3815" s="616"/>
      <c r="H3815" s="616"/>
      <c r="I3815" s="616"/>
      <c r="J3815" s="645"/>
      <c r="K3815" s="450"/>
      <c r="L3815" s="450"/>
      <c r="M3815" s="580">
        <f>TrialBalanceC!I40</f>
        <v>0</v>
      </c>
      <c r="N3815" s="458"/>
      <c r="O3815" s="581">
        <f>TrialBalanceC!K40</f>
        <v>0</v>
      </c>
      <c r="P3815" s="454"/>
      <c r="R3815" s="490" t="str">
        <f t="shared" ref="R3815:R3842" si="264">IF(R$3766="DELETE","DELETE",IF(M3815+O3815=0,"DELETE"," "))</f>
        <v>DELETE</v>
      </c>
    </row>
    <row r="3816" spans="3:24" ht="36" customHeight="1" x14ac:dyDescent="0.45">
      <c r="C3816" s="575"/>
      <c r="D3816" s="616" t="s">
        <v>831</v>
      </c>
      <c r="E3816" s="616"/>
      <c r="F3816" s="616"/>
      <c r="G3816" s="616"/>
      <c r="H3816" s="616"/>
      <c r="I3816" s="616"/>
      <c r="J3816" s="645"/>
      <c r="K3816" s="450"/>
      <c r="L3816" s="450"/>
      <c r="M3816" s="580">
        <f>TrialBalanceC!I41</f>
        <v>0</v>
      </c>
      <c r="N3816" s="458"/>
      <c r="O3816" s="581">
        <f>TrialBalanceC!K41</f>
        <v>0</v>
      </c>
      <c r="P3816" s="454"/>
      <c r="R3816" s="490" t="str">
        <f t="shared" si="264"/>
        <v>DELETE</v>
      </c>
    </row>
    <row r="3817" spans="3:24" ht="36" customHeight="1" x14ac:dyDescent="0.45">
      <c r="C3817" s="575"/>
      <c r="D3817" s="616" t="s">
        <v>303</v>
      </c>
      <c r="E3817" s="616"/>
      <c r="F3817" s="616"/>
      <c r="G3817" s="616"/>
      <c r="H3817" s="616"/>
      <c r="I3817" s="616"/>
      <c r="J3817" s="645"/>
      <c r="K3817" s="450"/>
      <c r="L3817" s="450"/>
      <c r="M3817" s="580">
        <f>TrialBalanceC!I42</f>
        <v>0</v>
      </c>
      <c r="N3817" s="458"/>
      <c r="O3817" s="581">
        <f>TrialBalanceC!K42</f>
        <v>0</v>
      </c>
      <c r="P3817" s="454"/>
      <c r="R3817" s="490" t="str">
        <f t="shared" si="264"/>
        <v>DELETE</v>
      </c>
    </row>
    <row r="3818" spans="3:24" ht="36" customHeight="1" x14ac:dyDescent="0.45">
      <c r="C3818" s="575"/>
      <c r="D3818" s="616" t="s">
        <v>304</v>
      </c>
      <c r="E3818" s="616"/>
      <c r="F3818" s="616"/>
      <c r="G3818" s="616"/>
      <c r="H3818" s="616"/>
      <c r="I3818" s="616"/>
      <c r="J3818" s="645"/>
      <c r="K3818" s="450">
        <f>B$1250</f>
        <v>5</v>
      </c>
      <c r="L3818" s="450"/>
      <c r="M3818" s="580">
        <f>SUM(TrialBalanceC!I44:I46)</f>
        <v>0</v>
      </c>
      <c r="N3818" s="458"/>
      <c r="O3818" s="581">
        <f>SUM(TrialBalanceC!K44:K46)</f>
        <v>0</v>
      </c>
      <c r="P3818" s="454"/>
      <c r="R3818" s="490" t="str">
        <f t="shared" si="264"/>
        <v>DELETE</v>
      </c>
    </row>
    <row r="3819" spans="3:24" ht="36" customHeight="1" x14ac:dyDescent="0.45">
      <c r="C3819" s="575"/>
      <c r="D3819" s="616" t="s">
        <v>565</v>
      </c>
      <c r="E3819" s="616"/>
      <c r="F3819" s="616"/>
      <c r="G3819" s="616"/>
      <c r="H3819" s="616"/>
      <c r="I3819" s="616"/>
      <c r="J3819" s="645"/>
      <c r="K3819" s="450"/>
      <c r="L3819" s="450"/>
      <c r="M3819" s="580">
        <f>TrialBalanceC!I47</f>
        <v>0</v>
      </c>
      <c r="N3819" s="458"/>
      <c r="O3819" s="581">
        <f>TrialBalanceC!K47</f>
        <v>0</v>
      </c>
      <c r="P3819" s="454"/>
      <c r="R3819" s="490" t="str">
        <f t="shared" si="264"/>
        <v>DELETE</v>
      </c>
      <c r="S3819" s="496"/>
      <c r="T3819" s="496"/>
      <c r="U3819" s="496"/>
      <c r="V3819" s="496"/>
      <c r="W3819" s="496"/>
      <c r="X3819" s="496"/>
    </row>
    <row r="3820" spans="3:24" ht="36" customHeight="1" x14ac:dyDescent="0.45">
      <c r="C3820" s="575"/>
      <c r="D3820" s="616" t="s">
        <v>871</v>
      </c>
      <c r="E3820" s="616"/>
      <c r="F3820" s="616"/>
      <c r="G3820" s="616"/>
      <c r="H3820" s="616"/>
      <c r="I3820" s="616"/>
      <c r="J3820" s="645"/>
      <c r="K3820" s="450"/>
      <c r="L3820" s="450"/>
      <c r="M3820" s="580">
        <f>TrialBalanceC!I48</f>
        <v>0</v>
      </c>
      <c r="N3820" s="458"/>
      <c r="O3820" s="581">
        <f>TrialBalanceC!K48</f>
        <v>0</v>
      </c>
      <c r="P3820" s="454"/>
      <c r="R3820" s="490" t="str">
        <f t="shared" si="264"/>
        <v>DELETE</v>
      </c>
    </row>
    <row r="3821" spans="3:24" ht="36" customHeight="1" x14ac:dyDescent="0.45">
      <c r="C3821" s="575"/>
      <c r="D3821" s="616" t="s">
        <v>69</v>
      </c>
      <c r="E3821" s="616"/>
      <c r="F3821" s="616"/>
      <c r="G3821" s="616"/>
      <c r="H3821" s="616"/>
      <c r="I3821" s="616"/>
      <c r="J3821" s="645"/>
      <c r="K3821" s="450"/>
      <c r="L3821" s="450"/>
      <c r="M3821" s="580">
        <f>TrialBalanceC!I49</f>
        <v>0</v>
      </c>
      <c r="N3821" s="458"/>
      <c r="O3821" s="581">
        <f>TrialBalanceC!K49</f>
        <v>0</v>
      </c>
      <c r="P3821" s="454"/>
      <c r="R3821" s="490" t="str">
        <f t="shared" si="264"/>
        <v>DELETE</v>
      </c>
    </row>
    <row r="3822" spans="3:24" ht="36" customHeight="1" x14ac:dyDescent="0.45">
      <c r="C3822" s="575"/>
      <c r="D3822" s="616" t="s">
        <v>305</v>
      </c>
      <c r="E3822" s="616"/>
      <c r="F3822" s="616"/>
      <c r="G3822" s="616"/>
      <c r="H3822" s="616"/>
      <c r="I3822" s="616"/>
      <c r="J3822" s="645"/>
      <c r="K3822" s="450"/>
      <c r="L3822" s="450"/>
      <c r="M3822" s="580">
        <f>TrialBalanceC!I50</f>
        <v>0</v>
      </c>
      <c r="N3822" s="458"/>
      <c r="O3822" s="581">
        <f>TrialBalanceC!K50</f>
        <v>0</v>
      </c>
      <c r="P3822" s="454"/>
      <c r="R3822" s="490" t="str">
        <f t="shared" si="264"/>
        <v>DELETE</v>
      </c>
    </row>
    <row r="3823" spans="3:24" ht="36" customHeight="1" x14ac:dyDescent="0.45">
      <c r="C3823" s="575"/>
      <c r="D3823" s="616" t="s">
        <v>587</v>
      </c>
      <c r="E3823" s="616"/>
      <c r="F3823" s="616"/>
      <c r="G3823" s="616"/>
      <c r="H3823" s="616"/>
      <c r="I3823" s="616"/>
      <c r="J3823" s="645"/>
      <c r="K3823" s="450"/>
      <c r="L3823" s="450"/>
      <c r="M3823" s="580">
        <f>SUM(TrialBalanceC!I51:I52)</f>
        <v>0</v>
      </c>
      <c r="N3823" s="458"/>
      <c r="O3823" s="581">
        <f>SUM(TrialBalanceC!K51:K52)</f>
        <v>0</v>
      </c>
      <c r="P3823" s="454"/>
      <c r="R3823" s="490" t="str">
        <f t="shared" si="264"/>
        <v>DELETE</v>
      </c>
    </row>
    <row r="3824" spans="3:24" ht="36" customHeight="1" x14ac:dyDescent="0.45">
      <c r="C3824" s="575"/>
      <c r="D3824" s="616" t="s">
        <v>585</v>
      </c>
      <c r="E3824" s="616"/>
      <c r="F3824" s="616"/>
      <c r="G3824" s="616"/>
      <c r="H3824" s="616"/>
      <c r="I3824" s="616"/>
      <c r="J3824" s="645"/>
      <c r="K3824" s="450"/>
      <c r="L3824" s="450"/>
      <c r="M3824" s="580">
        <f>TrialBalanceC!I53</f>
        <v>0</v>
      </c>
      <c r="N3824" s="458"/>
      <c r="O3824" s="581">
        <f>TrialBalanceC!K53</f>
        <v>0</v>
      </c>
      <c r="P3824" s="454"/>
      <c r="R3824" s="490" t="str">
        <f t="shared" si="264"/>
        <v>DELETE</v>
      </c>
    </row>
    <row r="3825" spans="3:18" ht="36" customHeight="1" x14ac:dyDescent="0.45">
      <c r="C3825" s="575"/>
      <c r="D3825" s="616" t="s">
        <v>566</v>
      </c>
      <c r="E3825" s="616"/>
      <c r="F3825" s="616"/>
      <c r="G3825" s="616"/>
      <c r="H3825" s="616"/>
      <c r="I3825" s="616"/>
      <c r="J3825" s="645"/>
      <c r="K3825" s="450"/>
      <c r="L3825" s="450"/>
      <c r="M3825" s="580">
        <f>SUM(TrialBalanceC!I55:I59)</f>
        <v>0</v>
      </c>
      <c r="N3825" s="458"/>
      <c r="O3825" s="581">
        <f>SUM(TrialBalanceC!K55:K59)</f>
        <v>0</v>
      </c>
      <c r="P3825" s="454"/>
      <c r="R3825" s="490" t="str">
        <f t="shared" si="264"/>
        <v>DELETE</v>
      </c>
    </row>
    <row r="3826" spans="3:18" ht="36" customHeight="1" x14ac:dyDescent="0.45">
      <c r="C3826" s="575"/>
      <c r="D3826" s="616" t="s">
        <v>547</v>
      </c>
      <c r="E3826" s="616"/>
      <c r="F3826" s="616"/>
      <c r="G3826" s="616"/>
      <c r="H3826" s="616"/>
      <c r="I3826" s="616"/>
      <c r="J3826" s="645"/>
      <c r="K3826" s="450">
        <f>B$1250</f>
        <v>5</v>
      </c>
      <c r="L3826" s="450"/>
      <c r="M3826" s="580">
        <f>SUM(TrialBalanceC!I61:I63)</f>
        <v>0</v>
      </c>
      <c r="N3826" s="458"/>
      <c r="O3826" s="581">
        <f>SUM(TrialBalanceC!K61:K63)</f>
        <v>0</v>
      </c>
      <c r="P3826" s="454"/>
      <c r="R3826" s="490" t="str">
        <f t="shared" si="264"/>
        <v>DELETE</v>
      </c>
    </row>
    <row r="3827" spans="3:18" ht="36" customHeight="1" x14ac:dyDescent="0.45">
      <c r="C3827" s="575"/>
      <c r="D3827" s="616" t="s">
        <v>77</v>
      </c>
      <c r="E3827" s="616"/>
      <c r="F3827" s="616"/>
      <c r="G3827" s="616"/>
      <c r="H3827" s="616"/>
      <c r="I3827" s="616"/>
      <c r="J3827" s="645"/>
      <c r="K3827" s="450"/>
      <c r="L3827" s="450"/>
      <c r="M3827" s="580">
        <f>TrialBalanceC!I64</f>
        <v>0</v>
      </c>
      <c r="N3827" s="458"/>
      <c r="O3827" s="581">
        <f>TrialBalanceC!K64</f>
        <v>0</v>
      </c>
      <c r="P3827" s="454"/>
      <c r="R3827" s="490" t="str">
        <f t="shared" si="264"/>
        <v>DELETE</v>
      </c>
    </row>
    <row r="3828" spans="3:18" ht="36" customHeight="1" x14ac:dyDescent="0.45">
      <c r="C3828" s="575"/>
      <c r="D3828" s="616" t="s">
        <v>1756</v>
      </c>
      <c r="E3828" s="616"/>
      <c r="F3828" s="616"/>
      <c r="G3828" s="616"/>
      <c r="H3828" s="616"/>
      <c r="I3828" s="616"/>
      <c r="J3828" s="645"/>
      <c r="K3828" s="450"/>
      <c r="L3828" s="450"/>
      <c r="M3828" s="580">
        <f>TrialBalanceC!I65</f>
        <v>0</v>
      </c>
      <c r="N3828" s="458"/>
      <c r="O3828" s="581">
        <f>TrialBalanceC!K65</f>
        <v>0</v>
      </c>
      <c r="P3828" s="454"/>
      <c r="R3828" s="490" t="str">
        <f t="shared" ref="R3828" si="265">IF(R$3766="DELETE","DELETE",IF(M3828+O3828=0,"DELETE"," "))</f>
        <v>DELETE</v>
      </c>
    </row>
    <row r="3829" spans="3:18" ht="36" customHeight="1" x14ac:dyDescent="0.45">
      <c r="C3829" s="575"/>
      <c r="D3829" s="616" t="s">
        <v>286</v>
      </c>
      <c r="E3829" s="616"/>
      <c r="F3829" s="616"/>
      <c r="G3829" s="616"/>
      <c r="H3829" s="616"/>
      <c r="I3829" s="616"/>
      <c r="J3829" s="645"/>
      <c r="K3829" s="450"/>
      <c r="L3829" s="450"/>
      <c r="M3829" s="580">
        <f>SUM(TrialBalanceC!I66:I68)</f>
        <v>0</v>
      </c>
      <c r="N3829" s="458"/>
      <c r="O3829" s="581">
        <f>SUM(TrialBalanceC!K66:K68)</f>
        <v>0</v>
      </c>
      <c r="P3829" s="454"/>
      <c r="R3829" s="490" t="str">
        <f t="shared" si="264"/>
        <v>DELETE</v>
      </c>
    </row>
    <row r="3830" spans="3:18" ht="36" customHeight="1" x14ac:dyDescent="0.45">
      <c r="C3830" s="575"/>
      <c r="D3830" s="616" t="s">
        <v>872</v>
      </c>
      <c r="E3830" s="616"/>
      <c r="F3830" s="616"/>
      <c r="G3830" s="616"/>
      <c r="H3830" s="616"/>
      <c r="I3830" s="616"/>
      <c r="J3830" s="645"/>
      <c r="K3830" s="450"/>
      <c r="L3830" s="450"/>
      <c r="M3830" s="580">
        <f>SUM(TrialBalanceC!I69:I70)</f>
        <v>0</v>
      </c>
      <c r="N3830" s="458"/>
      <c r="O3830" s="581">
        <f>SUM(TrialBalanceC!K69:K70)</f>
        <v>0</v>
      </c>
      <c r="P3830" s="454"/>
      <c r="R3830" s="490" t="str">
        <f t="shared" si="264"/>
        <v>DELETE</v>
      </c>
    </row>
    <row r="3831" spans="3:18" ht="36" customHeight="1" x14ac:dyDescent="0.45">
      <c r="C3831" s="575"/>
      <c r="D3831" s="616" t="s">
        <v>287</v>
      </c>
      <c r="E3831" s="616"/>
      <c r="F3831" s="616"/>
      <c r="G3831" s="616"/>
      <c r="H3831" s="616"/>
      <c r="I3831" s="616"/>
      <c r="J3831" s="645"/>
      <c r="K3831" s="450"/>
      <c r="L3831" s="450"/>
      <c r="M3831" s="580">
        <f>TrialBalanceC!I71</f>
        <v>0</v>
      </c>
      <c r="N3831" s="458"/>
      <c r="O3831" s="581">
        <f>TrialBalanceC!K71</f>
        <v>0</v>
      </c>
      <c r="P3831" s="454"/>
      <c r="R3831" s="490" t="str">
        <f t="shared" si="264"/>
        <v>DELETE</v>
      </c>
    </row>
    <row r="3832" spans="3:18" ht="36" customHeight="1" x14ac:dyDescent="0.45">
      <c r="C3832" s="575"/>
      <c r="D3832" s="616" t="s">
        <v>425</v>
      </c>
      <c r="E3832" s="616"/>
      <c r="F3832" s="616"/>
      <c r="G3832" s="616"/>
      <c r="H3832" s="616"/>
      <c r="I3832" s="616"/>
      <c r="J3832" s="645"/>
      <c r="K3832" s="450"/>
      <c r="L3832" s="450"/>
      <c r="M3832" s="580">
        <f>TrialBalanceC!I72</f>
        <v>0</v>
      </c>
      <c r="N3832" s="458"/>
      <c r="O3832" s="581">
        <f>TrialBalanceC!K72</f>
        <v>0</v>
      </c>
      <c r="P3832" s="454"/>
      <c r="R3832" s="490" t="str">
        <f t="shared" si="264"/>
        <v>DELETE</v>
      </c>
    </row>
    <row r="3833" spans="3:18" ht="36" customHeight="1" x14ac:dyDescent="0.45">
      <c r="C3833" s="575"/>
      <c r="D3833" s="616">
        <f>TrialBalanceC!C73</f>
        <v>0</v>
      </c>
      <c r="E3833" s="616"/>
      <c r="F3833" s="616"/>
      <c r="G3833" s="616"/>
      <c r="H3833" s="616"/>
      <c r="I3833" s="616"/>
      <c r="J3833" s="645"/>
      <c r="K3833" s="450"/>
      <c r="L3833" s="450"/>
      <c r="M3833" s="580">
        <f>TrialBalanceC!I73</f>
        <v>0</v>
      </c>
      <c r="N3833" s="458"/>
      <c r="O3833" s="581">
        <f>TrialBalanceC!K73</f>
        <v>0</v>
      </c>
      <c r="P3833" s="454"/>
      <c r="R3833" s="490" t="str">
        <f t="shared" si="264"/>
        <v>DELETE</v>
      </c>
    </row>
    <row r="3834" spans="3:18" ht="36" customHeight="1" x14ac:dyDescent="0.45">
      <c r="C3834" s="575"/>
      <c r="D3834" s="616">
        <f>TrialBalanceC!C74</f>
        <v>0</v>
      </c>
      <c r="E3834" s="616"/>
      <c r="F3834" s="616"/>
      <c r="G3834" s="616"/>
      <c r="H3834" s="616"/>
      <c r="I3834" s="616"/>
      <c r="J3834" s="645"/>
      <c r="K3834" s="450"/>
      <c r="L3834" s="450"/>
      <c r="M3834" s="580">
        <f>TrialBalanceC!I74</f>
        <v>0</v>
      </c>
      <c r="N3834" s="458"/>
      <c r="O3834" s="581">
        <f>TrialBalanceC!K74</f>
        <v>0</v>
      </c>
      <c r="P3834" s="454"/>
      <c r="R3834" s="490" t="str">
        <f t="shared" si="264"/>
        <v>DELETE</v>
      </c>
    </row>
    <row r="3835" spans="3:18" ht="36" customHeight="1" x14ac:dyDescent="0.45">
      <c r="C3835" s="575"/>
      <c r="D3835" s="616">
        <f>TrialBalanceC!C75</f>
        <v>0</v>
      </c>
      <c r="E3835" s="616"/>
      <c r="F3835" s="616"/>
      <c r="G3835" s="616"/>
      <c r="H3835" s="616"/>
      <c r="I3835" s="616"/>
      <c r="J3835" s="645"/>
      <c r="K3835" s="450"/>
      <c r="L3835" s="450"/>
      <c r="M3835" s="580">
        <f>TrialBalanceC!I75</f>
        <v>0</v>
      </c>
      <c r="N3835" s="458"/>
      <c r="O3835" s="581">
        <f>TrialBalanceC!K75</f>
        <v>0</v>
      </c>
      <c r="P3835" s="454"/>
      <c r="R3835" s="490" t="str">
        <f t="shared" si="264"/>
        <v>DELETE</v>
      </c>
    </row>
    <row r="3836" spans="3:18" ht="36" customHeight="1" x14ac:dyDescent="0.45">
      <c r="C3836" s="575"/>
      <c r="D3836" s="616">
        <f>TrialBalanceC!C76</f>
        <v>0</v>
      </c>
      <c r="E3836" s="616"/>
      <c r="F3836" s="616"/>
      <c r="G3836" s="616"/>
      <c r="H3836" s="616"/>
      <c r="I3836" s="616"/>
      <c r="J3836" s="645"/>
      <c r="K3836" s="450"/>
      <c r="L3836" s="450"/>
      <c r="M3836" s="580">
        <f>TrialBalanceC!I76</f>
        <v>0</v>
      </c>
      <c r="N3836" s="458"/>
      <c r="O3836" s="581">
        <f>TrialBalanceC!K76</f>
        <v>0</v>
      </c>
      <c r="P3836" s="454"/>
      <c r="R3836" s="490" t="str">
        <f t="shared" si="264"/>
        <v>DELETE</v>
      </c>
    </row>
    <row r="3837" spans="3:18" ht="36" customHeight="1" x14ac:dyDescent="0.45">
      <c r="C3837" s="575"/>
      <c r="D3837" s="616">
        <f>TrialBalanceC!C77</f>
        <v>0</v>
      </c>
      <c r="E3837" s="616"/>
      <c r="F3837" s="616"/>
      <c r="G3837" s="616"/>
      <c r="H3837" s="616"/>
      <c r="I3837" s="616"/>
      <c r="J3837" s="645"/>
      <c r="K3837" s="450"/>
      <c r="L3837" s="450"/>
      <c r="M3837" s="580">
        <f>TrialBalanceC!I77</f>
        <v>0</v>
      </c>
      <c r="N3837" s="458"/>
      <c r="O3837" s="581">
        <f>TrialBalanceC!K77</f>
        <v>0</v>
      </c>
      <c r="P3837" s="454"/>
      <c r="R3837" s="490" t="str">
        <f t="shared" si="264"/>
        <v>DELETE</v>
      </c>
    </row>
    <row r="3838" spans="3:18" ht="36" customHeight="1" x14ac:dyDescent="0.45">
      <c r="C3838" s="575"/>
      <c r="D3838" s="616">
        <f>TrialBalanceC!C78</f>
        <v>0</v>
      </c>
      <c r="E3838" s="616"/>
      <c r="F3838" s="616"/>
      <c r="G3838" s="616"/>
      <c r="H3838" s="616"/>
      <c r="I3838" s="616"/>
      <c r="J3838" s="645"/>
      <c r="K3838" s="450"/>
      <c r="L3838" s="450"/>
      <c r="M3838" s="580">
        <f>TrialBalanceC!I78</f>
        <v>0</v>
      </c>
      <c r="N3838" s="458"/>
      <c r="O3838" s="581">
        <f>TrialBalanceC!K78</f>
        <v>0</v>
      </c>
      <c r="P3838" s="454"/>
      <c r="R3838" s="490" t="str">
        <f t="shared" si="264"/>
        <v>DELETE</v>
      </c>
    </row>
    <row r="3839" spans="3:18" ht="36" customHeight="1" x14ac:dyDescent="0.45">
      <c r="C3839" s="575"/>
      <c r="D3839" s="616">
        <f>TrialBalanceC!C79</f>
        <v>0</v>
      </c>
      <c r="E3839" s="616"/>
      <c r="F3839" s="616"/>
      <c r="G3839" s="616"/>
      <c r="H3839" s="616"/>
      <c r="I3839" s="616"/>
      <c r="J3839" s="645"/>
      <c r="K3839" s="450"/>
      <c r="L3839" s="450"/>
      <c r="M3839" s="580">
        <f>TrialBalanceC!I79</f>
        <v>0</v>
      </c>
      <c r="N3839" s="458"/>
      <c r="O3839" s="581">
        <f>TrialBalanceC!K79</f>
        <v>0</v>
      </c>
      <c r="P3839" s="454"/>
      <c r="R3839" s="490" t="str">
        <f t="shared" si="264"/>
        <v>DELETE</v>
      </c>
    </row>
    <row r="3840" spans="3:18" ht="36" customHeight="1" x14ac:dyDescent="0.45">
      <c r="C3840" s="575"/>
      <c r="D3840" s="616">
        <f>TrialBalanceC!C80</f>
        <v>0</v>
      </c>
      <c r="E3840" s="616"/>
      <c r="F3840" s="616"/>
      <c r="G3840" s="616"/>
      <c r="H3840" s="616"/>
      <c r="I3840" s="616"/>
      <c r="J3840" s="645"/>
      <c r="K3840" s="450"/>
      <c r="L3840" s="450"/>
      <c r="M3840" s="580">
        <f>TrialBalanceC!I80</f>
        <v>0</v>
      </c>
      <c r="N3840" s="458"/>
      <c r="O3840" s="581">
        <f>TrialBalanceC!K80</f>
        <v>0</v>
      </c>
      <c r="P3840" s="454"/>
      <c r="R3840" s="490" t="str">
        <f t="shared" si="264"/>
        <v>DELETE</v>
      </c>
    </row>
    <row r="3841" spans="3:26" ht="36" customHeight="1" x14ac:dyDescent="0.45">
      <c r="C3841" s="575"/>
      <c r="D3841" s="616">
        <f>TrialBalanceC!C81</f>
        <v>0</v>
      </c>
      <c r="E3841" s="616"/>
      <c r="F3841" s="616"/>
      <c r="G3841" s="616"/>
      <c r="H3841" s="616"/>
      <c r="I3841" s="616"/>
      <c r="J3841" s="645"/>
      <c r="K3841" s="450"/>
      <c r="L3841" s="450"/>
      <c r="M3841" s="580">
        <f>TrialBalanceC!I81</f>
        <v>0</v>
      </c>
      <c r="N3841" s="458"/>
      <c r="O3841" s="581">
        <f>TrialBalanceC!K81</f>
        <v>0</v>
      </c>
      <c r="P3841" s="454"/>
      <c r="R3841" s="490" t="str">
        <f t="shared" si="264"/>
        <v>DELETE</v>
      </c>
    </row>
    <row r="3842" spans="3:26" ht="36" customHeight="1" x14ac:dyDescent="0.45">
      <c r="C3842" s="575"/>
      <c r="D3842" s="616">
        <f>TrialBalanceC!C82</f>
        <v>0</v>
      </c>
      <c r="E3842" s="616"/>
      <c r="F3842" s="616"/>
      <c r="G3842" s="616"/>
      <c r="H3842" s="616"/>
      <c r="I3842" s="616"/>
      <c r="J3842" s="645"/>
      <c r="K3842" s="450"/>
      <c r="L3842" s="450"/>
      <c r="M3842" s="580">
        <f>TrialBalanceC!I82</f>
        <v>0</v>
      </c>
      <c r="N3842" s="458"/>
      <c r="O3842" s="581">
        <f>TrialBalanceC!K82</f>
        <v>0</v>
      </c>
      <c r="P3842" s="454"/>
      <c r="R3842" s="490" t="str">
        <f t="shared" si="264"/>
        <v>DELETE</v>
      </c>
    </row>
    <row r="3843" spans="3:26" ht="9" customHeight="1" x14ac:dyDescent="0.45">
      <c r="C3843" s="575"/>
      <c r="D3843" s="616"/>
      <c r="E3843" s="616"/>
      <c r="F3843" s="616"/>
      <c r="G3843" s="616"/>
      <c r="H3843" s="616"/>
      <c r="I3843" s="616"/>
      <c r="J3843" s="645"/>
      <c r="K3843" s="450"/>
      <c r="L3843" s="450"/>
      <c r="M3843" s="460"/>
      <c r="N3843" s="461"/>
      <c r="O3843" s="582"/>
      <c r="P3843" s="454"/>
      <c r="R3843" s="490" t="str">
        <f>R3812</f>
        <v>DELETE</v>
      </c>
    </row>
    <row r="3844" spans="3:26" ht="9" customHeight="1" x14ac:dyDescent="0.45">
      <c r="C3844" s="575"/>
      <c r="D3844" s="616"/>
      <c r="E3844" s="616"/>
      <c r="F3844" s="616"/>
      <c r="G3844" s="616"/>
      <c r="H3844" s="616"/>
      <c r="I3844" s="616"/>
      <c r="J3844" s="645"/>
      <c r="K3844" s="450"/>
      <c r="L3844" s="450"/>
      <c r="M3844" s="461"/>
      <c r="N3844" s="461"/>
      <c r="O3844" s="461"/>
      <c r="P3844" s="454"/>
      <c r="R3844" s="490" t="str">
        <f t="shared" ref="R3844:R3864" si="266">R$3766</f>
        <v>DELETE</v>
      </c>
    </row>
    <row r="3845" spans="3:26" ht="9" customHeight="1" x14ac:dyDescent="0.45">
      <c r="C3845" s="575"/>
      <c r="D3845" s="616"/>
      <c r="E3845" s="616"/>
      <c r="F3845" s="616"/>
      <c r="G3845" s="616"/>
      <c r="H3845" s="616"/>
      <c r="I3845" s="616"/>
      <c r="J3845" s="645"/>
      <c r="K3845" s="450"/>
      <c r="L3845" s="450"/>
      <c r="M3845" s="458"/>
      <c r="N3845" s="458"/>
      <c r="O3845" s="458"/>
      <c r="P3845" s="454"/>
      <c r="R3845" s="490" t="str">
        <f t="shared" si="266"/>
        <v>DELETE</v>
      </c>
    </row>
    <row r="3846" spans="3:26" ht="36" customHeight="1" x14ac:dyDescent="0.45">
      <c r="D3846" s="637" t="str">
        <f>IF((Y3846+Z3846)=3,"Operating profit/(loss)",(IF((Y3846+Z3846=4),"Operating profit","Operating loss")))</f>
        <v>Operating profit</v>
      </c>
      <c r="E3846" s="616"/>
      <c r="F3846" s="616"/>
      <c r="G3846" s="616"/>
      <c r="H3846" s="616"/>
      <c r="I3846" s="616"/>
      <c r="J3846" s="645"/>
      <c r="K3846" s="450"/>
      <c r="L3846" s="450"/>
      <c r="M3846" s="458">
        <f>SUM(S3778:S3844)</f>
        <v>0</v>
      </c>
      <c r="N3846" s="458"/>
      <c r="O3846" s="458">
        <f>SUM(U3778:U3844)</f>
        <v>0</v>
      </c>
      <c r="P3846" s="454"/>
      <c r="R3846" s="490" t="str">
        <f t="shared" si="266"/>
        <v>DELETE</v>
      </c>
      <c r="Y3846" s="491">
        <f>IF(M3846&lt;0,1,IF(M3846=0,IF(O3846&lt;0,1,2),2))</f>
        <v>2</v>
      </c>
      <c r="Z3846" s="491">
        <f>IF(O3846&lt;0,1,IF(O3846=0,IF(M3846&lt;0,1,2),2))</f>
        <v>2</v>
      </c>
    </row>
    <row r="3847" spans="3:26" ht="36" customHeight="1" x14ac:dyDescent="0.45">
      <c r="C3847" s="575"/>
      <c r="D3847" s="616"/>
      <c r="E3847" s="616" t="s">
        <v>289</v>
      </c>
      <c r="F3847" s="616"/>
      <c r="G3847" s="616"/>
      <c r="H3847" s="616"/>
      <c r="I3847" s="616"/>
      <c r="J3847" s="645"/>
      <c r="K3847" s="450"/>
      <c r="L3847" s="450"/>
      <c r="M3847" s="458"/>
      <c r="N3847" s="458"/>
      <c r="O3847" s="458"/>
      <c r="P3847" s="454"/>
      <c r="R3847" s="490" t="str">
        <f t="shared" si="266"/>
        <v>DELETE</v>
      </c>
    </row>
    <row r="3848" spans="3:26" ht="36" customHeight="1" x14ac:dyDescent="0.45">
      <c r="C3848" s="575"/>
      <c r="D3848" s="616"/>
      <c r="E3848" s="616"/>
      <c r="F3848" s="616"/>
      <c r="G3848" s="616"/>
      <c r="H3848" s="616"/>
      <c r="I3848" s="616"/>
      <c r="J3848" s="645"/>
      <c r="K3848" s="450"/>
      <c r="L3848" s="450"/>
      <c r="M3848" s="458"/>
      <c r="N3848" s="458"/>
      <c r="O3848" s="458"/>
      <c r="P3848" s="454"/>
      <c r="R3848" s="490" t="str">
        <f t="shared" si="266"/>
        <v>DELETE</v>
      </c>
    </row>
    <row r="3849" spans="3:26" ht="36" customHeight="1" x14ac:dyDescent="0.45">
      <c r="C3849" s="575"/>
      <c r="D3849" s="616"/>
      <c r="E3849" s="616"/>
      <c r="F3849" s="616"/>
      <c r="G3849" s="616"/>
      <c r="H3849" s="616"/>
      <c r="I3849" s="616"/>
      <c r="J3849" s="645"/>
      <c r="K3849" s="450"/>
      <c r="L3849" s="450"/>
      <c r="M3849" s="458"/>
      <c r="N3849" s="458"/>
      <c r="O3849" s="458"/>
      <c r="P3849" s="454"/>
      <c r="R3849" s="490" t="str">
        <f t="shared" si="266"/>
        <v>DELETE</v>
      </c>
    </row>
    <row r="3850" spans="3:26" ht="36" customHeight="1" x14ac:dyDescent="0.45">
      <c r="C3850" s="575"/>
      <c r="D3850" s="616"/>
      <c r="E3850" s="616"/>
      <c r="F3850" s="616"/>
      <c r="G3850" s="616"/>
      <c r="H3850" s="616"/>
      <c r="I3850" s="616"/>
      <c r="J3850" s="645"/>
      <c r="K3850" s="450"/>
      <c r="L3850" s="450"/>
      <c r="M3850" s="475"/>
      <c r="N3850" s="475"/>
      <c r="O3850" s="475"/>
      <c r="P3850" s="521"/>
      <c r="R3850" s="490" t="str">
        <f t="shared" si="266"/>
        <v>DELETE</v>
      </c>
    </row>
    <row r="3851" spans="3:26" ht="36" customHeight="1" x14ac:dyDescent="0.45">
      <c r="C3851" s="575"/>
      <c r="D3851" s="616"/>
      <c r="E3851" s="616"/>
      <c r="F3851" s="616"/>
      <c r="G3851" s="616"/>
      <c r="H3851" s="616"/>
      <c r="I3851" s="616"/>
      <c r="J3851" s="645"/>
      <c r="K3851" s="450"/>
      <c r="L3851" s="450"/>
      <c r="M3851" s="458"/>
      <c r="N3851" s="458"/>
      <c r="O3851" s="458"/>
      <c r="P3851" s="454"/>
      <c r="R3851" s="490" t="str">
        <f t="shared" si="266"/>
        <v>DELETE</v>
      </c>
    </row>
    <row r="3852" spans="3:26" ht="36" customHeight="1" x14ac:dyDescent="0.45">
      <c r="C3852" s="575"/>
      <c r="D3852" s="616"/>
      <c r="E3852" s="616"/>
      <c r="F3852" s="616"/>
      <c r="G3852" s="616"/>
      <c r="H3852" s="616"/>
      <c r="I3852" s="616"/>
      <c r="J3852" s="645"/>
      <c r="K3852" s="450"/>
      <c r="L3852" s="450"/>
      <c r="M3852" s="458"/>
      <c r="N3852" s="458"/>
      <c r="O3852" s="458" t="s">
        <v>112</v>
      </c>
      <c r="P3852" s="454"/>
      <c r="Q3852" s="450">
        <f>MAX($Q$3766:Q3851)+1</f>
        <v>2</v>
      </c>
      <c r="R3852" s="490" t="str">
        <f t="shared" si="266"/>
        <v>DELETE</v>
      </c>
    </row>
    <row r="3853" spans="3:26" ht="36" customHeight="1" x14ac:dyDescent="0.45">
      <c r="C3853" s="575"/>
      <c r="D3853" s="615" t="str">
        <f>Criteria!E9</f>
        <v>ABC COMPANY (PROPRIETARY) LIMITED</v>
      </c>
      <c r="E3853" s="616"/>
      <c r="F3853" s="616"/>
      <c r="G3853" s="616"/>
      <c r="H3853" s="616"/>
      <c r="I3853" s="616"/>
      <c r="J3853" s="645"/>
      <c r="K3853" s="450"/>
      <c r="L3853" s="450"/>
      <c r="M3853" s="458"/>
      <c r="N3853" s="458"/>
      <c r="O3853" s="540"/>
      <c r="R3853" s="490" t="str">
        <f t="shared" si="266"/>
        <v>DELETE</v>
      </c>
    </row>
    <row r="3854" spans="3:26" ht="36" customHeight="1" x14ac:dyDescent="0.45">
      <c r="C3854" s="575"/>
      <c r="D3854" s="615" t="str">
        <f>CONCATENATE("T/A ",Criteria!E16)</f>
        <v xml:space="preserve">T/A </v>
      </c>
      <c r="E3854" s="616"/>
      <c r="F3854" s="616"/>
      <c r="G3854" s="616"/>
      <c r="H3854" s="616"/>
      <c r="I3854" s="616"/>
      <c r="J3854" s="645"/>
      <c r="K3854" s="450"/>
      <c r="L3854" s="450"/>
      <c r="M3854" s="458"/>
      <c r="N3854" s="458"/>
      <c r="O3854" s="458"/>
      <c r="P3854" s="454"/>
      <c r="R3854" s="490" t="str">
        <f t="shared" si="266"/>
        <v>DELETE</v>
      </c>
    </row>
    <row r="3855" spans="3:26" ht="36" customHeight="1" x14ac:dyDescent="0.45">
      <c r="C3855" s="575"/>
      <c r="D3855" s="616"/>
      <c r="E3855" s="616"/>
      <c r="F3855" s="616"/>
      <c r="G3855" s="616"/>
      <c r="H3855" s="616"/>
      <c r="I3855" s="616"/>
      <c r="J3855" s="645"/>
      <c r="K3855" s="450"/>
      <c r="L3855" s="450"/>
      <c r="M3855" s="458"/>
      <c r="N3855" s="458"/>
      <c r="O3855" s="458"/>
      <c r="P3855" s="454"/>
      <c r="R3855" s="490" t="str">
        <f t="shared" si="266"/>
        <v>DELETE</v>
      </c>
    </row>
    <row r="3856" spans="3:26" ht="36" customHeight="1" x14ac:dyDescent="0.45">
      <c r="C3856" s="575"/>
      <c r="D3856" s="615" t="s">
        <v>109</v>
      </c>
      <c r="E3856" s="616"/>
      <c r="F3856" s="616"/>
      <c r="G3856" s="616"/>
      <c r="H3856" s="616"/>
      <c r="I3856" s="616"/>
      <c r="J3856" s="645"/>
      <c r="K3856" s="450"/>
      <c r="L3856" s="450"/>
      <c r="M3856" s="458"/>
      <c r="N3856" s="458"/>
      <c r="O3856" s="458"/>
      <c r="P3856" s="454"/>
      <c r="R3856" s="490" t="str">
        <f t="shared" si="266"/>
        <v>DELETE</v>
      </c>
    </row>
    <row r="3857" spans="3:26" ht="36" customHeight="1" x14ac:dyDescent="0.45">
      <c r="C3857" s="575"/>
      <c r="D3857" s="615" t="str">
        <f>D3773</f>
        <v>28 FEBRUARY 2026</v>
      </c>
      <c r="E3857" s="616"/>
      <c r="F3857" s="616"/>
      <c r="G3857" s="616"/>
      <c r="H3857" s="616"/>
      <c r="I3857" s="616"/>
      <c r="J3857" s="616" t="s">
        <v>118</v>
      </c>
      <c r="K3857" s="450"/>
      <c r="L3857" s="450"/>
      <c r="M3857" s="458"/>
      <c r="N3857" s="458"/>
      <c r="O3857" s="458"/>
      <c r="P3857" s="454"/>
      <c r="R3857" s="490" t="str">
        <f t="shared" si="266"/>
        <v>DELETE</v>
      </c>
    </row>
    <row r="3858" spans="3:26" ht="36" customHeight="1" x14ac:dyDescent="0.45">
      <c r="C3858" s="575"/>
      <c r="D3858" s="616"/>
      <c r="E3858" s="616"/>
      <c r="F3858" s="616"/>
      <c r="G3858" s="616"/>
      <c r="H3858" s="616"/>
      <c r="I3858" s="616"/>
      <c r="J3858" s="645"/>
      <c r="K3858" s="467"/>
      <c r="L3858" s="467"/>
      <c r="M3858" s="461"/>
      <c r="N3858" s="461"/>
      <c r="O3858" s="461"/>
      <c r="P3858" s="454"/>
      <c r="R3858" s="490" t="str">
        <f t="shared" si="266"/>
        <v>DELETE</v>
      </c>
    </row>
    <row r="3859" spans="3:26" ht="36" customHeight="1" x14ac:dyDescent="0.45">
      <c r="C3859" s="575"/>
      <c r="D3859" s="634"/>
      <c r="E3859" s="634"/>
      <c r="F3859" s="634"/>
      <c r="G3859" s="634"/>
      <c r="H3859" s="634"/>
      <c r="I3859" s="634"/>
      <c r="J3859" s="647"/>
      <c r="M3859" s="541"/>
      <c r="N3859" s="541"/>
      <c r="O3859" s="541"/>
      <c r="P3859" s="486"/>
      <c r="Q3859" s="457"/>
      <c r="R3859" s="490" t="str">
        <f t="shared" si="266"/>
        <v>DELETE</v>
      </c>
    </row>
    <row r="3860" spans="3:26" ht="36" customHeight="1" x14ac:dyDescent="0.45">
      <c r="C3860" s="575"/>
      <c r="D3860" s="616"/>
      <c r="E3860" s="616"/>
      <c r="F3860" s="616"/>
      <c r="G3860" s="616"/>
      <c r="H3860" s="616"/>
      <c r="I3860" s="616"/>
      <c r="J3860" s="645"/>
      <c r="K3860" s="450" t="s">
        <v>1494</v>
      </c>
      <c r="L3860" s="450"/>
      <c r="M3860" s="453">
        <f>Criteria!E22</f>
        <v>2026</v>
      </c>
      <c r="N3860" s="453"/>
      <c r="O3860" s="453">
        <f>Criteria!E27</f>
        <v>2025</v>
      </c>
      <c r="P3860" s="454"/>
      <c r="R3860" s="490" t="str">
        <f t="shared" si="266"/>
        <v>DELETE</v>
      </c>
    </row>
    <row r="3861" spans="3:26" ht="36" customHeight="1" x14ac:dyDescent="0.45">
      <c r="C3861" s="575"/>
      <c r="D3861" s="616"/>
      <c r="E3861" s="616"/>
      <c r="F3861" s="616"/>
      <c r="G3861" s="616"/>
      <c r="H3861" s="616"/>
      <c r="I3861" s="616"/>
      <c r="J3861" s="645"/>
      <c r="K3861" s="450"/>
      <c r="L3861" s="450"/>
      <c r="M3861" s="458"/>
      <c r="N3861" s="458"/>
      <c r="O3861" s="458"/>
      <c r="P3861" s="454"/>
      <c r="R3861" s="490" t="str">
        <f t="shared" si="266"/>
        <v>DELETE</v>
      </c>
    </row>
    <row r="3862" spans="3:26" ht="36" customHeight="1" x14ac:dyDescent="0.45">
      <c r="D3862" s="637" t="str">
        <f>IF((Y3862+Z3862)=3,"Operating profit/(loss)",(IF((Y3862+Z3862=4),"Operating profit","Operating loss")))</f>
        <v>Operating profit</v>
      </c>
      <c r="E3862" s="616"/>
      <c r="F3862" s="616"/>
      <c r="G3862" s="616"/>
      <c r="H3862" s="616"/>
      <c r="I3862" s="616"/>
      <c r="J3862" s="645"/>
      <c r="K3862" s="450"/>
      <c r="L3862" s="450"/>
      <c r="M3862" s="458">
        <f>SUM(S3778:S3843)</f>
        <v>0</v>
      </c>
      <c r="N3862" s="458"/>
      <c r="O3862" s="458">
        <f>SUM(U3778:U3843)</f>
        <v>0</v>
      </c>
      <c r="P3862" s="454"/>
      <c r="R3862" s="490" t="str">
        <f t="shared" si="266"/>
        <v>DELETE</v>
      </c>
      <c r="V3862" s="491" t="b">
        <f>M3862=M3846</f>
        <v>1</v>
      </c>
      <c r="X3862" s="491" t="b">
        <f>O3862=O3846</f>
        <v>1</v>
      </c>
      <c r="Y3862" s="491">
        <f>IF(M3862&lt;0,1,IF(M3862=0,IF(O3862&lt;0,1,2),2))</f>
        <v>2</v>
      </c>
      <c r="Z3862" s="491">
        <f>IF(O3862&lt;0,1,IF(O3862=0,IF(M3862&lt;0,1,2),2))</f>
        <v>2</v>
      </c>
    </row>
    <row r="3863" spans="3:26" ht="36" customHeight="1" x14ac:dyDescent="0.45">
      <c r="C3863" s="575"/>
      <c r="D3863" s="616"/>
      <c r="E3863" s="616" t="s">
        <v>290</v>
      </c>
      <c r="F3863" s="616"/>
      <c r="G3863" s="616"/>
      <c r="H3863" s="616"/>
      <c r="I3863" s="616"/>
      <c r="J3863" s="645"/>
      <c r="K3863" s="450"/>
      <c r="L3863" s="450"/>
      <c r="M3863" s="458"/>
      <c r="N3863" s="458"/>
      <c r="O3863" s="458"/>
      <c r="P3863" s="454"/>
      <c r="R3863" s="490" t="str">
        <f t="shared" si="266"/>
        <v>DELETE</v>
      </c>
    </row>
    <row r="3864" spans="3:26" ht="36" customHeight="1" x14ac:dyDescent="0.45">
      <c r="C3864" s="575"/>
      <c r="D3864" s="616"/>
      <c r="E3864" s="616"/>
      <c r="F3864" s="616"/>
      <c r="G3864" s="616"/>
      <c r="H3864" s="616"/>
      <c r="I3864" s="616"/>
      <c r="J3864" s="645"/>
      <c r="K3864" s="450"/>
      <c r="L3864" s="450"/>
      <c r="M3864" s="458"/>
      <c r="N3864" s="458"/>
      <c r="O3864" s="458"/>
      <c r="P3864" s="454"/>
      <c r="R3864" s="490" t="str">
        <f t="shared" si="266"/>
        <v>DELETE</v>
      </c>
    </row>
    <row r="3865" spans="3:26" ht="36" customHeight="1" x14ac:dyDescent="0.45">
      <c r="D3865" s="615" t="s">
        <v>1533</v>
      </c>
      <c r="E3865" s="616"/>
      <c r="F3865" s="616"/>
      <c r="G3865" s="616"/>
      <c r="H3865" s="616"/>
      <c r="I3865" s="616"/>
      <c r="J3865" s="645"/>
      <c r="K3865" s="450"/>
      <c r="L3865" s="450"/>
      <c r="M3865" s="458">
        <f>SUM(M3868:M3901)</f>
        <v>0</v>
      </c>
      <c r="N3865" s="458"/>
      <c r="O3865" s="458">
        <f>SUM(O3868:O3901)</f>
        <v>0</v>
      </c>
      <c r="P3865" s="454"/>
      <c r="R3865" s="490" t="str">
        <f t="shared" ref="R3865" si="267">IF(R$3766="DELETE","DELETE",IF(M3865+O3865=0,"DELETE"," "))</f>
        <v>DELETE</v>
      </c>
      <c r="S3865" s="495">
        <f>-M3865</f>
        <v>0</v>
      </c>
      <c r="T3865" s="495"/>
      <c r="U3865" s="495">
        <f>-O3865</f>
        <v>0</v>
      </c>
      <c r="V3865" s="495"/>
      <c r="W3865" s="495"/>
      <c r="X3865" s="495"/>
    </row>
    <row r="3866" spans="3:26" ht="9" customHeight="1" x14ac:dyDescent="0.45">
      <c r="C3866" s="575"/>
      <c r="D3866" s="616"/>
      <c r="E3866" s="616"/>
      <c r="F3866" s="616"/>
      <c r="G3866" s="616"/>
      <c r="H3866" s="616"/>
      <c r="I3866" s="616"/>
      <c r="J3866" s="645"/>
      <c r="K3866" s="450"/>
      <c r="L3866" s="450"/>
      <c r="M3866" s="458"/>
      <c r="N3866" s="458"/>
      <c r="O3866" s="458"/>
      <c r="P3866" s="454"/>
      <c r="R3866" s="490" t="str">
        <f>R3865</f>
        <v>DELETE</v>
      </c>
    </row>
    <row r="3867" spans="3:26" ht="9" customHeight="1" x14ac:dyDescent="0.45">
      <c r="C3867" s="575"/>
      <c r="D3867" s="616"/>
      <c r="E3867" s="616"/>
      <c r="F3867" s="616"/>
      <c r="G3867" s="616"/>
      <c r="H3867" s="616"/>
      <c r="I3867" s="616"/>
      <c r="J3867" s="645"/>
      <c r="K3867" s="450"/>
      <c r="L3867" s="450"/>
      <c r="M3867" s="578"/>
      <c r="N3867" s="459"/>
      <c r="O3867" s="579"/>
      <c r="P3867" s="454"/>
      <c r="R3867" s="490" t="str">
        <f>R3866</f>
        <v>DELETE</v>
      </c>
    </row>
    <row r="3868" spans="3:26" ht="36" customHeight="1" x14ac:dyDescent="0.45">
      <c r="C3868" s="575"/>
      <c r="D3868" s="616" t="s">
        <v>233</v>
      </c>
      <c r="E3868" s="616"/>
      <c r="F3868" s="616"/>
      <c r="G3868" s="616"/>
      <c r="H3868" s="616"/>
      <c r="I3868" s="616"/>
      <c r="J3868" s="645"/>
      <c r="K3868" s="450"/>
      <c r="L3868" s="450"/>
      <c r="M3868" s="580">
        <f>SUM(TrialBalanceC!I99:I102)</f>
        <v>0</v>
      </c>
      <c r="N3868" s="458"/>
      <c r="O3868" s="581">
        <f>SUM(TrialBalanceC!K99:K102)</f>
        <v>0</v>
      </c>
      <c r="P3868" s="454"/>
      <c r="R3868" s="490" t="str">
        <f t="shared" ref="R3868:R3899" si="268">IF(R$3766="DELETE","DELETE",IF(M3868+O3868=0,"DELETE"," "))</f>
        <v>DELETE</v>
      </c>
    </row>
    <row r="3869" spans="3:26" ht="36" customHeight="1" x14ac:dyDescent="0.45">
      <c r="C3869" s="575"/>
      <c r="D3869" s="616" t="s">
        <v>237</v>
      </c>
      <c r="E3869" s="616"/>
      <c r="F3869" s="616"/>
      <c r="G3869" s="616"/>
      <c r="H3869" s="616"/>
      <c r="I3869" s="616"/>
      <c r="J3869" s="645"/>
      <c r="K3869" s="450"/>
      <c r="L3869" s="450"/>
      <c r="M3869" s="580">
        <f>TrialBalanceC!I104</f>
        <v>0</v>
      </c>
      <c r="N3869" s="458"/>
      <c r="O3869" s="581">
        <f>TrialBalanceC!K104</f>
        <v>0</v>
      </c>
      <c r="P3869" s="454"/>
      <c r="R3869" s="490" t="str">
        <f t="shared" si="268"/>
        <v>DELETE</v>
      </c>
    </row>
    <row r="3870" spans="3:26" ht="36" customHeight="1" x14ac:dyDescent="0.45">
      <c r="C3870" s="575"/>
      <c r="D3870" s="616" t="s">
        <v>235</v>
      </c>
      <c r="E3870" s="616"/>
      <c r="F3870" s="616"/>
      <c r="G3870" s="616"/>
      <c r="H3870" s="616"/>
      <c r="I3870" s="616"/>
      <c r="J3870" s="645"/>
      <c r="K3870" s="450"/>
      <c r="L3870" s="450"/>
      <c r="M3870" s="580">
        <f>TrialBalanceC!I103</f>
        <v>0</v>
      </c>
      <c r="N3870" s="458"/>
      <c r="O3870" s="581">
        <f>TrialBalanceC!K103</f>
        <v>0</v>
      </c>
      <c r="P3870" s="454"/>
      <c r="R3870" s="490" t="str">
        <f t="shared" si="268"/>
        <v>DELETE</v>
      </c>
    </row>
    <row r="3871" spans="3:26" ht="36" customHeight="1" x14ac:dyDescent="0.45">
      <c r="C3871" s="575"/>
      <c r="D3871" s="616" t="s">
        <v>291</v>
      </c>
      <c r="E3871" s="616"/>
      <c r="F3871" s="616"/>
      <c r="G3871" s="616"/>
      <c r="H3871" s="616"/>
      <c r="I3871" s="616"/>
      <c r="J3871" s="645"/>
      <c r="K3871" s="450"/>
      <c r="L3871" s="450"/>
      <c r="M3871" s="580">
        <f>TrialBalanceC!I105</f>
        <v>0</v>
      </c>
      <c r="N3871" s="458"/>
      <c r="O3871" s="581">
        <f>TrialBalanceC!K105</f>
        <v>0</v>
      </c>
      <c r="P3871" s="454"/>
      <c r="R3871" s="490" t="str">
        <f t="shared" si="268"/>
        <v>DELETE</v>
      </c>
    </row>
    <row r="3872" spans="3:26" ht="36" customHeight="1" x14ac:dyDescent="0.45">
      <c r="C3872" s="575"/>
      <c r="D3872" s="616" t="s">
        <v>240</v>
      </c>
      <c r="E3872" s="616"/>
      <c r="F3872" s="616"/>
      <c r="G3872" s="616"/>
      <c r="H3872" s="616"/>
      <c r="I3872" s="616"/>
      <c r="J3872" s="645"/>
      <c r="K3872" s="450"/>
      <c r="L3872" s="450"/>
      <c r="M3872" s="580">
        <f>TrialBalanceC!I106</f>
        <v>0</v>
      </c>
      <c r="N3872" s="458"/>
      <c r="O3872" s="581">
        <f>TrialBalanceC!K106</f>
        <v>0</v>
      </c>
      <c r="P3872" s="454"/>
      <c r="R3872" s="490" t="str">
        <f t="shared" si="268"/>
        <v>DELETE</v>
      </c>
    </row>
    <row r="3873" spans="3:18" ht="36" customHeight="1" x14ac:dyDescent="0.45">
      <c r="C3873" s="575"/>
      <c r="D3873" s="616" t="s">
        <v>873</v>
      </c>
      <c r="E3873" s="616"/>
      <c r="F3873" s="616"/>
      <c r="G3873" s="616"/>
      <c r="H3873" s="616"/>
      <c r="I3873" s="616"/>
      <c r="J3873" s="645"/>
      <c r="K3873" s="450"/>
      <c r="L3873" s="450"/>
      <c r="M3873" s="580">
        <f>TrialBalanceC!I107</f>
        <v>0</v>
      </c>
      <c r="N3873" s="458"/>
      <c r="O3873" s="581">
        <f>TrialBalanceC!K107</f>
        <v>0</v>
      </c>
      <c r="P3873" s="454"/>
      <c r="R3873" s="490" t="str">
        <f t="shared" si="268"/>
        <v>DELETE</v>
      </c>
    </row>
    <row r="3874" spans="3:18" ht="36" customHeight="1" x14ac:dyDescent="0.45">
      <c r="C3874" s="575"/>
      <c r="D3874" s="616" t="s">
        <v>1759</v>
      </c>
      <c r="E3874" s="616"/>
      <c r="F3874" s="616"/>
      <c r="G3874" s="616"/>
      <c r="H3874" s="616"/>
      <c r="I3874" s="616"/>
      <c r="J3874" s="645"/>
      <c r="K3874" s="450"/>
      <c r="L3874" s="450"/>
      <c r="M3874" s="580">
        <f>TrialBalanceC!I108</f>
        <v>0</v>
      </c>
      <c r="N3874" s="458"/>
      <c r="O3874" s="581">
        <f>TrialBalanceC!K108</f>
        <v>0</v>
      </c>
      <c r="P3874" s="454"/>
      <c r="R3874" s="490" t="str">
        <f t="shared" ref="R3874" si="269">IF(R$3766="DELETE","DELETE",IF(M3874+O3874=0,"DELETE"," "))</f>
        <v>DELETE</v>
      </c>
    </row>
    <row r="3875" spans="3:18" ht="36" customHeight="1" x14ac:dyDescent="0.45">
      <c r="C3875" s="575"/>
      <c r="D3875" s="616" t="s">
        <v>304</v>
      </c>
      <c r="E3875" s="616"/>
      <c r="F3875" s="616"/>
      <c r="G3875" s="616"/>
      <c r="H3875" s="616"/>
      <c r="I3875" s="616"/>
      <c r="J3875" s="645"/>
      <c r="K3875" s="450">
        <f>B$1250</f>
        <v>5</v>
      </c>
      <c r="L3875" s="450"/>
      <c r="M3875" s="580">
        <f>SUM(TrialBalanceC!I110:I111)</f>
        <v>0</v>
      </c>
      <c r="N3875" s="458"/>
      <c r="O3875" s="581">
        <f>SUM(TrialBalanceC!K110:K111)</f>
        <v>0</v>
      </c>
      <c r="P3875" s="454"/>
      <c r="R3875" s="490" t="str">
        <f t="shared" si="268"/>
        <v>DELETE</v>
      </c>
    </row>
    <row r="3876" spans="3:18" ht="36" customHeight="1" x14ac:dyDescent="0.45">
      <c r="C3876" s="575"/>
      <c r="D3876" s="616" t="str">
        <f>IF(MAX(Criteria!I41:I45)&gt;1,"Directors' remuneration","Director's remuneration")</f>
        <v>Directors' remuneration</v>
      </c>
      <c r="E3876" s="616"/>
      <c r="F3876" s="616"/>
      <c r="G3876" s="616"/>
      <c r="H3876" s="616"/>
      <c r="I3876" s="616"/>
      <c r="J3876" s="645"/>
      <c r="K3876" s="450">
        <f>B$1250</f>
        <v>5</v>
      </c>
      <c r="L3876" s="450"/>
      <c r="M3876" s="580">
        <f>SUM(TrialBalanceC!I113:I117)</f>
        <v>0</v>
      </c>
      <c r="N3876" s="458"/>
      <c r="O3876" s="581">
        <f>SUM(TrialBalanceC!K113:K117)</f>
        <v>0</v>
      </c>
      <c r="P3876" s="454"/>
      <c r="R3876" s="490" t="str">
        <f t="shared" si="268"/>
        <v>DELETE</v>
      </c>
    </row>
    <row r="3877" spans="3:18" ht="36" customHeight="1" x14ac:dyDescent="0.45">
      <c r="C3877" s="575"/>
      <c r="D3877" s="616" t="s">
        <v>292</v>
      </c>
      <c r="E3877" s="616"/>
      <c r="F3877" s="616"/>
      <c r="G3877" s="616"/>
      <c r="H3877" s="616"/>
      <c r="I3877" s="616"/>
      <c r="J3877" s="645"/>
      <c r="K3877" s="450"/>
      <c r="L3877" s="450"/>
      <c r="M3877" s="580">
        <f>TrialBalanceC!I118</f>
        <v>0</v>
      </c>
      <c r="N3877" s="458"/>
      <c r="O3877" s="581">
        <f>TrialBalanceC!K118</f>
        <v>0</v>
      </c>
      <c r="P3877" s="454"/>
      <c r="R3877" s="490" t="str">
        <f t="shared" si="268"/>
        <v>DELETE</v>
      </c>
    </row>
    <row r="3878" spans="3:18" ht="36" customHeight="1" x14ac:dyDescent="0.45">
      <c r="C3878" s="575"/>
      <c r="D3878" s="616" t="s">
        <v>408</v>
      </c>
      <c r="E3878" s="616"/>
      <c r="F3878" s="616"/>
      <c r="G3878" s="616"/>
      <c r="H3878" s="616"/>
      <c r="I3878" s="616"/>
      <c r="J3878" s="645"/>
      <c r="K3878" s="450"/>
      <c r="L3878" s="450"/>
      <c r="M3878" s="580">
        <f>TrialBalanceC!I119</f>
        <v>0</v>
      </c>
      <c r="N3878" s="458"/>
      <c r="O3878" s="581">
        <f>TrialBalanceC!K119</f>
        <v>0</v>
      </c>
      <c r="P3878" s="454"/>
      <c r="R3878" s="490" t="str">
        <f t="shared" si="268"/>
        <v>DELETE</v>
      </c>
    </row>
    <row r="3879" spans="3:18" ht="36" customHeight="1" x14ac:dyDescent="0.45">
      <c r="C3879" s="575"/>
      <c r="D3879" s="616" t="s">
        <v>357</v>
      </c>
      <c r="E3879" s="616"/>
      <c r="F3879" s="616"/>
      <c r="G3879" s="616"/>
      <c r="H3879" s="616"/>
      <c r="I3879" s="616"/>
      <c r="J3879" s="645"/>
      <c r="K3879" s="450"/>
      <c r="L3879" s="450"/>
      <c r="M3879" s="580">
        <f>TrialBalanceC!I120</f>
        <v>0</v>
      </c>
      <c r="N3879" s="458"/>
      <c r="O3879" s="581">
        <f>TrialBalanceC!K120</f>
        <v>0</v>
      </c>
      <c r="P3879" s="454"/>
      <c r="R3879" s="490" t="str">
        <f t="shared" si="268"/>
        <v>DELETE</v>
      </c>
    </row>
    <row r="3880" spans="3:18" ht="36" customHeight="1" x14ac:dyDescent="0.45">
      <c r="C3880" s="575"/>
      <c r="D3880" s="616" t="s">
        <v>410</v>
      </c>
      <c r="E3880" s="616"/>
      <c r="F3880" s="616"/>
      <c r="G3880" s="616"/>
      <c r="H3880" s="616"/>
      <c r="I3880" s="616"/>
      <c r="J3880" s="645"/>
      <c r="K3880" s="450"/>
      <c r="L3880" s="450"/>
      <c r="M3880" s="580">
        <f>TrialBalanceC!I121</f>
        <v>0</v>
      </c>
      <c r="N3880" s="458"/>
      <c r="O3880" s="581">
        <f>TrialBalanceC!K121</f>
        <v>0</v>
      </c>
      <c r="P3880" s="454"/>
      <c r="R3880" s="490" t="str">
        <f t="shared" si="268"/>
        <v>DELETE</v>
      </c>
    </row>
    <row r="3881" spans="3:18" ht="36" customHeight="1" x14ac:dyDescent="0.45">
      <c r="C3881" s="575"/>
      <c r="D3881" s="616" t="s">
        <v>1256</v>
      </c>
      <c r="E3881" s="616"/>
      <c r="F3881" s="616"/>
      <c r="G3881" s="616"/>
      <c r="H3881" s="616"/>
      <c r="I3881" s="616"/>
      <c r="J3881" s="645"/>
      <c r="K3881" s="450"/>
      <c r="L3881" s="450"/>
      <c r="M3881" s="580">
        <f>TrialBalanceC!I156</f>
        <v>0</v>
      </c>
      <c r="N3881" s="458"/>
      <c r="O3881" s="581">
        <f>TrialBalanceC!K156</f>
        <v>0</v>
      </c>
      <c r="P3881" s="454"/>
      <c r="R3881" s="490" t="str">
        <f t="shared" si="268"/>
        <v>DELETE</v>
      </c>
    </row>
    <row r="3882" spans="3:18" ht="36" customHeight="1" x14ac:dyDescent="0.45">
      <c r="C3882" s="575"/>
      <c r="D3882" s="616" t="s">
        <v>561</v>
      </c>
      <c r="E3882" s="616"/>
      <c r="F3882" s="616"/>
      <c r="G3882" s="616"/>
      <c r="H3882" s="616"/>
      <c r="I3882" s="616"/>
      <c r="J3882" s="645"/>
      <c r="K3882" s="450"/>
      <c r="L3882" s="450"/>
      <c r="M3882" s="580">
        <f>TrialBalanceC!I122+TrialBalanceC!I123</f>
        <v>0</v>
      </c>
      <c r="N3882" s="458"/>
      <c r="O3882" s="581">
        <f>TrialBalanceC!K122+TrialBalanceC!K123</f>
        <v>0</v>
      </c>
      <c r="P3882" s="454"/>
      <c r="R3882" s="490" t="str">
        <f t="shared" si="268"/>
        <v>DELETE</v>
      </c>
    </row>
    <row r="3883" spans="3:18" ht="36" customHeight="1" x14ac:dyDescent="0.45">
      <c r="C3883" s="575"/>
      <c r="D3883" s="616" t="s">
        <v>588</v>
      </c>
      <c r="E3883" s="616"/>
      <c r="F3883" s="616"/>
      <c r="G3883" s="616"/>
      <c r="H3883" s="616"/>
      <c r="I3883" s="616"/>
      <c r="J3883" s="645"/>
      <c r="K3883" s="450"/>
      <c r="L3883" s="450"/>
      <c r="M3883" s="580">
        <f>IF(TrialBalanceC!I94&gt;0,TrialBalanceC!I94,0)</f>
        <v>0</v>
      </c>
      <c r="N3883" s="458"/>
      <c r="O3883" s="581">
        <f>IF(TrialBalanceC!K94&gt;0,TrialBalanceC!K94,0)</f>
        <v>0</v>
      </c>
      <c r="P3883" s="454"/>
      <c r="R3883" s="490" t="str">
        <f t="shared" si="268"/>
        <v>DELETE</v>
      </c>
    </row>
    <row r="3884" spans="3:18" ht="36" customHeight="1" x14ac:dyDescent="0.45">
      <c r="C3884" s="575"/>
      <c r="D3884" s="616" t="s">
        <v>874</v>
      </c>
      <c r="E3884" s="616"/>
      <c r="F3884" s="616"/>
      <c r="G3884" s="616"/>
      <c r="H3884" s="616"/>
      <c r="I3884" s="616"/>
      <c r="J3884" s="645"/>
      <c r="K3884" s="450"/>
      <c r="L3884" s="450"/>
      <c r="M3884" s="580">
        <f>TrialBalanceC!I124</f>
        <v>0</v>
      </c>
      <c r="N3884" s="458"/>
      <c r="O3884" s="581">
        <f>TrialBalanceC!K124</f>
        <v>0</v>
      </c>
      <c r="P3884" s="454"/>
      <c r="R3884" s="490" t="str">
        <f t="shared" si="268"/>
        <v>DELETE</v>
      </c>
    </row>
    <row r="3885" spans="3:18" ht="36" customHeight="1" x14ac:dyDescent="0.45">
      <c r="C3885" s="575"/>
      <c r="D3885" s="616" t="s">
        <v>293</v>
      </c>
      <c r="E3885" s="616"/>
      <c r="F3885" s="616"/>
      <c r="G3885" s="616"/>
      <c r="H3885" s="616"/>
      <c r="I3885" s="616"/>
      <c r="J3885" s="645"/>
      <c r="K3885" s="450"/>
      <c r="L3885" s="450"/>
      <c r="M3885" s="580">
        <f>TrialBalanceC!I125</f>
        <v>0</v>
      </c>
      <c r="N3885" s="458"/>
      <c r="O3885" s="581">
        <f>TrialBalanceC!K125</f>
        <v>0</v>
      </c>
      <c r="P3885" s="454"/>
      <c r="R3885" s="490" t="str">
        <f t="shared" si="268"/>
        <v>DELETE</v>
      </c>
    </row>
    <row r="3886" spans="3:18" ht="36" customHeight="1" x14ac:dyDescent="0.45">
      <c r="C3886" s="575"/>
      <c r="D3886" s="616" t="s">
        <v>286</v>
      </c>
      <c r="E3886" s="616"/>
      <c r="F3886" s="616"/>
      <c r="G3886" s="616"/>
      <c r="H3886" s="616"/>
      <c r="I3886" s="616"/>
      <c r="J3886" s="645"/>
      <c r="K3886" s="450"/>
      <c r="L3886" s="450"/>
      <c r="M3886" s="580">
        <f>SUM(TrialBalanceC!I126:I127)</f>
        <v>0</v>
      </c>
      <c r="N3886" s="458"/>
      <c r="O3886" s="581">
        <f>SUM(TrialBalanceC!K126:K127)</f>
        <v>0</v>
      </c>
      <c r="P3886" s="454"/>
      <c r="R3886" s="490" t="str">
        <f t="shared" si="268"/>
        <v>DELETE</v>
      </c>
    </row>
    <row r="3887" spans="3:18" ht="36" customHeight="1" x14ac:dyDescent="0.45">
      <c r="C3887" s="575"/>
      <c r="D3887" s="616" t="s">
        <v>294</v>
      </c>
      <c r="E3887" s="616"/>
      <c r="F3887" s="616"/>
      <c r="G3887" s="616"/>
      <c r="H3887" s="616"/>
      <c r="I3887" s="616"/>
      <c r="J3887" s="645"/>
      <c r="K3887" s="450"/>
      <c r="L3887" s="450"/>
      <c r="M3887" s="580">
        <f>TrialBalanceC!I128</f>
        <v>0</v>
      </c>
      <c r="N3887" s="458"/>
      <c r="O3887" s="581">
        <f>TrialBalanceC!K128</f>
        <v>0</v>
      </c>
      <c r="P3887" s="454"/>
      <c r="R3887" s="490" t="str">
        <f t="shared" si="268"/>
        <v>DELETE</v>
      </c>
    </row>
    <row r="3888" spans="3:18" ht="36" customHeight="1" x14ac:dyDescent="0.45">
      <c r="C3888" s="575"/>
      <c r="D3888" s="616" t="s">
        <v>875</v>
      </c>
      <c r="E3888" s="616"/>
      <c r="F3888" s="616"/>
      <c r="G3888" s="616"/>
      <c r="H3888" s="616"/>
      <c r="I3888" s="616"/>
      <c r="J3888" s="645"/>
      <c r="K3888" s="450"/>
      <c r="L3888" s="450"/>
      <c r="M3888" s="580">
        <f>TrialBalanceC!I129</f>
        <v>0</v>
      </c>
      <c r="N3888" s="458"/>
      <c r="O3888" s="581">
        <f>TrialBalanceC!K129</f>
        <v>0</v>
      </c>
      <c r="P3888" s="454"/>
      <c r="R3888" s="490" t="str">
        <f t="shared" si="268"/>
        <v>DELETE</v>
      </c>
    </row>
    <row r="3889" spans="3:26" ht="36" customHeight="1" x14ac:dyDescent="0.45">
      <c r="C3889" s="575"/>
      <c r="D3889" s="616" t="s">
        <v>94</v>
      </c>
      <c r="E3889" s="616"/>
      <c r="F3889" s="616"/>
      <c r="G3889" s="616"/>
      <c r="H3889" s="616"/>
      <c r="I3889" s="616"/>
      <c r="J3889" s="645"/>
      <c r="K3889" s="450"/>
      <c r="L3889" s="450"/>
      <c r="M3889" s="580">
        <f>TrialBalanceC!I130</f>
        <v>0</v>
      </c>
      <c r="N3889" s="458"/>
      <c r="O3889" s="581">
        <f>TrialBalanceC!K130</f>
        <v>0</v>
      </c>
      <c r="P3889" s="454"/>
      <c r="R3889" s="490" t="str">
        <f t="shared" si="268"/>
        <v>DELETE</v>
      </c>
    </row>
    <row r="3890" spans="3:26" ht="36" customHeight="1" x14ac:dyDescent="0.45">
      <c r="C3890" s="575"/>
      <c r="D3890" s="616">
        <f>TrialBalanceC!C131</f>
        <v>0</v>
      </c>
      <c r="E3890" s="616"/>
      <c r="F3890" s="616"/>
      <c r="G3890" s="616"/>
      <c r="H3890" s="616"/>
      <c r="I3890" s="616"/>
      <c r="J3890" s="645"/>
      <c r="K3890" s="450"/>
      <c r="L3890" s="450"/>
      <c r="M3890" s="580">
        <f>TrialBalanceC!I131</f>
        <v>0</v>
      </c>
      <c r="N3890" s="458"/>
      <c r="O3890" s="581">
        <f>TrialBalanceC!K131</f>
        <v>0</v>
      </c>
      <c r="P3890" s="454"/>
      <c r="R3890" s="490" t="str">
        <f t="shared" si="268"/>
        <v>DELETE</v>
      </c>
    </row>
    <row r="3891" spans="3:26" ht="36" customHeight="1" x14ac:dyDescent="0.45">
      <c r="C3891" s="575"/>
      <c r="D3891" s="616">
        <f>TrialBalanceC!C132</f>
        <v>0</v>
      </c>
      <c r="E3891" s="616"/>
      <c r="F3891" s="616"/>
      <c r="G3891" s="616"/>
      <c r="H3891" s="616"/>
      <c r="I3891" s="616"/>
      <c r="J3891" s="645"/>
      <c r="K3891" s="450"/>
      <c r="L3891" s="450"/>
      <c r="M3891" s="580">
        <f>TrialBalanceC!I132</f>
        <v>0</v>
      </c>
      <c r="N3891" s="458"/>
      <c r="O3891" s="581">
        <f>TrialBalanceC!K132</f>
        <v>0</v>
      </c>
      <c r="P3891" s="454"/>
      <c r="R3891" s="490" t="str">
        <f t="shared" si="268"/>
        <v>DELETE</v>
      </c>
    </row>
    <row r="3892" spans="3:26" ht="36" customHeight="1" x14ac:dyDescent="0.45">
      <c r="C3892" s="575"/>
      <c r="D3892" s="616">
        <f>TrialBalanceC!C133</f>
        <v>0</v>
      </c>
      <c r="E3892" s="616"/>
      <c r="F3892" s="616"/>
      <c r="G3892" s="616"/>
      <c r="H3892" s="616"/>
      <c r="I3892" s="616"/>
      <c r="J3892" s="645"/>
      <c r="K3892" s="450"/>
      <c r="L3892" s="450"/>
      <c r="M3892" s="580">
        <f>TrialBalanceC!I133</f>
        <v>0</v>
      </c>
      <c r="N3892" s="458"/>
      <c r="O3892" s="581">
        <f>TrialBalanceC!K133</f>
        <v>0</v>
      </c>
      <c r="P3892" s="454"/>
      <c r="R3892" s="490" t="str">
        <f t="shared" si="268"/>
        <v>DELETE</v>
      </c>
    </row>
    <row r="3893" spans="3:26" ht="36" customHeight="1" x14ac:dyDescent="0.45">
      <c r="C3893" s="575"/>
      <c r="D3893" s="616">
        <f>TrialBalanceC!C134</f>
        <v>0</v>
      </c>
      <c r="E3893" s="616"/>
      <c r="F3893" s="616"/>
      <c r="G3893" s="616"/>
      <c r="H3893" s="616"/>
      <c r="I3893" s="616"/>
      <c r="J3893" s="645"/>
      <c r="K3893" s="450"/>
      <c r="L3893" s="450"/>
      <c r="M3893" s="580">
        <f>TrialBalanceC!I134</f>
        <v>0</v>
      </c>
      <c r="N3893" s="458"/>
      <c r="O3893" s="581">
        <f>TrialBalanceC!K134</f>
        <v>0</v>
      </c>
      <c r="P3893" s="454"/>
      <c r="R3893" s="490" t="str">
        <f t="shared" si="268"/>
        <v>DELETE</v>
      </c>
    </row>
    <row r="3894" spans="3:26" ht="36" customHeight="1" x14ac:dyDescent="0.45">
      <c r="C3894" s="575"/>
      <c r="D3894" s="616">
        <f>TrialBalanceC!C135</f>
        <v>0</v>
      </c>
      <c r="E3894" s="616"/>
      <c r="F3894" s="616"/>
      <c r="G3894" s="616"/>
      <c r="H3894" s="616"/>
      <c r="I3894" s="616"/>
      <c r="J3894" s="645"/>
      <c r="K3894" s="450"/>
      <c r="L3894" s="450"/>
      <c r="M3894" s="580">
        <f>TrialBalanceC!I135</f>
        <v>0</v>
      </c>
      <c r="N3894" s="458"/>
      <c r="O3894" s="581">
        <f>TrialBalanceC!K135</f>
        <v>0</v>
      </c>
      <c r="P3894" s="454"/>
      <c r="R3894" s="490" t="str">
        <f t="shared" si="268"/>
        <v>DELETE</v>
      </c>
    </row>
    <row r="3895" spans="3:26" ht="36" customHeight="1" x14ac:dyDescent="0.45">
      <c r="C3895" s="575"/>
      <c r="D3895" s="616">
        <f>TrialBalanceC!C136</f>
        <v>0</v>
      </c>
      <c r="E3895" s="616"/>
      <c r="F3895" s="616"/>
      <c r="G3895" s="616"/>
      <c r="H3895" s="616"/>
      <c r="I3895" s="616"/>
      <c r="J3895" s="645"/>
      <c r="K3895" s="450"/>
      <c r="L3895" s="450"/>
      <c r="M3895" s="580">
        <f>TrialBalanceC!I136</f>
        <v>0</v>
      </c>
      <c r="N3895" s="458"/>
      <c r="O3895" s="581">
        <f>TrialBalanceC!K136</f>
        <v>0</v>
      </c>
      <c r="P3895" s="454"/>
      <c r="R3895" s="490" t="str">
        <f t="shared" si="268"/>
        <v>DELETE</v>
      </c>
    </row>
    <row r="3896" spans="3:26" ht="36" customHeight="1" x14ac:dyDescent="0.45">
      <c r="C3896" s="575"/>
      <c r="D3896" s="616">
        <f>TrialBalanceC!C137</f>
        <v>0</v>
      </c>
      <c r="E3896" s="616"/>
      <c r="F3896" s="616"/>
      <c r="G3896" s="616"/>
      <c r="H3896" s="616"/>
      <c r="I3896" s="616"/>
      <c r="J3896" s="645"/>
      <c r="K3896" s="450"/>
      <c r="L3896" s="450"/>
      <c r="M3896" s="580">
        <f>TrialBalanceC!I137</f>
        <v>0</v>
      </c>
      <c r="N3896" s="458"/>
      <c r="O3896" s="581">
        <f>TrialBalanceC!K137</f>
        <v>0</v>
      </c>
      <c r="P3896" s="454"/>
      <c r="R3896" s="490" t="str">
        <f t="shared" si="268"/>
        <v>DELETE</v>
      </c>
    </row>
    <row r="3897" spans="3:26" ht="36" customHeight="1" x14ac:dyDescent="0.45">
      <c r="C3897" s="575"/>
      <c r="D3897" s="616">
        <f>TrialBalanceC!C138</f>
        <v>0</v>
      </c>
      <c r="E3897" s="616"/>
      <c r="F3897" s="616"/>
      <c r="G3897" s="616"/>
      <c r="H3897" s="616"/>
      <c r="I3897" s="616"/>
      <c r="J3897" s="645"/>
      <c r="K3897" s="450"/>
      <c r="L3897" s="450"/>
      <c r="M3897" s="580">
        <f>TrialBalanceC!I138</f>
        <v>0</v>
      </c>
      <c r="N3897" s="458"/>
      <c r="O3897" s="581">
        <f>TrialBalanceC!K138</f>
        <v>0</v>
      </c>
      <c r="P3897" s="454"/>
      <c r="R3897" s="490" t="str">
        <f t="shared" si="268"/>
        <v>DELETE</v>
      </c>
    </row>
    <row r="3898" spans="3:26" ht="36" customHeight="1" x14ac:dyDescent="0.45">
      <c r="C3898" s="575"/>
      <c r="D3898" s="616">
        <f>TrialBalanceC!C139</f>
        <v>0</v>
      </c>
      <c r="E3898" s="616"/>
      <c r="F3898" s="616"/>
      <c r="G3898" s="616"/>
      <c r="H3898" s="616"/>
      <c r="I3898" s="616"/>
      <c r="J3898" s="645"/>
      <c r="K3898" s="450"/>
      <c r="L3898" s="450"/>
      <c r="M3898" s="580">
        <f>TrialBalanceC!I139</f>
        <v>0</v>
      </c>
      <c r="N3898" s="458"/>
      <c r="O3898" s="581">
        <f>TrialBalanceC!K139</f>
        <v>0</v>
      </c>
      <c r="P3898" s="454"/>
      <c r="R3898" s="490" t="str">
        <f t="shared" si="268"/>
        <v>DELETE</v>
      </c>
    </row>
    <row r="3899" spans="3:26" ht="36" customHeight="1" x14ac:dyDescent="0.45">
      <c r="C3899" s="575"/>
      <c r="D3899" s="616" t="str">
        <f>TrialBalanceC!C140</f>
        <v>Amortisation of prepaid lease agreement</v>
      </c>
      <c r="E3899" s="616"/>
      <c r="F3899" s="616"/>
      <c r="G3899" s="616"/>
      <c r="H3899" s="616"/>
      <c r="I3899" s="616"/>
      <c r="J3899" s="645"/>
      <c r="K3899" s="450"/>
      <c r="L3899" s="450"/>
      <c r="M3899" s="580">
        <f>TrialBalanceC!I140</f>
        <v>0</v>
      </c>
      <c r="N3899" s="458"/>
      <c r="O3899" s="581">
        <f>TrialBalanceC!K140</f>
        <v>0</v>
      </c>
      <c r="P3899" s="454"/>
      <c r="R3899" s="490" t="str">
        <f t="shared" si="268"/>
        <v>DELETE</v>
      </c>
    </row>
    <row r="3900" spans="3:26" ht="36" customHeight="1" x14ac:dyDescent="0.45">
      <c r="C3900" s="575"/>
      <c r="D3900" s="616" t="str">
        <f>TrialBalanceC!C141</f>
        <v>Amortisation of goodwill</v>
      </c>
      <c r="E3900" s="616"/>
      <c r="F3900" s="616"/>
      <c r="G3900" s="616"/>
      <c r="H3900" s="616"/>
      <c r="I3900" s="616"/>
      <c r="J3900" s="645"/>
      <c r="K3900" s="450"/>
      <c r="L3900" s="450"/>
      <c r="M3900" s="580">
        <f>TrialBalanceC!I141</f>
        <v>0</v>
      </c>
      <c r="N3900" s="458"/>
      <c r="O3900" s="581">
        <f>TrialBalanceC!K141</f>
        <v>0</v>
      </c>
      <c r="P3900" s="454"/>
      <c r="R3900" s="490" t="str">
        <f t="shared" ref="R3900" si="270">IF(R$3766="DELETE","DELETE",IF(M3900+O3900=0,"DELETE"," "))</f>
        <v>DELETE</v>
      </c>
    </row>
    <row r="3901" spans="3:26" ht="9" customHeight="1" x14ac:dyDescent="0.45">
      <c r="C3901" s="575"/>
      <c r="D3901" s="616"/>
      <c r="E3901" s="616"/>
      <c r="F3901" s="616"/>
      <c r="G3901" s="616"/>
      <c r="H3901" s="616"/>
      <c r="I3901" s="616"/>
      <c r="J3901" s="645"/>
      <c r="K3901" s="450"/>
      <c r="L3901" s="450"/>
      <c r="M3901" s="460"/>
      <c r="N3901" s="461"/>
      <c r="O3901" s="582"/>
      <c r="P3901" s="454"/>
      <c r="R3901" s="490" t="str">
        <f>R3865</f>
        <v>DELETE</v>
      </c>
    </row>
    <row r="3902" spans="3:26" ht="9" customHeight="1" x14ac:dyDescent="0.45">
      <c r="C3902" s="575"/>
      <c r="D3902" s="616"/>
      <c r="E3902" s="616"/>
      <c r="F3902" s="616"/>
      <c r="G3902" s="616"/>
      <c r="H3902" s="616"/>
      <c r="I3902" s="616"/>
      <c r="J3902" s="645"/>
      <c r="K3902" s="450"/>
      <c r="L3902" s="450"/>
      <c r="M3902" s="461"/>
      <c r="N3902" s="461"/>
      <c r="O3902" s="461"/>
      <c r="P3902" s="454"/>
      <c r="R3902" s="490" t="str">
        <f t="shared" ref="R3902:R3905" si="271">R$3766</f>
        <v>DELETE</v>
      </c>
    </row>
    <row r="3903" spans="3:26" ht="9" customHeight="1" x14ac:dyDescent="0.45">
      <c r="C3903" s="575"/>
      <c r="D3903" s="616"/>
      <c r="E3903" s="616"/>
      <c r="F3903" s="616"/>
      <c r="G3903" s="616"/>
      <c r="H3903" s="616"/>
      <c r="I3903" s="616"/>
      <c r="J3903" s="645"/>
      <c r="K3903" s="450"/>
      <c r="L3903" s="450"/>
      <c r="M3903" s="458"/>
      <c r="N3903" s="458"/>
      <c r="O3903" s="458"/>
      <c r="P3903" s="454"/>
      <c r="R3903" s="490" t="str">
        <f t="shared" si="271"/>
        <v>DELETE</v>
      </c>
    </row>
    <row r="3904" spans="3:26" ht="36" customHeight="1" x14ac:dyDescent="0.45">
      <c r="D3904" s="637" t="str">
        <f>IF((Y3904+Z3904)=3,"Operating profit/(loss) for the year",(IF((Y3904+Z3904=4),"Operating profit for the year","Operating loss for the year")))</f>
        <v>Operating profit for the year</v>
      </c>
      <c r="E3904" s="616"/>
      <c r="F3904" s="616"/>
      <c r="G3904" s="616"/>
      <c r="H3904" s="616"/>
      <c r="I3904" s="616"/>
      <c r="J3904" s="645"/>
      <c r="K3904" s="450">
        <f>FS!B1250</f>
        <v>5</v>
      </c>
      <c r="L3904" s="450"/>
      <c r="M3904" s="458">
        <f>SUM(S3778:S3901)</f>
        <v>0</v>
      </c>
      <c r="N3904" s="458"/>
      <c r="O3904" s="458">
        <f>SUM(U3778:U3901)</f>
        <v>0</v>
      </c>
      <c r="P3904" s="454"/>
      <c r="R3904" s="490" t="str">
        <f t="shared" si="271"/>
        <v>DELETE</v>
      </c>
      <c r="Y3904" s="491">
        <f>IF(M3904&lt;0,1,IF(M3904=0,IF(O3904&lt;0,1,2),2))</f>
        <v>2</v>
      </c>
      <c r="Z3904" s="491">
        <f>IF(O3904&lt;0,1,IF(O3904=0,IF(M3904&lt;0,1,2),2))</f>
        <v>2</v>
      </c>
    </row>
    <row r="3905" spans="3:24" ht="36" customHeight="1" x14ac:dyDescent="0.45">
      <c r="C3905" s="575"/>
      <c r="D3905" s="616"/>
      <c r="E3905" s="616"/>
      <c r="F3905" s="616"/>
      <c r="G3905" s="616"/>
      <c r="H3905" s="616"/>
      <c r="I3905" s="616"/>
      <c r="J3905" s="645"/>
      <c r="K3905" s="450"/>
      <c r="L3905" s="450"/>
      <c r="M3905" s="458"/>
      <c r="N3905" s="458"/>
      <c r="O3905" s="458"/>
      <c r="P3905" s="454"/>
      <c r="R3905" s="490" t="str">
        <f t="shared" si="271"/>
        <v>DELETE</v>
      </c>
    </row>
    <row r="3906" spans="3:24" ht="36" customHeight="1" x14ac:dyDescent="0.45">
      <c r="D3906" s="615" t="s">
        <v>225</v>
      </c>
      <c r="E3906" s="616"/>
      <c r="F3906" s="616"/>
      <c r="G3906" s="616"/>
      <c r="H3906" s="616"/>
      <c r="I3906" s="616"/>
      <c r="J3906" s="645"/>
      <c r="K3906" s="450">
        <f>FS!B1364</f>
        <v>6</v>
      </c>
      <c r="L3906" s="450"/>
      <c r="M3906" s="458">
        <f>SUM(M3909:M3915)</f>
        <v>0</v>
      </c>
      <c r="N3906" s="458"/>
      <c r="O3906" s="458">
        <f>SUM(O3909:O3915)</f>
        <v>0</v>
      </c>
      <c r="P3906" s="454"/>
      <c r="R3906" s="490" t="str">
        <f t="shared" ref="R3906" si="272">IF(R$3766="DELETE","DELETE",IF(M3906+O3906=0,"DELETE"," "))</f>
        <v>DELETE</v>
      </c>
      <c r="S3906" s="495">
        <f>M3906</f>
        <v>0</v>
      </c>
      <c r="T3906" s="495"/>
      <c r="U3906" s="495">
        <f>O3906</f>
        <v>0</v>
      </c>
      <c r="V3906" s="495"/>
      <c r="W3906" s="495"/>
      <c r="X3906" s="495"/>
    </row>
    <row r="3907" spans="3:24" ht="9" customHeight="1" x14ac:dyDescent="0.45">
      <c r="C3907" s="575"/>
      <c r="D3907" s="616"/>
      <c r="E3907" s="616"/>
      <c r="F3907" s="616"/>
      <c r="G3907" s="616"/>
      <c r="H3907" s="616"/>
      <c r="I3907" s="616"/>
      <c r="J3907" s="645"/>
      <c r="K3907" s="450"/>
      <c r="L3907" s="450"/>
      <c r="M3907" s="458"/>
      <c r="N3907" s="458"/>
      <c r="O3907" s="458"/>
      <c r="P3907" s="454"/>
      <c r="R3907" s="490" t="str">
        <f>R3906</f>
        <v>DELETE</v>
      </c>
    </row>
    <row r="3908" spans="3:24" ht="9" customHeight="1" x14ac:dyDescent="0.45">
      <c r="C3908" s="575"/>
      <c r="D3908" s="616"/>
      <c r="E3908" s="616"/>
      <c r="F3908" s="616"/>
      <c r="G3908" s="616"/>
      <c r="H3908" s="616"/>
      <c r="I3908" s="616"/>
      <c r="J3908" s="645"/>
      <c r="K3908" s="450"/>
      <c r="L3908" s="450"/>
      <c r="M3908" s="578"/>
      <c r="N3908" s="459"/>
      <c r="O3908" s="579"/>
      <c r="P3908" s="454"/>
      <c r="R3908" s="490" t="str">
        <f>R3907</f>
        <v>DELETE</v>
      </c>
    </row>
    <row r="3909" spans="3:24" ht="36" customHeight="1" x14ac:dyDescent="0.45">
      <c r="C3909" s="575"/>
      <c r="D3909" s="616" t="s">
        <v>223</v>
      </c>
      <c r="E3909" s="616"/>
      <c r="F3909" s="616"/>
      <c r="G3909" s="616"/>
      <c r="H3909" s="616"/>
      <c r="I3909" s="616"/>
      <c r="J3909" s="645"/>
      <c r="K3909" s="450"/>
      <c r="L3909" s="450"/>
      <c r="M3909" s="580">
        <f>-TrialBalanceC!I95</f>
        <v>0</v>
      </c>
      <c r="N3909" s="458"/>
      <c r="O3909" s="581">
        <f>-TrialBalanceC!K95</f>
        <v>0</v>
      </c>
      <c r="P3909" s="454"/>
      <c r="R3909" s="490" t="str">
        <f t="shared" ref="R3909:R3914" si="273">IF(R$3766="DELETE","DELETE",IF(M3909+O3909=0,"DELETE"," "))</f>
        <v>DELETE</v>
      </c>
    </row>
    <row r="3910" spans="3:24" ht="36" customHeight="1" x14ac:dyDescent="0.45">
      <c r="C3910" s="575"/>
      <c r="D3910" s="616" t="s">
        <v>567</v>
      </c>
      <c r="E3910" s="616"/>
      <c r="F3910" s="616"/>
      <c r="G3910" s="616"/>
      <c r="H3910" s="616"/>
      <c r="I3910" s="616"/>
      <c r="J3910" s="645"/>
      <c r="K3910" s="450"/>
      <c r="L3910" s="450"/>
      <c r="M3910" s="580">
        <f>-SUM(TrialBalanceC!I91:I93)</f>
        <v>0</v>
      </c>
      <c r="N3910" s="458"/>
      <c r="O3910" s="581">
        <f>-SUM(TrialBalanceC!K91:K93)</f>
        <v>0</v>
      </c>
      <c r="P3910" s="454"/>
      <c r="R3910" s="490" t="str">
        <f t="shared" si="273"/>
        <v>DELETE</v>
      </c>
    </row>
    <row r="3911" spans="3:24" ht="36" customHeight="1" x14ac:dyDescent="0.45">
      <c r="C3911" s="575"/>
      <c r="D3911" s="616" t="s">
        <v>568</v>
      </c>
      <c r="E3911" s="616"/>
      <c r="F3911" s="616"/>
      <c r="G3911" s="616"/>
      <c r="H3911" s="616"/>
      <c r="I3911" s="616"/>
      <c r="J3911" s="645"/>
      <c r="K3911" s="450"/>
      <c r="L3911" s="450"/>
      <c r="M3911" s="602">
        <f>-SUM(TrialBalanceC!I86:I89)</f>
        <v>0</v>
      </c>
      <c r="N3911" s="465"/>
      <c r="O3911" s="603">
        <f>-SUM(TrialBalanceC!K86:K89)</f>
        <v>0</v>
      </c>
      <c r="P3911" s="454"/>
      <c r="R3911" s="490" t="str">
        <f t="shared" si="273"/>
        <v>DELETE</v>
      </c>
    </row>
    <row r="3912" spans="3:24" ht="36" customHeight="1" x14ac:dyDescent="0.45">
      <c r="C3912" s="575"/>
      <c r="D3912" s="616" t="s">
        <v>225</v>
      </c>
      <c r="E3912" s="616"/>
      <c r="F3912" s="616"/>
      <c r="G3912" s="616"/>
      <c r="H3912" s="616"/>
      <c r="I3912" s="616"/>
      <c r="J3912" s="645"/>
      <c r="K3912" s="450"/>
      <c r="L3912" s="450"/>
      <c r="M3912" s="602">
        <f>-SUM(TrialBalanceC!I96)</f>
        <v>0</v>
      </c>
      <c r="N3912" s="465"/>
      <c r="O3912" s="603">
        <f>-TrialBalanceC!K96</f>
        <v>0</v>
      </c>
      <c r="P3912" s="454"/>
      <c r="R3912" s="490" t="str">
        <f t="shared" si="273"/>
        <v>DELETE</v>
      </c>
    </row>
    <row r="3913" spans="3:24" ht="36" customHeight="1" x14ac:dyDescent="0.45">
      <c r="C3913" s="575"/>
      <c r="D3913" s="616" t="s">
        <v>589</v>
      </c>
      <c r="E3913" s="616"/>
      <c r="F3913" s="616"/>
      <c r="G3913" s="616"/>
      <c r="H3913" s="616"/>
      <c r="I3913" s="616"/>
      <c r="J3913" s="645"/>
      <c r="K3913" s="450"/>
      <c r="L3913" s="450"/>
      <c r="M3913" s="580">
        <f>IF(TrialBalanceC!I94&lt;0,-TrialBalanceC!I94,0)</f>
        <v>0</v>
      </c>
      <c r="N3913" s="458"/>
      <c r="O3913" s="581">
        <f>IF(TrialBalanceC!K94&lt;0,-TrialBalanceC!K94,0)</f>
        <v>0</v>
      </c>
      <c r="P3913" s="454"/>
      <c r="R3913" s="490" t="str">
        <f t="shared" si="273"/>
        <v>DELETE</v>
      </c>
    </row>
    <row r="3914" spans="3:24" ht="36" customHeight="1" x14ac:dyDescent="0.45">
      <c r="C3914" s="575"/>
      <c r="D3914" s="616" t="s">
        <v>398</v>
      </c>
      <c r="E3914" s="616"/>
      <c r="F3914" s="616"/>
      <c r="G3914" s="616"/>
      <c r="H3914" s="616"/>
      <c r="I3914" s="616"/>
      <c r="J3914" s="645"/>
      <c r="K3914" s="450"/>
      <c r="L3914" s="450"/>
      <c r="M3914" s="580">
        <f>-TrialBalanceC!I84</f>
        <v>0</v>
      </c>
      <c r="N3914" s="458"/>
      <c r="O3914" s="581">
        <f>-TrialBalanceC!K84</f>
        <v>0</v>
      </c>
      <c r="P3914" s="454"/>
      <c r="R3914" s="490" t="str">
        <f t="shared" si="273"/>
        <v>DELETE</v>
      </c>
    </row>
    <row r="3915" spans="3:24" ht="9" customHeight="1" x14ac:dyDescent="0.45">
      <c r="C3915" s="575"/>
      <c r="D3915" s="616"/>
      <c r="E3915" s="616"/>
      <c r="F3915" s="616"/>
      <c r="G3915" s="616"/>
      <c r="H3915" s="616"/>
      <c r="I3915" s="616"/>
      <c r="J3915" s="645"/>
      <c r="K3915" s="450"/>
      <c r="L3915" s="450"/>
      <c r="M3915" s="460"/>
      <c r="N3915" s="461"/>
      <c r="O3915" s="582"/>
      <c r="P3915" s="454"/>
      <c r="R3915" s="490" t="str">
        <f>R3906</f>
        <v>DELETE</v>
      </c>
    </row>
    <row r="3916" spans="3:24" ht="9" customHeight="1" x14ac:dyDescent="0.45">
      <c r="C3916" s="575"/>
      <c r="D3916" s="616"/>
      <c r="E3916" s="616"/>
      <c r="F3916" s="616"/>
      <c r="G3916" s="616"/>
      <c r="H3916" s="616"/>
      <c r="I3916" s="616"/>
      <c r="J3916" s="645"/>
      <c r="K3916" s="450"/>
      <c r="L3916" s="450"/>
      <c r="M3916" s="461"/>
      <c r="N3916" s="461"/>
      <c r="O3916" s="461"/>
      <c r="P3916" s="454"/>
      <c r="R3916" s="490" t="str">
        <f>R$3918</f>
        <v>DELETE</v>
      </c>
    </row>
    <row r="3917" spans="3:24" ht="9" customHeight="1" x14ac:dyDescent="0.45">
      <c r="C3917" s="575"/>
      <c r="D3917" s="616"/>
      <c r="E3917" s="616"/>
      <c r="F3917" s="616"/>
      <c r="G3917" s="616"/>
      <c r="H3917" s="616"/>
      <c r="I3917" s="616"/>
      <c r="J3917" s="645"/>
      <c r="K3917" s="450"/>
      <c r="L3917" s="450"/>
      <c r="M3917" s="458"/>
      <c r="N3917" s="458"/>
      <c r="O3917" s="458"/>
      <c r="P3917" s="454"/>
      <c r="R3917" s="490" t="str">
        <f>R$3918</f>
        <v>DELETE</v>
      </c>
    </row>
    <row r="3918" spans="3:24" ht="36" customHeight="1" x14ac:dyDescent="0.45">
      <c r="C3918" s="575"/>
      <c r="D3918" s="616"/>
      <c r="E3918" s="616"/>
      <c r="F3918" s="616"/>
      <c r="G3918" s="616"/>
      <c r="H3918" s="616"/>
      <c r="I3918" s="616"/>
      <c r="J3918" s="645"/>
      <c r="K3918" s="450"/>
      <c r="L3918" s="450"/>
      <c r="M3918" s="458">
        <f>SUM(S3778:S3915)</f>
        <v>0</v>
      </c>
      <c r="N3918" s="458"/>
      <c r="O3918" s="458">
        <f>SUM(U3778:U3915)</f>
        <v>0</v>
      </c>
      <c r="P3918" s="454"/>
      <c r="R3918" s="490" t="str">
        <f>IF(R$3766="DELETE","DELETE",IF(M3906+O3906=0,"DELETE",IF(M3918=M3923,IF(O3918=O3923,"DELETE"," ")," ")))</f>
        <v>DELETE</v>
      </c>
    </row>
    <row r="3919" spans="3:24" ht="36" customHeight="1" x14ac:dyDescent="0.45">
      <c r="C3919" s="575"/>
      <c r="D3919" s="616"/>
      <c r="E3919" s="616"/>
      <c r="F3919" s="616"/>
      <c r="G3919" s="616"/>
      <c r="H3919" s="616"/>
      <c r="I3919" s="616"/>
      <c r="J3919" s="645"/>
      <c r="K3919" s="450"/>
      <c r="L3919" s="450"/>
      <c r="M3919" s="458"/>
      <c r="N3919" s="458"/>
      <c r="O3919" s="458"/>
      <c r="P3919" s="454"/>
      <c r="R3919" s="490" t="str">
        <f>R3918</f>
        <v>DELETE</v>
      </c>
    </row>
    <row r="3920" spans="3:24" ht="36" customHeight="1" x14ac:dyDescent="0.45">
      <c r="D3920" s="616" t="s">
        <v>1534</v>
      </c>
      <c r="E3920" s="616"/>
      <c r="F3920" s="616"/>
      <c r="G3920" s="616"/>
      <c r="H3920" s="616"/>
      <c r="I3920" s="616"/>
      <c r="J3920" s="645"/>
      <c r="K3920" s="450">
        <f>FS!B1423</f>
        <v>7</v>
      </c>
      <c r="L3920" s="450"/>
      <c r="M3920" s="458">
        <f>SUM(TrialBalanceC!I144:I154)</f>
        <v>0</v>
      </c>
      <c r="N3920" s="458"/>
      <c r="O3920" s="458">
        <f>SUM(TrialBalanceC!K144:K154)</f>
        <v>0</v>
      </c>
      <c r="P3920" s="454"/>
      <c r="R3920" s="490" t="str">
        <f t="shared" ref="R3920" si="274">IF(R$3766="DELETE","DELETE",IF(M3920+O3920=0,"DELETE"," "))</f>
        <v>DELETE</v>
      </c>
      <c r="S3920" s="495">
        <f>-M3920</f>
        <v>0</v>
      </c>
      <c r="T3920" s="495"/>
      <c r="U3920" s="495">
        <f>-O3920</f>
        <v>0</v>
      </c>
      <c r="V3920" s="495"/>
      <c r="W3920" s="495"/>
      <c r="X3920" s="495"/>
    </row>
    <row r="3921" spans="3:26" ht="9" customHeight="1" x14ac:dyDescent="0.45">
      <c r="C3921" s="575"/>
      <c r="D3921" s="616"/>
      <c r="E3921" s="616"/>
      <c r="F3921" s="616"/>
      <c r="G3921" s="616"/>
      <c r="H3921" s="616"/>
      <c r="I3921" s="616"/>
      <c r="J3921" s="645"/>
      <c r="K3921" s="450"/>
      <c r="L3921" s="450"/>
      <c r="M3921" s="461"/>
      <c r="N3921" s="461"/>
      <c r="O3921" s="461"/>
      <c r="P3921" s="454"/>
      <c r="R3921" s="490" t="str">
        <f t="shared" ref="R3921:R3929" si="275">R$3766</f>
        <v>DELETE</v>
      </c>
    </row>
    <row r="3922" spans="3:26" ht="9" customHeight="1" x14ac:dyDescent="0.45">
      <c r="C3922" s="575"/>
      <c r="D3922" s="616"/>
      <c r="E3922" s="616"/>
      <c r="F3922" s="616"/>
      <c r="G3922" s="616"/>
      <c r="H3922" s="616"/>
      <c r="I3922" s="616"/>
      <c r="J3922" s="645"/>
      <c r="K3922" s="450"/>
      <c r="L3922" s="450"/>
      <c r="M3922" s="458"/>
      <c r="N3922" s="458"/>
      <c r="O3922" s="458"/>
      <c r="P3922" s="454"/>
      <c r="R3922" s="490" t="str">
        <f t="shared" si="275"/>
        <v>DELETE</v>
      </c>
    </row>
    <row r="3923" spans="3:26" ht="36.75" customHeight="1" x14ac:dyDescent="0.45">
      <c r="D3923" s="637" t="str">
        <f>IF((Y3923+Z3923)=3,"Profit/(Loss) before taxation",(IF((Y3923+Z3923=4),"Profit before taxation","Loss before taxation")))</f>
        <v>Profit before taxation</v>
      </c>
      <c r="E3923" s="616"/>
      <c r="F3923" s="616"/>
      <c r="G3923" s="616"/>
      <c r="H3923" s="616"/>
      <c r="I3923" s="616"/>
      <c r="J3923" s="645"/>
      <c r="K3923" s="450"/>
      <c r="L3923" s="450"/>
      <c r="M3923" s="458">
        <f>SUM(S3778:S3922)</f>
        <v>0</v>
      </c>
      <c r="N3923" s="458"/>
      <c r="O3923" s="458">
        <f>SUM(U3778:U3922)</f>
        <v>0</v>
      </c>
      <c r="P3923" s="454"/>
      <c r="R3923" s="490" t="str">
        <f t="shared" si="275"/>
        <v>DELETE</v>
      </c>
      <c r="V3923" s="491" t="b">
        <f>M3923=FS!M2953</f>
        <v>1</v>
      </c>
      <c r="X3923" s="491" t="b">
        <f>O3923=FS!O2953</f>
        <v>1</v>
      </c>
      <c r="Y3923" s="491">
        <f>IF(M3923&lt;0,1,IF(M3923=0,IF(O3923&lt;0,1,2),2))</f>
        <v>2</v>
      </c>
      <c r="Z3923" s="491">
        <f>IF(O3923&lt;0,1,IF(O3923=0,IF(M3923&lt;0,1,2),2))</f>
        <v>2</v>
      </c>
    </row>
    <row r="3924" spans="3:26" ht="9" customHeight="1" thickBot="1" x14ac:dyDescent="0.5">
      <c r="C3924" s="575"/>
      <c r="D3924" s="616"/>
      <c r="E3924" s="616"/>
      <c r="F3924" s="616"/>
      <c r="G3924" s="616"/>
      <c r="H3924" s="616"/>
      <c r="I3924" s="616"/>
      <c r="J3924" s="645"/>
      <c r="K3924" s="450"/>
      <c r="L3924" s="450"/>
      <c r="M3924" s="462"/>
      <c r="N3924" s="462"/>
      <c r="O3924" s="462"/>
      <c r="P3924" s="454"/>
      <c r="R3924" s="490" t="str">
        <f t="shared" si="275"/>
        <v>DELETE</v>
      </c>
    </row>
    <row r="3925" spans="3:26" ht="9" customHeight="1" thickTop="1" x14ac:dyDescent="0.45">
      <c r="C3925" s="575"/>
      <c r="D3925" s="616"/>
      <c r="E3925" s="616"/>
      <c r="F3925" s="616"/>
      <c r="G3925" s="616"/>
      <c r="H3925" s="616"/>
      <c r="I3925" s="616"/>
      <c r="J3925" s="645"/>
      <c r="K3925" s="450"/>
      <c r="L3925" s="450"/>
      <c r="M3925" s="458"/>
      <c r="N3925" s="458"/>
      <c r="O3925" s="458"/>
      <c r="P3925" s="454"/>
      <c r="R3925" s="490" t="str">
        <f t="shared" si="275"/>
        <v>DELETE</v>
      </c>
    </row>
    <row r="3926" spans="3:26" ht="36" customHeight="1" x14ac:dyDescent="0.45">
      <c r="C3926" s="575"/>
      <c r="D3926" s="616"/>
      <c r="E3926" s="616"/>
      <c r="F3926" s="616"/>
      <c r="G3926" s="616"/>
      <c r="H3926" s="616"/>
      <c r="I3926" s="616"/>
      <c r="J3926" s="645"/>
      <c r="K3926" s="450"/>
      <c r="L3926" s="450"/>
      <c r="M3926" s="458"/>
      <c r="N3926" s="458"/>
      <c r="O3926" s="458"/>
      <c r="P3926" s="454"/>
      <c r="R3926" s="490" t="str">
        <f t="shared" si="275"/>
        <v>DELETE</v>
      </c>
    </row>
    <row r="3927" spans="3:26" ht="36" customHeight="1" x14ac:dyDescent="0.45">
      <c r="C3927" s="575"/>
      <c r="D3927" s="616"/>
      <c r="E3927" s="616"/>
      <c r="F3927" s="616"/>
      <c r="G3927" s="616"/>
      <c r="H3927" s="616"/>
      <c r="I3927" s="616"/>
      <c r="J3927" s="645"/>
      <c r="K3927" s="450"/>
      <c r="L3927" s="450"/>
      <c r="M3927" s="458"/>
      <c r="N3927" s="458"/>
      <c r="O3927" s="458"/>
      <c r="P3927" s="454"/>
      <c r="R3927" s="490" t="str">
        <f t="shared" si="275"/>
        <v>DELETE</v>
      </c>
    </row>
    <row r="3928" spans="3:26" ht="36" customHeight="1" x14ac:dyDescent="0.5">
      <c r="C3928" s="520"/>
      <c r="D3928" s="616"/>
      <c r="E3928" s="616"/>
      <c r="F3928" s="616"/>
      <c r="G3928" s="616"/>
      <c r="H3928" s="616"/>
      <c r="I3928" s="616"/>
      <c r="J3928" s="616"/>
      <c r="M3928" s="555"/>
      <c r="N3928" s="555"/>
      <c r="O3928" s="555"/>
      <c r="P3928" s="545"/>
      <c r="R3928" s="490" t="str">
        <f t="shared" si="275"/>
        <v>DELETE</v>
      </c>
    </row>
    <row r="3929" spans="3:26" ht="36" customHeight="1" x14ac:dyDescent="0.5">
      <c r="C3929" s="520"/>
      <c r="D3929" s="616"/>
      <c r="E3929" s="616"/>
      <c r="F3929" s="616"/>
      <c r="G3929" s="616"/>
      <c r="H3929" s="616"/>
      <c r="I3929" s="616"/>
      <c r="J3929" s="616"/>
      <c r="M3929" s="541"/>
      <c r="N3929" s="541"/>
      <c r="O3929" s="541"/>
      <c r="R3929" s="490" t="str">
        <f t="shared" si="275"/>
        <v>DELETE</v>
      </c>
    </row>
    <row r="3930" spans="3:26" ht="36" customHeight="1" x14ac:dyDescent="0.5">
      <c r="C3930" s="520"/>
      <c r="D3930" s="616"/>
      <c r="E3930" s="616"/>
      <c r="F3930" s="616"/>
      <c r="G3930" s="616"/>
      <c r="H3930" s="616"/>
      <c r="I3930" s="616"/>
      <c r="J3930" s="616"/>
      <c r="M3930" s="541"/>
      <c r="N3930" s="541"/>
      <c r="O3930" s="458" t="s">
        <v>112</v>
      </c>
      <c r="Q3930" s="450">
        <v>1</v>
      </c>
      <c r="R3930" s="490" t="str">
        <f>IF(SUM(U3778:U3782)+SUM(U3798:U3807)+SUM(U3906:U3915)+O3923=0,IF(SUM(S3942:S3944)+SUM(S3962:S3969)+SUM(S4070:S4079)+O4087=0,"DELETE"," "),"DELETE")</f>
        <v>DELETE</v>
      </c>
      <c r="V3930" s="494"/>
      <c r="W3930" s="494"/>
      <c r="X3930" s="494"/>
    </row>
    <row r="3931" spans="3:26" ht="36" customHeight="1" x14ac:dyDescent="0.5">
      <c r="C3931" s="520"/>
      <c r="D3931" s="615" t="s">
        <v>705</v>
      </c>
      <c r="E3931" s="616"/>
      <c r="F3931" s="616"/>
      <c r="G3931" s="616"/>
      <c r="H3931" s="616"/>
      <c r="I3931" s="616"/>
      <c r="J3931" s="616"/>
      <c r="M3931" s="541"/>
      <c r="N3931" s="541"/>
      <c r="O3931" s="541"/>
      <c r="R3931" s="490" t="str">
        <f>R$3930</f>
        <v>DELETE</v>
      </c>
      <c r="V3931" s="493"/>
      <c r="X3931" s="493"/>
    </row>
    <row r="3932" spans="3:26" ht="36" customHeight="1" x14ac:dyDescent="0.5">
      <c r="C3932" s="520"/>
      <c r="D3932" s="616"/>
      <c r="E3932" s="616"/>
      <c r="F3932" s="616"/>
      <c r="G3932" s="616"/>
      <c r="H3932" s="616"/>
      <c r="I3932" s="616"/>
      <c r="J3932" s="616"/>
      <c r="M3932" s="541"/>
      <c r="N3932" s="541"/>
      <c r="O3932" s="541"/>
      <c r="R3932" s="490" t="str">
        <f t="shared" ref="R3932:R3941" si="276">R$3930</f>
        <v>DELETE</v>
      </c>
    </row>
    <row r="3933" spans="3:26" ht="36" customHeight="1" x14ac:dyDescent="0.5">
      <c r="C3933" s="520"/>
      <c r="D3933" s="615" t="str">
        <f>Criteria!E9</f>
        <v>ABC COMPANY (PROPRIETARY) LIMITED</v>
      </c>
      <c r="E3933" s="616"/>
      <c r="F3933" s="616"/>
      <c r="G3933" s="616"/>
      <c r="H3933" s="616"/>
      <c r="I3933" s="616"/>
      <c r="J3933" s="616"/>
      <c r="M3933" s="541"/>
      <c r="N3933" s="541"/>
      <c r="O3933" s="540"/>
      <c r="R3933" s="490" t="str">
        <f t="shared" si="276"/>
        <v>DELETE</v>
      </c>
    </row>
    <row r="3934" spans="3:26" ht="36" customHeight="1" x14ac:dyDescent="0.5">
      <c r="C3934" s="520"/>
      <c r="D3934" s="615" t="str">
        <f>CONCATENATE("T/A ",Criteria!E16)</f>
        <v xml:space="preserve">T/A </v>
      </c>
      <c r="E3934" s="616"/>
      <c r="F3934" s="616"/>
      <c r="G3934" s="616"/>
      <c r="H3934" s="616"/>
      <c r="I3934" s="616"/>
      <c r="J3934" s="616"/>
      <c r="M3934" s="541"/>
      <c r="N3934" s="541"/>
      <c r="O3934" s="541"/>
      <c r="R3934" s="490" t="str">
        <f t="shared" si="276"/>
        <v>DELETE</v>
      </c>
    </row>
    <row r="3935" spans="3:26" ht="36" customHeight="1" x14ac:dyDescent="0.5">
      <c r="C3935" s="520"/>
      <c r="D3935" s="616"/>
      <c r="E3935" s="616"/>
      <c r="F3935" s="616"/>
      <c r="G3935" s="616"/>
      <c r="H3935" s="616"/>
      <c r="I3935" s="616"/>
      <c r="J3935" s="616"/>
      <c r="M3935" s="541"/>
      <c r="N3935" s="541"/>
      <c r="O3935" s="541"/>
      <c r="R3935" s="490" t="str">
        <f t="shared" si="276"/>
        <v>DELETE</v>
      </c>
    </row>
    <row r="3936" spans="3:26" ht="36" customHeight="1" x14ac:dyDescent="0.5">
      <c r="C3936" s="520"/>
      <c r="D3936" s="615" t="s">
        <v>109</v>
      </c>
      <c r="E3936" s="616"/>
      <c r="F3936" s="616"/>
      <c r="G3936" s="616"/>
      <c r="H3936" s="616"/>
      <c r="I3936" s="616"/>
      <c r="J3936" s="616"/>
      <c r="M3936" s="541"/>
      <c r="N3936" s="541"/>
      <c r="O3936" s="541"/>
      <c r="R3936" s="490" t="str">
        <f t="shared" si="276"/>
        <v>DELETE</v>
      </c>
    </row>
    <row r="3937" spans="3:24" ht="36" customHeight="1" x14ac:dyDescent="0.5">
      <c r="C3937" s="520"/>
      <c r="D3937" s="615" t="str">
        <f>Criteria!E20</f>
        <v>28 FEBRUARY 2026</v>
      </c>
      <c r="E3937" s="616"/>
      <c r="F3937" s="616"/>
      <c r="G3937" s="616"/>
      <c r="H3937" s="616"/>
      <c r="I3937" s="616"/>
      <c r="J3937" s="616"/>
      <c r="M3937" s="541"/>
      <c r="N3937" s="541"/>
      <c r="O3937" s="541"/>
      <c r="R3937" s="490" t="str">
        <f t="shared" si="276"/>
        <v>DELETE</v>
      </c>
    </row>
    <row r="3938" spans="3:24" ht="36" customHeight="1" x14ac:dyDescent="0.5">
      <c r="C3938" s="520"/>
      <c r="D3938" s="616"/>
      <c r="E3938" s="616"/>
      <c r="F3938" s="616"/>
      <c r="G3938" s="616"/>
      <c r="H3938" s="616"/>
      <c r="I3938" s="616"/>
      <c r="J3938" s="616"/>
      <c r="M3938" s="541"/>
      <c r="N3938" s="541"/>
      <c r="O3938" s="541"/>
      <c r="R3938" s="490" t="str">
        <f t="shared" si="276"/>
        <v>DELETE</v>
      </c>
    </row>
    <row r="3939" spans="3:24" ht="36" customHeight="1" x14ac:dyDescent="0.5">
      <c r="C3939" s="520"/>
      <c r="D3939" s="634"/>
      <c r="E3939" s="634"/>
      <c r="F3939" s="634"/>
      <c r="G3939" s="634"/>
      <c r="H3939" s="634"/>
      <c r="I3939" s="634"/>
      <c r="J3939" s="634"/>
      <c r="K3939" s="457"/>
      <c r="L3939" s="457"/>
      <c r="M3939" s="557"/>
      <c r="N3939" s="557"/>
      <c r="O3939" s="557"/>
      <c r="P3939" s="551"/>
      <c r="Q3939" s="457"/>
      <c r="R3939" s="490" t="str">
        <f t="shared" si="276"/>
        <v>DELETE</v>
      </c>
    </row>
    <row r="3940" spans="3:24" ht="36" customHeight="1" x14ac:dyDescent="0.5">
      <c r="C3940" s="520"/>
      <c r="D3940" s="616"/>
      <c r="E3940" s="616"/>
      <c r="F3940" s="616"/>
      <c r="G3940" s="616"/>
      <c r="H3940" s="616"/>
      <c r="I3940" s="616"/>
      <c r="J3940" s="645"/>
      <c r="K3940" s="450" t="s">
        <v>1494</v>
      </c>
      <c r="L3940" s="451"/>
      <c r="M3940" s="451"/>
      <c r="N3940" s="450"/>
      <c r="O3940" s="453">
        <f>Criteria!E22</f>
        <v>2026</v>
      </c>
      <c r="P3940" s="454"/>
      <c r="R3940" s="490" t="str">
        <f t="shared" si="276"/>
        <v>DELETE</v>
      </c>
    </row>
    <row r="3941" spans="3:24" ht="36" customHeight="1" x14ac:dyDescent="0.5">
      <c r="C3941" s="520"/>
      <c r="D3941" s="616"/>
      <c r="E3941" s="616"/>
      <c r="F3941" s="616"/>
      <c r="G3941" s="616"/>
      <c r="H3941" s="616"/>
      <c r="I3941" s="616"/>
      <c r="J3941" s="645"/>
      <c r="K3941" s="450"/>
      <c r="L3941" s="451"/>
      <c r="M3941" s="451"/>
      <c r="N3941" s="450"/>
      <c r="O3941" s="458"/>
      <c r="P3941" s="454"/>
      <c r="R3941" s="490" t="str">
        <f t="shared" si="276"/>
        <v>DELETE</v>
      </c>
    </row>
    <row r="3942" spans="3:24" ht="36" customHeight="1" x14ac:dyDescent="0.45">
      <c r="D3942" s="615" t="s">
        <v>1194</v>
      </c>
      <c r="E3942" s="616"/>
      <c r="F3942" s="616"/>
      <c r="G3942" s="616"/>
      <c r="H3942" s="616"/>
      <c r="I3942" s="616"/>
      <c r="J3942" s="645"/>
      <c r="K3942" s="450"/>
      <c r="L3942" s="451"/>
      <c r="M3942" s="451"/>
      <c r="N3942" s="450"/>
      <c r="O3942" s="458">
        <f>-SUM(TrialBalanceC!I5:I10)</f>
        <v>0</v>
      </c>
      <c r="P3942" s="454"/>
      <c r="R3942" s="490" t="str">
        <f>IF(R3930="DELETE","DELETE",IF(O3942=0,IF(O3944=0," ","DELETE")," "))</f>
        <v>DELETE</v>
      </c>
      <c r="S3942" s="495">
        <f>O3942</f>
        <v>0</v>
      </c>
      <c r="T3942" s="495"/>
      <c r="U3942" s="495"/>
      <c r="V3942" s="495"/>
      <c r="W3942" s="495"/>
      <c r="X3942" s="495"/>
    </row>
    <row r="3943" spans="3:24" ht="36" customHeight="1" x14ac:dyDescent="0.45">
      <c r="D3943" s="615"/>
      <c r="E3943" s="616"/>
      <c r="F3943" s="616"/>
      <c r="G3943" s="616"/>
      <c r="H3943" s="616"/>
      <c r="I3943" s="616"/>
      <c r="J3943" s="645"/>
      <c r="K3943" s="450"/>
      <c r="L3943" s="451"/>
      <c r="M3943" s="451"/>
      <c r="N3943" s="450"/>
      <c r="O3943" s="458"/>
      <c r="P3943" s="454"/>
      <c r="R3943" s="490" t="str">
        <f>R3942</f>
        <v>DELETE</v>
      </c>
      <c r="S3943" s="495"/>
      <c r="T3943" s="495"/>
      <c r="U3943" s="495"/>
      <c r="V3943" s="495"/>
      <c r="W3943" s="495"/>
      <c r="X3943" s="495"/>
    </row>
    <row r="3944" spans="3:24" ht="36" customHeight="1" x14ac:dyDescent="0.45">
      <c r="D3944" s="615" t="s">
        <v>398</v>
      </c>
      <c r="E3944" s="616"/>
      <c r="F3944" s="616"/>
      <c r="G3944" s="616"/>
      <c r="H3944" s="616"/>
      <c r="I3944" s="616"/>
      <c r="J3944" s="645"/>
      <c r="K3944" s="450"/>
      <c r="L3944" s="451"/>
      <c r="M3944" s="451"/>
      <c r="N3944" s="450"/>
      <c r="O3944" s="458">
        <f>-TrialBalanceC!I11</f>
        <v>0</v>
      </c>
      <c r="P3944" s="454"/>
      <c r="R3944" s="490" t="str">
        <f>IF(R3930="DELETE","DELETE",IF(O3944=0,"DELETE"," "))</f>
        <v>DELETE</v>
      </c>
      <c r="S3944" s="495">
        <f>O3944</f>
        <v>0</v>
      </c>
      <c r="T3944" s="495"/>
      <c r="U3944" s="495"/>
      <c r="V3944" s="495"/>
      <c r="W3944" s="495"/>
      <c r="X3944" s="495"/>
    </row>
    <row r="3945" spans="3:24" ht="36" customHeight="1" x14ac:dyDescent="0.45">
      <c r="D3945" s="615"/>
      <c r="E3945" s="616"/>
      <c r="F3945" s="616"/>
      <c r="G3945" s="616"/>
      <c r="H3945" s="616"/>
      <c r="I3945" s="616"/>
      <c r="J3945" s="645"/>
      <c r="K3945" s="450"/>
      <c r="L3945" s="451"/>
      <c r="M3945" s="451"/>
      <c r="N3945" s="450"/>
      <c r="O3945" s="458"/>
      <c r="P3945" s="454"/>
      <c r="R3945" s="490" t="str">
        <f>R3944</f>
        <v>DELETE</v>
      </c>
    </row>
    <row r="3946" spans="3:24" ht="36" customHeight="1" x14ac:dyDescent="0.45">
      <c r="D3946" s="615" t="s">
        <v>1119</v>
      </c>
      <c r="E3946" s="616"/>
      <c r="F3946" s="616"/>
      <c r="G3946" s="616"/>
      <c r="H3946" s="616"/>
      <c r="I3946" s="616"/>
      <c r="J3946" s="645"/>
      <c r="K3946" s="450"/>
      <c r="L3946" s="451"/>
      <c r="M3946" s="451"/>
      <c r="N3946" s="450"/>
      <c r="O3946" s="458">
        <f>SUM(O3949:O3956)</f>
        <v>0</v>
      </c>
      <c r="P3946" s="454"/>
      <c r="R3946" s="490" t="str">
        <f>IF(R$3930="DELETE","DELETE",IF(O3946=0,"DELETE"," "))</f>
        <v>DELETE</v>
      </c>
      <c r="S3946" s="495">
        <f>-O3946</f>
        <v>0</v>
      </c>
      <c r="T3946" s="495"/>
      <c r="U3946" s="495"/>
      <c r="V3946" s="495"/>
      <c r="W3946" s="495"/>
      <c r="X3946" s="495"/>
    </row>
    <row r="3947" spans="3:24" ht="9" customHeight="1" x14ac:dyDescent="0.45">
      <c r="C3947" s="575"/>
      <c r="D3947" s="616"/>
      <c r="E3947" s="616"/>
      <c r="F3947" s="616"/>
      <c r="G3947" s="616"/>
      <c r="H3947" s="616"/>
      <c r="I3947" s="616"/>
      <c r="J3947" s="645"/>
      <c r="K3947" s="450"/>
      <c r="L3947" s="451"/>
      <c r="M3947" s="451"/>
      <c r="N3947" s="450"/>
      <c r="O3947" s="458"/>
      <c r="P3947" s="454"/>
      <c r="R3947" s="490" t="str">
        <f>R3946</f>
        <v>DELETE</v>
      </c>
    </row>
    <row r="3948" spans="3:24" ht="9" customHeight="1" x14ac:dyDescent="0.45">
      <c r="C3948" s="575"/>
      <c r="D3948" s="616"/>
      <c r="E3948" s="616"/>
      <c r="F3948" s="616"/>
      <c r="G3948" s="616"/>
      <c r="H3948" s="616"/>
      <c r="I3948" s="616"/>
      <c r="J3948" s="645"/>
      <c r="K3948" s="450"/>
      <c r="L3948" s="451"/>
      <c r="M3948" s="451"/>
      <c r="N3948" s="450"/>
      <c r="O3948" s="587"/>
      <c r="P3948" s="454"/>
      <c r="R3948" s="490" t="str">
        <f>R3947</f>
        <v>DELETE</v>
      </c>
    </row>
    <row r="3949" spans="3:24" ht="36" customHeight="1" x14ac:dyDescent="0.45">
      <c r="C3949" s="575"/>
      <c r="D3949" s="616" t="s">
        <v>563</v>
      </c>
      <c r="E3949" s="616"/>
      <c r="F3949" s="616"/>
      <c r="G3949" s="616"/>
      <c r="H3949" s="616"/>
      <c r="I3949" s="616"/>
      <c r="J3949" s="645"/>
      <c r="K3949" s="450"/>
      <c r="L3949" s="451"/>
      <c r="M3949" s="451"/>
      <c r="N3949" s="450"/>
      <c r="O3949" s="588">
        <f>SUM(TrialBalanceC!I13:I16)</f>
        <v>0</v>
      </c>
      <c r="P3949" s="454"/>
      <c r="R3949" s="490" t="str">
        <f t="shared" ref="R3949:R3956" si="277">IF(R$3930="DELETE","DELETE",IF(O3949=0,"DELETE"," "))</f>
        <v>DELETE</v>
      </c>
    </row>
    <row r="3950" spans="3:24" ht="36" customHeight="1" x14ac:dyDescent="0.45">
      <c r="C3950" s="575"/>
      <c r="D3950" s="616" t="s">
        <v>301</v>
      </c>
      <c r="E3950" s="616"/>
      <c r="F3950" s="616"/>
      <c r="G3950" s="616"/>
      <c r="H3950" s="616"/>
      <c r="I3950" s="616"/>
      <c r="J3950" s="645"/>
      <c r="K3950" s="450"/>
      <c r="L3950" s="451"/>
      <c r="M3950" s="451"/>
      <c r="N3950" s="450"/>
      <c r="O3950" s="588">
        <f>TrialBalanceC!I17</f>
        <v>0</v>
      </c>
      <c r="P3950" s="454"/>
      <c r="R3950" s="490" t="str">
        <f t="shared" si="277"/>
        <v>DELETE</v>
      </c>
    </row>
    <row r="3951" spans="3:24" ht="36" customHeight="1" x14ac:dyDescent="0.45">
      <c r="C3951" s="575"/>
      <c r="D3951" s="616">
        <f>TrialBalanceC!C18</f>
        <v>0</v>
      </c>
      <c r="E3951" s="616"/>
      <c r="F3951" s="616"/>
      <c r="G3951" s="616"/>
      <c r="H3951" s="616"/>
      <c r="I3951" s="616"/>
      <c r="J3951" s="645"/>
      <c r="K3951" s="450"/>
      <c r="L3951" s="451"/>
      <c r="M3951" s="451"/>
      <c r="N3951" s="450"/>
      <c r="O3951" s="588">
        <f>TrialBalanceC!I18</f>
        <v>0</v>
      </c>
      <c r="P3951" s="454"/>
      <c r="R3951" s="490" t="str">
        <f t="shared" si="277"/>
        <v>DELETE</v>
      </c>
    </row>
    <row r="3952" spans="3:24" ht="36" customHeight="1" x14ac:dyDescent="0.45">
      <c r="C3952" s="575"/>
      <c r="D3952" s="616">
        <f>TrialBalanceC!C19</f>
        <v>0</v>
      </c>
      <c r="E3952" s="616"/>
      <c r="F3952" s="616"/>
      <c r="G3952" s="616"/>
      <c r="H3952" s="616"/>
      <c r="I3952" s="616"/>
      <c r="J3952" s="645"/>
      <c r="K3952" s="450"/>
      <c r="L3952" s="451"/>
      <c r="M3952" s="451"/>
      <c r="N3952" s="450"/>
      <c r="O3952" s="588">
        <f>TrialBalanceC!I19</f>
        <v>0</v>
      </c>
      <c r="P3952" s="454"/>
      <c r="R3952" s="490" t="str">
        <f t="shared" si="277"/>
        <v>DELETE</v>
      </c>
    </row>
    <row r="3953" spans="3:21" ht="36" customHeight="1" x14ac:dyDescent="0.45">
      <c r="C3953" s="575"/>
      <c r="D3953" s="616">
        <f>TrialBalanceC!C20</f>
        <v>0</v>
      </c>
      <c r="E3953" s="616"/>
      <c r="F3953" s="616"/>
      <c r="G3953" s="616"/>
      <c r="H3953" s="616"/>
      <c r="I3953" s="616"/>
      <c r="J3953" s="645"/>
      <c r="K3953" s="450"/>
      <c r="L3953" s="451"/>
      <c r="M3953" s="451"/>
      <c r="N3953" s="450"/>
      <c r="O3953" s="588">
        <f>TrialBalanceC!I20</f>
        <v>0</v>
      </c>
      <c r="P3953" s="454"/>
      <c r="R3953" s="490" t="str">
        <f t="shared" si="277"/>
        <v>DELETE</v>
      </c>
    </row>
    <row r="3954" spans="3:21" ht="36" customHeight="1" x14ac:dyDescent="0.45">
      <c r="C3954" s="575"/>
      <c r="D3954" s="616">
        <f>TrialBalanceC!C21</f>
        <v>0</v>
      </c>
      <c r="E3954" s="616"/>
      <c r="F3954" s="616"/>
      <c r="G3954" s="616"/>
      <c r="H3954" s="616"/>
      <c r="I3954" s="616"/>
      <c r="J3954" s="645"/>
      <c r="K3954" s="450"/>
      <c r="L3954" s="451"/>
      <c r="M3954" s="451"/>
      <c r="N3954" s="450"/>
      <c r="O3954" s="588">
        <f>TrialBalanceC!I21</f>
        <v>0</v>
      </c>
      <c r="P3954" s="454"/>
      <c r="R3954" s="490" t="str">
        <f t="shared" si="277"/>
        <v>DELETE</v>
      </c>
    </row>
    <row r="3955" spans="3:21" ht="36" customHeight="1" x14ac:dyDescent="0.45">
      <c r="C3955" s="575"/>
      <c r="D3955" s="616">
        <f>TrialBalanceC!C22</f>
        <v>0</v>
      </c>
      <c r="E3955" s="616"/>
      <c r="F3955" s="616"/>
      <c r="G3955" s="616"/>
      <c r="H3955" s="616"/>
      <c r="I3955" s="616"/>
      <c r="J3955" s="645"/>
      <c r="K3955" s="450"/>
      <c r="L3955" s="451"/>
      <c r="M3955" s="451"/>
      <c r="N3955" s="450"/>
      <c r="O3955" s="588">
        <f>TrialBalanceC!I22</f>
        <v>0</v>
      </c>
      <c r="P3955" s="454"/>
      <c r="R3955" s="490" t="str">
        <f t="shared" si="277"/>
        <v>DELETE</v>
      </c>
    </row>
    <row r="3956" spans="3:21" ht="36" customHeight="1" x14ac:dyDescent="0.45">
      <c r="C3956" s="575"/>
      <c r="D3956" s="616" t="s">
        <v>564</v>
      </c>
      <c r="E3956" s="616"/>
      <c r="F3956" s="616"/>
      <c r="G3956" s="616"/>
      <c r="H3956" s="616"/>
      <c r="I3956" s="616"/>
      <c r="J3956" s="645"/>
      <c r="K3956" s="450"/>
      <c r="L3956" s="451"/>
      <c r="M3956" s="451"/>
      <c r="N3956" s="450"/>
      <c r="O3956" s="588">
        <f>SUM(TrialBalanceC!I23:I26)</f>
        <v>0</v>
      </c>
      <c r="P3956" s="454"/>
      <c r="R3956" s="490" t="str">
        <f t="shared" si="277"/>
        <v>DELETE</v>
      </c>
    </row>
    <row r="3957" spans="3:21" ht="9" customHeight="1" x14ac:dyDescent="0.45">
      <c r="C3957" s="575"/>
      <c r="D3957" s="616"/>
      <c r="E3957" s="616"/>
      <c r="F3957" s="616"/>
      <c r="G3957" s="616"/>
      <c r="H3957" s="616"/>
      <c r="I3957" s="616"/>
      <c r="J3957" s="645"/>
      <c r="K3957" s="450"/>
      <c r="L3957" s="451"/>
      <c r="M3957" s="451"/>
      <c r="N3957" s="450"/>
      <c r="O3957" s="589"/>
      <c r="P3957" s="454"/>
      <c r="R3957" s="490" t="str">
        <f>R3946</f>
        <v>DELETE</v>
      </c>
    </row>
    <row r="3958" spans="3:21" ht="9" customHeight="1" x14ac:dyDescent="0.45">
      <c r="C3958" s="575"/>
      <c r="D3958" s="616"/>
      <c r="E3958" s="616"/>
      <c r="F3958" s="616"/>
      <c r="G3958" s="616"/>
      <c r="H3958" s="616"/>
      <c r="I3958" s="616"/>
      <c r="J3958" s="645"/>
      <c r="K3958" s="450"/>
      <c r="L3958" s="451"/>
      <c r="M3958" s="451"/>
      <c r="N3958" s="450"/>
      <c r="O3958" s="461"/>
      <c r="P3958" s="454"/>
      <c r="R3958" s="490" t="str">
        <f>R3946</f>
        <v>DELETE</v>
      </c>
    </row>
    <row r="3959" spans="3:21" ht="9" customHeight="1" x14ac:dyDescent="0.45">
      <c r="C3959" s="575"/>
      <c r="D3959" s="616"/>
      <c r="E3959" s="616"/>
      <c r="F3959" s="616"/>
      <c r="G3959" s="616"/>
      <c r="H3959" s="616"/>
      <c r="I3959" s="616"/>
      <c r="J3959" s="645"/>
      <c r="K3959" s="450"/>
      <c r="L3959" s="451"/>
      <c r="M3959" s="451"/>
      <c r="N3959" s="450"/>
      <c r="O3959" s="458"/>
      <c r="P3959" s="454"/>
      <c r="R3959" s="490" t="str">
        <f>R3958</f>
        <v>DELETE</v>
      </c>
    </row>
    <row r="3960" spans="3:21" ht="36" customHeight="1" x14ac:dyDescent="0.45">
      <c r="D3960" s="637" t="str">
        <f>IF(O3960&lt;0,"Gross loss","Gross profit")</f>
        <v>Gross profit</v>
      </c>
      <c r="E3960" s="616"/>
      <c r="F3960" s="616"/>
      <c r="G3960" s="616"/>
      <c r="H3960" s="616"/>
      <c r="I3960" s="616"/>
      <c r="J3960" s="645"/>
      <c r="K3960" s="450"/>
      <c r="L3960" s="451"/>
      <c r="M3960" s="451"/>
      <c r="N3960" s="450"/>
      <c r="O3960" s="458">
        <f>SUM(S3942:S3957)</f>
        <v>0</v>
      </c>
      <c r="P3960" s="454"/>
      <c r="R3960" s="490" t="str">
        <f>R3959</f>
        <v>DELETE</v>
      </c>
    </row>
    <row r="3961" spans="3:21" ht="36" customHeight="1" x14ac:dyDescent="0.45">
      <c r="C3961" s="575"/>
      <c r="D3961" s="616"/>
      <c r="E3961" s="616"/>
      <c r="F3961" s="616"/>
      <c r="G3961" s="616"/>
      <c r="H3961" s="616"/>
      <c r="I3961" s="616"/>
      <c r="J3961" s="645"/>
      <c r="K3961" s="450"/>
      <c r="L3961" s="451"/>
      <c r="M3961" s="451"/>
      <c r="N3961" s="450"/>
      <c r="O3961" s="458"/>
      <c r="P3961" s="454"/>
      <c r="R3961" s="490" t="str">
        <f>R3960</f>
        <v>DELETE</v>
      </c>
    </row>
    <row r="3962" spans="3:21" ht="36" customHeight="1" x14ac:dyDescent="0.45">
      <c r="D3962" s="615" t="s">
        <v>1491</v>
      </c>
      <c r="E3962" s="616"/>
      <c r="F3962" s="616"/>
      <c r="G3962" s="616"/>
      <c r="H3962" s="616"/>
      <c r="I3962" s="616"/>
      <c r="J3962" s="645"/>
      <c r="K3962" s="450"/>
      <c r="L3962" s="451"/>
      <c r="M3962" s="451"/>
      <c r="N3962" s="450"/>
      <c r="O3962" s="458">
        <f>SUM(O3964:O3971)</f>
        <v>0</v>
      </c>
      <c r="P3962" s="454"/>
      <c r="R3962" s="490" t="str">
        <f t="shared" ref="R3962" si="278">IF(R$3930="DELETE","DELETE",IF(O3962=0,"DELETE"," "))</f>
        <v>DELETE</v>
      </c>
      <c r="S3962" s="495">
        <f>O3962</f>
        <v>0</v>
      </c>
      <c r="T3962" s="495"/>
      <c r="U3962" s="495"/>
    </row>
    <row r="3963" spans="3:21" ht="9" customHeight="1" x14ac:dyDescent="0.45">
      <c r="C3963" s="575"/>
      <c r="D3963" s="616"/>
      <c r="E3963" s="616"/>
      <c r="F3963" s="616"/>
      <c r="G3963" s="616"/>
      <c r="H3963" s="616"/>
      <c r="I3963" s="616"/>
      <c r="J3963" s="645"/>
      <c r="K3963" s="450"/>
      <c r="L3963" s="451"/>
      <c r="M3963" s="451"/>
      <c r="N3963" s="450"/>
      <c r="O3963" s="458"/>
      <c r="P3963" s="454"/>
      <c r="R3963" s="490" t="str">
        <f>R3962</f>
        <v>DELETE</v>
      </c>
    </row>
    <row r="3964" spans="3:21" ht="9" customHeight="1" x14ac:dyDescent="0.45">
      <c r="C3964" s="575"/>
      <c r="D3964" s="616"/>
      <c r="E3964" s="616"/>
      <c r="F3964" s="616"/>
      <c r="G3964" s="616"/>
      <c r="H3964" s="616"/>
      <c r="I3964" s="616"/>
      <c r="J3964" s="645"/>
      <c r="K3964" s="450"/>
      <c r="L3964" s="451"/>
      <c r="M3964" s="451"/>
      <c r="N3964" s="450"/>
      <c r="O3964" s="587"/>
      <c r="P3964" s="454"/>
      <c r="R3964" s="490" t="str">
        <f>R3962</f>
        <v>DELETE</v>
      </c>
    </row>
    <row r="3965" spans="3:21" ht="36" customHeight="1" x14ac:dyDescent="0.45">
      <c r="C3965" s="575"/>
      <c r="D3965" s="616" t="str">
        <f>TrialBalanceC!C28</f>
        <v xml:space="preserve">Insurance claims - </v>
      </c>
      <c r="E3965" s="616"/>
      <c r="F3965" s="616"/>
      <c r="G3965" s="616"/>
      <c r="H3965" s="616"/>
      <c r="I3965" s="616"/>
      <c r="J3965" s="645"/>
      <c r="K3965" s="450"/>
      <c r="L3965" s="451"/>
      <c r="M3965" s="451"/>
      <c r="N3965" s="450"/>
      <c r="O3965" s="588">
        <f>-TrialBalanceC!I28</f>
        <v>0</v>
      </c>
      <c r="P3965" s="454"/>
      <c r="R3965" s="490" t="str">
        <f t="shared" ref="R3965:R3969" si="279">IF(R$3930="DELETE","DELETE",IF(O3965=0,"DELETE"," "))</f>
        <v>DELETE</v>
      </c>
    </row>
    <row r="3966" spans="3:21" ht="36" customHeight="1" x14ac:dyDescent="0.45">
      <c r="C3966" s="575"/>
      <c r="D3966" s="616" t="str">
        <f>TrialBalanceC!C29</f>
        <v>Government grants received</v>
      </c>
      <c r="E3966" s="616"/>
      <c r="F3966" s="616"/>
      <c r="G3966" s="616"/>
      <c r="H3966" s="616"/>
      <c r="I3966" s="616"/>
      <c r="J3966" s="645"/>
      <c r="K3966" s="450"/>
      <c r="L3966" s="451"/>
      <c r="M3966" s="451"/>
      <c r="N3966" s="450"/>
      <c r="O3966" s="588">
        <f>-TrialBalanceC!I29</f>
        <v>0</v>
      </c>
      <c r="P3966" s="454"/>
      <c r="R3966" s="490" t="str">
        <f t="shared" si="279"/>
        <v>DELETE</v>
      </c>
    </row>
    <row r="3967" spans="3:21" ht="36" customHeight="1" x14ac:dyDescent="0.45">
      <c r="C3967" s="575"/>
      <c r="D3967" s="616">
        <f>TrialBalanceC!C30</f>
        <v>0</v>
      </c>
      <c r="E3967" s="616"/>
      <c r="F3967" s="616"/>
      <c r="G3967" s="616"/>
      <c r="H3967" s="616"/>
      <c r="I3967" s="616"/>
      <c r="J3967" s="645"/>
      <c r="K3967" s="450"/>
      <c r="L3967" s="451"/>
      <c r="M3967" s="451"/>
      <c r="N3967" s="450"/>
      <c r="O3967" s="588">
        <f>-TrialBalanceC!I30</f>
        <v>0</v>
      </c>
      <c r="P3967" s="454"/>
      <c r="R3967" s="490" t="str">
        <f t="shared" si="279"/>
        <v>DELETE</v>
      </c>
    </row>
    <row r="3968" spans="3:21" ht="36" customHeight="1" x14ac:dyDescent="0.45">
      <c r="C3968" s="575"/>
      <c r="D3968" s="616">
        <f>TrialBalanceC!C31</f>
        <v>0</v>
      </c>
      <c r="E3968" s="616"/>
      <c r="F3968" s="616"/>
      <c r="G3968" s="616"/>
      <c r="H3968" s="616"/>
      <c r="I3968" s="616"/>
      <c r="J3968" s="645"/>
      <c r="K3968" s="450"/>
      <c r="L3968" s="451"/>
      <c r="M3968" s="451"/>
      <c r="N3968" s="450"/>
      <c r="O3968" s="588">
        <f>-TrialBalanceC!I31</f>
        <v>0</v>
      </c>
      <c r="P3968" s="454"/>
      <c r="R3968" s="490" t="str">
        <f t="shared" si="279"/>
        <v>DELETE</v>
      </c>
    </row>
    <row r="3969" spans="3:24" ht="36" customHeight="1" x14ac:dyDescent="0.45">
      <c r="C3969" s="575"/>
      <c r="D3969" s="616">
        <f>TrialBalanceC!C32</f>
        <v>0</v>
      </c>
      <c r="E3969" s="616"/>
      <c r="F3969" s="616"/>
      <c r="G3969" s="616"/>
      <c r="H3969" s="616"/>
      <c r="I3969" s="616"/>
      <c r="J3969" s="645"/>
      <c r="K3969" s="450"/>
      <c r="L3969" s="451"/>
      <c r="M3969" s="451"/>
      <c r="N3969" s="450"/>
      <c r="O3969" s="588">
        <f>-TrialBalanceC!I32</f>
        <v>0</v>
      </c>
      <c r="P3969" s="454"/>
      <c r="R3969" s="490" t="str">
        <f t="shared" si="279"/>
        <v>DELETE</v>
      </c>
    </row>
    <row r="3970" spans="3:24" ht="36" customHeight="1" x14ac:dyDescent="0.45">
      <c r="C3970" s="575"/>
      <c r="D3970" s="616" t="str">
        <f>TrialBalanceC!C33</f>
        <v>Recoupment of depreciation</v>
      </c>
      <c r="E3970" s="616"/>
      <c r="F3970" s="616"/>
      <c r="G3970" s="616"/>
      <c r="H3970" s="616"/>
      <c r="I3970" s="616"/>
      <c r="J3970" s="645"/>
      <c r="K3970" s="450"/>
      <c r="L3970" s="451"/>
      <c r="M3970" s="451"/>
      <c r="N3970" s="450"/>
      <c r="O3970" s="588">
        <f>-TrialBalanceC!I33</f>
        <v>0</v>
      </c>
      <c r="P3970" s="454"/>
      <c r="R3970" s="490" t="str">
        <f t="shared" ref="R3970" si="280">IF(R$3930="DELETE","DELETE",IF(O3970=0,"DELETE"," "))</f>
        <v>DELETE</v>
      </c>
    </row>
    <row r="3971" spans="3:24" ht="9" customHeight="1" x14ac:dyDescent="0.45">
      <c r="C3971" s="575"/>
      <c r="D3971" s="616"/>
      <c r="E3971" s="616"/>
      <c r="F3971" s="616"/>
      <c r="G3971" s="616"/>
      <c r="H3971" s="616"/>
      <c r="I3971" s="616"/>
      <c r="J3971" s="645"/>
      <c r="K3971" s="450"/>
      <c r="L3971" s="451"/>
      <c r="M3971" s="451"/>
      <c r="N3971" s="450"/>
      <c r="O3971" s="589"/>
      <c r="P3971" s="454"/>
      <c r="R3971" s="490" t="str">
        <f>R3962</f>
        <v>DELETE</v>
      </c>
    </row>
    <row r="3972" spans="3:24" ht="9" customHeight="1" x14ac:dyDescent="0.45">
      <c r="C3972" s="575"/>
      <c r="D3972" s="616"/>
      <c r="E3972" s="616"/>
      <c r="F3972" s="616"/>
      <c r="G3972" s="616"/>
      <c r="H3972" s="616"/>
      <c r="I3972" s="616"/>
      <c r="J3972" s="645"/>
      <c r="K3972" s="450"/>
      <c r="L3972" s="451"/>
      <c r="M3972" s="451"/>
      <c r="N3972" s="450"/>
      <c r="O3972" s="479"/>
      <c r="P3972" s="454"/>
      <c r="R3972" s="490" t="str">
        <f>R3971</f>
        <v>DELETE</v>
      </c>
    </row>
    <row r="3973" spans="3:24" ht="9" customHeight="1" x14ac:dyDescent="0.45">
      <c r="C3973" s="575"/>
      <c r="D3973" s="616"/>
      <c r="E3973" s="616"/>
      <c r="F3973" s="616"/>
      <c r="G3973" s="616"/>
      <c r="H3973" s="616"/>
      <c r="I3973" s="616"/>
      <c r="J3973" s="645"/>
      <c r="K3973" s="450"/>
      <c r="L3973" s="451"/>
      <c r="M3973" s="451"/>
      <c r="N3973" s="450"/>
      <c r="O3973" s="458"/>
      <c r="P3973" s="454"/>
      <c r="R3973" s="490" t="str">
        <f>R3972</f>
        <v>DELETE</v>
      </c>
    </row>
    <row r="3974" spans="3:24" ht="36" customHeight="1" x14ac:dyDescent="0.45">
      <c r="C3974" s="575"/>
      <c r="D3974" s="616"/>
      <c r="E3974" s="616"/>
      <c r="F3974" s="616"/>
      <c r="G3974" s="616"/>
      <c r="H3974" s="616"/>
      <c r="I3974" s="616"/>
      <c r="J3974" s="645"/>
      <c r="K3974" s="450"/>
      <c r="L3974" s="451"/>
      <c r="M3974" s="451"/>
      <c r="N3974" s="450"/>
      <c r="O3974" s="458">
        <f>SUM(S3942:S3962)</f>
        <v>0</v>
      </c>
      <c r="P3974" s="454"/>
      <c r="R3974" s="490" t="str">
        <f>R3962</f>
        <v>DELETE</v>
      </c>
    </row>
    <row r="3975" spans="3:24" ht="36" customHeight="1" x14ac:dyDescent="0.45">
      <c r="C3975" s="575"/>
      <c r="D3975" s="616"/>
      <c r="E3975" s="616"/>
      <c r="F3975" s="616"/>
      <c r="G3975" s="616"/>
      <c r="H3975" s="616"/>
      <c r="I3975" s="616"/>
      <c r="J3975" s="645"/>
      <c r="K3975" s="450"/>
      <c r="L3975" s="451"/>
      <c r="M3975" s="451"/>
      <c r="N3975" s="450"/>
      <c r="O3975" s="458"/>
      <c r="P3975" s="454"/>
      <c r="R3975" s="490" t="str">
        <f>R3974</f>
        <v>DELETE</v>
      </c>
    </row>
    <row r="3976" spans="3:24" ht="36" customHeight="1" x14ac:dyDescent="0.45">
      <c r="D3976" s="615" t="s">
        <v>1532</v>
      </c>
      <c r="E3976" s="616"/>
      <c r="F3976" s="616"/>
      <c r="G3976" s="616"/>
      <c r="H3976" s="616"/>
      <c r="I3976" s="616"/>
      <c r="J3976" s="645"/>
      <c r="K3976" s="450"/>
      <c r="L3976" s="451"/>
      <c r="M3976" s="451"/>
      <c r="N3976" s="450"/>
      <c r="O3976" s="458">
        <f>SUM(O3978:O4007)</f>
        <v>0</v>
      </c>
      <c r="P3976" s="454"/>
      <c r="R3976" s="490" t="str">
        <f t="shared" ref="R3976" si="281">IF(R$3930="DELETE","DELETE",IF(O3976=0,"DELETE"," "))</f>
        <v>DELETE</v>
      </c>
      <c r="S3976" s="495">
        <f>-O3976</f>
        <v>0</v>
      </c>
      <c r="T3976" s="495"/>
      <c r="U3976" s="495"/>
      <c r="V3976" s="495"/>
      <c r="W3976" s="495"/>
      <c r="X3976" s="495"/>
    </row>
    <row r="3977" spans="3:24" ht="9" customHeight="1" x14ac:dyDescent="0.45">
      <c r="C3977" s="575"/>
      <c r="D3977" s="616"/>
      <c r="E3977" s="616"/>
      <c r="F3977" s="616"/>
      <c r="G3977" s="616"/>
      <c r="H3977" s="616"/>
      <c r="I3977" s="616"/>
      <c r="J3977" s="645"/>
      <c r="K3977" s="450"/>
      <c r="L3977" s="451"/>
      <c r="M3977" s="451"/>
      <c r="N3977" s="450"/>
      <c r="O3977" s="458"/>
      <c r="P3977" s="454"/>
      <c r="R3977" s="490" t="str">
        <f>R3976</f>
        <v>DELETE</v>
      </c>
    </row>
    <row r="3978" spans="3:24" ht="9" customHeight="1" x14ac:dyDescent="0.45">
      <c r="C3978" s="575"/>
      <c r="D3978" s="616"/>
      <c r="E3978" s="616"/>
      <c r="F3978" s="616"/>
      <c r="G3978" s="616"/>
      <c r="H3978" s="616"/>
      <c r="I3978" s="616"/>
      <c r="J3978" s="645"/>
      <c r="K3978" s="450"/>
      <c r="L3978" s="451"/>
      <c r="M3978" s="451"/>
      <c r="N3978" s="450"/>
      <c r="O3978" s="587"/>
      <c r="P3978" s="454"/>
      <c r="R3978" s="490" t="str">
        <f>R3977</f>
        <v>DELETE</v>
      </c>
    </row>
    <row r="3979" spans="3:24" ht="36" customHeight="1" x14ac:dyDescent="0.45">
      <c r="C3979" s="575"/>
      <c r="D3979" s="616" t="s">
        <v>302</v>
      </c>
      <c r="E3979" s="616"/>
      <c r="F3979" s="616"/>
      <c r="G3979" s="616"/>
      <c r="H3979" s="616"/>
      <c r="I3979" s="616"/>
      <c r="J3979" s="645"/>
      <c r="K3979" s="450"/>
      <c r="L3979" s="451"/>
      <c r="M3979" s="451"/>
      <c r="N3979" s="450"/>
      <c r="O3979" s="588">
        <f>TrialBalanceC!I40</f>
        <v>0</v>
      </c>
      <c r="P3979" s="454"/>
      <c r="R3979" s="490" t="str">
        <f t="shared" ref="R3979:R4006" si="282">IF(R$3930="DELETE","DELETE",IF(O3979=0,"DELETE"," "))</f>
        <v>DELETE</v>
      </c>
    </row>
    <row r="3980" spans="3:24" ht="36" customHeight="1" x14ac:dyDescent="0.45">
      <c r="C3980" s="575"/>
      <c r="D3980" s="616" t="s">
        <v>831</v>
      </c>
      <c r="E3980" s="616"/>
      <c r="F3980" s="616"/>
      <c r="G3980" s="616"/>
      <c r="H3980" s="616"/>
      <c r="I3980" s="616"/>
      <c r="J3980" s="645"/>
      <c r="K3980" s="450"/>
      <c r="L3980" s="451"/>
      <c r="M3980" s="451"/>
      <c r="N3980" s="450"/>
      <c r="O3980" s="588">
        <f>TrialBalanceC!I41</f>
        <v>0</v>
      </c>
      <c r="P3980" s="454"/>
      <c r="R3980" s="490" t="str">
        <f t="shared" si="282"/>
        <v>DELETE</v>
      </c>
    </row>
    <row r="3981" spans="3:24" ht="36" customHeight="1" x14ac:dyDescent="0.45">
      <c r="C3981" s="575"/>
      <c r="D3981" s="616" t="s">
        <v>303</v>
      </c>
      <c r="E3981" s="616"/>
      <c r="F3981" s="616"/>
      <c r="G3981" s="616"/>
      <c r="H3981" s="616"/>
      <c r="I3981" s="616"/>
      <c r="J3981" s="645"/>
      <c r="K3981" s="450"/>
      <c r="L3981" s="451"/>
      <c r="M3981" s="451"/>
      <c r="N3981" s="450"/>
      <c r="O3981" s="588">
        <f>TrialBalanceC!I42</f>
        <v>0</v>
      </c>
      <c r="P3981" s="454"/>
      <c r="R3981" s="490" t="str">
        <f t="shared" si="282"/>
        <v>DELETE</v>
      </c>
    </row>
    <row r="3982" spans="3:24" ht="36" customHeight="1" x14ac:dyDescent="0.45">
      <c r="C3982" s="575"/>
      <c r="D3982" s="616" t="s">
        <v>304</v>
      </c>
      <c r="E3982" s="616"/>
      <c r="F3982" s="616"/>
      <c r="G3982" s="616"/>
      <c r="H3982" s="616"/>
      <c r="I3982" s="616"/>
      <c r="J3982" s="645"/>
      <c r="K3982" s="450">
        <f>B$1250</f>
        <v>5</v>
      </c>
      <c r="L3982" s="451"/>
      <c r="M3982" s="451"/>
      <c r="N3982" s="450"/>
      <c r="O3982" s="588">
        <f>SUM(TrialBalanceC!I44:I46)</f>
        <v>0</v>
      </c>
      <c r="P3982" s="454"/>
      <c r="R3982" s="490" t="str">
        <f t="shared" si="282"/>
        <v>DELETE</v>
      </c>
    </row>
    <row r="3983" spans="3:24" ht="36" customHeight="1" x14ac:dyDescent="0.45">
      <c r="C3983" s="575"/>
      <c r="D3983" s="616" t="s">
        <v>565</v>
      </c>
      <c r="E3983" s="616"/>
      <c r="F3983" s="616"/>
      <c r="G3983" s="616"/>
      <c r="H3983" s="616"/>
      <c r="I3983" s="616"/>
      <c r="J3983" s="645"/>
      <c r="K3983" s="450"/>
      <c r="L3983" s="451"/>
      <c r="M3983" s="451"/>
      <c r="N3983" s="450"/>
      <c r="O3983" s="588">
        <f>TrialBalanceC!I47</f>
        <v>0</v>
      </c>
      <c r="P3983" s="454"/>
      <c r="R3983" s="490" t="str">
        <f t="shared" si="282"/>
        <v>DELETE</v>
      </c>
      <c r="S3983" s="496"/>
      <c r="T3983" s="496"/>
      <c r="U3983" s="496"/>
      <c r="V3983" s="496"/>
      <c r="W3983" s="496"/>
      <c r="X3983" s="496"/>
    </row>
    <row r="3984" spans="3:24" ht="36" customHeight="1" x14ac:dyDescent="0.45">
      <c r="C3984" s="575"/>
      <c r="D3984" s="616" t="s">
        <v>871</v>
      </c>
      <c r="E3984" s="616"/>
      <c r="F3984" s="616"/>
      <c r="G3984" s="616"/>
      <c r="H3984" s="616"/>
      <c r="I3984" s="616"/>
      <c r="J3984" s="645"/>
      <c r="K3984" s="450"/>
      <c r="L3984" s="451"/>
      <c r="M3984" s="451"/>
      <c r="N3984" s="450"/>
      <c r="O3984" s="588">
        <f>TrialBalanceC!I48</f>
        <v>0</v>
      </c>
      <c r="P3984" s="454"/>
      <c r="R3984" s="490" t="str">
        <f t="shared" si="282"/>
        <v>DELETE</v>
      </c>
    </row>
    <row r="3985" spans="3:18" ht="36" customHeight="1" x14ac:dyDescent="0.45">
      <c r="C3985" s="575"/>
      <c r="D3985" s="616" t="s">
        <v>69</v>
      </c>
      <c r="E3985" s="616"/>
      <c r="F3985" s="616"/>
      <c r="G3985" s="616"/>
      <c r="H3985" s="616"/>
      <c r="I3985" s="616"/>
      <c r="J3985" s="645"/>
      <c r="K3985" s="450"/>
      <c r="L3985" s="451"/>
      <c r="M3985" s="451"/>
      <c r="N3985" s="450"/>
      <c r="O3985" s="588">
        <f>TrialBalanceC!I49</f>
        <v>0</v>
      </c>
      <c r="P3985" s="454"/>
      <c r="R3985" s="490" t="str">
        <f t="shared" si="282"/>
        <v>DELETE</v>
      </c>
    </row>
    <row r="3986" spans="3:18" ht="36" customHeight="1" x14ac:dyDescent="0.45">
      <c r="C3986" s="575"/>
      <c r="D3986" s="616" t="s">
        <v>305</v>
      </c>
      <c r="E3986" s="616"/>
      <c r="F3986" s="616"/>
      <c r="G3986" s="616"/>
      <c r="H3986" s="616"/>
      <c r="I3986" s="616"/>
      <c r="J3986" s="645"/>
      <c r="K3986" s="450"/>
      <c r="L3986" s="451"/>
      <c r="M3986" s="451"/>
      <c r="N3986" s="450"/>
      <c r="O3986" s="588">
        <f>TrialBalanceC!I50</f>
        <v>0</v>
      </c>
      <c r="P3986" s="454"/>
      <c r="R3986" s="490" t="str">
        <f t="shared" si="282"/>
        <v>DELETE</v>
      </c>
    </row>
    <row r="3987" spans="3:18" ht="36" customHeight="1" x14ac:dyDescent="0.45">
      <c r="C3987" s="575"/>
      <c r="D3987" s="616" t="s">
        <v>587</v>
      </c>
      <c r="E3987" s="616"/>
      <c r="F3987" s="616"/>
      <c r="G3987" s="616"/>
      <c r="H3987" s="616"/>
      <c r="I3987" s="616"/>
      <c r="J3987" s="645"/>
      <c r="K3987" s="450"/>
      <c r="L3987" s="451"/>
      <c r="M3987" s="451"/>
      <c r="N3987" s="450"/>
      <c r="O3987" s="588">
        <f>SUM(TrialBalanceC!I51:I52)</f>
        <v>0</v>
      </c>
      <c r="P3987" s="454"/>
      <c r="R3987" s="490" t="str">
        <f t="shared" si="282"/>
        <v>DELETE</v>
      </c>
    </row>
    <row r="3988" spans="3:18" ht="36" customHeight="1" x14ac:dyDescent="0.45">
      <c r="C3988" s="575"/>
      <c r="D3988" s="616" t="s">
        <v>585</v>
      </c>
      <c r="E3988" s="616"/>
      <c r="F3988" s="616"/>
      <c r="G3988" s="616"/>
      <c r="H3988" s="616"/>
      <c r="I3988" s="616"/>
      <c r="J3988" s="645"/>
      <c r="K3988" s="450"/>
      <c r="L3988" s="451"/>
      <c r="M3988" s="451"/>
      <c r="N3988" s="450"/>
      <c r="O3988" s="588">
        <f>TrialBalanceC!I53</f>
        <v>0</v>
      </c>
      <c r="P3988" s="454"/>
      <c r="R3988" s="490" t="str">
        <f t="shared" si="282"/>
        <v>DELETE</v>
      </c>
    </row>
    <row r="3989" spans="3:18" ht="36" customHeight="1" x14ac:dyDescent="0.45">
      <c r="C3989" s="575"/>
      <c r="D3989" s="616" t="s">
        <v>566</v>
      </c>
      <c r="E3989" s="616"/>
      <c r="F3989" s="616"/>
      <c r="G3989" s="616"/>
      <c r="H3989" s="616"/>
      <c r="I3989" s="616"/>
      <c r="J3989" s="645"/>
      <c r="K3989" s="450"/>
      <c r="L3989" s="451"/>
      <c r="M3989" s="451"/>
      <c r="N3989" s="450"/>
      <c r="O3989" s="588">
        <f>SUM(TrialBalanceC!I55:I59)</f>
        <v>0</v>
      </c>
      <c r="P3989" s="454"/>
      <c r="R3989" s="490" t="str">
        <f t="shared" si="282"/>
        <v>DELETE</v>
      </c>
    </row>
    <row r="3990" spans="3:18" ht="36" customHeight="1" x14ac:dyDescent="0.45">
      <c r="C3990" s="575"/>
      <c r="D3990" s="616" t="s">
        <v>547</v>
      </c>
      <c r="E3990" s="616"/>
      <c r="F3990" s="616"/>
      <c r="G3990" s="616"/>
      <c r="H3990" s="616"/>
      <c r="I3990" s="616"/>
      <c r="J3990" s="645"/>
      <c r="K3990" s="450">
        <f>B$1250</f>
        <v>5</v>
      </c>
      <c r="L3990" s="451"/>
      <c r="M3990" s="451"/>
      <c r="N3990" s="450"/>
      <c r="O3990" s="588">
        <f>SUM(TrialBalanceC!I61:I63)</f>
        <v>0</v>
      </c>
      <c r="P3990" s="454"/>
      <c r="R3990" s="490" t="str">
        <f t="shared" si="282"/>
        <v>DELETE</v>
      </c>
    </row>
    <row r="3991" spans="3:18" ht="36" customHeight="1" x14ac:dyDescent="0.45">
      <c r="C3991" s="575"/>
      <c r="D3991" s="616" t="s">
        <v>77</v>
      </c>
      <c r="E3991" s="616"/>
      <c r="F3991" s="616"/>
      <c r="G3991" s="616"/>
      <c r="H3991" s="616"/>
      <c r="I3991" s="616"/>
      <c r="J3991" s="645"/>
      <c r="K3991" s="450"/>
      <c r="L3991" s="451"/>
      <c r="M3991" s="451"/>
      <c r="N3991" s="450"/>
      <c r="O3991" s="588">
        <f>TrialBalanceC!I64</f>
        <v>0</v>
      </c>
      <c r="P3991" s="454"/>
      <c r="R3991" s="490" t="str">
        <f t="shared" si="282"/>
        <v>DELETE</v>
      </c>
    </row>
    <row r="3992" spans="3:18" ht="36" customHeight="1" x14ac:dyDescent="0.45">
      <c r="C3992" s="575"/>
      <c r="D3992" s="616" t="s">
        <v>1756</v>
      </c>
      <c r="E3992" s="616"/>
      <c r="F3992" s="616"/>
      <c r="G3992" s="616"/>
      <c r="H3992" s="616"/>
      <c r="I3992" s="616"/>
      <c r="J3992" s="645"/>
      <c r="K3992" s="450"/>
      <c r="L3992" s="451"/>
      <c r="M3992" s="451"/>
      <c r="N3992" s="450"/>
      <c r="O3992" s="588">
        <f>TrialBalanceC!I65</f>
        <v>0</v>
      </c>
      <c r="P3992" s="454"/>
      <c r="R3992" s="490" t="str">
        <f t="shared" ref="R3992" si="283">IF(R$3930="DELETE","DELETE",IF(O3992=0,"DELETE"," "))</f>
        <v>DELETE</v>
      </c>
    </row>
    <row r="3993" spans="3:18" ht="36" customHeight="1" x14ac:dyDescent="0.45">
      <c r="C3993" s="575"/>
      <c r="D3993" s="616" t="s">
        <v>286</v>
      </c>
      <c r="E3993" s="616"/>
      <c r="F3993" s="616"/>
      <c r="G3993" s="616"/>
      <c r="H3993" s="616"/>
      <c r="I3993" s="616"/>
      <c r="J3993" s="645"/>
      <c r="K3993" s="450"/>
      <c r="L3993" s="451"/>
      <c r="M3993" s="451"/>
      <c r="N3993" s="450"/>
      <c r="O3993" s="588">
        <f>SUM(TrialBalanceC!I66:I68)</f>
        <v>0</v>
      </c>
      <c r="P3993" s="454"/>
      <c r="R3993" s="490" t="str">
        <f t="shared" si="282"/>
        <v>DELETE</v>
      </c>
    </row>
    <row r="3994" spans="3:18" ht="36" customHeight="1" x14ac:dyDescent="0.45">
      <c r="C3994" s="575"/>
      <c r="D3994" s="616" t="s">
        <v>872</v>
      </c>
      <c r="E3994" s="616"/>
      <c r="F3994" s="616"/>
      <c r="G3994" s="616"/>
      <c r="H3994" s="616"/>
      <c r="I3994" s="616"/>
      <c r="J3994" s="645"/>
      <c r="K3994" s="450"/>
      <c r="L3994" s="451"/>
      <c r="M3994" s="451"/>
      <c r="N3994" s="450"/>
      <c r="O3994" s="588">
        <f>SUM(TrialBalanceC!I69:I70)</f>
        <v>0</v>
      </c>
      <c r="P3994" s="454"/>
      <c r="R3994" s="490" t="str">
        <f t="shared" si="282"/>
        <v>DELETE</v>
      </c>
    </row>
    <row r="3995" spans="3:18" ht="36" customHeight="1" x14ac:dyDescent="0.45">
      <c r="C3995" s="575"/>
      <c r="D3995" s="616" t="s">
        <v>287</v>
      </c>
      <c r="E3995" s="616"/>
      <c r="F3995" s="616"/>
      <c r="G3995" s="616"/>
      <c r="H3995" s="616"/>
      <c r="I3995" s="616"/>
      <c r="J3995" s="645"/>
      <c r="K3995" s="450"/>
      <c r="L3995" s="451"/>
      <c r="M3995" s="451"/>
      <c r="N3995" s="450"/>
      <c r="O3995" s="588">
        <f>TrialBalanceC!I71</f>
        <v>0</v>
      </c>
      <c r="P3995" s="454"/>
      <c r="R3995" s="490" t="str">
        <f t="shared" si="282"/>
        <v>DELETE</v>
      </c>
    </row>
    <row r="3996" spans="3:18" ht="36" customHeight="1" x14ac:dyDescent="0.45">
      <c r="C3996" s="575"/>
      <c r="D3996" s="616" t="s">
        <v>425</v>
      </c>
      <c r="E3996" s="616"/>
      <c r="F3996" s="616"/>
      <c r="G3996" s="616"/>
      <c r="H3996" s="616"/>
      <c r="I3996" s="616"/>
      <c r="J3996" s="645"/>
      <c r="K3996" s="450"/>
      <c r="L3996" s="451"/>
      <c r="M3996" s="451"/>
      <c r="N3996" s="450"/>
      <c r="O3996" s="588">
        <f>TrialBalanceC!I72</f>
        <v>0</v>
      </c>
      <c r="P3996" s="454"/>
      <c r="R3996" s="490" t="str">
        <f t="shared" si="282"/>
        <v>DELETE</v>
      </c>
    </row>
    <row r="3997" spans="3:18" ht="36" customHeight="1" x14ac:dyDescent="0.45">
      <c r="C3997" s="575"/>
      <c r="D3997" s="616">
        <f>TrialBalanceC!C73</f>
        <v>0</v>
      </c>
      <c r="E3997" s="616"/>
      <c r="F3997" s="616"/>
      <c r="G3997" s="616"/>
      <c r="H3997" s="616"/>
      <c r="I3997" s="616"/>
      <c r="J3997" s="645"/>
      <c r="K3997" s="450"/>
      <c r="L3997" s="451"/>
      <c r="M3997" s="451"/>
      <c r="N3997" s="450"/>
      <c r="O3997" s="588">
        <f>TrialBalanceC!I73</f>
        <v>0</v>
      </c>
      <c r="P3997" s="454"/>
      <c r="R3997" s="490" t="str">
        <f t="shared" si="282"/>
        <v>DELETE</v>
      </c>
    </row>
    <row r="3998" spans="3:18" ht="36" customHeight="1" x14ac:dyDescent="0.45">
      <c r="C3998" s="575"/>
      <c r="D3998" s="616">
        <f>TrialBalanceC!C74</f>
        <v>0</v>
      </c>
      <c r="E3998" s="616"/>
      <c r="F3998" s="616"/>
      <c r="G3998" s="616"/>
      <c r="H3998" s="616"/>
      <c r="I3998" s="616"/>
      <c r="J3998" s="645"/>
      <c r="K3998" s="450"/>
      <c r="L3998" s="451"/>
      <c r="M3998" s="451"/>
      <c r="N3998" s="450"/>
      <c r="O3998" s="588">
        <f>TrialBalanceC!I74</f>
        <v>0</v>
      </c>
      <c r="P3998" s="454"/>
      <c r="R3998" s="490" t="str">
        <f t="shared" si="282"/>
        <v>DELETE</v>
      </c>
    </row>
    <row r="3999" spans="3:18" ht="36" customHeight="1" x14ac:dyDescent="0.45">
      <c r="C3999" s="575"/>
      <c r="D3999" s="616">
        <f>TrialBalanceC!C75</f>
        <v>0</v>
      </c>
      <c r="E3999" s="616"/>
      <c r="F3999" s="616"/>
      <c r="G3999" s="616"/>
      <c r="H3999" s="616"/>
      <c r="I3999" s="616"/>
      <c r="J3999" s="645"/>
      <c r="K3999" s="450"/>
      <c r="L3999" s="451"/>
      <c r="M3999" s="451"/>
      <c r="N3999" s="450"/>
      <c r="O3999" s="588">
        <f>TrialBalanceC!I75</f>
        <v>0</v>
      </c>
      <c r="P3999" s="454"/>
      <c r="R3999" s="490" t="str">
        <f t="shared" si="282"/>
        <v>DELETE</v>
      </c>
    </row>
    <row r="4000" spans="3:18" ht="36" customHeight="1" x14ac:dyDescent="0.45">
      <c r="C4000" s="575"/>
      <c r="D4000" s="616">
        <f>TrialBalanceC!C76</f>
        <v>0</v>
      </c>
      <c r="E4000" s="616"/>
      <c r="F4000" s="616"/>
      <c r="G4000" s="616"/>
      <c r="H4000" s="616"/>
      <c r="I4000" s="616"/>
      <c r="J4000" s="645"/>
      <c r="K4000" s="450"/>
      <c r="L4000" s="451"/>
      <c r="M4000" s="451"/>
      <c r="N4000" s="450"/>
      <c r="O4000" s="588">
        <f>TrialBalanceC!I76</f>
        <v>0</v>
      </c>
      <c r="P4000" s="454"/>
      <c r="R4000" s="490" t="str">
        <f t="shared" si="282"/>
        <v>DELETE</v>
      </c>
    </row>
    <row r="4001" spans="3:18" ht="36" customHeight="1" x14ac:dyDescent="0.45">
      <c r="C4001" s="575"/>
      <c r="D4001" s="616">
        <f>TrialBalanceC!C77</f>
        <v>0</v>
      </c>
      <c r="E4001" s="616"/>
      <c r="F4001" s="616"/>
      <c r="G4001" s="616"/>
      <c r="H4001" s="616"/>
      <c r="I4001" s="616"/>
      <c r="J4001" s="645"/>
      <c r="K4001" s="450"/>
      <c r="L4001" s="451"/>
      <c r="M4001" s="451"/>
      <c r="N4001" s="450"/>
      <c r="O4001" s="588">
        <f>TrialBalanceC!I77</f>
        <v>0</v>
      </c>
      <c r="P4001" s="454"/>
      <c r="R4001" s="490" t="str">
        <f t="shared" si="282"/>
        <v>DELETE</v>
      </c>
    </row>
    <row r="4002" spans="3:18" ht="36" customHeight="1" x14ac:dyDescent="0.45">
      <c r="C4002" s="575"/>
      <c r="D4002" s="616">
        <f>TrialBalanceC!C78</f>
        <v>0</v>
      </c>
      <c r="E4002" s="616"/>
      <c r="F4002" s="616"/>
      <c r="G4002" s="616"/>
      <c r="H4002" s="616"/>
      <c r="I4002" s="616"/>
      <c r="J4002" s="645"/>
      <c r="K4002" s="450"/>
      <c r="L4002" s="451"/>
      <c r="M4002" s="451"/>
      <c r="N4002" s="450"/>
      <c r="O4002" s="588">
        <f>TrialBalanceC!I78</f>
        <v>0</v>
      </c>
      <c r="P4002" s="454"/>
      <c r="R4002" s="490" t="str">
        <f t="shared" si="282"/>
        <v>DELETE</v>
      </c>
    </row>
    <row r="4003" spans="3:18" ht="36" customHeight="1" x14ac:dyDescent="0.45">
      <c r="C4003" s="575"/>
      <c r="D4003" s="616">
        <f>TrialBalanceC!C79</f>
        <v>0</v>
      </c>
      <c r="E4003" s="616"/>
      <c r="F4003" s="616"/>
      <c r="G4003" s="616"/>
      <c r="H4003" s="616"/>
      <c r="I4003" s="616"/>
      <c r="J4003" s="645"/>
      <c r="K4003" s="450"/>
      <c r="L4003" s="451"/>
      <c r="M4003" s="451"/>
      <c r="N4003" s="450"/>
      <c r="O4003" s="588">
        <f>TrialBalanceC!I79</f>
        <v>0</v>
      </c>
      <c r="P4003" s="454"/>
      <c r="R4003" s="490" t="str">
        <f t="shared" si="282"/>
        <v>DELETE</v>
      </c>
    </row>
    <row r="4004" spans="3:18" ht="36" customHeight="1" x14ac:dyDescent="0.45">
      <c r="C4004" s="575"/>
      <c r="D4004" s="616">
        <f>TrialBalanceC!C80</f>
        <v>0</v>
      </c>
      <c r="E4004" s="616"/>
      <c r="F4004" s="616"/>
      <c r="G4004" s="616"/>
      <c r="H4004" s="616"/>
      <c r="I4004" s="616"/>
      <c r="J4004" s="645"/>
      <c r="K4004" s="450"/>
      <c r="L4004" s="451"/>
      <c r="M4004" s="451"/>
      <c r="N4004" s="450"/>
      <c r="O4004" s="588">
        <f>TrialBalanceC!I80</f>
        <v>0</v>
      </c>
      <c r="P4004" s="454"/>
      <c r="R4004" s="490" t="str">
        <f t="shared" si="282"/>
        <v>DELETE</v>
      </c>
    </row>
    <row r="4005" spans="3:18" ht="36" customHeight="1" x14ac:dyDescent="0.45">
      <c r="C4005" s="575"/>
      <c r="D4005" s="616">
        <f>TrialBalanceC!C81</f>
        <v>0</v>
      </c>
      <c r="E4005" s="616"/>
      <c r="F4005" s="616"/>
      <c r="G4005" s="616"/>
      <c r="H4005" s="616"/>
      <c r="I4005" s="616"/>
      <c r="J4005" s="645"/>
      <c r="K4005" s="450"/>
      <c r="L4005" s="451"/>
      <c r="M4005" s="451"/>
      <c r="N4005" s="450"/>
      <c r="O4005" s="588">
        <f>TrialBalanceC!I81</f>
        <v>0</v>
      </c>
      <c r="P4005" s="454"/>
      <c r="R4005" s="490" t="str">
        <f t="shared" si="282"/>
        <v>DELETE</v>
      </c>
    </row>
    <row r="4006" spans="3:18" ht="36" customHeight="1" x14ac:dyDescent="0.45">
      <c r="C4006" s="575"/>
      <c r="D4006" s="616">
        <f>TrialBalanceC!C82</f>
        <v>0</v>
      </c>
      <c r="E4006" s="616"/>
      <c r="F4006" s="616"/>
      <c r="G4006" s="616"/>
      <c r="H4006" s="616"/>
      <c r="I4006" s="616"/>
      <c r="J4006" s="645"/>
      <c r="K4006" s="450"/>
      <c r="L4006" s="451"/>
      <c r="M4006" s="451"/>
      <c r="N4006" s="450"/>
      <c r="O4006" s="588">
        <f>TrialBalanceC!I82</f>
        <v>0</v>
      </c>
      <c r="P4006" s="454"/>
      <c r="R4006" s="490" t="str">
        <f t="shared" si="282"/>
        <v>DELETE</v>
      </c>
    </row>
    <row r="4007" spans="3:18" ht="9" customHeight="1" x14ac:dyDescent="0.45">
      <c r="C4007" s="575"/>
      <c r="D4007" s="616"/>
      <c r="E4007" s="616"/>
      <c r="F4007" s="616"/>
      <c r="G4007" s="616"/>
      <c r="H4007" s="616"/>
      <c r="I4007" s="616"/>
      <c r="J4007" s="645"/>
      <c r="K4007" s="450"/>
      <c r="L4007" s="451"/>
      <c r="M4007" s="451"/>
      <c r="N4007" s="450"/>
      <c r="O4007" s="589"/>
      <c r="P4007" s="454"/>
      <c r="R4007" s="490" t="str">
        <f>R3976</f>
        <v>DELETE</v>
      </c>
    </row>
    <row r="4008" spans="3:18" ht="9" customHeight="1" x14ac:dyDescent="0.45">
      <c r="C4008" s="575"/>
      <c r="D4008" s="616"/>
      <c r="E4008" s="616"/>
      <c r="F4008" s="616"/>
      <c r="G4008" s="616"/>
      <c r="H4008" s="616"/>
      <c r="I4008" s="616"/>
      <c r="J4008" s="645"/>
      <c r="K4008" s="450"/>
      <c r="L4008" s="451"/>
      <c r="M4008" s="451"/>
      <c r="N4008" s="450"/>
      <c r="O4008" s="461"/>
      <c r="P4008" s="454"/>
      <c r="R4008" s="490" t="str">
        <f t="shared" ref="R4008:R4028" si="284">R$3930</f>
        <v>DELETE</v>
      </c>
    </row>
    <row r="4009" spans="3:18" ht="9" customHeight="1" x14ac:dyDescent="0.45">
      <c r="C4009" s="575"/>
      <c r="D4009" s="616"/>
      <c r="E4009" s="616"/>
      <c r="F4009" s="616"/>
      <c r="G4009" s="616"/>
      <c r="H4009" s="616"/>
      <c r="I4009" s="616"/>
      <c r="J4009" s="645"/>
      <c r="K4009" s="450"/>
      <c r="L4009" s="451"/>
      <c r="M4009" s="451"/>
      <c r="N4009" s="450"/>
      <c r="O4009" s="458"/>
      <c r="P4009" s="454"/>
      <c r="R4009" s="490" t="str">
        <f t="shared" si="284"/>
        <v>DELETE</v>
      </c>
    </row>
    <row r="4010" spans="3:18" ht="36" customHeight="1" x14ac:dyDescent="0.45">
      <c r="D4010" s="637" t="str">
        <f>IF(O4010&lt;0,"Operating loss","Operating profit")</f>
        <v>Operating profit</v>
      </c>
      <c r="E4010" s="616"/>
      <c r="F4010" s="616"/>
      <c r="G4010" s="616"/>
      <c r="H4010" s="616"/>
      <c r="I4010" s="616"/>
      <c r="J4010" s="645"/>
      <c r="K4010" s="450"/>
      <c r="L4010" s="451"/>
      <c r="M4010" s="451"/>
      <c r="N4010" s="450"/>
      <c r="O4010" s="458">
        <f>SUM(S3942:S4008)</f>
        <v>0</v>
      </c>
      <c r="P4010" s="454"/>
      <c r="R4010" s="490" t="str">
        <f t="shared" si="284"/>
        <v>DELETE</v>
      </c>
    </row>
    <row r="4011" spans="3:18" ht="36" customHeight="1" x14ac:dyDescent="0.45">
      <c r="C4011" s="575"/>
      <c r="D4011" s="616"/>
      <c r="E4011" s="616" t="s">
        <v>289</v>
      </c>
      <c r="F4011" s="616"/>
      <c r="G4011" s="616"/>
      <c r="H4011" s="616"/>
      <c r="I4011" s="616"/>
      <c r="J4011" s="645"/>
      <c r="K4011" s="450"/>
      <c r="L4011" s="451"/>
      <c r="M4011" s="451"/>
      <c r="N4011" s="450"/>
      <c r="O4011" s="458"/>
      <c r="P4011" s="454"/>
      <c r="R4011" s="490" t="str">
        <f t="shared" si="284"/>
        <v>DELETE</v>
      </c>
    </row>
    <row r="4012" spans="3:18" ht="36" customHeight="1" x14ac:dyDescent="0.45">
      <c r="C4012" s="575"/>
      <c r="D4012" s="616"/>
      <c r="E4012" s="616"/>
      <c r="F4012" s="616"/>
      <c r="G4012" s="616"/>
      <c r="H4012" s="616"/>
      <c r="I4012" s="616"/>
      <c r="J4012" s="645"/>
      <c r="K4012" s="450"/>
      <c r="L4012" s="450"/>
      <c r="M4012" s="458"/>
      <c r="N4012" s="458"/>
      <c r="O4012" s="458"/>
      <c r="P4012" s="454"/>
      <c r="R4012" s="490" t="str">
        <f t="shared" si="284"/>
        <v>DELETE</v>
      </c>
    </row>
    <row r="4013" spans="3:18" ht="36" customHeight="1" x14ac:dyDescent="0.45">
      <c r="C4013" s="575"/>
      <c r="D4013" s="616"/>
      <c r="E4013" s="616"/>
      <c r="F4013" s="616"/>
      <c r="G4013" s="616"/>
      <c r="H4013" s="616"/>
      <c r="I4013" s="616"/>
      <c r="J4013" s="645"/>
      <c r="K4013" s="450"/>
      <c r="L4013" s="450"/>
      <c r="M4013" s="458"/>
      <c r="N4013" s="458"/>
      <c r="O4013" s="458"/>
      <c r="P4013" s="454"/>
      <c r="R4013" s="490" t="str">
        <f t="shared" si="284"/>
        <v>DELETE</v>
      </c>
    </row>
    <row r="4014" spans="3:18" ht="36" customHeight="1" x14ac:dyDescent="0.45">
      <c r="C4014" s="575"/>
      <c r="D4014" s="616"/>
      <c r="E4014" s="616"/>
      <c r="F4014" s="616"/>
      <c r="G4014" s="616"/>
      <c r="H4014" s="616"/>
      <c r="I4014" s="616"/>
      <c r="J4014" s="645"/>
      <c r="K4014" s="450"/>
      <c r="L4014" s="450"/>
      <c r="M4014" s="475"/>
      <c r="N4014" s="475"/>
      <c r="O4014" s="475"/>
      <c r="P4014" s="521"/>
      <c r="R4014" s="490" t="str">
        <f t="shared" si="284"/>
        <v>DELETE</v>
      </c>
    </row>
    <row r="4015" spans="3:18" ht="36" customHeight="1" x14ac:dyDescent="0.45">
      <c r="C4015" s="575"/>
      <c r="D4015" s="616"/>
      <c r="E4015" s="616"/>
      <c r="F4015" s="616"/>
      <c r="G4015" s="616"/>
      <c r="H4015" s="616"/>
      <c r="I4015" s="616"/>
      <c r="J4015" s="645"/>
      <c r="K4015" s="450"/>
      <c r="L4015" s="450"/>
      <c r="M4015" s="458"/>
      <c r="N4015" s="458"/>
      <c r="O4015" s="458"/>
      <c r="P4015" s="454"/>
      <c r="R4015" s="490" t="str">
        <f t="shared" si="284"/>
        <v>DELETE</v>
      </c>
    </row>
    <row r="4016" spans="3:18" ht="36" customHeight="1" x14ac:dyDescent="0.45">
      <c r="C4016" s="575"/>
      <c r="D4016" s="616"/>
      <c r="E4016" s="616"/>
      <c r="F4016" s="616"/>
      <c r="G4016" s="616"/>
      <c r="H4016" s="616"/>
      <c r="I4016" s="616"/>
      <c r="J4016" s="645"/>
      <c r="K4016" s="450"/>
      <c r="L4016" s="450"/>
      <c r="M4016" s="458"/>
      <c r="N4016" s="458"/>
      <c r="O4016" s="458" t="s">
        <v>112</v>
      </c>
      <c r="P4016" s="454"/>
      <c r="Q4016" s="450">
        <f>MAX($Q$3930:Q4015)+1</f>
        <v>2</v>
      </c>
      <c r="R4016" s="490" t="str">
        <f t="shared" si="284"/>
        <v>DELETE</v>
      </c>
    </row>
    <row r="4017" spans="3:24" ht="36" customHeight="1" x14ac:dyDescent="0.45">
      <c r="C4017" s="575"/>
      <c r="D4017" s="615" t="str">
        <f>Criteria!E9</f>
        <v>ABC COMPANY (PROPRIETARY) LIMITED</v>
      </c>
      <c r="E4017" s="616"/>
      <c r="F4017" s="616"/>
      <c r="G4017" s="616"/>
      <c r="H4017" s="616"/>
      <c r="I4017" s="616"/>
      <c r="J4017" s="645"/>
      <c r="K4017" s="450"/>
      <c r="L4017" s="450"/>
      <c r="M4017" s="458"/>
      <c r="N4017" s="458"/>
      <c r="O4017" s="540"/>
      <c r="R4017" s="490" t="str">
        <f t="shared" si="284"/>
        <v>DELETE</v>
      </c>
    </row>
    <row r="4018" spans="3:24" ht="36" customHeight="1" x14ac:dyDescent="0.45">
      <c r="C4018" s="575"/>
      <c r="D4018" s="615" t="str">
        <f>CONCATENATE("T/A ",Criteria!E16)</f>
        <v xml:space="preserve">T/A </v>
      </c>
      <c r="E4018" s="616"/>
      <c r="F4018" s="616"/>
      <c r="G4018" s="616"/>
      <c r="H4018" s="616"/>
      <c r="I4018" s="616"/>
      <c r="J4018" s="645"/>
      <c r="K4018" s="450"/>
      <c r="L4018" s="450"/>
      <c r="M4018" s="458"/>
      <c r="N4018" s="458"/>
      <c r="O4018" s="458"/>
      <c r="P4018" s="454"/>
      <c r="R4018" s="490" t="str">
        <f t="shared" si="284"/>
        <v>DELETE</v>
      </c>
    </row>
    <row r="4019" spans="3:24" ht="36" customHeight="1" x14ac:dyDescent="0.45">
      <c r="C4019" s="575"/>
      <c r="D4019" s="616"/>
      <c r="E4019" s="616"/>
      <c r="F4019" s="616"/>
      <c r="G4019" s="616"/>
      <c r="H4019" s="616"/>
      <c r="I4019" s="616"/>
      <c r="J4019" s="645"/>
      <c r="K4019" s="450"/>
      <c r="L4019" s="450"/>
      <c r="M4019" s="458"/>
      <c r="N4019" s="458"/>
      <c r="O4019" s="458"/>
      <c r="P4019" s="454"/>
      <c r="R4019" s="490" t="str">
        <f t="shared" si="284"/>
        <v>DELETE</v>
      </c>
    </row>
    <row r="4020" spans="3:24" ht="36" customHeight="1" x14ac:dyDescent="0.45">
      <c r="C4020" s="575"/>
      <c r="D4020" s="615" t="s">
        <v>109</v>
      </c>
      <c r="E4020" s="616"/>
      <c r="F4020" s="616"/>
      <c r="G4020" s="616"/>
      <c r="H4020" s="616"/>
      <c r="I4020" s="616"/>
      <c r="J4020" s="645"/>
      <c r="K4020" s="450"/>
      <c r="L4020" s="450"/>
      <c r="M4020" s="458"/>
      <c r="N4020" s="458"/>
      <c r="O4020" s="458"/>
      <c r="P4020" s="454"/>
      <c r="R4020" s="490" t="str">
        <f t="shared" si="284"/>
        <v>DELETE</v>
      </c>
    </row>
    <row r="4021" spans="3:24" ht="36" customHeight="1" x14ac:dyDescent="0.45">
      <c r="C4021" s="575"/>
      <c r="D4021" s="615" t="str">
        <f>D3937</f>
        <v>28 FEBRUARY 2026</v>
      </c>
      <c r="E4021" s="616"/>
      <c r="F4021" s="616"/>
      <c r="G4021" s="616"/>
      <c r="H4021" s="616"/>
      <c r="I4021" s="616"/>
      <c r="J4021" s="616" t="s">
        <v>118</v>
      </c>
      <c r="K4021" s="450"/>
      <c r="L4021" s="450"/>
      <c r="M4021" s="458"/>
      <c r="N4021" s="458"/>
      <c r="O4021" s="458"/>
      <c r="P4021" s="454"/>
      <c r="R4021" s="490" t="str">
        <f t="shared" si="284"/>
        <v>DELETE</v>
      </c>
    </row>
    <row r="4022" spans="3:24" ht="36" customHeight="1" x14ac:dyDescent="0.45">
      <c r="C4022" s="575"/>
      <c r="D4022" s="616"/>
      <c r="E4022" s="616"/>
      <c r="F4022" s="616"/>
      <c r="G4022" s="616"/>
      <c r="H4022" s="616"/>
      <c r="I4022" s="616"/>
      <c r="J4022" s="645"/>
      <c r="K4022" s="467"/>
      <c r="L4022" s="467"/>
      <c r="M4022" s="461"/>
      <c r="N4022" s="461"/>
      <c r="O4022" s="461"/>
      <c r="P4022" s="454"/>
      <c r="R4022" s="490" t="str">
        <f t="shared" si="284"/>
        <v>DELETE</v>
      </c>
    </row>
    <row r="4023" spans="3:24" ht="36" customHeight="1" x14ac:dyDescent="0.45">
      <c r="C4023" s="575"/>
      <c r="D4023" s="634"/>
      <c r="E4023" s="634"/>
      <c r="F4023" s="634"/>
      <c r="G4023" s="634"/>
      <c r="H4023" s="634"/>
      <c r="I4023" s="634"/>
      <c r="J4023" s="647"/>
      <c r="M4023" s="541"/>
      <c r="N4023" s="541"/>
      <c r="O4023" s="541"/>
      <c r="P4023" s="486"/>
      <c r="Q4023" s="457"/>
      <c r="R4023" s="490" t="str">
        <f t="shared" si="284"/>
        <v>DELETE</v>
      </c>
    </row>
    <row r="4024" spans="3:24" ht="36" customHeight="1" x14ac:dyDescent="0.45">
      <c r="C4024" s="575"/>
      <c r="D4024" s="616"/>
      <c r="E4024" s="616"/>
      <c r="F4024" s="616"/>
      <c r="G4024" s="616"/>
      <c r="H4024" s="616"/>
      <c r="I4024" s="616"/>
      <c r="J4024" s="645"/>
      <c r="K4024" s="450" t="s">
        <v>1494</v>
      </c>
      <c r="L4024" s="451"/>
      <c r="M4024" s="451"/>
      <c r="N4024" s="450"/>
      <c r="O4024" s="453">
        <f>Criteria!E22</f>
        <v>2026</v>
      </c>
      <c r="P4024" s="454"/>
      <c r="R4024" s="490" t="str">
        <f t="shared" si="284"/>
        <v>DELETE</v>
      </c>
    </row>
    <row r="4025" spans="3:24" ht="36" customHeight="1" x14ac:dyDescent="0.45">
      <c r="C4025" s="575"/>
      <c r="D4025" s="616"/>
      <c r="E4025" s="616"/>
      <c r="F4025" s="616"/>
      <c r="G4025" s="616"/>
      <c r="H4025" s="616"/>
      <c r="I4025" s="616"/>
      <c r="J4025" s="645"/>
      <c r="K4025" s="450"/>
      <c r="L4025" s="451"/>
      <c r="M4025" s="451"/>
      <c r="N4025" s="450"/>
      <c r="O4025" s="458"/>
      <c r="P4025" s="454"/>
      <c r="R4025" s="490" t="str">
        <f t="shared" si="284"/>
        <v>DELETE</v>
      </c>
    </row>
    <row r="4026" spans="3:24" ht="36" customHeight="1" x14ac:dyDescent="0.45">
      <c r="D4026" s="637" t="str">
        <f>IF(O4026&lt;0,"Operating loss","Operating profit")</f>
        <v>Operating profit</v>
      </c>
      <c r="E4026" s="616"/>
      <c r="F4026" s="616"/>
      <c r="G4026" s="616"/>
      <c r="H4026" s="616"/>
      <c r="I4026" s="616"/>
      <c r="J4026" s="645"/>
      <c r="K4026" s="450"/>
      <c r="L4026" s="451"/>
      <c r="M4026" s="451"/>
      <c r="N4026" s="450"/>
      <c r="O4026" s="458">
        <f>SUM(S3942:S4007)</f>
        <v>0</v>
      </c>
      <c r="P4026" s="454"/>
      <c r="R4026" s="490" t="str">
        <f t="shared" si="284"/>
        <v>DELETE</v>
      </c>
      <c r="V4026" s="491" t="b">
        <f>O4026=O4010</f>
        <v>1</v>
      </c>
    </row>
    <row r="4027" spans="3:24" ht="36" customHeight="1" x14ac:dyDescent="0.45">
      <c r="C4027" s="575"/>
      <c r="D4027" s="616"/>
      <c r="E4027" s="616" t="s">
        <v>290</v>
      </c>
      <c r="F4027" s="616"/>
      <c r="G4027" s="616"/>
      <c r="H4027" s="616"/>
      <c r="I4027" s="616"/>
      <c r="J4027" s="645"/>
      <c r="K4027" s="450"/>
      <c r="L4027" s="451"/>
      <c r="M4027" s="451"/>
      <c r="N4027" s="450"/>
      <c r="O4027" s="458"/>
      <c r="P4027" s="454"/>
      <c r="R4027" s="490" t="str">
        <f t="shared" si="284"/>
        <v>DELETE</v>
      </c>
    </row>
    <row r="4028" spans="3:24" ht="36" customHeight="1" x14ac:dyDescent="0.45">
      <c r="C4028" s="575"/>
      <c r="D4028" s="616"/>
      <c r="E4028" s="616"/>
      <c r="F4028" s="616"/>
      <c r="G4028" s="616"/>
      <c r="H4028" s="616"/>
      <c r="I4028" s="616"/>
      <c r="J4028" s="645"/>
      <c r="K4028" s="450"/>
      <c r="L4028" s="451"/>
      <c r="M4028" s="451"/>
      <c r="N4028" s="450"/>
      <c r="O4028" s="458"/>
      <c r="P4028" s="454"/>
      <c r="R4028" s="490" t="str">
        <f t="shared" si="284"/>
        <v>DELETE</v>
      </c>
    </row>
    <row r="4029" spans="3:24" ht="36" customHeight="1" x14ac:dyDescent="0.45">
      <c r="D4029" s="615" t="s">
        <v>1533</v>
      </c>
      <c r="E4029" s="616"/>
      <c r="F4029" s="616"/>
      <c r="G4029" s="616"/>
      <c r="H4029" s="616"/>
      <c r="I4029" s="616"/>
      <c r="J4029" s="645"/>
      <c r="K4029" s="450"/>
      <c r="L4029" s="451"/>
      <c r="M4029" s="451"/>
      <c r="N4029" s="450"/>
      <c r="O4029" s="458">
        <f>SUM(O4032:O4065)</f>
        <v>0</v>
      </c>
      <c r="P4029" s="454"/>
      <c r="R4029" s="490" t="str">
        <f t="shared" ref="R4029" si="285">IF(R$3930="DELETE","DELETE",IF(O4029=0,"DELETE"," "))</f>
        <v>DELETE</v>
      </c>
      <c r="S4029" s="495">
        <f>-O4029</f>
        <v>0</v>
      </c>
      <c r="T4029" s="495"/>
      <c r="U4029" s="495"/>
      <c r="V4029" s="495"/>
      <c r="W4029" s="495"/>
      <c r="X4029" s="495"/>
    </row>
    <row r="4030" spans="3:24" ht="9" customHeight="1" x14ac:dyDescent="0.45">
      <c r="C4030" s="575"/>
      <c r="D4030" s="616"/>
      <c r="E4030" s="616"/>
      <c r="F4030" s="616"/>
      <c r="G4030" s="616"/>
      <c r="H4030" s="616"/>
      <c r="I4030" s="616"/>
      <c r="J4030" s="645"/>
      <c r="K4030" s="450"/>
      <c r="L4030" s="451"/>
      <c r="M4030" s="451"/>
      <c r="N4030" s="450"/>
      <c r="O4030" s="458"/>
      <c r="P4030" s="454"/>
      <c r="R4030" s="490" t="str">
        <f>R4029</f>
        <v>DELETE</v>
      </c>
    </row>
    <row r="4031" spans="3:24" ht="9" customHeight="1" x14ac:dyDescent="0.45">
      <c r="C4031" s="575"/>
      <c r="D4031" s="616"/>
      <c r="E4031" s="616"/>
      <c r="F4031" s="616"/>
      <c r="G4031" s="616"/>
      <c r="H4031" s="616"/>
      <c r="I4031" s="616"/>
      <c r="J4031" s="645"/>
      <c r="K4031" s="450"/>
      <c r="L4031" s="451"/>
      <c r="M4031" s="451"/>
      <c r="N4031" s="450"/>
      <c r="O4031" s="587"/>
      <c r="P4031" s="454"/>
      <c r="R4031" s="490" t="str">
        <f>R4030</f>
        <v>DELETE</v>
      </c>
    </row>
    <row r="4032" spans="3:24" ht="36" customHeight="1" x14ac:dyDescent="0.45">
      <c r="C4032" s="575"/>
      <c r="D4032" s="616" t="s">
        <v>233</v>
      </c>
      <c r="E4032" s="616"/>
      <c r="F4032" s="616"/>
      <c r="G4032" s="616"/>
      <c r="H4032" s="616"/>
      <c r="I4032" s="616"/>
      <c r="J4032" s="645"/>
      <c r="K4032" s="450"/>
      <c r="L4032" s="451"/>
      <c r="M4032" s="451"/>
      <c r="N4032" s="450"/>
      <c r="O4032" s="588">
        <f>SUM(TrialBalanceC!I99:I102)</f>
        <v>0</v>
      </c>
      <c r="P4032" s="454"/>
      <c r="R4032" s="490" t="str">
        <f t="shared" ref="R4032:R4063" si="286">IF(R$3930="DELETE","DELETE",IF(O4032=0,"DELETE"," "))</f>
        <v>DELETE</v>
      </c>
    </row>
    <row r="4033" spans="3:18" ht="36" customHeight="1" x14ac:dyDescent="0.45">
      <c r="C4033" s="575"/>
      <c r="D4033" s="616" t="s">
        <v>237</v>
      </c>
      <c r="E4033" s="616"/>
      <c r="F4033" s="616"/>
      <c r="G4033" s="616"/>
      <c r="H4033" s="616"/>
      <c r="I4033" s="616"/>
      <c r="J4033" s="645"/>
      <c r="K4033" s="450"/>
      <c r="L4033" s="451"/>
      <c r="M4033" s="451"/>
      <c r="N4033" s="450"/>
      <c r="O4033" s="588">
        <f>TrialBalanceC!I104</f>
        <v>0</v>
      </c>
      <c r="P4033" s="454"/>
      <c r="R4033" s="490" t="str">
        <f t="shared" si="286"/>
        <v>DELETE</v>
      </c>
    </row>
    <row r="4034" spans="3:18" ht="36" customHeight="1" x14ac:dyDescent="0.45">
      <c r="C4034" s="575"/>
      <c r="D4034" s="616" t="s">
        <v>235</v>
      </c>
      <c r="E4034" s="616"/>
      <c r="F4034" s="616"/>
      <c r="G4034" s="616"/>
      <c r="H4034" s="616"/>
      <c r="I4034" s="616"/>
      <c r="J4034" s="645"/>
      <c r="K4034" s="450"/>
      <c r="L4034" s="451"/>
      <c r="M4034" s="451"/>
      <c r="N4034" s="450"/>
      <c r="O4034" s="588">
        <f>TrialBalanceC!I103</f>
        <v>0</v>
      </c>
      <c r="P4034" s="454"/>
      <c r="R4034" s="490" t="str">
        <f t="shared" si="286"/>
        <v>DELETE</v>
      </c>
    </row>
    <row r="4035" spans="3:18" ht="36" customHeight="1" x14ac:dyDescent="0.45">
      <c r="C4035" s="575"/>
      <c r="D4035" s="616" t="s">
        <v>291</v>
      </c>
      <c r="E4035" s="616"/>
      <c r="F4035" s="616"/>
      <c r="G4035" s="616"/>
      <c r="H4035" s="616"/>
      <c r="I4035" s="616"/>
      <c r="J4035" s="645"/>
      <c r="K4035" s="450"/>
      <c r="L4035" s="451"/>
      <c r="M4035" s="451"/>
      <c r="N4035" s="450"/>
      <c r="O4035" s="588">
        <f>TrialBalanceC!I105</f>
        <v>0</v>
      </c>
      <c r="P4035" s="454"/>
      <c r="R4035" s="490" t="str">
        <f t="shared" si="286"/>
        <v>DELETE</v>
      </c>
    </row>
    <row r="4036" spans="3:18" ht="36" customHeight="1" x14ac:dyDescent="0.45">
      <c r="C4036" s="575"/>
      <c r="D4036" s="616" t="s">
        <v>240</v>
      </c>
      <c r="E4036" s="616"/>
      <c r="F4036" s="616"/>
      <c r="G4036" s="616"/>
      <c r="H4036" s="616"/>
      <c r="I4036" s="616"/>
      <c r="J4036" s="645"/>
      <c r="K4036" s="450"/>
      <c r="L4036" s="451"/>
      <c r="M4036" s="451"/>
      <c r="N4036" s="450"/>
      <c r="O4036" s="588">
        <f>TrialBalanceC!I106</f>
        <v>0</v>
      </c>
      <c r="P4036" s="454"/>
      <c r="R4036" s="490" t="str">
        <f t="shared" si="286"/>
        <v>DELETE</v>
      </c>
    </row>
    <row r="4037" spans="3:18" ht="36" customHeight="1" x14ac:dyDescent="0.45">
      <c r="C4037" s="575"/>
      <c r="D4037" s="616" t="s">
        <v>873</v>
      </c>
      <c r="E4037" s="616"/>
      <c r="F4037" s="616"/>
      <c r="G4037" s="616"/>
      <c r="H4037" s="616"/>
      <c r="I4037" s="616"/>
      <c r="J4037" s="645"/>
      <c r="K4037" s="450"/>
      <c r="L4037" s="451"/>
      <c r="M4037" s="451"/>
      <c r="N4037" s="450"/>
      <c r="O4037" s="588">
        <f>TrialBalanceC!I107</f>
        <v>0</v>
      </c>
      <c r="P4037" s="454"/>
      <c r="R4037" s="490" t="str">
        <f t="shared" si="286"/>
        <v>DELETE</v>
      </c>
    </row>
    <row r="4038" spans="3:18" ht="36" customHeight="1" x14ac:dyDescent="0.45">
      <c r="C4038" s="575"/>
      <c r="D4038" s="616" t="s">
        <v>1759</v>
      </c>
      <c r="E4038" s="616"/>
      <c r="F4038" s="616"/>
      <c r="G4038" s="616"/>
      <c r="H4038" s="616"/>
      <c r="I4038" s="616"/>
      <c r="J4038" s="645"/>
      <c r="K4038" s="450"/>
      <c r="L4038" s="451"/>
      <c r="M4038" s="451"/>
      <c r="N4038" s="450"/>
      <c r="O4038" s="588">
        <f>TrialBalanceC!I108</f>
        <v>0</v>
      </c>
      <c r="P4038" s="454"/>
      <c r="R4038" s="490" t="str">
        <f t="shared" ref="R4038" si="287">IF(R$3930="DELETE","DELETE",IF(O4038=0,"DELETE"," "))</f>
        <v>DELETE</v>
      </c>
    </row>
    <row r="4039" spans="3:18" ht="36" customHeight="1" x14ac:dyDescent="0.45">
      <c r="C4039" s="575"/>
      <c r="D4039" s="616" t="s">
        <v>304</v>
      </c>
      <c r="E4039" s="616"/>
      <c r="F4039" s="616"/>
      <c r="G4039" s="616"/>
      <c r="H4039" s="616"/>
      <c r="I4039" s="616"/>
      <c r="J4039" s="645"/>
      <c r="K4039" s="450">
        <f>B$1250</f>
        <v>5</v>
      </c>
      <c r="L4039" s="451"/>
      <c r="M4039" s="451"/>
      <c r="N4039" s="450"/>
      <c r="O4039" s="588">
        <f>SUM(TrialBalanceC!I110:I111)</f>
        <v>0</v>
      </c>
      <c r="P4039" s="454"/>
      <c r="R4039" s="490" t="str">
        <f t="shared" si="286"/>
        <v>DELETE</v>
      </c>
    </row>
    <row r="4040" spans="3:18" ht="36" customHeight="1" x14ac:dyDescent="0.45">
      <c r="C4040" s="575"/>
      <c r="D4040" s="616" t="str">
        <f>IF(MAX(Criteria!I41:I45)&gt;1,"Directors' remuneration","Director's remuneration")</f>
        <v>Directors' remuneration</v>
      </c>
      <c r="E4040" s="616"/>
      <c r="F4040" s="616"/>
      <c r="G4040" s="616"/>
      <c r="H4040" s="616"/>
      <c r="I4040" s="616"/>
      <c r="J4040" s="645"/>
      <c r="K4040" s="450">
        <f>B$1250</f>
        <v>5</v>
      </c>
      <c r="L4040" s="451"/>
      <c r="M4040" s="451"/>
      <c r="N4040" s="450"/>
      <c r="O4040" s="588">
        <f>SUM(TrialBalanceC!I113:I117)</f>
        <v>0</v>
      </c>
      <c r="P4040" s="454"/>
      <c r="R4040" s="490" t="str">
        <f t="shared" si="286"/>
        <v>DELETE</v>
      </c>
    </row>
    <row r="4041" spans="3:18" ht="36" customHeight="1" x14ac:dyDescent="0.45">
      <c r="C4041" s="575"/>
      <c r="D4041" s="616" t="s">
        <v>292</v>
      </c>
      <c r="E4041" s="616"/>
      <c r="F4041" s="616"/>
      <c r="G4041" s="616"/>
      <c r="H4041" s="616"/>
      <c r="I4041" s="616"/>
      <c r="J4041" s="645"/>
      <c r="K4041" s="450"/>
      <c r="L4041" s="451"/>
      <c r="M4041" s="451"/>
      <c r="N4041" s="450"/>
      <c r="O4041" s="588">
        <f>TrialBalanceC!I118</f>
        <v>0</v>
      </c>
      <c r="P4041" s="454"/>
      <c r="R4041" s="490" t="str">
        <f t="shared" si="286"/>
        <v>DELETE</v>
      </c>
    </row>
    <row r="4042" spans="3:18" ht="36" customHeight="1" x14ac:dyDescent="0.45">
      <c r="C4042" s="575"/>
      <c r="D4042" s="616" t="s">
        <v>408</v>
      </c>
      <c r="E4042" s="616"/>
      <c r="F4042" s="616"/>
      <c r="G4042" s="616"/>
      <c r="H4042" s="616"/>
      <c r="I4042" s="616"/>
      <c r="J4042" s="645"/>
      <c r="K4042" s="450"/>
      <c r="L4042" s="451"/>
      <c r="M4042" s="451"/>
      <c r="N4042" s="450"/>
      <c r="O4042" s="588">
        <f>TrialBalanceC!I119</f>
        <v>0</v>
      </c>
      <c r="P4042" s="454"/>
      <c r="R4042" s="490" t="str">
        <f t="shared" si="286"/>
        <v>DELETE</v>
      </c>
    </row>
    <row r="4043" spans="3:18" ht="36" customHeight="1" x14ac:dyDescent="0.45">
      <c r="C4043" s="575"/>
      <c r="D4043" s="616" t="s">
        <v>357</v>
      </c>
      <c r="E4043" s="616"/>
      <c r="F4043" s="616"/>
      <c r="G4043" s="616"/>
      <c r="H4043" s="616"/>
      <c r="I4043" s="616"/>
      <c r="J4043" s="645"/>
      <c r="K4043" s="450"/>
      <c r="L4043" s="451"/>
      <c r="M4043" s="451"/>
      <c r="N4043" s="450"/>
      <c r="O4043" s="588">
        <f>TrialBalanceC!I120</f>
        <v>0</v>
      </c>
      <c r="P4043" s="454"/>
      <c r="R4043" s="490" t="str">
        <f t="shared" si="286"/>
        <v>DELETE</v>
      </c>
    </row>
    <row r="4044" spans="3:18" ht="36" customHeight="1" x14ac:dyDescent="0.45">
      <c r="C4044" s="575"/>
      <c r="D4044" s="616" t="s">
        <v>410</v>
      </c>
      <c r="E4044" s="616"/>
      <c r="F4044" s="616"/>
      <c r="G4044" s="616"/>
      <c r="H4044" s="616"/>
      <c r="I4044" s="616"/>
      <c r="J4044" s="645"/>
      <c r="K4044" s="450"/>
      <c r="L4044" s="451"/>
      <c r="M4044" s="451"/>
      <c r="N4044" s="450"/>
      <c r="O4044" s="588">
        <f>TrialBalanceC!I121</f>
        <v>0</v>
      </c>
      <c r="P4044" s="454"/>
      <c r="R4044" s="490" t="str">
        <f t="shared" si="286"/>
        <v>DELETE</v>
      </c>
    </row>
    <row r="4045" spans="3:18" ht="36" customHeight="1" x14ac:dyDescent="0.45">
      <c r="C4045" s="575"/>
      <c r="D4045" s="616" t="s">
        <v>1256</v>
      </c>
      <c r="E4045" s="616"/>
      <c r="F4045" s="616"/>
      <c r="G4045" s="616"/>
      <c r="H4045" s="616"/>
      <c r="I4045" s="616"/>
      <c r="J4045" s="645"/>
      <c r="K4045" s="450"/>
      <c r="L4045" s="451"/>
      <c r="M4045" s="451"/>
      <c r="N4045" s="450"/>
      <c r="O4045" s="588">
        <f>TrialBalanceC!I156</f>
        <v>0</v>
      </c>
      <c r="P4045" s="454"/>
      <c r="R4045" s="490" t="str">
        <f t="shared" si="286"/>
        <v>DELETE</v>
      </c>
    </row>
    <row r="4046" spans="3:18" ht="36" customHeight="1" x14ac:dyDescent="0.45">
      <c r="C4046" s="575"/>
      <c r="D4046" s="616" t="s">
        <v>561</v>
      </c>
      <c r="E4046" s="616"/>
      <c r="F4046" s="616"/>
      <c r="G4046" s="616"/>
      <c r="H4046" s="616"/>
      <c r="I4046" s="616"/>
      <c r="J4046" s="645"/>
      <c r="K4046" s="450"/>
      <c r="L4046" s="451"/>
      <c r="M4046" s="451"/>
      <c r="N4046" s="450"/>
      <c r="O4046" s="588">
        <f>TrialBalanceC!I122+TrialBalanceC!I123</f>
        <v>0</v>
      </c>
      <c r="P4046" s="454"/>
      <c r="R4046" s="490" t="str">
        <f t="shared" si="286"/>
        <v>DELETE</v>
      </c>
    </row>
    <row r="4047" spans="3:18" ht="36" customHeight="1" x14ac:dyDescent="0.45">
      <c r="C4047" s="575"/>
      <c r="D4047" s="616" t="s">
        <v>588</v>
      </c>
      <c r="E4047" s="616"/>
      <c r="F4047" s="616"/>
      <c r="G4047" s="616"/>
      <c r="H4047" s="616"/>
      <c r="I4047" s="616"/>
      <c r="J4047" s="645"/>
      <c r="K4047" s="450"/>
      <c r="L4047" s="451"/>
      <c r="M4047" s="451"/>
      <c r="N4047" s="450"/>
      <c r="O4047" s="588">
        <f>IF(TrialBalanceC!I94&gt;0,TrialBalanceC!I94,0)</f>
        <v>0</v>
      </c>
      <c r="P4047" s="454"/>
      <c r="R4047" s="490" t="str">
        <f t="shared" si="286"/>
        <v>DELETE</v>
      </c>
    </row>
    <row r="4048" spans="3:18" ht="36" customHeight="1" x14ac:dyDescent="0.45">
      <c r="C4048" s="575"/>
      <c r="D4048" s="616" t="s">
        <v>874</v>
      </c>
      <c r="E4048" s="616"/>
      <c r="F4048" s="616"/>
      <c r="G4048" s="616"/>
      <c r="H4048" s="616"/>
      <c r="I4048" s="616"/>
      <c r="J4048" s="645"/>
      <c r="K4048" s="450"/>
      <c r="L4048" s="451"/>
      <c r="M4048" s="451"/>
      <c r="N4048" s="450"/>
      <c r="O4048" s="588">
        <f>TrialBalanceC!I124</f>
        <v>0</v>
      </c>
      <c r="P4048" s="454"/>
      <c r="R4048" s="490" t="str">
        <f t="shared" si="286"/>
        <v>DELETE</v>
      </c>
    </row>
    <row r="4049" spans="3:18" ht="36" customHeight="1" x14ac:dyDescent="0.45">
      <c r="C4049" s="575"/>
      <c r="D4049" s="616" t="s">
        <v>293</v>
      </c>
      <c r="E4049" s="616"/>
      <c r="F4049" s="616"/>
      <c r="G4049" s="616"/>
      <c r="H4049" s="616"/>
      <c r="I4049" s="616"/>
      <c r="J4049" s="645"/>
      <c r="K4049" s="450"/>
      <c r="L4049" s="451"/>
      <c r="M4049" s="451"/>
      <c r="N4049" s="450"/>
      <c r="O4049" s="588">
        <f>TrialBalanceC!I125</f>
        <v>0</v>
      </c>
      <c r="P4049" s="454"/>
      <c r="R4049" s="490" t="str">
        <f t="shared" si="286"/>
        <v>DELETE</v>
      </c>
    </row>
    <row r="4050" spans="3:18" ht="36" customHeight="1" x14ac:dyDescent="0.45">
      <c r="C4050" s="575"/>
      <c r="D4050" s="616" t="s">
        <v>286</v>
      </c>
      <c r="E4050" s="616"/>
      <c r="F4050" s="616"/>
      <c r="G4050" s="616"/>
      <c r="H4050" s="616"/>
      <c r="I4050" s="616"/>
      <c r="J4050" s="645"/>
      <c r="K4050" s="450"/>
      <c r="L4050" s="451"/>
      <c r="M4050" s="451"/>
      <c r="N4050" s="450"/>
      <c r="O4050" s="588">
        <f>SUM(TrialBalanceC!I126:I127)</f>
        <v>0</v>
      </c>
      <c r="P4050" s="454"/>
      <c r="R4050" s="490" t="str">
        <f t="shared" si="286"/>
        <v>DELETE</v>
      </c>
    </row>
    <row r="4051" spans="3:18" ht="36" customHeight="1" x14ac:dyDescent="0.45">
      <c r="C4051" s="575"/>
      <c r="D4051" s="616" t="s">
        <v>294</v>
      </c>
      <c r="E4051" s="616"/>
      <c r="F4051" s="616"/>
      <c r="G4051" s="616"/>
      <c r="H4051" s="616"/>
      <c r="I4051" s="616"/>
      <c r="J4051" s="645"/>
      <c r="K4051" s="450"/>
      <c r="L4051" s="451"/>
      <c r="M4051" s="451"/>
      <c r="N4051" s="450"/>
      <c r="O4051" s="588">
        <f>TrialBalanceC!I128</f>
        <v>0</v>
      </c>
      <c r="P4051" s="454"/>
      <c r="R4051" s="490" t="str">
        <f t="shared" si="286"/>
        <v>DELETE</v>
      </c>
    </row>
    <row r="4052" spans="3:18" ht="36" customHeight="1" x14ac:dyDescent="0.45">
      <c r="C4052" s="575"/>
      <c r="D4052" s="616" t="s">
        <v>875</v>
      </c>
      <c r="E4052" s="616"/>
      <c r="F4052" s="616"/>
      <c r="G4052" s="616"/>
      <c r="H4052" s="616"/>
      <c r="I4052" s="616"/>
      <c r="J4052" s="645"/>
      <c r="K4052" s="450"/>
      <c r="L4052" s="451"/>
      <c r="M4052" s="451"/>
      <c r="N4052" s="450"/>
      <c r="O4052" s="588">
        <f>TrialBalanceC!I129</f>
        <v>0</v>
      </c>
      <c r="P4052" s="454"/>
      <c r="R4052" s="490" t="str">
        <f t="shared" si="286"/>
        <v>DELETE</v>
      </c>
    </row>
    <row r="4053" spans="3:18" ht="36" customHeight="1" x14ac:dyDescent="0.45">
      <c r="C4053" s="575"/>
      <c r="D4053" s="616" t="s">
        <v>94</v>
      </c>
      <c r="E4053" s="616"/>
      <c r="F4053" s="616"/>
      <c r="G4053" s="616"/>
      <c r="H4053" s="616"/>
      <c r="I4053" s="616"/>
      <c r="J4053" s="645"/>
      <c r="K4053" s="450"/>
      <c r="L4053" s="451"/>
      <c r="M4053" s="451"/>
      <c r="N4053" s="450"/>
      <c r="O4053" s="588">
        <f>TrialBalanceC!I130</f>
        <v>0</v>
      </c>
      <c r="P4053" s="454"/>
      <c r="R4053" s="490" t="str">
        <f t="shared" si="286"/>
        <v>DELETE</v>
      </c>
    </row>
    <row r="4054" spans="3:18" ht="36" customHeight="1" x14ac:dyDescent="0.45">
      <c r="C4054" s="575"/>
      <c r="D4054" s="616">
        <f>TrialBalanceC!C131</f>
        <v>0</v>
      </c>
      <c r="E4054" s="616"/>
      <c r="F4054" s="616"/>
      <c r="G4054" s="616"/>
      <c r="H4054" s="616"/>
      <c r="I4054" s="616"/>
      <c r="J4054" s="645"/>
      <c r="K4054" s="450"/>
      <c r="L4054" s="451"/>
      <c r="M4054" s="451"/>
      <c r="N4054" s="450"/>
      <c r="O4054" s="588">
        <f>TrialBalanceC!I131</f>
        <v>0</v>
      </c>
      <c r="P4054" s="454"/>
      <c r="R4054" s="490" t="str">
        <f t="shared" si="286"/>
        <v>DELETE</v>
      </c>
    </row>
    <row r="4055" spans="3:18" ht="36" customHeight="1" x14ac:dyDescent="0.45">
      <c r="C4055" s="575"/>
      <c r="D4055" s="616">
        <f>TrialBalanceC!C132</f>
        <v>0</v>
      </c>
      <c r="E4055" s="616"/>
      <c r="F4055" s="616"/>
      <c r="G4055" s="616"/>
      <c r="H4055" s="616"/>
      <c r="I4055" s="616"/>
      <c r="J4055" s="645"/>
      <c r="K4055" s="450"/>
      <c r="L4055" s="451"/>
      <c r="M4055" s="451"/>
      <c r="N4055" s="450"/>
      <c r="O4055" s="588">
        <f>TrialBalanceC!I132</f>
        <v>0</v>
      </c>
      <c r="P4055" s="454"/>
      <c r="R4055" s="490" t="str">
        <f t="shared" si="286"/>
        <v>DELETE</v>
      </c>
    </row>
    <row r="4056" spans="3:18" ht="36" customHeight="1" x14ac:dyDescent="0.45">
      <c r="C4056" s="575"/>
      <c r="D4056" s="616">
        <f>TrialBalanceC!C133</f>
        <v>0</v>
      </c>
      <c r="E4056" s="616"/>
      <c r="F4056" s="616"/>
      <c r="G4056" s="616"/>
      <c r="H4056" s="616"/>
      <c r="I4056" s="616"/>
      <c r="J4056" s="645"/>
      <c r="K4056" s="450"/>
      <c r="L4056" s="451"/>
      <c r="M4056" s="451"/>
      <c r="N4056" s="450"/>
      <c r="O4056" s="588">
        <f>TrialBalanceC!I133</f>
        <v>0</v>
      </c>
      <c r="P4056" s="454"/>
      <c r="R4056" s="490" t="str">
        <f t="shared" si="286"/>
        <v>DELETE</v>
      </c>
    </row>
    <row r="4057" spans="3:18" ht="36" customHeight="1" x14ac:dyDescent="0.45">
      <c r="C4057" s="575"/>
      <c r="D4057" s="616">
        <f>TrialBalanceC!C134</f>
        <v>0</v>
      </c>
      <c r="E4057" s="616"/>
      <c r="F4057" s="616"/>
      <c r="G4057" s="616"/>
      <c r="H4057" s="616"/>
      <c r="I4057" s="616"/>
      <c r="J4057" s="645"/>
      <c r="K4057" s="450"/>
      <c r="L4057" s="451"/>
      <c r="M4057" s="451"/>
      <c r="N4057" s="450"/>
      <c r="O4057" s="588">
        <f>TrialBalanceC!I134</f>
        <v>0</v>
      </c>
      <c r="P4057" s="454"/>
      <c r="R4057" s="490" t="str">
        <f t="shared" si="286"/>
        <v>DELETE</v>
      </c>
    </row>
    <row r="4058" spans="3:18" ht="36" customHeight="1" x14ac:dyDescent="0.45">
      <c r="C4058" s="575"/>
      <c r="D4058" s="616">
        <f>TrialBalanceC!C135</f>
        <v>0</v>
      </c>
      <c r="E4058" s="616"/>
      <c r="F4058" s="616"/>
      <c r="G4058" s="616"/>
      <c r="H4058" s="616"/>
      <c r="I4058" s="616"/>
      <c r="J4058" s="645"/>
      <c r="K4058" s="450"/>
      <c r="L4058" s="451"/>
      <c r="M4058" s="451"/>
      <c r="N4058" s="450"/>
      <c r="O4058" s="588">
        <f>TrialBalanceC!I135</f>
        <v>0</v>
      </c>
      <c r="P4058" s="454"/>
      <c r="R4058" s="490" t="str">
        <f t="shared" si="286"/>
        <v>DELETE</v>
      </c>
    </row>
    <row r="4059" spans="3:18" ht="36" customHeight="1" x14ac:dyDescent="0.45">
      <c r="C4059" s="575"/>
      <c r="D4059" s="616">
        <f>TrialBalanceC!C136</f>
        <v>0</v>
      </c>
      <c r="E4059" s="616"/>
      <c r="F4059" s="616"/>
      <c r="G4059" s="616"/>
      <c r="H4059" s="616"/>
      <c r="I4059" s="616"/>
      <c r="J4059" s="645"/>
      <c r="K4059" s="450"/>
      <c r="L4059" s="451"/>
      <c r="M4059" s="451"/>
      <c r="N4059" s="450"/>
      <c r="O4059" s="588">
        <f>TrialBalanceC!I136</f>
        <v>0</v>
      </c>
      <c r="P4059" s="454"/>
      <c r="R4059" s="490" t="str">
        <f t="shared" si="286"/>
        <v>DELETE</v>
      </c>
    </row>
    <row r="4060" spans="3:18" ht="36" customHeight="1" x14ac:dyDescent="0.45">
      <c r="C4060" s="575"/>
      <c r="D4060" s="616">
        <f>TrialBalanceC!C137</f>
        <v>0</v>
      </c>
      <c r="E4060" s="616"/>
      <c r="F4060" s="616"/>
      <c r="G4060" s="616"/>
      <c r="H4060" s="616"/>
      <c r="I4060" s="616"/>
      <c r="J4060" s="645"/>
      <c r="K4060" s="450"/>
      <c r="L4060" s="451"/>
      <c r="M4060" s="451"/>
      <c r="N4060" s="450"/>
      <c r="O4060" s="588">
        <f>TrialBalanceC!I137</f>
        <v>0</v>
      </c>
      <c r="P4060" s="454"/>
      <c r="R4060" s="490" t="str">
        <f t="shared" si="286"/>
        <v>DELETE</v>
      </c>
    </row>
    <row r="4061" spans="3:18" ht="36" customHeight="1" x14ac:dyDescent="0.45">
      <c r="C4061" s="575"/>
      <c r="D4061" s="616">
        <f>TrialBalanceC!C138</f>
        <v>0</v>
      </c>
      <c r="E4061" s="616"/>
      <c r="F4061" s="616"/>
      <c r="G4061" s="616"/>
      <c r="H4061" s="616"/>
      <c r="I4061" s="616"/>
      <c r="J4061" s="645"/>
      <c r="K4061" s="450"/>
      <c r="L4061" s="451"/>
      <c r="M4061" s="451"/>
      <c r="N4061" s="450"/>
      <c r="O4061" s="588">
        <f>TrialBalanceC!I138</f>
        <v>0</v>
      </c>
      <c r="P4061" s="454"/>
      <c r="R4061" s="490" t="str">
        <f t="shared" si="286"/>
        <v>DELETE</v>
      </c>
    </row>
    <row r="4062" spans="3:18" ht="36" customHeight="1" x14ac:dyDescent="0.45">
      <c r="C4062" s="575"/>
      <c r="D4062" s="616">
        <f>TrialBalanceC!C139</f>
        <v>0</v>
      </c>
      <c r="E4062" s="616"/>
      <c r="F4062" s="616"/>
      <c r="G4062" s="616"/>
      <c r="H4062" s="616"/>
      <c r="I4062" s="616"/>
      <c r="J4062" s="645"/>
      <c r="K4062" s="450"/>
      <c r="L4062" s="451"/>
      <c r="M4062" s="451"/>
      <c r="N4062" s="450"/>
      <c r="O4062" s="588">
        <f>TrialBalanceC!I139</f>
        <v>0</v>
      </c>
      <c r="P4062" s="454"/>
      <c r="R4062" s="490" t="str">
        <f t="shared" si="286"/>
        <v>DELETE</v>
      </c>
    </row>
    <row r="4063" spans="3:18" ht="36" customHeight="1" x14ac:dyDescent="0.45">
      <c r="C4063" s="575"/>
      <c r="D4063" s="616" t="str">
        <f>TrialBalanceC!C140</f>
        <v>Amortisation of prepaid lease agreement</v>
      </c>
      <c r="E4063" s="616"/>
      <c r="F4063" s="616"/>
      <c r="G4063" s="616"/>
      <c r="H4063" s="616"/>
      <c r="I4063" s="616"/>
      <c r="J4063" s="645"/>
      <c r="K4063" s="450"/>
      <c r="L4063" s="451"/>
      <c r="M4063" s="451"/>
      <c r="N4063" s="450"/>
      <c r="O4063" s="588">
        <f>TrialBalanceC!I140</f>
        <v>0</v>
      </c>
      <c r="P4063" s="454"/>
      <c r="R4063" s="490" t="str">
        <f t="shared" si="286"/>
        <v>DELETE</v>
      </c>
    </row>
    <row r="4064" spans="3:18" ht="36" customHeight="1" x14ac:dyDescent="0.45">
      <c r="C4064" s="575"/>
      <c r="D4064" s="616" t="str">
        <f>TrialBalanceC!C141</f>
        <v>Amortisation of goodwill</v>
      </c>
      <c r="E4064" s="616"/>
      <c r="F4064" s="616"/>
      <c r="G4064" s="616"/>
      <c r="H4064" s="616"/>
      <c r="I4064" s="616"/>
      <c r="J4064" s="645"/>
      <c r="K4064" s="450"/>
      <c r="L4064" s="451"/>
      <c r="M4064" s="451"/>
      <c r="N4064" s="450"/>
      <c r="O4064" s="588">
        <f>TrialBalanceC!I141</f>
        <v>0</v>
      </c>
      <c r="P4064" s="454"/>
      <c r="R4064" s="490" t="str">
        <f t="shared" ref="R4064" si="288">IF(R$3930="DELETE","DELETE",IF(O4064=0,"DELETE"," "))</f>
        <v>DELETE</v>
      </c>
    </row>
    <row r="4065" spans="3:24" ht="9" customHeight="1" x14ac:dyDescent="0.45">
      <c r="C4065" s="575"/>
      <c r="D4065" s="616"/>
      <c r="E4065" s="616"/>
      <c r="F4065" s="616"/>
      <c r="G4065" s="616"/>
      <c r="H4065" s="616"/>
      <c r="I4065" s="616"/>
      <c r="J4065" s="645"/>
      <c r="K4065" s="450"/>
      <c r="L4065" s="451"/>
      <c r="M4065" s="451"/>
      <c r="N4065" s="450"/>
      <c r="O4065" s="589"/>
      <c r="P4065" s="454"/>
      <c r="R4065" s="490" t="str">
        <f>R4029</f>
        <v>DELETE</v>
      </c>
    </row>
    <row r="4066" spans="3:24" ht="9" customHeight="1" x14ac:dyDescent="0.45">
      <c r="C4066" s="575"/>
      <c r="D4066" s="616"/>
      <c r="E4066" s="616"/>
      <c r="F4066" s="616"/>
      <c r="G4066" s="616"/>
      <c r="H4066" s="616"/>
      <c r="I4066" s="616"/>
      <c r="J4066" s="645"/>
      <c r="K4066" s="450"/>
      <c r="L4066" s="451"/>
      <c r="M4066" s="451"/>
      <c r="N4066" s="450"/>
      <c r="O4066" s="461"/>
      <c r="P4066" s="454"/>
      <c r="R4066" s="490" t="str">
        <f t="shared" ref="R4066:R4069" si="289">R$3930</f>
        <v>DELETE</v>
      </c>
    </row>
    <row r="4067" spans="3:24" ht="9" customHeight="1" x14ac:dyDescent="0.45">
      <c r="C4067" s="575"/>
      <c r="D4067" s="616"/>
      <c r="E4067" s="616"/>
      <c r="F4067" s="616"/>
      <c r="G4067" s="616"/>
      <c r="H4067" s="616"/>
      <c r="I4067" s="616"/>
      <c r="J4067" s="645"/>
      <c r="K4067" s="450"/>
      <c r="L4067" s="451"/>
      <c r="M4067" s="451"/>
      <c r="N4067" s="450"/>
      <c r="O4067" s="458"/>
      <c r="P4067" s="454"/>
      <c r="R4067" s="490" t="str">
        <f t="shared" si="289"/>
        <v>DELETE</v>
      </c>
    </row>
    <row r="4068" spans="3:24" ht="36" customHeight="1" x14ac:dyDescent="0.45">
      <c r="D4068" s="637" t="str">
        <f>IF(O4068&lt;0,"Operating loss for the year","Operating profit for the year")</f>
        <v>Operating profit for the year</v>
      </c>
      <c r="E4068" s="616"/>
      <c r="F4068" s="616"/>
      <c r="G4068" s="616"/>
      <c r="H4068" s="616"/>
      <c r="I4068" s="616"/>
      <c r="J4068" s="645"/>
      <c r="K4068" s="450">
        <f>FS!B1250</f>
        <v>5</v>
      </c>
      <c r="L4068" s="451"/>
      <c r="M4068" s="451"/>
      <c r="N4068" s="450"/>
      <c r="O4068" s="458">
        <f>SUM(S3942:S4065)</f>
        <v>0</v>
      </c>
      <c r="P4068" s="454"/>
      <c r="R4068" s="490" t="str">
        <f t="shared" si="289"/>
        <v>DELETE</v>
      </c>
    </row>
    <row r="4069" spans="3:24" ht="36" customHeight="1" x14ac:dyDescent="0.45">
      <c r="C4069" s="575"/>
      <c r="D4069" s="616"/>
      <c r="E4069" s="616"/>
      <c r="F4069" s="616"/>
      <c r="G4069" s="616"/>
      <c r="H4069" s="616"/>
      <c r="I4069" s="616"/>
      <c r="J4069" s="645"/>
      <c r="K4069" s="450"/>
      <c r="L4069" s="451"/>
      <c r="M4069" s="451"/>
      <c r="N4069" s="450"/>
      <c r="O4069" s="458"/>
      <c r="P4069" s="454"/>
      <c r="R4069" s="490" t="str">
        <f t="shared" si="289"/>
        <v>DELETE</v>
      </c>
    </row>
    <row r="4070" spans="3:24" ht="36" customHeight="1" x14ac:dyDescent="0.45">
      <c r="D4070" s="615" t="s">
        <v>225</v>
      </c>
      <c r="E4070" s="616"/>
      <c r="F4070" s="616"/>
      <c r="G4070" s="616"/>
      <c r="H4070" s="616"/>
      <c r="I4070" s="616"/>
      <c r="J4070" s="645"/>
      <c r="K4070" s="450">
        <f>FS!B1364</f>
        <v>6</v>
      </c>
      <c r="L4070" s="451"/>
      <c r="M4070" s="451"/>
      <c r="N4070" s="450"/>
      <c r="O4070" s="458">
        <f>SUM(O4073:O4079)</f>
        <v>0</v>
      </c>
      <c r="P4070" s="454"/>
      <c r="R4070" s="490" t="str">
        <f t="shared" ref="R4070" si="290">IF(R$3930="DELETE","DELETE",IF(O4070=0,"DELETE"," "))</f>
        <v>DELETE</v>
      </c>
      <c r="S4070" s="495">
        <f>O4070</f>
        <v>0</v>
      </c>
      <c r="T4070" s="495"/>
      <c r="U4070" s="495"/>
      <c r="V4070" s="495"/>
      <c r="W4070" s="495"/>
      <c r="X4070" s="495"/>
    </row>
    <row r="4071" spans="3:24" ht="9" customHeight="1" x14ac:dyDescent="0.45">
      <c r="C4071" s="575"/>
      <c r="D4071" s="616"/>
      <c r="E4071" s="616"/>
      <c r="F4071" s="616"/>
      <c r="G4071" s="616"/>
      <c r="H4071" s="616"/>
      <c r="I4071" s="616"/>
      <c r="J4071" s="645"/>
      <c r="K4071" s="450"/>
      <c r="L4071" s="451"/>
      <c r="M4071" s="451"/>
      <c r="N4071" s="450"/>
      <c r="O4071" s="458"/>
      <c r="P4071" s="454"/>
      <c r="R4071" s="490" t="str">
        <f>R4070</f>
        <v>DELETE</v>
      </c>
    </row>
    <row r="4072" spans="3:24" ht="9" customHeight="1" x14ac:dyDescent="0.45">
      <c r="C4072" s="575"/>
      <c r="D4072" s="616"/>
      <c r="E4072" s="616"/>
      <c r="F4072" s="616"/>
      <c r="G4072" s="616"/>
      <c r="H4072" s="616"/>
      <c r="I4072" s="616"/>
      <c r="J4072" s="645"/>
      <c r="K4072" s="450"/>
      <c r="L4072" s="451"/>
      <c r="M4072" s="451"/>
      <c r="N4072" s="450"/>
      <c r="O4072" s="587"/>
      <c r="P4072" s="454"/>
      <c r="R4072" s="490" t="str">
        <f>R4071</f>
        <v>DELETE</v>
      </c>
    </row>
    <row r="4073" spans="3:24" ht="36" customHeight="1" x14ac:dyDescent="0.45">
      <c r="C4073" s="575"/>
      <c r="D4073" s="616" t="s">
        <v>223</v>
      </c>
      <c r="E4073" s="616"/>
      <c r="F4073" s="616"/>
      <c r="G4073" s="616"/>
      <c r="H4073" s="616"/>
      <c r="I4073" s="616"/>
      <c r="J4073" s="645"/>
      <c r="K4073" s="450"/>
      <c r="L4073" s="451"/>
      <c r="M4073" s="451"/>
      <c r="N4073" s="450"/>
      <c r="O4073" s="588">
        <f>-TrialBalanceC!I95</f>
        <v>0</v>
      </c>
      <c r="P4073" s="454"/>
      <c r="R4073" s="490" t="str">
        <f t="shared" ref="R4073:R4078" si="291">IF(R$3930="DELETE","DELETE",IF(O4073=0,"DELETE"," "))</f>
        <v>DELETE</v>
      </c>
    </row>
    <row r="4074" spans="3:24" ht="36" customHeight="1" x14ac:dyDescent="0.45">
      <c r="C4074" s="575"/>
      <c r="D4074" s="616" t="s">
        <v>567</v>
      </c>
      <c r="E4074" s="616"/>
      <c r="F4074" s="616"/>
      <c r="G4074" s="616"/>
      <c r="H4074" s="616"/>
      <c r="I4074" s="616"/>
      <c r="J4074" s="645"/>
      <c r="K4074" s="450"/>
      <c r="L4074" s="451"/>
      <c r="M4074" s="451"/>
      <c r="N4074" s="450"/>
      <c r="O4074" s="588">
        <f>-SUM(TrialBalanceC!I91:I93)</f>
        <v>0</v>
      </c>
      <c r="P4074" s="454"/>
      <c r="R4074" s="490" t="str">
        <f t="shared" si="291"/>
        <v>DELETE</v>
      </c>
    </row>
    <row r="4075" spans="3:24" ht="36" customHeight="1" x14ac:dyDescent="0.45">
      <c r="C4075" s="575"/>
      <c r="D4075" s="616" t="s">
        <v>568</v>
      </c>
      <c r="E4075" s="616"/>
      <c r="F4075" s="616"/>
      <c r="G4075" s="616"/>
      <c r="H4075" s="616"/>
      <c r="I4075" s="616"/>
      <c r="J4075" s="645"/>
      <c r="K4075" s="450"/>
      <c r="L4075" s="451"/>
      <c r="M4075" s="451"/>
      <c r="N4075" s="450"/>
      <c r="O4075" s="604">
        <f>-SUM(TrialBalanceC!I86:I89)</f>
        <v>0</v>
      </c>
      <c r="P4075" s="454"/>
      <c r="R4075" s="490" t="str">
        <f t="shared" si="291"/>
        <v>DELETE</v>
      </c>
    </row>
    <row r="4076" spans="3:24" ht="36" customHeight="1" x14ac:dyDescent="0.45">
      <c r="C4076" s="575"/>
      <c r="D4076" s="616" t="s">
        <v>225</v>
      </c>
      <c r="E4076" s="616"/>
      <c r="F4076" s="616"/>
      <c r="G4076" s="616"/>
      <c r="H4076" s="616"/>
      <c r="I4076" s="616"/>
      <c r="J4076" s="645"/>
      <c r="K4076" s="450"/>
      <c r="L4076" s="451"/>
      <c r="M4076" s="451"/>
      <c r="N4076" s="450"/>
      <c r="O4076" s="604">
        <f>-SUM(TrialBalanceC!I96)</f>
        <v>0</v>
      </c>
      <c r="P4076" s="454"/>
      <c r="R4076" s="490" t="str">
        <f t="shared" si="291"/>
        <v>DELETE</v>
      </c>
    </row>
    <row r="4077" spans="3:24" ht="36" customHeight="1" x14ac:dyDescent="0.45">
      <c r="C4077" s="575"/>
      <c r="D4077" s="616" t="s">
        <v>589</v>
      </c>
      <c r="E4077" s="616"/>
      <c r="F4077" s="616"/>
      <c r="G4077" s="616"/>
      <c r="H4077" s="616"/>
      <c r="I4077" s="616"/>
      <c r="J4077" s="645"/>
      <c r="K4077" s="450"/>
      <c r="L4077" s="451"/>
      <c r="M4077" s="451"/>
      <c r="N4077" s="450"/>
      <c r="O4077" s="588">
        <f>IF(TrialBalanceC!I94&lt;0,-TrialBalanceC!I94,0)</f>
        <v>0</v>
      </c>
      <c r="P4077" s="454"/>
      <c r="R4077" s="490" t="str">
        <f t="shared" si="291"/>
        <v>DELETE</v>
      </c>
    </row>
    <row r="4078" spans="3:24" ht="36" customHeight="1" x14ac:dyDescent="0.45">
      <c r="C4078" s="575"/>
      <c r="D4078" s="616" t="s">
        <v>398</v>
      </c>
      <c r="E4078" s="616"/>
      <c r="F4078" s="616"/>
      <c r="G4078" s="616"/>
      <c r="H4078" s="616"/>
      <c r="I4078" s="616"/>
      <c r="J4078" s="645"/>
      <c r="K4078" s="450"/>
      <c r="L4078" s="451"/>
      <c r="M4078" s="451"/>
      <c r="N4078" s="450"/>
      <c r="O4078" s="588">
        <f>-TrialBalanceC!I84</f>
        <v>0</v>
      </c>
      <c r="P4078" s="454"/>
      <c r="R4078" s="490" t="str">
        <f t="shared" si="291"/>
        <v>DELETE</v>
      </c>
    </row>
    <row r="4079" spans="3:24" ht="9" customHeight="1" x14ac:dyDescent="0.45">
      <c r="C4079" s="575"/>
      <c r="D4079" s="616"/>
      <c r="E4079" s="616"/>
      <c r="F4079" s="616"/>
      <c r="G4079" s="616"/>
      <c r="H4079" s="616"/>
      <c r="I4079" s="616"/>
      <c r="J4079" s="645"/>
      <c r="K4079" s="450"/>
      <c r="L4079" s="451"/>
      <c r="M4079" s="451"/>
      <c r="N4079" s="450"/>
      <c r="O4079" s="589"/>
      <c r="P4079" s="454"/>
      <c r="R4079" s="490" t="str">
        <f>R4070</f>
        <v>DELETE</v>
      </c>
    </row>
    <row r="4080" spans="3:24" ht="9" customHeight="1" x14ac:dyDescent="0.45">
      <c r="C4080" s="575"/>
      <c r="D4080" s="616"/>
      <c r="E4080" s="616"/>
      <c r="F4080" s="616"/>
      <c r="G4080" s="616"/>
      <c r="H4080" s="616"/>
      <c r="I4080" s="616"/>
      <c r="J4080" s="645"/>
      <c r="K4080" s="450"/>
      <c r="L4080" s="451"/>
      <c r="M4080" s="451"/>
      <c r="N4080" s="450"/>
      <c r="O4080" s="461"/>
      <c r="P4080" s="454"/>
      <c r="R4080" s="490" t="str">
        <f>R$4082</f>
        <v>DELETE</v>
      </c>
    </row>
    <row r="4081" spans="3:24" ht="9" customHeight="1" x14ac:dyDescent="0.45">
      <c r="C4081" s="575"/>
      <c r="D4081" s="616"/>
      <c r="E4081" s="616"/>
      <c r="F4081" s="616"/>
      <c r="G4081" s="616"/>
      <c r="H4081" s="616"/>
      <c r="I4081" s="616"/>
      <c r="J4081" s="645"/>
      <c r="K4081" s="450"/>
      <c r="L4081" s="451"/>
      <c r="M4081" s="451"/>
      <c r="N4081" s="450"/>
      <c r="O4081" s="458"/>
      <c r="P4081" s="454"/>
      <c r="R4081" s="490" t="str">
        <f>R$4082</f>
        <v>DELETE</v>
      </c>
    </row>
    <row r="4082" spans="3:24" ht="36" customHeight="1" x14ac:dyDescent="0.45">
      <c r="C4082" s="575"/>
      <c r="D4082" s="616"/>
      <c r="E4082" s="616"/>
      <c r="F4082" s="616"/>
      <c r="G4082" s="616"/>
      <c r="H4082" s="616"/>
      <c r="I4082" s="616"/>
      <c r="J4082" s="645"/>
      <c r="K4082" s="450"/>
      <c r="L4082" s="451"/>
      <c r="M4082" s="451"/>
      <c r="N4082" s="450"/>
      <c r="O4082" s="458">
        <f>SUM(S3942:S4079)</f>
        <v>0</v>
      </c>
      <c r="P4082" s="454"/>
      <c r="R4082" s="490" t="str">
        <f>IF(R$3930="DELETE","DELETE",IF(O4070=0,"DELETE",IF(O4082=O4087,"DELETE"," ")))</f>
        <v>DELETE</v>
      </c>
    </row>
    <row r="4083" spans="3:24" ht="36" customHeight="1" x14ac:dyDescent="0.45">
      <c r="C4083" s="575"/>
      <c r="D4083" s="616"/>
      <c r="E4083" s="616"/>
      <c r="F4083" s="616"/>
      <c r="G4083" s="616"/>
      <c r="H4083" s="616"/>
      <c r="I4083" s="616"/>
      <c r="J4083" s="645"/>
      <c r="K4083" s="450"/>
      <c r="L4083" s="451"/>
      <c r="M4083" s="451"/>
      <c r="N4083" s="450"/>
      <c r="O4083" s="458"/>
      <c r="P4083" s="454"/>
      <c r="R4083" s="490" t="str">
        <f>R4082</f>
        <v>DELETE</v>
      </c>
    </row>
    <row r="4084" spans="3:24" ht="36" customHeight="1" x14ac:dyDescent="0.45">
      <c r="D4084" s="616" t="s">
        <v>1534</v>
      </c>
      <c r="E4084" s="616"/>
      <c r="F4084" s="616"/>
      <c r="G4084" s="616"/>
      <c r="H4084" s="616"/>
      <c r="I4084" s="616"/>
      <c r="J4084" s="645"/>
      <c r="K4084" s="450">
        <f>FS!B1423</f>
        <v>7</v>
      </c>
      <c r="L4084" s="451"/>
      <c r="M4084" s="451"/>
      <c r="N4084" s="450"/>
      <c r="O4084" s="458">
        <f>SUM(TrialBalanceC!I144:I154)</f>
        <v>0</v>
      </c>
      <c r="P4084" s="454"/>
      <c r="R4084" s="490" t="str">
        <f t="shared" ref="R4084" si="292">IF(R$3930="DELETE","DELETE",IF(O4084=0,"DELETE"," "))</f>
        <v>DELETE</v>
      </c>
      <c r="S4084" s="495">
        <f>-O4084</f>
        <v>0</v>
      </c>
      <c r="T4084" s="495"/>
      <c r="U4084" s="495"/>
      <c r="V4084" s="495"/>
      <c r="W4084" s="495"/>
      <c r="X4084" s="495"/>
    </row>
    <row r="4085" spans="3:24" ht="9" customHeight="1" x14ac:dyDescent="0.45">
      <c r="C4085" s="575"/>
      <c r="D4085" s="616"/>
      <c r="E4085" s="616"/>
      <c r="F4085" s="616"/>
      <c r="G4085" s="616"/>
      <c r="H4085" s="616"/>
      <c r="I4085" s="616"/>
      <c r="J4085" s="645"/>
      <c r="K4085" s="450"/>
      <c r="L4085" s="451"/>
      <c r="M4085" s="451"/>
      <c r="N4085" s="450"/>
      <c r="O4085" s="461"/>
      <c r="P4085" s="454"/>
      <c r="R4085" s="490" t="str">
        <f t="shared" ref="R4085:R4093" si="293">R$3930</f>
        <v>DELETE</v>
      </c>
    </row>
    <row r="4086" spans="3:24" ht="9" customHeight="1" x14ac:dyDescent="0.45">
      <c r="C4086" s="575"/>
      <c r="D4086" s="616"/>
      <c r="E4086" s="616"/>
      <c r="F4086" s="616"/>
      <c r="G4086" s="616"/>
      <c r="H4086" s="616"/>
      <c r="I4086" s="616"/>
      <c r="J4086" s="645"/>
      <c r="K4086" s="450"/>
      <c r="L4086" s="451"/>
      <c r="M4086" s="451"/>
      <c r="N4086" s="450"/>
      <c r="O4086" s="458"/>
      <c r="P4086" s="454"/>
      <c r="R4086" s="490" t="str">
        <f t="shared" si="293"/>
        <v>DELETE</v>
      </c>
    </row>
    <row r="4087" spans="3:24" ht="36.75" customHeight="1" x14ac:dyDescent="0.45">
      <c r="D4087" s="637" t="str">
        <f>IF(O4087&lt;0,"Loss before taxation","Profit before taxation")</f>
        <v>Profit before taxation</v>
      </c>
      <c r="E4087" s="616"/>
      <c r="F4087" s="616"/>
      <c r="G4087" s="616"/>
      <c r="H4087" s="616"/>
      <c r="I4087" s="616"/>
      <c r="J4087" s="645"/>
      <c r="K4087" s="450"/>
      <c r="L4087" s="451"/>
      <c r="M4087" s="451"/>
      <c r="N4087" s="450"/>
      <c r="O4087" s="458">
        <f>SUM(S3942:S4086)</f>
        <v>0</v>
      </c>
      <c r="P4087" s="454"/>
      <c r="R4087" s="490" t="str">
        <f t="shared" si="293"/>
        <v>DELETE</v>
      </c>
      <c r="V4087" s="491" t="b">
        <f>O4087=FS!M2953</f>
        <v>1</v>
      </c>
    </row>
    <row r="4088" spans="3:24" ht="9" customHeight="1" thickBot="1" x14ac:dyDescent="0.5">
      <c r="C4088" s="575"/>
      <c r="D4088" s="616"/>
      <c r="E4088" s="616"/>
      <c r="F4088" s="616"/>
      <c r="G4088" s="616"/>
      <c r="H4088" s="616"/>
      <c r="I4088" s="616"/>
      <c r="J4088" s="645"/>
      <c r="K4088" s="450"/>
      <c r="L4088" s="451"/>
      <c r="M4088" s="451"/>
      <c r="N4088" s="450"/>
      <c r="O4088" s="462"/>
      <c r="P4088" s="454"/>
      <c r="R4088" s="490" t="str">
        <f t="shared" si="293"/>
        <v>DELETE</v>
      </c>
    </row>
    <row r="4089" spans="3:24" ht="9" customHeight="1" thickTop="1" x14ac:dyDescent="0.45">
      <c r="C4089" s="575"/>
      <c r="D4089" s="616"/>
      <c r="E4089" s="616"/>
      <c r="F4089" s="616"/>
      <c r="G4089" s="616"/>
      <c r="H4089" s="616"/>
      <c r="I4089" s="616"/>
      <c r="J4089" s="645"/>
      <c r="K4089" s="450"/>
      <c r="L4089" s="451"/>
      <c r="M4089" s="451"/>
      <c r="N4089" s="450"/>
      <c r="O4089" s="475"/>
      <c r="P4089" s="454"/>
      <c r="R4089" s="490" t="str">
        <f t="shared" si="293"/>
        <v>DELETE</v>
      </c>
    </row>
    <row r="4090" spans="3:24" ht="36" customHeight="1" x14ac:dyDescent="0.45">
      <c r="C4090" s="575"/>
      <c r="D4090" s="616"/>
      <c r="E4090" s="616"/>
      <c r="F4090" s="616"/>
      <c r="G4090" s="616"/>
      <c r="H4090" s="616"/>
      <c r="I4090" s="616"/>
      <c r="J4090" s="645"/>
      <c r="K4090" s="450"/>
      <c r="L4090" s="451"/>
      <c r="M4090" s="451"/>
      <c r="N4090" s="450"/>
      <c r="O4090" s="458"/>
      <c r="P4090" s="454"/>
      <c r="R4090" s="490" t="str">
        <f t="shared" si="293"/>
        <v>DELETE</v>
      </c>
    </row>
    <row r="4091" spans="3:24" ht="36" customHeight="1" x14ac:dyDescent="0.45">
      <c r="C4091" s="575"/>
      <c r="D4091" s="616"/>
      <c r="E4091" s="616"/>
      <c r="F4091" s="616"/>
      <c r="G4091" s="616"/>
      <c r="H4091" s="616"/>
      <c r="I4091" s="616"/>
      <c r="J4091" s="645"/>
      <c r="K4091" s="450"/>
      <c r="L4091" s="450"/>
      <c r="M4091" s="458"/>
      <c r="N4091" s="458"/>
      <c r="O4091" s="458"/>
      <c r="P4091" s="454"/>
      <c r="R4091" s="490" t="str">
        <f t="shared" si="293"/>
        <v>DELETE</v>
      </c>
    </row>
    <row r="4092" spans="3:24" ht="36" customHeight="1" x14ac:dyDescent="0.5">
      <c r="C4092" s="520"/>
      <c r="D4092" s="616"/>
      <c r="E4092" s="616"/>
      <c r="F4092" s="616"/>
      <c r="G4092" s="616"/>
      <c r="H4092" s="616"/>
      <c r="I4092" s="616"/>
      <c r="J4092" s="616"/>
      <c r="M4092" s="555"/>
      <c r="N4092" s="555"/>
      <c r="O4092" s="555"/>
      <c r="P4092" s="545"/>
      <c r="R4092" s="490" t="str">
        <f t="shared" si="293"/>
        <v>DELETE</v>
      </c>
    </row>
    <row r="4093" spans="3:24" ht="36" customHeight="1" x14ac:dyDescent="0.5">
      <c r="C4093" s="520"/>
      <c r="D4093" s="616"/>
      <c r="E4093" s="616"/>
      <c r="F4093" s="616"/>
      <c r="G4093" s="616"/>
      <c r="H4093" s="616"/>
      <c r="I4093" s="616"/>
      <c r="J4093" s="616"/>
      <c r="M4093" s="541"/>
      <c r="N4093" s="541"/>
      <c r="O4093" s="541"/>
      <c r="R4093" s="490" t="str">
        <f t="shared" si="293"/>
        <v>DELETE</v>
      </c>
    </row>
  </sheetData>
  <sheetProtection algorithmName="SHA-512" hashValue="vgwvSKy7yKi0RU8tx7WosFol1PHiRzdy112xpYlJVct9Bho8k5FmbKKPB1EPqFqQQZl/nCA0nVxpmjFuWdHFcA==" saltValue="xVlYD3IpUVP/5d6Xf1atNw==" spinCount="100000" sheet="1" formatColumns="0" formatRows="0" insertRows="0"/>
  <sortState xmlns:xlrd2="http://schemas.microsoft.com/office/spreadsheetml/2017/richdata2" ref="D2736:R2739">
    <sortCondition ref="D2736"/>
  </sortState>
  <mergeCells count="23">
    <mergeCell ref="D229:Q234"/>
    <mergeCell ref="D411:H411"/>
    <mergeCell ref="A260:P260"/>
    <mergeCell ref="A213:Q213"/>
    <mergeCell ref="O2788:P2788"/>
    <mergeCell ref="O2787:P2787"/>
    <mergeCell ref="L2787:N2787"/>
    <mergeCell ref="L2788:N2788"/>
    <mergeCell ref="F1725:G1725"/>
    <mergeCell ref="F1746:G1746"/>
    <mergeCell ref="F1768:G1768"/>
    <mergeCell ref="F1791:G1791"/>
    <mergeCell ref="F1798:G1798"/>
    <mergeCell ref="D361:Q367"/>
    <mergeCell ref="D304:Q310"/>
    <mergeCell ref="D265:Q270"/>
    <mergeCell ref="D222:Q227"/>
    <mergeCell ref="V1:X1"/>
    <mergeCell ref="J201:K201"/>
    <mergeCell ref="D20:N20"/>
    <mergeCell ref="A16:Q16"/>
    <mergeCell ref="A18:Q18"/>
    <mergeCell ref="A22:Q22"/>
  </mergeCells>
  <phoneticPr fontId="0" type="noConversion"/>
  <hyperlinks>
    <hyperlink ref="O703" r:id="rId1" display="-TrialBalance!A146-@sum(TrialBalance!A5:A127)" xr:uid="{00000000-0004-0000-0000-000001000000}"/>
    <hyperlink ref="D626" r:id="rId2" display="=@IF(U501+V501=1,&quot;GROSS PROFIT/(LOSS)&quot;,IF((U501+V501=2),&quot;GROSS PROFIT&quot;,&quot;GROSS LOSS&quot;))" xr:uid="{00000000-0004-0000-0000-000003000000}"/>
    <hyperlink ref="D616" r:id="rId3" display="=@IF(U501+V501=1,&quot;GROSS PROFIT/(LOSS)&quot;,IF((U501+V501=2),&quot;GROSS PROFIT&quot;,&quot;GROSS LOSS&quot;))" xr:uid="{00000000-0004-0000-0000-000004000000}"/>
    <hyperlink ref="D634" r:id="rId4" display="=@IF(U501+V501=1,&quot;GROSS PROFIT/(LOSS)&quot;,IF((U501+V501=2),&quot;GROSS PROFIT&quot;,&quot;GROSS LOSS&quot;))" xr:uid="{00000000-0004-0000-0000-000005000000}"/>
    <hyperlink ref="D644" r:id="rId5" display="=@IF(U501+V501=1,&quot;GROSS PROFIT/(LOSS)&quot;,IF((U501+V501=2),&quot;GROSS PROFIT&quot;,&quot;GROSS LOSS&quot;))" xr:uid="{00000000-0004-0000-0000-000006000000}"/>
    <hyperlink ref="D2832" r:id="rId6" display="=@IF(U501+V501=1,&quot;GROSS PROFIT/(LOSS)&quot;,IF((U501+V501=2),&quot;GROSS PROFIT&quot;,&quot;GROSS LOSS&quot;))" xr:uid="{00000000-0004-0000-0000-000007000000}"/>
    <hyperlink ref="D2882" r:id="rId7" display="=@IF(U501+V501=1,&quot;GROSS PROFIT/(LOSS)&quot;,IF((U501+V501=2),&quot;GROSS PROFIT&quot;,&quot;GROSS LOSS&quot;))" xr:uid="{00000000-0004-0000-0000-000008000000}"/>
    <hyperlink ref="D2898" r:id="rId8" display="=@IF(U501+V501=1,&quot;GROSS PROFIT/(LOSS)&quot;,IF((U501+V501=2),&quot;GROSS PROFIT&quot;,&quot;GROSS LOSS&quot;))" xr:uid="{00000000-0004-0000-0000-000009000000}"/>
    <hyperlink ref="D2941" r:id="rId9" display="=@IF(U501+V501=1,&quot;GROSS PROFIT/(LOSS)&quot;,IF((U501+V501=2),&quot;GROSS PROFIT&quot;,&quot;GROSS LOSS&quot;))" xr:uid="{00000000-0004-0000-0000-00000A000000}"/>
    <hyperlink ref="D2948" r:id="rId10" display="=@IF(U501+V501=1,&quot;GROSS PROFIT/(LOSS)&quot;,IF((U501+V501=2),&quot;GROSS PROFIT&quot;,&quot;GROSS LOSS&quot;))" xr:uid="{00000000-0004-0000-0000-00000B000000}"/>
    <hyperlink ref="D2966" r:id="rId11" display="=@IF(U501+V501=1,&quot;GROSS PROFIT/(LOSS)&quot;,IF((U501+V501=2),&quot;GROSS PROFIT&quot;,&quot;GROSS LOSS&quot;))" xr:uid="{00000000-0004-0000-0000-00000C000000}"/>
    <hyperlink ref="D703" r:id="rId12" display="=@IF(U501+V501=1,&quot;GROSS PROFIT/(LOSS)&quot;,IF((U501+V501=2),&quot;GROSS PROFIT&quot;,&quot;GROSS LOSS&quot;))" xr:uid="{00000000-0004-0000-0000-00000D000000}"/>
    <hyperlink ref="C1252" r:id="rId13" display="=@IF(U501+V501=1,&quot;GROSS PROFIT/(LOSS)&quot;,IF((U501+V501=2),&quot;GROSS PROFIT&quot;,&quot;GROSS LOSS&quot;))" xr:uid="{00000000-0004-0000-0000-00000E000000}"/>
    <hyperlink ref="C2728" r:id="rId14" display="=@IF(U501+V501=1,&quot;GROSS PROFIT/(LOSS)&quot;,IF((U501+V501=2),&quot;GROSS PROFIT&quot;,&quot;GROSS LOSS&quot;))" xr:uid="{00000000-0004-0000-0000-00000F000000}"/>
    <hyperlink ref="M703" r:id="rId15" display="-TrialBalance!A146-@sum(TrialBalance!A5:A127)" xr:uid="{00000000-0004-0000-0000-000012000000}"/>
    <hyperlink ref="C2731" r:id="rId16" display="=@IF(U501+V501=1,&quot;GROSS PROFIT/(LOSS)&quot;,IF((U501+V501=2),&quot;GROSS PROFIT&quot;,&quot;GROSS LOSS&quot;))" xr:uid="{00000000-0004-0000-0000-000017000000}"/>
    <hyperlink ref="M620" r:id="rId17" display="-@sum(TrialBalance!A23:A63" xr:uid="{00000000-0004-0000-0000-00001A000000}"/>
    <hyperlink ref="M622" r:id="rId18" display="-@sum(TrialBalance!A77:A111" xr:uid="{00000000-0004-0000-0000-00001C000000}"/>
    <hyperlink ref="M630" r:id="rId19" display="-@sum(TrialBalance!A112:A118" xr:uid="{00000000-0004-0000-0000-00001E000000}"/>
    <hyperlink ref="M636" r:id="rId20" display="-@sum(TrialBalance!A119:A125" xr:uid="{00000000-0004-0000-0000-000020000000}"/>
    <hyperlink ref="O636" r:id="rId21" display="-@sum(TrialBalance!A119:A125" xr:uid="{00000000-0004-0000-0000-000021000000}"/>
    <hyperlink ref="C2748" r:id="rId22" display="=@IF(U501+V501=1,&quot;GROSS PROFIT/(LOSS)&quot;,IF((U501+V501=2),&quot;GROSS PROFIT&quot;,&quot;GROSS LOSS&quot;))" xr:uid="{00000000-0004-0000-0000-000023000000}"/>
    <hyperlink ref="C2749" r:id="rId23" display="=@IF(U501+V501=1,&quot;GROSS PROFIT/(LOSS)&quot;,IF((U501+V501=2),&quot;GROSS PROFIT&quot;,&quot;GROSS LOSS&quot;))" xr:uid="{00000000-0004-0000-0000-000024000000}"/>
    <hyperlink ref="C2750" r:id="rId24" display="=@IF(U501+V501=1,&quot;GROSS PROFIT/(LOSS)&quot;,IF((U501+V501=2),&quot;GROSS PROFIT&quot;,&quot;GROSS LOSS&quot;))" xr:uid="{00000000-0004-0000-0000-000025000000}"/>
    <hyperlink ref="D3058" r:id="rId25" display="=@IF(U501+V501=1,&quot;GROSS PROFIT/(LOSS)&quot;,IF((U501+V501=2),&quot;GROSS PROFIT&quot;,&quot;GROSS LOSS&quot;))" xr:uid="{00000000-0004-0000-0000-00002C000000}"/>
    <hyperlink ref="C1250" r:id="rId26" display="=@IF(U501+V501=1,&quot;GROSS PROFIT/(LOSS)&quot;,IF((U501+V501=2),&quot;GROSS PROFIT&quot;,&quot;GROSS LOSS&quot;))" xr:uid="{00000000-0004-0000-0000-000030000000}"/>
    <hyperlink ref="C774" r:id="rId27" display="=@IF(U501+V501=1,&quot;GROSS PROFIT/(LOSS)&quot;,IF((U501+V501=2),&quot;GROSS PROFIT&quot;,&quot;GROSS LOSS&quot;))" xr:uid="{00000000-0004-0000-0000-000033000000}"/>
    <hyperlink ref="C777" r:id="rId28" display="=@IF(U501+V501=1,&quot;GROSS PROFIT/(LOSS)&quot;,IF((U501+V501=2),&quot;GROSS PROFIT&quot;,&quot;GROSS LOSS&quot;))" xr:uid="{00000000-0004-0000-0000-000034000000}"/>
    <hyperlink ref="M2283" r:id="rId29" display="=@if(Criteria!E33*Criteria!E34=Criteria!E36*Criteria!E37,&quot; &quot;,Criteria!E33*Criteria!E34)" xr:uid="{00000000-0004-0000-0000-000035000000}"/>
    <hyperlink ref="O2283" r:id="rId30" display="=@if(Criteria!E33*Criteria!E34=Criteria!E36*Criteria!E37,&quot; &quot;,Criteria!E33*Criteria!E34)" xr:uid="{00000000-0004-0000-0000-000036000000}"/>
    <hyperlink ref="D2951" r:id="rId31" display="=@IF(U501+V501=1,&quot;GROSS PROFIT/(LOSS)&quot;,IF((U501+V501=2),&quot;GROSS PROFIT&quot;,&quot;GROSS LOSS&quot;))" xr:uid="{6D530753-BDD5-4F20-8178-EAE322919C04}"/>
    <hyperlink ref="D2953" r:id="rId32" display="=@IF(U501+V501=1,&quot;GROSS PROFIT/(LOSS)&quot;,IF((U501+V501=2),&quot;GROSS PROFIT&quot;,&quot;GROSS LOSS&quot;))" xr:uid="{DC6D711C-1384-4115-AC4F-089FEF92BDB6}"/>
    <hyperlink ref="O620" r:id="rId33" display="-@sum(TrialBalance!A23:A63" xr:uid="{8A802148-5870-4859-BDC2-2739987B54F5}"/>
    <hyperlink ref="O622" r:id="rId34" display="-@sum(TrialBalance!A77:A111" xr:uid="{74D341AA-7716-4AA2-8727-4DC956228A94}"/>
    <hyperlink ref="O630" r:id="rId35" display="-@sum(TrialBalance!A112:A118" xr:uid="{4D7304DC-15C3-441E-81C7-350E34AABB04}"/>
    <hyperlink ref="C2482" r:id="rId36" display="=@IF(U501+V501=1,&quot;GROSS PROFIT/(LOSS)&quot;,IF((U501+V501=2),&quot;GROSS PROFIT&quot;,&quot;GROSS LOSS&quot;))" xr:uid="{6D0CDBB9-6B0B-4DBD-B7BD-35591D412516}"/>
    <hyperlink ref="C2511" r:id="rId37" display="=@IF(U501+V501=1,&quot;GROSS PROFIT/(LOSS)&quot;,IF((U501+V501=2),&quot;GROSS PROFIT&quot;,&quot;GROSS LOSS&quot;))" xr:uid="{D830917F-1C97-492B-BD44-7D627232BAFA}"/>
    <hyperlink ref="M3255" r:id="rId38" display="-@sum(TrialBalance!A67:A70" xr:uid="{76DE13E3-14E1-4654-8949-628A89D9844C}"/>
    <hyperlink ref="D3267" r:id="rId39" display="=@IF(U501+V501=1,&quot;GROSS PROFIT/(LOSS)&quot;,IF((U501+V501=2),&quot;GROSS PROFIT&quot;,&quot;GROSS LOSS&quot;))" xr:uid="{D167F7AB-9D6E-4F5F-8E45-E5071EF929EF}"/>
    <hyperlink ref="D3248" r:id="rId40" display="=@IF(U501+V501=1,&quot;GROSS PROFIT/(LOSS)&quot;,IF((U501+V501=2),&quot;GROSS PROFIT&quot;,&quot;GROSS LOSS&quot;))" xr:uid="{3EB153A4-A4CC-45B2-9BA2-B586C43DAD2E}"/>
    <hyperlink ref="D3206" r:id="rId41" display="=@IF(U501+V501=1,&quot;GROSS PROFIT/(LOSS)&quot;,IF((U501+V501=2),&quot;GROSS PROFIT&quot;,&quot;GROSS LOSS&quot;))" xr:uid="{E6D04A8E-8C1A-4EFE-BBC4-05625D7E4F8F}"/>
    <hyperlink ref="D3190" r:id="rId42" display="=@IF(U501+V501=1,&quot;GROSS PROFIT/(LOSS)&quot;,IF((U501+V501=2),&quot;GROSS PROFIT&quot;,&quot;GROSS LOSS&quot;))" xr:uid="{32BEBCCD-1976-4288-A534-0214E7920CDE}"/>
    <hyperlink ref="D3140" r:id="rId43" display="=@IF(U501+V501=1,&quot;GROSS PROFIT/(LOSS)&quot;,IF((U501+V501=2),&quot;GROSS PROFIT&quot;,&quot;GROSS LOSS&quot;))" xr:uid="{ABA47BFF-34C2-4871-BC1D-87C6A829A739}"/>
    <hyperlink ref="O3255" r:id="rId44" display="-@sum(TrialBalance!A67:A70" xr:uid="{11959076-A1E1-4023-9E05-2716C0B1A437}"/>
    <hyperlink ref="O3419" r:id="rId45" display="-@sum(TrialBalance!A67:A70" xr:uid="{B416A677-129B-44FA-9433-8BA12FD92D29}"/>
    <hyperlink ref="D3431" r:id="rId46" display="=@IF(U501+V501=1,&quot;GROSS PROFIT/(LOSS)&quot;,IF((U501+V501=2),&quot;GROSS PROFIT&quot;,&quot;GROSS LOSS&quot;))" xr:uid="{5AFCB005-45A8-428E-B8E5-D1D63B5EE9C1}"/>
    <hyperlink ref="D3412" r:id="rId47" display="=@IF(U501+V501=1,&quot;GROSS PROFIT/(LOSS)&quot;,IF((U501+V501=2),&quot;GROSS PROFIT&quot;,&quot;GROSS LOSS&quot;))" xr:uid="{DAB7BEFC-8F9C-4990-BFB8-287D46C083D4}"/>
    <hyperlink ref="D3370" r:id="rId48" display="=@IF(U501+V501=1,&quot;GROSS PROFIT/(LOSS)&quot;,IF((U501+V501=2),&quot;GROSS PROFIT&quot;,&quot;GROSS LOSS&quot;))" xr:uid="{5724C979-7EFE-4D83-9416-1101010A63BD}"/>
    <hyperlink ref="D3354" r:id="rId49" display="=@IF(U501+V501=1,&quot;GROSS PROFIT/(LOSS)&quot;,IF((U501+V501=2),&quot;GROSS PROFIT&quot;,&quot;GROSS LOSS&quot;))" xr:uid="{2106299E-A0FD-4668-BB38-CBD59862B6DB}"/>
    <hyperlink ref="D3304" r:id="rId50" display="=@IF(U501+V501=1,&quot;GROSS PROFIT/(LOSS)&quot;,IF((U501+V501=2),&quot;GROSS PROFIT&quot;,&quot;GROSS LOSS&quot;))" xr:uid="{78FA2441-4542-488A-B4E4-051264C59175}"/>
    <hyperlink ref="M3583" r:id="rId51" display="-@sum(TrialBalance!A67:A70" xr:uid="{5CE439A9-2EEA-41C1-8DCF-0E14934A5DF7}"/>
    <hyperlink ref="D3595" r:id="rId52" display="=@IF(U501+V501=1,&quot;GROSS PROFIT/(LOSS)&quot;,IF((U501+V501=2),&quot;GROSS PROFIT&quot;,&quot;GROSS LOSS&quot;))" xr:uid="{BCDEC460-EFCA-47C5-BB51-5C759E708F82}"/>
    <hyperlink ref="D3576" r:id="rId53" display="=@IF(U501+V501=1,&quot;GROSS PROFIT/(LOSS)&quot;,IF((U501+V501=2),&quot;GROSS PROFIT&quot;,&quot;GROSS LOSS&quot;))" xr:uid="{62424474-DC84-48C1-B787-69185B0D33AE}"/>
    <hyperlink ref="D3534" r:id="rId54" display="=@IF(U501+V501=1,&quot;GROSS PROFIT/(LOSS)&quot;,IF((U501+V501=2),&quot;GROSS PROFIT&quot;,&quot;GROSS LOSS&quot;))" xr:uid="{640AD6C2-487F-41EE-A287-F2F8477466CB}"/>
    <hyperlink ref="D3518" r:id="rId55" display="=@IF(U501+V501=1,&quot;GROSS PROFIT/(LOSS)&quot;,IF((U501+V501=2),&quot;GROSS PROFIT&quot;,&quot;GROSS LOSS&quot;))" xr:uid="{14CD13E1-C53A-4CB3-B087-CF5EC40021BD}"/>
    <hyperlink ref="D3468" r:id="rId56" display="=@IF(U501+V501=1,&quot;GROSS PROFIT/(LOSS)&quot;,IF((U501+V501=2),&quot;GROSS PROFIT&quot;,&quot;GROSS LOSS&quot;))" xr:uid="{15CCCCFA-F76F-49A8-8ACC-BFF5D19AA849}"/>
    <hyperlink ref="O3583" r:id="rId57" display="-@sum(TrialBalance!A67:A70" xr:uid="{0FAF4511-AE58-4FFB-B5C6-0D1556FE9A85}"/>
    <hyperlink ref="O3747" r:id="rId58" display="-@sum(TrialBalance!A67:A70" xr:uid="{401DFF96-4993-4EF2-9704-B380881056B3}"/>
    <hyperlink ref="D3759" r:id="rId59" display="=@IF(U501+V501=1,&quot;GROSS PROFIT/(LOSS)&quot;,IF((U501+V501=2),&quot;GROSS PROFIT&quot;,&quot;GROSS LOSS&quot;))" xr:uid="{0EC4FCFA-31A7-4354-8C3C-D2C45713E811}"/>
    <hyperlink ref="D3740" r:id="rId60" display="=@IF(U501+V501=1,&quot;GROSS PROFIT/(LOSS)&quot;,IF((U501+V501=2),&quot;GROSS PROFIT&quot;,&quot;GROSS LOSS&quot;))" xr:uid="{3430C363-4422-465C-947D-44EBA0BE9E17}"/>
    <hyperlink ref="D3682" r:id="rId61" display="=@IF(U501+V501=1,&quot;GROSS PROFIT/(LOSS)&quot;,IF((U501+V501=2),&quot;GROSS PROFIT&quot;,&quot;GROSS LOSS&quot;))" xr:uid="{7B973B0A-6456-4C63-8A83-C130AC59D439}"/>
    <hyperlink ref="D3632" r:id="rId62" display="=@IF(U501+V501=1,&quot;GROSS PROFIT/(LOSS)&quot;,IF((U501+V501=2),&quot;GROSS PROFIT&quot;,&quot;GROSS LOSS&quot;))" xr:uid="{0185AFBC-49DE-40F4-8206-E51EB1E1EDF1}"/>
    <hyperlink ref="D3698" r:id="rId63" display="=@IF(U501+V501=1,&quot;GROSS PROFIT/(LOSS)&quot;,IF((U501+V501=2),&quot;GROSS PROFIT&quot;,&quot;GROSS LOSS&quot;))" xr:uid="{3599DC75-9B30-4D8F-A24F-4825FF81CF39}"/>
    <hyperlink ref="O3911" r:id="rId64" display="-@sum(TrialBalance!A67:A70" xr:uid="{E16706A6-1ADC-4822-8AAA-4DF9DC5CE3E4}"/>
    <hyperlink ref="D3796" r:id="rId65" display="=@IF(U501+V501=1,&quot;GROSS PROFIT/(LOSS)&quot;,IF((U501+V501=2),&quot;GROSS PROFIT&quot;,&quot;GROSS LOSS&quot;))" xr:uid="{9A45D8C4-0860-4DA7-B096-40C46E11E1A2}"/>
    <hyperlink ref="D3846" r:id="rId66" display="=@IF(U501+V501=1,&quot;GROSS PROFIT/(LOSS)&quot;,IF((U501+V501=2),&quot;GROSS PROFIT&quot;,&quot;GROSS LOSS&quot;))" xr:uid="{4DAA6F50-6332-4CEE-A119-40B1C63EA37E}"/>
    <hyperlink ref="D3862" r:id="rId67" display="=@IF(U501+V501=1,&quot;GROSS PROFIT/(LOSS)&quot;,IF((U501+V501=2),&quot;GROSS PROFIT&quot;,&quot;GROSS LOSS&quot;))" xr:uid="{98FE660A-A57F-405B-8402-D6359ACB2C7D}"/>
    <hyperlink ref="D3904" r:id="rId68" display="=@IF(U501+V501=1,&quot;GROSS PROFIT/(LOSS)&quot;,IF((U501+V501=2),&quot;GROSS PROFIT&quot;,&quot;GROSS LOSS&quot;))" xr:uid="{33DCF48D-2A50-4E2E-8B79-C5C76BA60855}"/>
    <hyperlink ref="D3923" r:id="rId69" display="=@IF(U501+V501=1,&quot;GROSS PROFIT/(LOSS)&quot;,IF((U501+V501=2),&quot;GROSS PROFIT&quot;,&quot;GROSS LOSS&quot;))" xr:uid="{7AC3C5FE-9885-48D2-8509-F3D0C69E2917}"/>
    <hyperlink ref="M3911" r:id="rId70" display="-@sum(TrialBalance!A67:A70" xr:uid="{F02BEE7E-C98E-4BB2-A081-B287D178CBDB}"/>
    <hyperlink ref="D3960" r:id="rId71" display="=@IF(U501+V501=1,&quot;GROSS PROFIT/(LOSS)&quot;,IF((U501+V501=2),&quot;GROSS PROFIT&quot;,&quot;GROSS LOSS&quot;))" xr:uid="{8C1BCC73-5075-4D5E-B889-56EBAAFE96A1}"/>
    <hyperlink ref="D4010" r:id="rId72" display="=@IF(U501+V501=1,&quot;GROSS PROFIT/(LOSS)&quot;,IF((U501+V501=2),&quot;GROSS PROFIT&quot;,&quot;GROSS LOSS&quot;))" xr:uid="{8B84D3A4-A42D-4A60-BD86-46AA85234C4B}"/>
    <hyperlink ref="D4068" r:id="rId73" display="=@IF(U501+V501=1,&quot;GROSS PROFIT/(LOSS)&quot;,IF((U501+V501=2),&quot;GROSS PROFIT&quot;,&quot;GROSS LOSS&quot;))" xr:uid="{C744FD99-8098-4CC3-B09A-3880334447CD}"/>
    <hyperlink ref="D4087" r:id="rId74" display="=@IF(U501+V501=1,&quot;GROSS PROFIT/(LOSS)&quot;,IF((U501+V501=2),&quot;GROSS PROFIT&quot;,&quot;GROSS LOSS&quot;))" xr:uid="{1570E290-DD82-4D7E-BC92-A28E8A5C2096}"/>
    <hyperlink ref="O4075" r:id="rId75" display="-@sum(TrialBalance!A67:A70" xr:uid="{121AA74C-53E3-4260-8B17-18FC23DB7F45}"/>
    <hyperlink ref="D4026" r:id="rId76" display="=@IF(U501+V501=1,&quot;GROSS PROFIT/(LOSS)&quot;,IF((U501+V501=2),&quot;GROSS PROFIT&quot;,&quot;GROSS LOSS&quot;))" xr:uid="{CAA3C9C0-6324-4B4A-919B-D4DADE96D443}"/>
    <hyperlink ref="D1573" r:id="rId77" display="=@IF(U501+V501=1,&quot;GROSS PROFIT/(LOSS)&quot;,IF((U501+V501=2),&quot;GROSS PROFIT&quot;,&quot;GROSS LOSS&quot;))" xr:uid="{11540BDE-98B0-470D-8E8B-F88A30E7C168}"/>
    <hyperlink ref="C2770" r:id="rId78" display="=@IF(U501+V501=1,&quot;GROSS PROFIT/(LOSS)&quot;,IF((U501+V501=2),&quot;GROSS PROFIT&quot;,&quot;GROSS LOSS&quot;))" xr:uid="{5C62542B-5606-44D4-BDBF-10DE5B25A897}"/>
    <hyperlink ref="O613" r:id="rId79" display="-@sum(TrialBalance!A8:A22" xr:uid="{42D037F3-AE1D-49AA-867B-702F83F1B842}"/>
    <hyperlink ref="M613" r:id="rId80" display="-@sum(TrialBalance!A8:A22" xr:uid="{00000000-0004-0000-0000-000018000000}"/>
    <hyperlink ref="D832" r:id="rId81" display="=@IF(U501+V501=1,&quot;GROSS PROFIT/(LOSS)&quot;,IF((U501+V501=2),&quot;GROSS PROFIT&quot;,&quot;GROSS LOSS&quot;))" xr:uid="{DAB94DF8-D2BD-4F6D-90E3-F0678B9500AE}"/>
    <hyperlink ref="D843" r:id="rId82" display="=@IF(U501+V501=1,&quot;GROSS PROFIT/(LOSS)&quot;,IF((U501+V501=2),&quot;GROSS PROFIT&quot;,&quot;GROSS LOSS&quot;))" xr:uid="{E541B73A-E869-445F-B756-02B1C59BBD09}"/>
    <hyperlink ref="D846" r:id="rId83" display="=@IF(U501+V501=1,&quot;GROSS PROFIT/(LOSS)&quot;,IF((U501+V501=2),&quot;GROSS PROFIT&quot;,&quot;GROSS LOSS&quot;))" xr:uid="{00000000-0004-0000-0000-000032000000}"/>
    <hyperlink ref="D845" r:id="rId84" display="=@IF(U501+V501=1,&quot;GROSS PROFIT/(LOSS)&quot;,IF((U501+V501=2),&quot;GROSS PROFIT&quot;,&quot;GROSS LOSS&quot;))" xr:uid="{00000000-0004-0000-0000-000031000000}"/>
    <hyperlink ref="M823" r:id="rId85" display="-@sum(TrialBalance!A311:A321)+@sum(TrialBalance!A123:A125)=@sum(TrialBalance!A311:A321)" xr:uid="{00000000-0004-0000-0000-00002B000000}"/>
    <hyperlink ref="D850" r:id="rId86" display="=@IF(U501+V501=1,&quot;GROSS PROFIT/(LOSS)&quot;,IF((U501+V501=2),&quot;GROSS PROFIT&quot;,&quot;GROSS LOSS&quot;))" xr:uid="{00000000-0004-0000-0000-00002A000000}"/>
    <hyperlink ref="D844" r:id="rId87" display="=@IF(U501+V501=1,&quot;GROSS PROFIT/(LOSS)&quot;,IF((U501+V501=2),&quot;GROSS PROFIT&quot;,&quot;GROSS LOSS&quot;))" xr:uid="{00000000-0004-0000-0000-000029000000}"/>
    <hyperlink ref="D834" r:id="rId88" display="=@IF(U501+V501=1,&quot;GROSS PROFIT/(LOSS)&quot;,IF((U501+V501=2),&quot;GROSS PROFIT&quot;,&quot;GROSS LOSS&quot;))" xr:uid="{00000000-0004-0000-0000-000028000000}"/>
    <hyperlink ref="D833" r:id="rId89" display="=@IF(U501+V501=1,&quot;GROSS PROFIT/(LOSS)&quot;,IF((U501+V501=2),&quot;GROSS PROFIT&quot;,&quot;GROSS LOSS&quot;))" xr:uid="{00000000-0004-0000-0000-000027000000}"/>
    <hyperlink ref="M802" r:id="rId90" display="-@sum(TrialBalance!B301:B307)-@sum(TrialBalance!B310:B312)+@sum(TrialBalance!A13:A18)+@sum(TrialBalance!A23:A26)+@sum(TrialBalance!A32:A63)+@sum(TrialBalance!A77:A86)+@sum(TrialBalance!A94:A111)+@sum(TrialBalance!A301:A307)+@SUM(TrialBalance!A310:A312)" xr:uid="{00000000-0004-0000-0000-000026000000}"/>
    <hyperlink ref="D2952" r:id="rId91" display="=@IF(U501+V501=1,&quot;GROSS PROFIT/(LOSS)&quot;,IF((U501+V501=2),&quot;GROSS PROFIT&quot;,&quot;GROSS LOSS&quot;))" xr:uid="{EDCDB1ED-7F2E-4F59-985C-32018295338B}"/>
    <hyperlink ref="C2496" r:id="rId92" display="=@IF(U501+V501=1,&quot;GROSS PROFIT/(LOSS)&quot;,IF((U501+V501=2),&quot;GROSS PROFIT&quot;,&quot;GROSS LOSS&quot;))" xr:uid="{F9C09B57-21E1-4A49-A843-4DB3BEE5D6AB}"/>
    <hyperlink ref="C2639" r:id="rId93" display="=@IF(U501+V501=1,&quot;GROSS PROFIT/(LOSS)&quot;,IF((U501+V501=2),&quot;GROSS PROFIT&quot;,&quot;GROSS LOSS&quot;))" xr:uid="{B383025D-F17E-422C-86B7-9474A34AD681}"/>
    <hyperlink ref="C2637" r:id="rId94" display="=@IF(U501+V501=1,&quot;GROSS PROFIT/(LOSS)&quot;,IF((U501+V501=2),&quot;GROSS PROFIT&quot;,&quot;GROSS LOSS&quot;))" xr:uid="{A33E93D2-6E3E-476A-B3AA-2FE52C152E03}"/>
    <hyperlink ref="C2648" r:id="rId95" display="=@IF(U501+V501=1,&quot;GROSS PROFIT/(LOSS)&quot;,IF((U501+V501=2),&quot;GROSS PROFIT&quot;,&quot;GROSS LOSS&quot;))" xr:uid="{D7444156-9A74-49DB-80AB-DAB6FCA43FFF}"/>
    <hyperlink ref="D593" r:id="rId96" display="=@if(Criteria!F343=&quot;No&quot;,Criteria!G346,&quot; &quot;)" xr:uid="{00000000-0004-0000-0000-00002E000000}"/>
    <hyperlink ref="D594" r:id="rId97" display="=@if(Criteria!F343=&quot;No&quot;,Criteria!G346,&quot; &quot;)" xr:uid="{00000000-0004-0000-0000-00002F000000}"/>
    <hyperlink ref="D595" r:id="rId98" display="=@if(Criteria!F343=&quot;No&quot;,Criteria!G346,&quot; &quot;)" xr:uid="{ABBD437E-8496-4E8E-A8BB-7CA04DCA2EC5}"/>
    <hyperlink ref="D639" r:id="rId99" display="=@IF(U501+V501=1,&quot;GROSS PROFIT/(LOSS)&quot;,IF((U501+V501=2),&quot;GROSS PROFIT&quot;,&quot;GROSS LOSS&quot;))" xr:uid="{7E20FD16-7755-4461-B84D-8AE4F1006A07}"/>
    <hyperlink ref="D823" r:id="rId100" display="=@IF(U501+V501=1,&quot;GROSS PROFIT/(LOSS)&quot;,IF((U501+V501=2),&quot;GROSS PROFIT&quot;,&quot;GROSS LOSS&quot;))" xr:uid="{C9F3A9B3-E88D-4229-9B2D-5A9D2B413F4C}"/>
  </hyperlinks>
  <pageMargins left="0.7" right="0.7" top="0.75" bottom="0.75" header="0.3" footer="0.3"/>
  <pageSetup paperSize="9" scale="43" fitToHeight="0" orientation="portrait" r:id="rId101"/>
  <headerFooter alignWithMargins="0"/>
  <drawing r:id="rId102"/>
  <picture r:id="rId1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9AF2F-FC1D-47B0-9D38-21C2905CA49A}">
  <sheetPr>
    <pageSetUpPr fitToPage="1"/>
  </sheetPr>
  <dimension ref="A2:J2600"/>
  <sheetViews>
    <sheetView zoomScale="87" zoomScaleNormal="87" workbookViewId="0">
      <pane xSplit="2" ySplit="4" topLeftCell="C5" activePane="bottomRight" state="frozen"/>
      <selection pane="topRight" activeCell="C1" sqref="C1"/>
      <selection pane="bottomLeft" activeCell="A5" sqref="A5"/>
      <selection pane="bottomRight" activeCell="C10" sqref="C10"/>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10" width="16" style="2" bestFit="1" customWidth="1"/>
    <col min="11" max="16384" width="9.140625" style="150"/>
  </cols>
  <sheetData>
    <row r="2" spans="2:8" ht="52.5" customHeight="1" x14ac:dyDescent="0.25">
      <c r="C2" s="149" t="str">
        <f>Criteria!E9</f>
        <v>ABC COMPANY (PROPRIETARY) LIMITED</v>
      </c>
      <c r="D2" s="216"/>
      <c r="E2" s="216"/>
      <c r="G2" s="148" t="s">
        <v>96</v>
      </c>
      <c r="H2" s="148"/>
    </row>
    <row r="3" spans="2:8" x14ac:dyDescent="0.25">
      <c r="C3" s="3" t="s">
        <v>95</v>
      </c>
      <c r="D3" s="3"/>
      <c r="E3" s="3" t="str">
        <f>Criteria!E20</f>
        <v>28 FEBRUARY 2026</v>
      </c>
    </row>
    <row r="4" spans="2:8" ht="52.5" customHeight="1" x14ac:dyDescent="0.25">
      <c r="C4" s="190" t="s">
        <v>471</v>
      </c>
      <c r="G4" s="148" t="s">
        <v>97</v>
      </c>
      <c r="H4" s="148"/>
    </row>
    <row r="5" spans="2:8" ht="15.75" customHeight="1" x14ac:dyDescent="0.25">
      <c r="G5" s="28"/>
      <c r="H5" s="28"/>
    </row>
    <row r="6" spans="2:8" ht="15.75" customHeight="1" x14ac:dyDescent="0.25">
      <c r="G6" s="28"/>
      <c r="H6" s="28"/>
    </row>
    <row r="7" spans="2:8" x14ac:dyDescent="0.25">
      <c r="B7" s="111" t="s">
        <v>638</v>
      </c>
      <c r="C7" s="3" t="s">
        <v>646</v>
      </c>
      <c r="G7" s="28"/>
      <c r="H7" s="28"/>
    </row>
    <row r="8" spans="2:8" x14ac:dyDescent="0.25">
      <c r="C8" s="7"/>
      <c r="D8" s="7"/>
      <c r="E8" s="7"/>
      <c r="F8" s="7"/>
      <c r="G8" s="143"/>
      <c r="H8" s="143"/>
    </row>
    <row r="10" spans="2:8" x14ac:dyDescent="0.25">
      <c r="G10" s="5">
        <f>Criteria!E22</f>
        <v>2026</v>
      </c>
      <c r="H10" s="5">
        <f>Criteria!E27</f>
        <v>2025</v>
      </c>
    </row>
    <row r="11" spans="2:8" x14ac:dyDescent="0.25">
      <c r="G11" s="144"/>
      <c r="H11" s="144"/>
    </row>
    <row r="12" spans="2:8" x14ac:dyDescent="0.25">
      <c r="C12" s="31"/>
      <c r="G12" s="144"/>
      <c r="H12" s="144"/>
    </row>
    <row r="13" spans="2:8" s="2" customFormat="1" x14ac:dyDescent="0.25">
      <c r="G13" s="144"/>
      <c r="H13" s="144"/>
    </row>
    <row r="14" spans="2:8" s="2" customFormat="1" x14ac:dyDescent="0.25">
      <c r="G14" s="144"/>
      <c r="H14" s="144"/>
    </row>
    <row r="15" spans="2:8" s="2" customFormat="1" x14ac:dyDescent="0.25">
      <c r="G15" s="144"/>
      <c r="H15" s="144"/>
    </row>
    <row r="16" spans="2:8" s="2" customFormat="1" x14ac:dyDescent="0.25">
      <c r="G16" s="144"/>
      <c r="H16" s="144"/>
    </row>
    <row r="17" spans="2:8" s="2" customFormat="1" x14ac:dyDescent="0.25">
      <c r="G17" s="144"/>
      <c r="H17" s="144"/>
    </row>
    <row r="18" spans="2:8" s="2" customFormat="1" ht="16.5" thickBot="1" x14ac:dyDescent="0.3">
      <c r="G18" s="146">
        <f>SUM(G11:G17)</f>
        <v>0</v>
      </c>
      <c r="H18" s="146">
        <f>SUM(H11:H17)</f>
        <v>0</v>
      </c>
    </row>
    <row r="19" spans="2:8" s="2" customFormat="1" ht="16.5" thickTop="1" x14ac:dyDescent="0.25">
      <c r="G19" s="144"/>
      <c r="H19" s="144"/>
    </row>
    <row r="20" spans="2:8" s="2" customFormat="1" x14ac:dyDescent="0.25">
      <c r="C20" s="1" t="s">
        <v>640</v>
      </c>
      <c r="D20" s="1"/>
      <c r="E20" s="1"/>
      <c r="F20" s="1"/>
      <c r="G20" s="8">
        <f>G18+TrialBalance!L380</f>
        <v>0</v>
      </c>
      <c r="H20" s="8">
        <f>H18+TrialBalance!N380</f>
        <v>0</v>
      </c>
    </row>
    <row r="21" spans="2:8" s="2" customFormat="1" x14ac:dyDescent="0.25">
      <c r="G21" s="144"/>
      <c r="H21" s="144"/>
    </row>
    <row r="22" spans="2:8" s="2" customFormat="1" x14ac:dyDescent="0.25">
      <c r="G22" s="144"/>
      <c r="H22" s="144"/>
    </row>
    <row r="23" spans="2:8" s="2" customFormat="1" x14ac:dyDescent="0.25">
      <c r="G23" s="144"/>
      <c r="H23" s="144"/>
    </row>
    <row r="24" spans="2:8" s="2" customFormat="1" x14ac:dyDescent="0.25">
      <c r="B24" s="111" t="s">
        <v>639</v>
      </c>
      <c r="C24" s="3" t="s">
        <v>624</v>
      </c>
      <c r="G24" s="28"/>
      <c r="H24" s="28"/>
    </row>
    <row r="25" spans="2:8" s="2" customFormat="1" x14ac:dyDescent="0.25">
      <c r="C25" s="7"/>
      <c r="D25" s="7"/>
      <c r="E25" s="7"/>
      <c r="F25" s="7"/>
      <c r="G25" s="143"/>
      <c r="H25" s="143"/>
    </row>
    <row r="26" spans="2:8" s="2" customFormat="1" x14ac:dyDescent="0.25">
      <c r="G26" s="5"/>
      <c r="H26" s="5"/>
    </row>
    <row r="27" spans="2:8" s="2" customFormat="1" x14ac:dyDescent="0.25">
      <c r="G27" s="5">
        <f>Criteria!E22</f>
        <v>2026</v>
      </c>
      <c r="H27" s="5">
        <f>Criteria!E27</f>
        <v>2025</v>
      </c>
    </row>
    <row r="28" spans="2:8" s="2" customFormat="1" x14ac:dyDescent="0.25">
      <c r="G28" s="144"/>
      <c r="H28" s="144"/>
    </row>
    <row r="29" spans="2:8" s="2" customFormat="1" x14ac:dyDescent="0.25">
      <c r="G29" s="4"/>
      <c r="H29" s="4"/>
    </row>
    <row r="30" spans="2:8" s="2" customFormat="1" x14ac:dyDescent="0.25">
      <c r="G30" s="4"/>
      <c r="H30" s="144"/>
    </row>
    <row r="31" spans="2:8" s="2" customFormat="1" x14ac:dyDescent="0.25">
      <c r="G31" s="4"/>
      <c r="H31" s="4"/>
    </row>
    <row r="32" spans="2:8" s="2" customFormat="1" x14ac:dyDescent="0.25">
      <c r="G32" s="4"/>
      <c r="H32" s="4"/>
    </row>
    <row r="33" spans="2:8" s="2" customFormat="1" x14ac:dyDescent="0.25">
      <c r="G33" s="144"/>
      <c r="H33" s="144"/>
    </row>
    <row r="34" spans="2:8" s="2" customFormat="1" x14ac:dyDescent="0.25">
      <c r="G34" s="144"/>
      <c r="H34" s="144"/>
    </row>
    <row r="35" spans="2:8" s="2" customFormat="1" ht="16.5" thickBot="1" x14ac:dyDescent="0.3">
      <c r="G35" s="146">
        <f>SUM(G28:G34)</f>
        <v>0</v>
      </c>
      <c r="H35" s="146">
        <f>SUM(H28:H34)</f>
        <v>0</v>
      </c>
    </row>
    <row r="36" spans="2:8" s="2" customFormat="1" ht="16.5" thickTop="1" x14ac:dyDescent="0.25">
      <c r="G36" s="144"/>
      <c r="H36" s="144"/>
    </row>
    <row r="37" spans="2:8" s="2" customFormat="1" x14ac:dyDescent="0.25">
      <c r="C37" s="1" t="s">
        <v>640</v>
      </c>
      <c r="D37" s="1"/>
      <c r="E37" s="1"/>
      <c r="F37" s="1"/>
      <c r="G37" s="8">
        <f>G35+TrialBalance!L381</f>
        <v>0</v>
      </c>
      <c r="H37" s="8">
        <f>H35+TrialBalance!N381</f>
        <v>0</v>
      </c>
    </row>
    <row r="38" spans="2:8" s="2" customFormat="1" x14ac:dyDescent="0.25">
      <c r="G38" s="144"/>
      <c r="H38" s="144"/>
    </row>
    <row r="39" spans="2:8" s="2" customFormat="1" x14ac:dyDescent="0.25">
      <c r="G39" s="144"/>
      <c r="H39" s="144"/>
    </row>
    <row r="40" spans="2:8" s="2" customFormat="1" x14ac:dyDescent="0.25">
      <c r="G40" s="144"/>
      <c r="H40" s="144"/>
    </row>
    <row r="41" spans="2:8" s="2" customFormat="1" x14ac:dyDescent="0.25">
      <c r="B41" s="111" t="s">
        <v>641</v>
      </c>
      <c r="C41" s="3" t="s">
        <v>1092</v>
      </c>
      <c r="G41" s="28"/>
      <c r="H41" s="28"/>
    </row>
    <row r="42" spans="2:8" s="2" customFormat="1" x14ac:dyDescent="0.25">
      <c r="C42" s="7"/>
      <c r="D42" s="7"/>
      <c r="E42" s="7"/>
      <c r="F42" s="7"/>
      <c r="G42" s="143"/>
      <c r="H42" s="143"/>
    </row>
    <row r="43" spans="2:8" s="2" customFormat="1" x14ac:dyDescent="0.25">
      <c r="G43" s="5"/>
      <c r="H43" s="5"/>
    </row>
    <row r="44" spans="2:8" s="2" customFormat="1" x14ac:dyDescent="0.25">
      <c r="G44" s="5">
        <f>Criteria!E22</f>
        <v>2026</v>
      </c>
      <c r="H44" s="5">
        <f>Criteria!E27</f>
        <v>2025</v>
      </c>
    </row>
    <row r="45" spans="2:8" s="2" customFormat="1" x14ac:dyDescent="0.25">
      <c r="G45" s="144"/>
      <c r="H45" s="144"/>
    </row>
    <row r="46" spans="2:8" s="2" customFormat="1" x14ac:dyDescent="0.25">
      <c r="G46" s="4"/>
      <c r="H46" s="4"/>
    </row>
    <row r="47" spans="2:8" x14ac:dyDescent="0.25">
      <c r="G47" s="144"/>
      <c r="H47" s="144"/>
    </row>
    <row r="48" spans="2:8" x14ac:dyDescent="0.25">
      <c r="G48" s="4"/>
      <c r="H48" s="4"/>
    </row>
    <row r="49" spans="2:10" x14ac:dyDescent="0.25">
      <c r="G49" s="4"/>
      <c r="H49" s="4"/>
    </row>
    <row r="50" spans="2:10" x14ac:dyDescent="0.25">
      <c r="G50" s="144"/>
      <c r="H50" s="144"/>
    </row>
    <row r="51" spans="2:10" x14ac:dyDescent="0.25">
      <c r="G51" s="144"/>
      <c r="H51" s="144"/>
    </row>
    <row r="52" spans="2:10" ht="16.5" thickBot="1" x14ac:dyDescent="0.3">
      <c r="G52" s="146">
        <f>SUM(G45:G51)</f>
        <v>0</v>
      </c>
      <c r="H52" s="146">
        <f>SUM(H45:H51)</f>
        <v>0</v>
      </c>
    </row>
    <row r="53" spans="2:10" ht="16.5" thickTop="1" x14ac:dyDescent="0.25">
      <c r="G53" s="144"/>
      <c r="H53" s="144"/>
    </row>
    <row r="54" spans="2:10" x14ac:dyDescent="0.25">
      <c r="C54" s="1" t="s">
        <v>640</v>
      </c>
      <c r="D54" s="1"/>
      <c r="E54" s="1"/>
      <c r="F54" s="1"/>
      <c r="G54" s="8">
        <f>G52+TrialBalance!L382</f>
        <v>0</v>
      </c>
      <c r="H54" s="8">
        <f>H52+TrialBalance!N382</f>
        <v>0</v>
      </c>
    </row>
    <row r="58" spans="2:10" x14ac:dyDescent="0.25">
      <c r="B58" s="111" t="s">
        <v>643</v>
      </c>
      <c r="C58" s="3" t="s">
        <v>625</v>
      </c>
      <c r="G58" s="28"/>
      <c r="H58" s="28"/>
    </row>
    <row r="59" spans="2:10" x14ac:dyDescent="0.25">
      <c r="C59" s="7"/>
      <c r="D59" s="7"/>
      <c r="E59" s="7"/>
      <c r="F59" s="7"/>
      <c r="G59" s="143"/>
      <c r="H59" s="143"/>
    </row>
    <row r="61" spans="2:10" x14ac:dyDescent="0.25">
      <c r="G61" s="5">
        <f>Criteria!E22</f>
        <v>2026</v>
      </c>
      <c r="H61" s="5">
        <f>Criteria!E27</f>
        <v>2025</v>
      </c>
    </row>
    <row r="63" spans="2:10" x14ac:dyDescent="0.25">
      <c r="G63" s="4"/>
      <c r="H63" s="4"/>
      <c r="I63" s="4"/>
    </row>
    <row r="64" spans="2:10" x14ac:dyDescent="0.25">
      <c r="G64" s="4"/>
      <c r="H64" s="4"/>
      <c r="I64" s="4"/>
      <c r="J64" s="17"/>
    </row>
    <row r="65" spans="2:9" x14ac:dyDescent="0.25">
      <c r="G65" s="4"/>
      <c r="H65" s="4"/>
      <c r="I65" s="4"/>
    </row>
    <row r="66" spans="2:9" x14ac:dyDescent="0.25">
      <c r="G66" s="4"/>
      <c r="H66" s="4"/>
      <c r="I66" s="4"/>
    </row>
    <row r="67" spans="2:9" x14ac:dyDescent="0.25">
      <c r="G67" s="4"/>
      <c r="H67" s="4"/>
      <c r="I67" s="4"/>
    </row>
    <row r="68" spans="2:9" x14ac:dyDescent="0.25">
      <c r="G68" s="4"/>
      <c r="H68" s="4"/>
      <c r="I68" s="4"/>
    </row>
    <row r="69" spans="2:9" x14ac:dyDescent="0.25">
      <c r="G69" s="4"/>
      <c r="H69" s="4"/>
      <c r="I69" s="4"/>
    </row>
    <row r="70" spans="2:9" x14ac:dyDescent="0.25">
      <c r="G70" s="4"/>
      <c r="H70" s="4"/>
      <c r="I70" s="4"/>
    </row>
    <row r="71" spans="2:9" x14ac:dyDescent="0.25">
      <c r="G71" s="4"/>
      <c r="H71" s="4"/>
      <c r="I71" s="4"/>
    </row>
    <row r="72" spans="2:9" ht="16.5" thickBot="1" x14ac:dyDescent="0.3">
      <c r="G72" s="146">
        <f>SUM(G62:G71)</f>
        <v>0</v>
      </c>
      <c r="H72" s="146">
        <f>SUM(H62:H71)</f>
        <v>0</v>
      </c>
    </row>
    <row r="73" spans="2:9" ht="16.5" thickTop="1" x14ac:dyDescent="0.25">
      <c r="G73" s="144"/>
      <c r="H73" s="144"/>
    </row>
    <row r="74" spans="2:9" x14ac:dyDescent="0.25">
      <c r="C74" s="1" t="s">
        <v>640</v>
      </c>
      <c r="D74" s="1"/>
      <c r="E74" s="1"/>
      <c r="F74" s="1"/>
      <c r="G74" s="8">
        <f>G72+TrialBalance!L383</f>
        <v>0</v>
      </c>
      <c r="H74" s="8">
        <f>H72+TrialBalance!N383</f>
        <v>0</v>
      </c>
    </row>
    <row r="78" spans="2:9" x14ac:dyDescent="0.25">
      <c r="B78" s="111" t="s">
        <v>644</v>
      </c>
      <c r="C78" s="3" t="s">
        <v>626</v>
      </c>
      <c r="G78" s="28"/>
      <c r="H78" s="28"/>
    </row>
    <row r="79" spans="2:9" x14ac:dyDescent="0.25">
      <c r="C79" s="7"/>
      <c r="D79" s="7"/>
      <c r="E79" s="7"/>
      <c r="F79" s="7"/>
      <c r="G79" s="143"/>
      <c r="H79" s="143"/>
    </row>
    <row r="81" spans="3:8" x14ac:dyDescent="0.25">
      <c r="G81" s="5">
        <f>Criteria!E22</f>
        <v>2026</v>
      </c>
      <c r="H81" s="5">
        <f>Criteria!E27</f>
        <v>2025</v>
      </c>
    </row>
    <row r="82" spans="3:8" x14ac:dyDescent="0.25">
      <c r="G82" s="144"/>
      <c r="H82" s="144"/>
    </row>
    <row r="83" spans="3:8" x14ac:dyDescent="0.25">
      <c r="C83" s="31"/>
      <c r="G83" s="4"/>
      <c r="H83" s="4"/>
    </row>
    <row r="84" spans="3:8" x14ac:dyDescent="0.25">
      <c r="G84" s="4"/>
      <c r="H84" s="4"/>
    </row>
    <row r="85" spans="3:8" x14ac:dyDescent="0.25">
      <c r="C85" s="31"/>
      <c r="G85" s="4"/>
      <c r="H85" s="4"/>
    </row>
    <row r="86" spans="3:8" x14ac:dyDescent="0.25">
      <c r="C86" s="151"/>
      <c r="G86" s="4"/>
      <c r="H86" s="4"/>
    </row>
    <row r="87" spans="3:8" x14ac:dyDescent="0.25">
      <c r="G87" s="4"/>
      <c r="H87" s="4"/>
    </row>
    <row r="88" spans="3:8" x14ac:dyDescent="0.25">
      <c r="G88" s="144"/>
      <c r="H88" s="144"/>
    </row>
    <row r="89" spans="3:8" ht="16.5" thickBot="1" x14ac:dyDescent="0.3">
      <c r="G89" s="146">
        <f>SUM(G82:G88)</f>
        <v>0</v>
      </c>
      <c r="H89" s="146">
        <f>SUM(H82:H88)</f>
        <v>0</v>
      </c>
    </row>
    <row r="90" spans="3:8" ht="16.5" thickTop="1" x14ac:dyDescent="0.25">
      <c r="G90" s="144"/>
      <c r="H90" s="144"/>
    </row>
    <row r="91" spans="3:8" x14ac:dyDescent="0.25">
      <c r="C91" s="1" t="s">
        <v>640</v>
      </c>
      <c r="D91" s="1"/>
      <c r="E91" s="1"/>
      <c r="F91" s="1"/>
      <c r="G91" s="8">
        <f>G89+TrialBalance!L384</f>
        <v>0</v>
      </c>
      <c r="H91" s="8">
        <f>H89+TrialBalance!N384</f>
        <v>0</v>
      </c>
    </row>
    <row r="2600" spans="7:9" s="2" customFormat="1" x14ac:dyDescent="0.25">
      <c r="G2600" s="5"/>
      <c r="H2600" s="5"/>
      <c r="I2600" s="32"/>
    </row>
  </sheetData>
  <hyperlinks>
    <hyperlink ref="C4" location="TrialBalance!A1" display="CREDITORS" xr:uid="{25059F72-F2E2-4E52-8BE9-6558C5509CD9}"/>
  </hyperlinks>
  <pageMargins left="0.75" right="0.75" top="1" bottom="1" header="0.5" footer="0.5"/>
  <pageSetup paperSize="9" scale="74" fitToHeight="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EA3D4-76EF-474F-B588-887BE57D807E}">
  <sheetPr>
    <pageSetUpPr fitToPage="1"/>
  </sheetPr>
  <dimension ref="A2:J2483"/>
  <sheetViews>
    <sheetView zoomScale="87" zoomScaleNormal="87" workbookViewId="0">
      <pane xSplit="4" ySplit="6" topLeftCell="E7" activePane="bottomRight" state="frozen"/>
      <selection pane="topRight" activeCell="E1" sqref="E1"/>
      <selection pane="bottomLeft" activeCell="A7" sqref="A7"/>
      <selection pane="bottomRight" activeCell="C12" sqref="C12"/>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50"/>
  </cols>
  <sheetData>
    <row r="2" spans="3:8" ht="52.5" customHeight="1" x14ac:dyDescent="0.25">
      <c r="C2" s="149" t="str">
        <f>Criteria!E9</f>
        <v>ABC COMPANY (PROPRIETARY) LIMITED</v>
      </c>
      <c r="D2" s="216"/>
      <c r="E2" s="216"/>
      <c r="G2" s="148" t="s">
        <v>96</v>
      </c>
      <c r="H2" s="148"/>
    </row>
    <row r="3" spans="3:8" x14ac:dyDescent="0.25">
      <c r="C3" s="3" t="s">
        <v>95</v>
      </c>
      <c r="D3" s="3"/>
      <c r="E3" s="3" t="str">
        <f>Criteria!E20</f>
        <v>28 FEBRUARY 2026</v>
      </c>
    </row>
    <row r="4" spans="3:8" ht="52.5" customHeight="1" x14ac:dyDescent="0.25">
      <c r="C4" s="190" t="s">
        <v>795</v>
      </c>
      <c r="G4" s="148" t="s">
        <v>97</v>
      </c>
      <c r="H4" s="148"/>
    </row>
    <row r="5" spans="3:8" ht="15.75" customHeight="1" x14ac:dyDescent="0.25">
      <c r="G5" s="28"/>
      <c r="H5" s="28"/>
    </row>
    <row r="6" spans="3:8" x14ac:dyDescent="0.25">
      <c r="G6" s="5">
        <f>Criteria!E22</f>
        <v>2026</v>
      </c>
      <c r="H6" s="5">
        <f>Criteria!E27</f>
        <v>2025</v>
      </c>
    </row>
    <row r="7" spans="3:8" x14ac:dyDescent="0.25">
      <c r="G7" s="144"/>
      <c r="H7" s="144"/>
    </row>
    <row r="8" spans="3:8" x14ac:dyDescent="0.25">
      <c r="C8" s="20" t="s">
        <v>802</v>
      </c>
      <c r="G8" s="144"/>
      <c r="H8" s="144"/>
    </row>
    <row r="9" spans="3:8" x14ac:dyDescent="0.25">
      <c r="G9" s="144"/>
      <c r="H9" s="144"/>
    </row>
    <row r="10" spans="3:8" x14ac:dyDescent="0.25">
      <c r="G10" s="144"/>
      <c r="H10" s="144"/>
    </row>
    <row r="11" spans="3:8" x14ac:dyDescent="0.25">
      <c r="G11" s="144"/>
      <c r="H11" s="144"/>
    </row>
    <row r="12" spans="3:8" x14ac:dyDescent="0.25">
      <c r="G12" s="144"/>
      <c r="H12" s="144"/>
    </row>
    <row r="13" spans="3:8" x14ac:dyDescent="0.25">
      <c r="G13" s="144"/>
      <c r="H13" s="144"/>
    </row>
    <row r="14" spans="3:8" x14ac:dyDescent="0.25">
      <c r="G14" s="144"/>
      <c r="H14" s="144"/>
    </row>
    <row r="15" spans="3:8" x14ac:dyDescent="0.25">
      <c r="G15" s="144"/>
      <c r="H15" s="144"/>
    </row>
    <row r="16" spans="3:8" s="2" customFormat="1" x14ac:dyDescent="0.25">
      <c r="G16" s="144"/>
      <c r="H16" s="144"/>
    </row>
    <row r="17" spans="3:8" s="2" customFormat="1" ht="16.5" thickBot="1" x14ac:dyDescent="0.3">
      <c r="G17" s="146">
        <f>SUM(G7:G16)</f>
        <v>0</v>
      </c>
      <c r="H17" s="146">
        <f>SUM(H7:H16)</f>
        <v>0</v>
      </c>
    </row>
    <row r="18" spans="3:8" s="2" customFormat="1" ht="16.5" thickTop="1" x14ac:dyDescent="0.25">
      <c r="G18" s="144"/>
      <c r="H18" s="144"/>
    </row>
    <row r="19" spans="3:8" x14ac:dyDescent="0.25">
      <c r="C19" s="1" t="s">
        <v>640</v>
      </c>
      <c r="G19" s="144">
        <f>(TrialBalance!L40+TrialBalanceA!I40+TrialBalanceB!I40+TrialBalanceC!I40)-G17</f>
        <v>0</v>
      </c>
      <c r="H19" s="144">
        <f>(TrialBalance!N40+TrialBalanceA!K40+TrialBalanceB!K40+TrialBalanceC!K40)-H17</f>
        <v>0</v>
      </c>
    </row>
    <row r="22" spans="3:8" x14ac:dyDescent="0.25">
      <c r="C22" s="20" t="s">
        <v>803</v>
      </c>
      <c r="G22" s="144"/>
      <c r="H22" s="144"/>
    </row>
    <row r="23" spans="3:8" x14ac:dyDescent="0.25">
      <c r="G23" s="144"/>
      <c r="H23" s="144"/>
    </row>
    <row r="24" spans="3:8" x14ac:dyDescent="0.25">
      <c r="G24" s="144"/>
      <c r="H24" s="144"/>
    </row>
    <row r="25" spans="3:8" x14ac:dyDescent="0.25">
      <c r="G25" s="144"/>
      <c r="H25" s="144"/>
    </row>
    <row r="26" spans="3:8" x14ac:dyDescent="0.25">
      <c r="G26" s="144"/>
      <c r="H26" s="144"/>
    </row>
    <row r="27" spans="3:8" x14ac:dyDescent="0.25">
      <c r="G27" s="144"/>
      <c r="H27" s="144"/>
    </row>
    <row r="28" spans="3:8" x14ac:dyDescent="0.25">
      <c r="G28" s="144"/>
      <c r="H28" s="144"/>
    </row>
    <row r="29" spans="3:8" x14ac:dyDescent="0.25">
      <c r="G29" s="144"/>
      <c r="H29" s="144"/>
    </row>
    <row r="30" spans="3:8" x14ac:dyDescent="0.25">
      <c r="G30" s="144"/>
      <c r="H30" s="144"/>
    </row>
    <row r="31" spans="3:8" ht="16.5" thickBot="1" x14ac:dyDescent="0.3">
      <c r="G31" s="146">
        <f>SUM(G23:G30)</f>
        <v>0</v>
      </c>
      <c r="H31" s="146">
        <f>SUM(H23:H30)</f>
        <v>0</v>
      </c>
    </row>
    <row r="32" spans="3:8" ht="16.5" thickTop="1" x14ac:dyDescent="0.25">
      <c r="G32" s="144"/>
      <c r="H32" s="144"/>
    </row>
    <row r="33" spans="3:8" x14ac:dyDescent="0.25">
      <c r="C33" s="1" t="s">
        <v>640</v>
      </c>
      <c r="G33" s="144">
        <f>(TrialBalance!L50+TrialBalanceA!I50+TrialBalanceB!I50+TrialBalanceC!I50)-G31</f>
        <v>0</v>
      </c>
      <c r="H33" s="144">
        <f>(TrialBalance!N50+TrialBalanceA!K50+TrialBalanceB!K50+TrialBalanceC!K50)-H31</f>
        <v>0</v>
      </c>
    </row>
    <row r="2483" spans="7:9" s="2" customFormat="1" x14ac:dyDescent="0.25">
      <c r="G2483" s="5"/>
      <c r="H2483" s="5"/>
      <c r="I2483" s="32"/>
    </row>
  </sheetData>
  <hyperlinks>
    <hyperlink ref="C4" location="TrialBalance!A1" display="EXPENSES" xr:uid="{1A26ACC8-1272-457D-AD6A-4918B8752794}"/>
  </hyperlinks>
  <pageMargins left="0.75" right="0.75" top="1" bottom="1" header="0.5" footer="0.5"/>
  <pageSetup paperSize="9" scale="76" fitToHeight="0"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2:J2483"/>
  <sheetViews>
    <sheetView zoomScale="87" zoomScaleNormal="87" workbookViewId="0">
      <pane xSplit="2" ySplit="4" topLeftCell="C5" activePane="bottomRight" state="frozen"/>
      <selection pane="topRight" activeCell="C1" sqref="C1"/>
      <selection pane="bottomLeft" activeCell="A5" sqref="A5"/>
      <selection pane="bottomRight" activeCell="E2" sqref="E2"/>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50"/>
  </cols>
  <sheetData>
    <row r="2" spans="3:8" ht="52.5" customHeight="1" x14ac:dyDescent="0.25">
      <c r="C2" s="149" t="str">
        <f>Criteria!E9</f>
        <v>ABC COMPANY (PROPRIETARY) LIMITED</v>
      </c>
      <c r="D2" s="216"/>
      <c r="E2" s="216"/>
      <c r="G2" s="148" t="s">
        <v>96</v>
      </c>
      <c r="H2" s="148"/>
    </row>
    <row r="3" spans="3:8" x14ac:dyDescent="0.25">
      <c r="C3" s="3" t="s">
        <v>95</v>
      </c>
      <c r="D3" s="3"/>
      <c r="E3" s="3" t="str">
        <f>Criteria!E20</f>
        <v>28 FEBRUARY 2026</v>
      </c>
    </row>
    <row r="4" spans="3:8" ht="52.5" customHeight="1" x14ac:dyDescent="0.25">
      <c r="C4" s="147"/>
      <c r="G4" s="148" t="s">
        <v>97</v>
      </c>
      <c r="H4" s="148"/>
    </row>
    <row r="5" spans="3:8" ht="15.75" customHeight="1" x14ac:dyDescent="0.25">
      <c r="G5" s="28"/>
      <c r="H5" s="28"/>
    </row>
    <row r="6" spans="3:8" x14ac:dyDescent="0.25">
      <c r="G6" s="5">
        <f>Criteria!E22</f>
        <v>2026</v>
      </c>
      <c r="H6" s="5">
        <f>Criteria!E27</f>
        <v>2025</v>
      </c>
    </row>
    <row r="7" spans="3:8" x14ac:dyDescent="0.25">
      <c r="G7" s="144"/>
      <c r="H7" s="144"/>
    </row>
    <row r="8" spans="3:8" x14ac:dyDescent="0.25">
      <c r="G8" s="144"/>
      <c r="H8" s="144"/>
    </row>
    <row r="9" spans="3:8" x14ac:dyDescent="0.25">
      <c r="G9" s="144"/>
      <c r="H9" s="144"/>
    </row>
    <row r="10" spans="3:8" x14ac:dyDescent="0.25">
      <c r="G10" s="144"/>
      <c r="H10" s="144"/>
    </row>
    <row r="11" spans="3:8" x14ac:dyDescent="0.25">
      <c r="G11" s="144"/>
      <c r="H11" s="144"/>
    </row>
    <row r="12" spans="3:8" x14ac:dyDescent="0.25">
      <c r="G12" s="144"/>
      <c r="H12" s="144"/>
    </row>
    <row r="13" spans="3:8" x14ac:dyDescent="0.25">
      <c r="G13" s="144"/>
      <c r="H13" s="144"/>
    </row>
    <row r="14" spans="3:8" x14ac:dyDescent="0.25">
      <c r="G14" s="144"/>
      <c r="H14" s="144"/>
    </row>
    <row r="15" spans="3:8" x14ac:dyDescent="0.25">
      <c r="G15" s="144"/>
      <c r="H15" s="144"/>
    </row>
    <row r="16" spans="3:8" s="2" customFormat="1" x14ac:dyDescent="0.25">
      <c r="G16" s="144"/>
      <c r="H16" s="144"/>
    </row>
    <row r="17" spans="3:8" s="2" customFormat="1" ht="16.5" thickBot="1" x14ac:dyDescent="0.3">
      <c r="G17" s="146">
        <f>SUM(G7:G16)</f>
        <v>0</v>
      </c>
      <c r="H17" s="146">
        <f>SUM(H7:H16)</f>
        <v>0</v>
      </c>
    </row>
    <row r="18" spans="3:8" s="2" customFormat="1" ht="16.5" thickTop="1" x14ac:dyDescent="0.25">
      <c r="G18" s="144"/>
      <c r="H18" s="144"/>
    </row>
    <row r="19" spans="3:8" x14ac:dyDescent="0.25">
      <c r="C19" s="1" t="s">
        <v>640</v>
      </c>
      <c r="G19" s="144"/>
      <c r="H19" s="144"/>
    </row>
    <row r="2483" spans="7:9" s="2" customFormat="1" x14ac:dyDescent="0.25">
      <c r="G2483" s="5"/>
      <c r="H2483" s="5"/>
      <c r="I2483" s="32"/>
    </row>
  </sheetData>
  <pageMargins left="0.75" right="0.75" top="1" bottom="1" header="0.5" footer="0.5"/>
  <pageSetup paperSize="9" scale="76" fitToHeight="0"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B21F1-6B60-4F26-8E77-AFE607268D65}">
  <sheetPr>
    <pageSetUpPr fitToPage="1"/>
  </sheetPr>
  <dimension ref="A2:J2487"/>
  <sheetViews>
    <sheetView zoomScale="87" zoomScaleNormal="87" workbookViewId="0">
      <pane xSplit="2" ySplit="4" topLeftCell="C5" activePane="bottomRight" state="frozen"/>
      <selection pane="topRight" activeCell="C1" sqref="C1"/>
      <selection pane="bottomLeft" activeCell="A5" sqref="A5"/>
      <selection pane="bottomRight" activeCell="F18" sqref="F18"/>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3.28515625" style="2" bestFit="1" customWidth="1"/>
    <col min="11" max="16384" width="9.140625" style="150"/>
  </cols>
  <sheetData>
    <row r="2" spans="3:8" ht="52.5" customHeight="1" x14ac:dyDescent="0.25">
      <c r="C2" s="149" t="str">
        <f>Criteria!E9</f>
        <v>ABC COMPANY (PROPRIETARY) LIMITED</v>
      </c>
      <c r="D2" s="216"/>
      <c r="E2" s="216"/>
      <c r="G2" s="148" t="s">
        <v>96</v>
      </c>
      <c r="H2" s="148"/>
    </row>
    <row r="3" spans="3:8" x14ac:dyDescent="0.25">
      <c r="C3" s="3" t="s">
        <v>95</v>
      </c>
      <c r="D3" s="3"/>
      <c r="E3" s="3" t="str">
        <f>Criteria!E20</f>
        <v>28 FEBRUARY 2026</v>
      </c>
    </row>
    <row r="4" spans="3:8" ht="52.5" customHeight="1" x14ac:dyDescent="0.25">
      <c r="C4" s="147"/>
      <c r="G4" s="148" t="s">
        <v>97</v>
      </c>
      <c r="H4" s="148"/>
    </row>
    <row r="5" spans="3:8" ht="15.75" customHeight="1" x14ac:dyDescent="0.25">
      <c r="G5" s="28"/>
      <c r="H5" s="28"/>
    </row>
    <row r="6" spans="3:8" x14ac:dyDescent="0.25">
      <c r="G6" s="5">
        <f>Criteria!E22</f>
        <v>2026</v>
      </c>
      <c r="H6" s="5">
        <f>Criteria!E27</f>
        <v>2025</v>
      </c>
    </row>
    <row r="7" spans="3:8" x14ac:dyDescent="0.25">
      <c r="G7" s="144"/>
      <c r="H7" s="144"/>
    </row>
    <row r="8" spans="3:8" x14ac:dyDescent="0.25">
      <c r="C8" s="137" t="s">
        <v>98</v>
      </c>
      <c r="D8" s="137"/>
      <c r="E8" s="137"/>
      <c r="F8" s="137"/>
      <c r="G8" s="138">
        <f>H21</f>
        <v>0</v>
      </c>
      <c r="H8" s="138"/>
    </row>
    <row r="9" spans="3:8" x14ac:dyDescent="0.25">
      <c r="C9" s="137"/>
      <c r="D9" s="137"/>
      <c r="E9" s="137"/>
      <c r="F9" s="137"/>
      <c r="G9" s="138"/>
      <c r="H9" s="138"/>
    </row>
    <row r="10" spans="3:8" x14ac:dyDescent="0.25">
      <c r="C10" s="137"/>
      <c r="D10" s="137"/>
      <c r="E10" s="137"/>
      <c r="F10" s="137"/>
      <c r="G10" s="137"/>
      <c r="H10" s="138"/>
    </row>
    <row r="11" spans="3:8" s="2" customFormat="1" ht="16.5" thickBot="1" x14ac:dyDescent="0.3">
      <c r="C11" s="137" t="s">
        <v>632</v>
      </c>
      <c r="D11" s="137"/>
      <c r="E11" s="137"/>
      <c r="F11" s="137"/>
      <c r="G11" s="141"/>
      <c r="H11" s="141"/>
    </row>
    <row r="12" spans="3:8" s="2" customFormat="1" ht="16.5" thickTop="1" x14ac:dyDescent="0.25">
      <c r="C12" s="137"/>
      <c r="D12" s="137"/>
      <c r="E12" s="137"/>
      <c r="F12" s="137"/>
      <c r="G12" s="139"/>
      <c r="H12" s="138"/>
    </row>
    <row r="13" spans="3:8" s="2" customFormat="1" x14ac:dyDescent="0.25">
      <c r="C13" s="137"/>
      <c r="D13" s="137"/>
      <c r="E13" s="137"/>
      <c r="F13" s="137"/>
      <c r="G13" s="139"/>
      <c r="H13" s="138"/>
    </row>
    <row r="14" spans="3:8" s="2" customFormat="1" x14ac:dyDescent="0.25">
      <c r="C14" s="137"/>
      <c r="D14" s="137"/>
      <c r="E14" s="137"/>
      <c r="F14" s="137"/>
      <c r="G14" s="139"/>
      <c r="H14" s="138"/>
    </row>
    <row r="15" spans="3:8" s="2" customFormat="1" x14ac:dyDescent="0.25">
      <c r="C15" s="137" t="s">
        <v>1406</v>
      </c>
      <c r="D15" s="137"/>
      <c r="E15" s="137"/>
      <c r="F15" s="137"/>
      <c r="G15" s="137"/>
      <c r="H15" s="138"/>
    </row>
    <row r="16" spans="3:8" s="2" customFormat="1" x14ac:dyDescent="0.25">
      <c r="C16" s="137"/>
      <c r="D16" s="137"/>
      <c r="E16" s="140">
        <v>45717</v>
      </c>
      <c r="F16" s="137">
        <v>8.5</v>
      </c>
      <c r="G16" s="137"/>
      <c r="H16" s="138"/>
    </row>
    <row r="17" spans="3:10" s="2" customFormat="1" x14ac:dyDescent="0.25">
      <c r="C17" s="137"/>
      <c r="D17" s="137"/>
      <c r="E17" s="140">
        <v>46081</v>
      </c>
      <c r="F17" s="137">
        <v>7.75</v>
      </c>
      <c r="G17" s="137"/>
      <c r="H17" s="138"/>
    </row>
    <row r="18" spans="3:10" s="2" customFormat="1" x14ac:dyDescent="0.25">
      <c r="C18" s="137"/>
      <c r="D18" s="137"/>
      <c r="E18" s="137" t="s">
        <v>633</v>
      </c>
      <c r="F18" s="137">
        <f>(F16+F17)/2</f>
        <v>8.125</v>
      </c>
      <c r="G18" s="139">
        <f>ROUND((G8+G11)/2*F18/100,0)</f>
        <v>0</v>
      </c>
      <c r="H18" s="138"/>
      <c r="I18" s="17"/>
      <c r="J18" s="17"/>
    </row>
    <row r="19" spans="3:10" s="2" customFormat="1" x14ac:dyDescent="0.25">
      <c r="G19" s="144"/>
      <c r="H19" s="144"/>
    </row>
    <row r="20" spans="3:10" s="2" customFormat="1" x14ac:dyDescent="0.25">
      <c r="G20" s="144"/>
      <c r="H20" s="144"/>
    </row>
    <row r="21" spans="3:10" s="2" customFormat="1" ht="16.5" thickBot="1" x14ac:dyDescent="0.3">
      <c r="G21" s="146">
        <f>SUM(G11:G20)</f>
        <v>0</v>
      </c>
      <c r="H21" s="146">
        <f>SUM(H11:H20)</f>
        <v>0</v>
      </c>
    </row>
    <row r="22" spans="3:10" s="2" customFormat="1" ht="16.5" thickTop="1" x14ac:dyDescent="0.25">
      <c r="G22" s="144"/>
      <c r="H22" s="144"/>
    </row>
    <row r="23" spans="3:10" s="2" customFormat="1" x14ac:dyDescent="0.25">
      <c r="C23" s="1" t="s">
        <v>640</v>
      </c>
      <c r="G23" s="144"/>
      <c r="H23" s="144"/>
    </row>
    <row r="2487" spans="7:9" s="2" customFormat="1" x14ac:dyDescent="0.25">
      <c r="G2487" s="5"/>
      <c r="H2487" s="5"/>
      <c r="I2487" s="32"/>
    </row>
  </sheetData>
  <pageMargins left="0.75" right="0.75" top="1" bottom="1" header="0.5" footer="0.5"/>
  <pageSetup paperSize="9" scale="76" fitToHeight="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B2F49-0370-4073-BDF8-E7693CDD378C}">
  <sheetPr>
    <pageSetUpPr fitToPage="1"/>
  </sheetPr>
  <dimension ref="A2:J2604"/>
  <sheetViews>
    <sheetView zoomScale="87" zoomScaleNormal="87" workbookViewId="0">
      <pane xSplit="2" ySplit="4" topLeftCell="C5" activePane="bottomRight" state="frozen"/>
      <selection pane="topRight" activeCell="C1" sqref="C1"/>
      <selection pane="bottomLeft" activeCell="A5" sqref="A5"/>
      <selection pane="bottomRight" activeCell="A17" sqref="A17"/>
    </sheetView>
  </sheetViews>
  <sheetFormatPr defaultRowHeight="15.75" x14ac:dyDescent="0.25"/>
  <cols>
    <col min="1" max="1" width="4.7109375" style="2" customWidth="1"/>
    <col min="2" max="2" width="10.570312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50"/>
  </cols>
  <sheetData>
    <row r="2" spans="2:9" ht="52.5" customHeight="1" x14ac:dyDescent="0.25">
      <c r="C2" s="149" t="str">
        <f>Criteria!E9</f>
        <v>ABC COMPANY (PROPRIETARY) LIMITED</v>
      </c>
      <c r="D2" s="216"/>
      <c r="E2" s="216"/>
      <c r="G2" s="148" t="s">
        <v>96</v>
      </c>
      <c r="H2" s="148"/>
    </row>
    <row r="3" spans="2:9" x14ac:dyDescent="0.25">
      <c r="C3" s="3" t="s">
        <v>95</v>
      </c>
      <c r="D3" s="3"/>
      <c r="E3" s="3" t="str">
        <f>Criteria!E20</f>
        <v>28 FEBRUARY 2026</v>
      </c>
    </row>
    <row r="4" spans="2:9" ht="52.5" customHeight="1" x14ac:dyDescent="0.25">
      <c r="C4" s="147"/>
      <c r="G4" s="148" t="s">
        <v>97</v>
      </c>
      <c r="H4" s="148"/>
    </row>
    <row r="5" spans="2:9" s="2" customFormat="1" ht="15.75" customHeight="1" x14ac:dyDescent="0.25">
      <c r="G5" s="28"/>
      <c r="H5" s="28"/>
    </row>
    <row r="6" spans="2:9" s="2" customFormat="1" ht="15.75" customHeight="1" x14ac:dyDescent="0.25">
      <c r="C6" s="2" t="s">
        <v>479</v>
      </c>
      <c r="E6" s="74"/>
      <c r="F6" s="72"/>
      <c r="G6" s="72"/>
      <c r="I6" s="72"/>
    </row>
    <row r="7" spans="2:9" s="2" customFormat="1" ht="15.75" customHeight="1" x14ac:dyDescent="0.25">
      <c r="E7" s="72"/>
      <c r="F7" s="72"/>
      <c r="G7" s="72"/>
      <c r="I7" s="72"/>
    </row>
    <row r="8" spans="2:9" s="2" customFormat="1" ht="15.75" customHeight="1" x14ac:dyDescent="0.25">
      <c r="C8" s="2" t="s">
        <v>480</v>
      </c>
      <c r="E8" s="74"/>
      <c r="F8" s="72"/>
      <c r="G8" s="72"/>
      <c r="I8" s="72"/>
    </row>
    <row r="9" spans="2:9" s="2" customFormat="1" ht="15.75" customHeight="1" x14ac:dyDescent="0.25">
      <c r="C9" s="2" t="s">
        <v>481</v>
      </c>
      <c r="E9" s="75"/>
      <c r="F9" s="72"/>
      <c r="G9" s="72"/>
      <c r="I9" s="72"/>
    </row>
    <row r="10" spans="2:9" s="2" customFormat="1" ht="15.75" customHeight="1" x14ac:dyDescent="0.25">
      <c r="E10" s="72"/>
      <c r="F10" s="72"/>
      <c r="G10" s="72"/>
      <c r="I10" s="72"/>
    </row>
    <row r="11" spans="2:9" s="2" customFormat="1" ht="15.75" customHeight="1" x14ac:dyDescent="0.25">
      <c r="E11" s="72"/>
      <c r="F11" s="72"/>
      <c r="G11" s="72"/>
      <c r="I11" s="72"/>
    </row>
    <row r="12" spans="2:9" s="2" customFormat="1" ht="15.75" customHeight="1" x14ac:dyDescent="0.25">
      <c r="E12" s="72"/>
      <c r="F12" s="72"/>
      <c r="G12" s="72"/>
      <c r="I12" s="72"/>
    </row>
    <row r="13" spans="2:9" s="2" customFormat="1" ht="15.75" customHeight="1" x14ac:dyDescent="0.25">
      <c r="E13" s="72"/>
      <c r="F13" s="72"/>
      <c r="G13" s="72"/>
      <c r="I13" s="72"/>
    </row>
    <row r="14" spans="2:9" s="2" customFormat="1" ht="15.75" customHeight="1" x14ac:dyDescent="0.25">
      <c r="B14" s="7" t="s">
        <v>183</v>
      </c>
      <c r="C14" s="7" t="s">
        <v>482</v>
      </c>
      <c r="D14" s="7"/>
      <c r="E14" s="76" t="s">
        <v>133</v>
      </c>
      <c r="F14" s="76" t="s">
        <v>132</v>
      </c>
      <c r="G14" s="76" t="s">
        <v>483</v>
      </c>
      <c r="I14" s="72"/>
    </row>
    <row r="15" spans="2:9" s="2" customFormat="1" ht="15.75" customHeight="1" x14ac:dyDescent="0.25">
      <c r="E15" s="72"/>
      <c r="F15" s="72"/>
      <c r="G15" s="72"/>
      <c r="I15" s="72"/>
    </row>
    <row r="16" spans="2:9" s="2" customFormat="1" ht="15.75" customHeight="1" x14ac:dyDescent="0.25">
      <c r="E16" s="72"/>
      <c r="F16" s="72"/>
      <c r="G16" s="77">
        <f>E6</f>
        <v>0</v>
      </c>
      <c r="I16" s="72"/>
    </row>
    <row r="17" spans="2:9" s="2" customFormat="1" x14ac:dyDescent="0.25">
      <c r="B17" s="2">
        <v>1</v>
      </c>
      <c r="C17" s="17">
        <f>$E$8</f>
        <v>0</v>
      </c>
      <c r="E17" s="72">
        <f>G16*$E$9/12</f>
        <v>0</v>
      </c>
      <c r="F17" s="72">
        <f>C17-E17</f>
        <v>0</v>
      </c>
      <c r="G17" s="72">
        <f t="shared" ref="G17" si="0">G16-F17</f>
        <v>0</v>
      </c>
      <c r="I17" s="72"/>
    </row>
    <row r="18" spans="2:9" s="2" customFormat="1" x14ac:dyDescent="0.25">
      <c r="B18" s="2">
        <f t="shared" ref="B18:B81" si="1">B17+1</f>
        <v>2</v>
      </c>
      <c r="C18" s="17">
        <f t="shared" ref="C18:C81" si="2">$E$8</f>
        <v>0</v>
      </c>
      <c r="E18" s="72">
        <f t="shared" ref="E18:E81" si="3">G17*$E$9/12</f>
        <v>0</v>
      </c>
      <c r="F18" s="72">
        <f t="shared" ref="F18:F81" si="4">C18-E18</f>
        <v>0</v>
      </c>
      <c r="G18" s="72">
        <f t="shared" ref="G18:G81" si="5">G17-F18</f>
        <v>0</v>
      </c>
      <c r="I18" s="72"/>
    </row>
    <row r="19" spans="2:9" s="2" customFormat="1" x14ac:dyDescent="0.25">
      <c r="B19" s="2">
        <f t="shared" si="1"/>
        <v>3</v>
      </c>
      <c r="C19" s="17">
        <f t="shared" si="2"/>
        <v>0</v>
      </c>
      <c r="E19" s="72">
        <f t="shared" si="3"/>
        <v>0</v>
      </c>
      <c r="F19" s="72">
        <f t="shared" si="4"/>
        <v>0</v>
      </c>
      <c r="G19" s="72">
        <f t="shared" si="5"/>
        <v>0</v>
      </c>
      <c r="I19" s="72"/>
    </row>
    <row r="20" spans="2:9" s="2" customFormat="1" x14ac:dyDescent="0.25">
      <c r="B20" s="2">
        <f t="shared" si="1"/>
        <v>4</v>
      </c>
      <c r="C20" s="17">
        <f t="shared" si="2"/>
        <v>0</v>
      </c>
      <c r="E20" s="72">
        <f t="shared" si="3"/>
        <v>0</v>
      </c>
      <c r="F20" s="72">
        <f t="shared" si="4"/>
        <v>0</v>
      </c>
      <c r="G20" s="72">
        <f t="shared" si="5"/>
        <v>0</v>
      </c>
      <c r="I20" s="72"/>
    </row>
    <row r="21" spans="2:9" s="2" customFormat="1" x14ac:dyDescent="0.25">
      <c r="B21" s="2">
        <f t="shared" si="1"/>
        <v>5</v>
      </c>
      <c r="C21" s="17">
        <f t="shared" si="2"/>
        <v>0</v>
      </c>
      <c r="E21" s="72">
        <f t="shared" si="3"/>
        <v>0</v>
      </c>
      <c r="F21" s="72">
        <f t="shared" si="4"/>
        <v>0</v>
      </c>
      <c r="G21" s="72">
        <f t="shared" si="5"/>
        <v>0</v>
      </c>
      <c r="I21" s="72"/>
    </row>
    <row r="22" spans="2:9" s="2" customFormat="1" x14ac:dyDescent="0.25">
      <c r="B22" s="2">
        <f t="shared" si="1"/>
        <v>6</v>
      </c>
      <c r="C22" s="17">
        <f t="shared" si="2"/>
        <v>0</v>
      </c>
      <c r="E22" s="72">
        <f t="shared" si="3"/>
        <v>0</v>
      </c>
      <c r="F22" s="72">
        <f t="shared" si="4"/>
        <v>0</v>
      </c>
      <c r="G22" s="72">
        <f t="shared" si="5"/>
        <v>0</v>
      </c>
      <c r="I22" s="72"/>
    </row>
    <row r="23" spans="2:9" x14ac:dyDescent="0.25">
      <c r="B23" s="2">
        <f t="shared" si="1"/>
        <v>7</v>
      </c>
      <c r="C23" s="17">
        <f t="shared" si="2"/>
        <v>0</v>
      </c>
      <c r="E23" s="72">
        <f t="shared" si="3"/>
        <v>0</v>
      </c>
      <c r="F23" s="72">
        <f t="shared" si="4"/>
        <v>0</v>
      </c>
      <c r="G23" s="72">
        <f t="shared" si="5"/>
        <v>0</v>
      </c>
      <c r="H23" s="150"/>
      <c r="I23" s="72"/>
    </row>
    <row r="24" spans="2:9" x14ac:dyDescent="0.25">
      <c r="B24" s="2">
        <f t="shared" si="1"/>
        <v>8</v>
      </c>
      <c r="C24" s="17">
        <f t="shared" si="2"/>
        <v>0</v>
      </c>
      <c r="E24" s="72">
        <f t="shared" si="3"/>
        <v>0</v>
      </c>
      <c r="F24" s="72">
        <f t="shared" si="4"/>
        <v>0</v>
      </c>
      <c r="G24" s="72">
        <f t="shared" si="5"/>
        <v>0</v>
      </c>
      <c r="H24" s="150"/>
      <c r="I24" s="72"/>
    </row>
    <row r="25" spans="2:9" x14ac:dyDescent="0.25">
      <c r="B25" s="2">
        <f t="shared" si="1"/>
        <v>9</v>
      </c>
      <c r="C25" s="17">
        <f t="shared" si="2"/>
        <v>0</v>
      </c>
      <c r="E25" s="72">
        <f t="shared" si="3"/>
        <v>0</v>
      </c>
      <c r="F25" s="72">
        <f t="shared" si="4"/>
        <v>0</v>
      </c>
      <c r="G25" s="72">
        <f t="shared" si="5"/>
        <v>0</v>
      </c>
      <c r="H25" s="150"/>
      <c r="I25" s="72"/>
    </row>
    <row r="26" spans="2:9" x14ac:dyDescent="0.25">
      <c r="B26" s="2">
        <f t="shared" si="1"/>
        <v>10</v>
      </c>
      <c r="C26" s="17">
        <f t="shared" si="2"/>
        <v>0</v>
      </c>
      <c r="E26" s="72">
        <f t="shared" si="3"/>
        <v>0</v>
      </c>
      <c r="F26" s="72">
        <f t="shared" si="4"/>
        <v>0</v>
      </c>
      <c r="G26" s="72">
        <f t="shared" si="5"/>
        <v>0</v>
      </c>
      <c r="H26" s="150"/>
      <c r="I26" s="72"/>
    </row>
    <row r="27" spans="2:9" x14ac:dyDescent="0.25">
      <c r="B27" s="2">
        <f t="shared" si="1"/>
        <v>11</v>
      </c>
      <c r="C27" s="17">
        <f t="shared" si="2"/>
        <v>0</v>
      </c>
      <c r="E27" s="72">
        <f t="shared" si="3"/>
        <v>0</v>
      </c>
      <c r="F27" s="72">
        <f t="shared" si="4"/>
        <v>0</v>
      </c>
      <c r="G27" s="72">
        <f t="shared" si="5"/>
        <v>0</v>
      </c>
      <c r="H27" s="150"/>
      <c r="I27" s="72"/>
    </row>
    <row r="28" spans="2:9" x14ac:dyDescent="0.25">
      <c r="B28" s="2">
        <f t="shared" si="1"/>
        <v>12</v>
      </c>
      <c r="C28" s="17">
        <f t="shared" si="2"/>
        <v>0</v>
      </c>
      <c r="E28" s="72">
        <f t="shared" si="3"/>
        <v>0</v>
      </c>
      <c r="F28" s="72">
        <f t="shared" si="4"/>
        <v>0</v>
      </c>
      <c r="G28" s="72">
        <f t="shared" si="5"/>
        <v>0</v>
      </c>
      <c r="H28" s="150"/>
      <c r="I28" s="72"/>
    </row>
    <row r="29" spans="2:9" x14ac:dyDescent="0.25">
      <c r="B29" s="2">
        <f t="shared" si="1"/>
        <v>13</v>
      </c>
      <c r="C29" s="17">
        <f t="shared" si="2"/>
        <v>0</v>
      </c>
      <c r="E29" s="72">
        <f t="shared" si="3"/>
        <v>0</v>
      </c>
      <c r="F29" s="72">
        <f t="shared" si="4"/>
        <v>0</v>
      </c>
      <c r="G29" s="72">
        <f t="shared" si="5"/>
        <v>0</v>
      </c>
      <c r="H29" s="150"/>
      <c r="I29" s="72"/>
    </row>
    <row r="30" spans="2:9" x14ac:dyDescent="0.25">
      <c r="B30" s="2">
        <f t="shared" si="1"/>
        <v>14</v>
      </c>
      <c r="C30" s="17">
        <f t="shared" si="2"/>
        <v>0</v>
      </c>
      <c r="E30" s="72">
        <f t="shared" si="3"/>
        <v>0</v>
      </c>
      <c r="F30" s="72">
        <f t="shared" si="4"/>
        <v>0</v>
      </c>
      <c r="G30" s="72">
        <f t="shared" si="5"/>
        <v>0</v>
      </c>
      <c r="H30" s="150"/>
      <c r="I30" s="72"/>
    </row>
    <row r="31" spans="2:9" x14ac:dyDescent="0.25">
      <c r="B31" s="2">
        <f t="shared" si="1"/>
        <v>15</v>
      </c>
      <c r="C31" s="17">
        <f t="shared" si="2"/>
        <v>0</v>
      </c>
      <c r="E31" s="72">
        <f t="shared" si="3"/>
        <v>0</v>
      </c>
      <c r="F31" s="72">
        <f t="shared" si="4"/>
        <v>0</v>
      </c>
      <c r="G31" s="72">
        <f t="shared" si="5"/>
        <v>0</v>
      </c>
      <c r="H31" s="150"/>
      <c r="I31" s="72"/>
    </row>
    <row r="32" spans="2:9" x14ac:dyDescent="0.25">
      <c r="B32" s="2">
        <f t="shared" si="1"/>
        <v>16</v>
      </c>
      <c r="C32" s="17">
        <f t="shared" si="2"/>
        <v>0</v>
      </c>
      <c r="E32" s="72">
        <f t="shared" si="3"/>
        <v>0</v>
      </c>
      <c r="F32" s="72">
        <f t="shared" si="4"/>
        <v>0</v>
      </c>
      <c r="G32" s="72">
        <f t="shared" si="5"/>
        <v>0</v>
      </c>
      <c r="H32" s="150"/>
      <c r="I32" s="72"/>
    </row>
    <row r="33" spans="2:9" x14ac:dyDescent="0.25">
      <c r="B33" s="2">
        <f t="shared" si="1"/>
        <v>17</v>
      </c>
      <c r="C33" s="17">
        <f t="shared" si="2"/>
        <v>0</v>
      </c>
      <c r="E33" s="72">
        <f t="shared" si="3"/>
        <v>0</v>
      </c>
      <c r="F33" s="72">
        <f t="shared" si="4"/>
        <v>0</v>
      </c>
      <c r="G33" s="72">
        <f t="shared" si="5"/>
        <v>0</v>
      </c>
      <c r="H33" s="150"/>
      <c r="I33" s="72"/>
    </row>
    <row r="34" spans="2:9" x14ac:dyDescent="0.25">
      <c r="B34" s="2">
        <f t="shared" si="1"/>
        <v>18</v>
      </c>
      <c r="C34" s="17">
        <f t="shared" si="2"/>
        <v>0</v>
      </c>
      <c r="E34" s="72">
        <f t="shared" si="3"/>
        <v>0</v>
      </c>
      <c r="F34" s="72">
        <f t="shared" si="4"/>
        <v>0</v>
      </c>
      <c r="G34" s="72">
        <f t="shared" si="5"/>
        <v>0</v>
      </c>
      <c r="H34" s="150"/>
      <c r="I34" s="72"/>
    </row>
    <row r="35" spans="2:9" x14ac:dyDescent="0.25">
      <c r="B35" s="2">
        <f t="shared" si="1"/>
        <v>19</v>
      </c>
      <c r="C35" s="17">
        <f t="shared" si="2"/>
        <v>0</v>
      </c>
      <c r="E35" s="72">
        <f t="shared" si="3"/>
        <v>0</v>
      </c>
      <c r="F35" s="72">
        <f t="shared" si="4"/>
        <v>0</v>
      </c>
      <c r="G35" s="72">
        <f t="shared" si="5"/>
        <v>0</v>
      </c>
      <c r="H35" s="150"/>
      <c r="I35" s="72"/>
    </row>
    <row r="36" spans="2:9" x14ac:dyDescent="0.25">
      <c r="B36" s="2">
        <f t="shared" si="1"/>
        <v>20</v>
      </c>
      <c r="C36" s="17">
        <f t="shared" si="2"/>
        <v>0</v>
      </c>
      <c r="E36" s="72">
        <f t="shared" si="3"/>
        <v>0</v>
      </c>
      <c r="F36" s="72">
        <f t="shared" si="4"/>
        <v>0</v>
      </c>
      <c r="G36" s="72">
        <f t="shared" si="5"/>
        <v>0</v>
      </c>
      <c r="H36" s="150"/>
      <c r="I36" s="72"/>
    </row>
    <row r="37" spans="2:9" x14ac:dyDescent="0.25">
      <c r="B37" s="2">
        <f t="shared" si="1"/>
        <v>21</v>
      </c>
      <c r="C37" s="17">
        <f t="shared" si="2"/>
        <v>0</v>
      </c>
      <c r="E37" s="72">
        <f t="shared" si="3"/>
        <v>0</v>
      </c>
      <c r="F37" s="72">
        <f t="shared" si="4"/>
        <v>0</v>
      </c>
      <c r="G37" s="72">
        <f t="shared" si="5"/>
        <v>0</v>
      </c>
      <c r="H37" s="150"/>
      <c r="I37" s="72"/>
    </row>
    <row r="38" spans="2:9" x14ac:dyDescent="0.25">
      <c r="B38" s="2">
        <f t="shared" si="1"/>
        <v>22</v>
      </c>
      <c r="C38" s="17">
        <f t="shared" si="2"/>
        <v>0</v>
      </c>
      <c r="E38" s="72">
        <f t="shared" si="3"/>
        <v>0</v>
      </c>
      <c r="F38" s="72">
        <f t="shared" si="4"/>
        <v>0</v>
      </c>
      <c r="G38" s="72">
        <f t="shared" si="5"/>
        <v>0</v>
      </c>
      <c r="H38" s="150"/>
      <c r="I38" s="72"/>
    </row>
    <row r="39" spans="2:9" x14ac:dyDescent="0.25">
      <c r="B39" s="2">
        <f t="shared" si="1"/>
        <v>23</v>
      </c>
      <c r="C39" s="17">
        <f t="shared" si="2"/>
        <v>0</v>
      </c>
      <c r="E39" s="72">
        <f t="shared" si="3"/>
        <v>0</v>
      </c>
      <c r="F39" s="72">
        <f t="shared" si="4"/>
        <v>0</v>
      </c>
      <c r="G39" s="72">
        <f t="shared" si="5"/>
        <v>0</v>
      </c>
      <c r="H39" s="150"/>
      <c r="I39" s="72"/>
    </row>
    <row r="40" spans="2:9" x14ac:dyDescent="0.25">
      <c r="B40" s="2">
        <f t="shared" si="1"/>
        <v>24</v>
      </c>
      <c r="C40" s="17">
        <f t="shared" si="2"/>
        <v>0</v>
      </c>
      <c r="E40" s="72">
        <f t="shared" si="3"/>
        <v>0</v>
      </c>
      <c r="F40" s="72">
        <f t="shared" si="4"/>
        <v>0</v>
      </c>
      <c r="G40" s="72">
        <f t="shared" si="5"/>
        <v>0</v>
      </c>
      <c r="H40" s="150"/>
      <c r="I40" s="72"/>
    </row>
    <row r="41" spans="2:9" x14ac:dyDescent="0.25">
      <c r="B41" s="2">
        <f t="shared" si="1"/>
        <v>25</v>
      </c>
      <c r="C41" s="17">
        <f t="shared" si="2"/>
        <v>0</v>
      </c>
      <c r="E41" s="72">
        <f t="shared" si="3"/>
        <v>0</v>
      </c>
      <c r="F41" s="72">
        <f t="shared" si="4"/>
        <v>0</v>
      </c>
      <c r="G41" s="72">
        <f t="shared" si="5"/>
        <v>0</v>
      </c>
      <c r="H41" s="150"/>
      <c r="I41" s="72"/>
    </row>
    <row r="42" spans="2:9" x14ac:dyDescent="0.25">
      <c r="B42" s="2">
        <f t="shared" si="1"/>
        <v>26</v>
      </c>
      <c r="C42" s="17">
        <f t="shared" si="2"/>
        <v>0</v>
      </c>
      <c r="E42" s="72">
        <f t="shared" si="3"/>
        <v>0</v>
      </c>
      <c r="F42" s="72">
        <f t="shared" si="4"/>
        <v>0</v>
      </c>
      <c r="G42" s="72">
        <f t="shared" si="5"/>
        <v>0</v>
      </c>
      <c r="H42" s="150"/>
      <c r="I42" s="72"/>
    </row>
    <row r="43" spans="2:9" x14ac:dyDescent="0.25">
      <c r="B43" s="2">
        <f t="shared" si="1"/>
        <v>27</v>
      </c>
      <c r="C43" s="17">
        <f t="shared" si="2"/>
        <v>0</v>
      </c>
      <c r="E43" s="72">
        <f t="shared" si="3"/>
        <v>0</v>
      </c>
      <c r="F43" s="72">
        <f t="shared" si="4"/>
        <v>0</v>
      </c>
      <c r="G43" s="72">
        <f t="shared" si="5"/>
        <v>0</v>
      </c>
      <c r="H43" s="150"/>
      <c r="I43" s="72"/>
    </row>
    <row r="44" spans="2:9" x14ac:dyDescent="0.25">
      <c r="B44" s="2">
        <f t="shared" si="1"/>
        <v>28</v>
      </c>
      <c r="C44" s="17">
        <f t="shared" si="2"/>
        <v>0</v>
      </c>
      <c r="E44" s="72">
        <f t="shared" si="3"/>
        <v>0</v>
      </c>
      <c r="F44" s="72">
        <f t="shared" si="4"/>
        <v>0</v>
      </c>
      <c r="G44" s="72">
        <f t="shared" si="5"/>
        <v>0</v>
      </c>
      <c r="H44" s="150"/>
      <c r="I44" s="72"/>
    </row>
    <row r="45" spans="2:9" x14ac:dyDescent="0.25">
      <c r="B45" s="2">
        <f t="shared" si="1"/>
        <v>29</v>
      </c>
      <c r="C45" s="17">
        <f t="shared" si="2"/>
        <v>0</v>
      </c>
      <c r="E45" s="72">
        <f t="shared" si="3"/>
        <v>0</v>
      </c>
      <c r="F45" s="72">
        <f t="shared" si="4"/>
        <v>0</v>
      </c>
      <c r="G45" s="72">
        <f t="shared" si="5"/>
        <v>0</v>
      </c>
      <c r="H45" s="150"/>
      <c r="I45" s="72"/>
    </row>
    <row r="46" spans="2:9" x14ac:dyDescent="0.25">
      <c r="B46" s="2">
        <f t="shared" si="1"/>
        <v>30</v>
      </c>
      <c r="C46" s="17">
        <f t="shared" si="2"/>
        <v>0</v>
      </c>
      <c r="E46" s="72">
        <f t="shared" si="3"/>
        <v>0</v>
      </c>
      <c r="F46" s="72">
        <f t="shared" si="4"/>
        <v>0</v>
      </c>
      <c r="G46" s="72">
        <f t="shared" si="5"/>
        <v>0</v>
      </c>
      <c r="H46" s="150"/>
      <c r="I46" s="72"/>
    </row>
    <row r="47" spans="2:9" x14ac:dyDescent="0.25">
      <c r="B47" s="2">
        <f t="shared" si="1"/>
        <v>31</v>
      </c>
      <c r="C47" s="17">
        <f t="shared" si="2"/>
        <v>0</v>
      </c>
      <c r="E47" s="72">
        <f t="shared" si="3"/>
        <v>0</v>
      </c>
      <c r="F47" s="72">
        <f t="shared" si="4"/>
        <v>0</v>
      </c>
      <c r="G47" s="72">
        <f t="shared" si="5"/>
        <v>0</v>
      </c>
      <c r="H47" s="150"/>
      <c r="I47" s="72"/>
    </row>
    <row r="48" spans="2:9" x14ac:dyDescent="0.25">
      <c r="B48" s="2">
        <f t="shared" si="1"/>
        <v>32</v>
      </c>
      <c r="C48" s="17">
        <f t="shared" si="2"/>
        <v>0</v>
      </c>
      <c r="E48" s="72">
        <f t="shared" si="3"/>
        <v>0</v>
      </c>
      <c r="F48" s="72">
        <f t="shared" si="4"/>
        <v>0</v>
      </c>
      <c r="G48" s="72">
        <f t="shared" si="5"/>
        <v>0</v>
      </c>
      <c r="H48" s="150"/>
      <c r="I48" s="72"/>
    </row>
    <row r="49" spans="2:9" x14ac:dyDescent="0.25">
      <c r="B49" s="2">
        <f t="shared" si="1"/>
        <v>33</v>
      </c>
      <c r="C49" s="17">
        <f t="shared" si="2"/>
        <v>0</v>
      </c>
      <c r="E49" s="72">
        <f t="shared" si="3"/>
        <v>0</v>
      </c>
      <c r="F49" s="72">
        <f t="shared" si="4"/>
        <v>0</v>
      </c>
      <c r="G49" s="72">
        <f t="shared" si="5"/>
        <v>0</v>
      </c>
      <c r="H49" s="150"/>
      <c r="I49" s="72"/>
    </row>
    <row r="50" spans="2:9" x14ac:dyDescent="0.25">
      <c r="B50" s="2">
        <f t="shared" si="1"/>
        <v>34</v>
      </c>
      <c r="C50" s="17">
        <f t="shared" si="2"/>
        <v>0</v>
      </c>
      <c r="E50" s="72">
        <f t="shared" si="3"/>
        <v>0</v>
      </c>
      <c r="F50" s="72">
        <f t="shared" si="4"/>
        <v>0</v>
      </c>
      <c r="G50" s="72">
        <f t="shared" si="5"/>
        <v>0</v>
      </c>
      <c r="H50" s="150"/>
      <c r="I50" s="72"/>
    </row>
    <row r="51" spans="2:9" x14ac:dyDescent="0.25">
      <c r="B51" s="2">
        <f t="shared" si="1"/>
        <v>35</v>
      </c>
      <c r="C51" s="17">
        <f t="shared" si="2"/>
        <v>0</v>
      </c>
      <c r="E51" s="72">
        <f t="shared" si="3"/>
        <v>0</v>
      </c>
      <c r="F51" s="72">
        <f t="shared" si="4"/>
        <v>0</v>
      </c>
      <c r="G51" s="72">
        <f t="shared" si="5"/>
        <v>0</v>
      </c>
      <c r="H51" s="150"/>
    </row>
    <row r="52" spans="2:9" x14ac:dyDescent="0.25">
      <c r="B52" s="2">
        <f t="shared" si="1"/>
        <v>36</v>
      </c>
      <c r="C52" s="17">
        <f t="shared" si="2"/>
        <v>0</v>
      </c>
      <c r="E52" s="72">
        <f t="shared" si="3"/>
        <v>0</v>
      </c>
      <c r="F52" s="72">
        <f t="shared" si="4"/>
        <v>0</v>
      </c>
      <c r="G52" s="72">
        <f t="shared" si="5"/>
        <v>0</v>
      </c>
      <c r="H52" s="150"/>
      <c r="I52" s="72"/>
    </row>
    <row r="53" spans="2:9" x14ac:dyDescent="0.25">
      <c r="B53" s="2">
        <f t="shared" si="1"/>
        <v>37</v>
      </c>
      <c r="C53" s="17">
        <f t="shared" si="2"/>
        <v>0</v>
      </c>
      <c r="E53" s="72">
        <f t="shared" si="3"/>
        <v>0</v>
      </c>
      <c r="F53" s="72">
        <f t="shared" si="4"/>
        <v>0</v>
      </c>
      <c r="G53" s="72">
        <f t="shared" si="5"/>
        <v>0</v>
      </c>
      <c r="H53" s="150"/>
      <c r="I53" s="72"/>
    </row>
    <row r="54" spans="2:9" x14ac:dyDescent="0.25">
      <c r="B54" s="2">
        <f t="shared" si="1"/>
        <v>38</v>
      </c>
      <c r="C54" s="17">
        <f t="shared" si="2"/>
        <v>0</v>
      </c>
      <c r="E54" s="72">
        <f t="shared" si="3"/>
        <v>0</v>
      </c>
      <c r="F54" s="72">
        <f t="shared" si="4"/>
        <v>0</v>
      </c>
      <c r="G54" s="72">
        <f t="shared" si="5"/>
        <v>0</v>
      </c>
      <c r="H54" s="150"/>
      <c r="I54" s="72"/>
    </row>
    <row r="55" spans="2:9" x14ac:dyDescent="0.25">
      <c r="B55" s="2">
        <f t="shared" si="1"/>
        <v>39</v>
      </c>
      <c r="C55" s="17">
        <f t="shared" si="2"/>
        <v>0</v>
      </c>
      <c r="E55" s="72">
        <f t="shared" si="3"/>
        <v>0</v>
      </c>
      <c r="F55" s="72">
        <f t="shared" si="4"/>
        <v>0</v>
      </c>
      <c r="G55" s="72">
        <f t="shared" si="5"/>
        <v>0</v>
      </c>
      <c r="H55" s="150"/>
      <c r="I55" s="72"/>
    </row>
    <row r="56" spans="2:9" x14ac:dyDescent="0.25">
      <c r="B56" s="2">
        <f t="shared" si="1"/>
        <v>40</v>
      </c>
      <c r="C56" s="17">
        <f t="shared" si="2"/>
        <v>0</v>
      </c>
      <c r="E56" s="72">
        <f t="shared" si="3"/>
        <v>0</v>
      </c>
      <c r="F56" s="72">
        <f t="shared" si="4"/>
        <v>0</v>
      </c>
      <c r="G56" s="72">
        <f t="shared" si="5"/>
        <v>0</v>
      </c>
      <c r="H56" s="150"/>
      <c r="I56" s="72"/>
    </row>
    <row r="57" spans="2:9" x14ac:dyDescent="0.25">
      <c r="B57" s="2">
        <f t="shared" si="1"/>
        <v>41</v>
      </c>
      <c r="C57" s="17">
        <f t="shared" si="2"/>
        <v>0</v>
      </c>
      <c r="E57" s="72">
        <f t="shared" si="3"/>
        <v>0</v>
      </c>
      <c r="F57" s="72">
        <f t="shared" si="4"/>
        <v>0</v>
      </c>
      <c r="G57" s="72">
        <f t="shared" si="5"/>
        <v>0</v>
      </c>
      <c r="H57" s="150"/>
      <c r="I57" s="72"/>
    </row>
    <row r="58" spans="2:9" x14ac:dyDescent="0.25">
      <c r="B58" s="2">
        <f t="shared" si="1"/>
        <v>42</v>
      </c>
      <c r="C58" s="17">
        <f t="shared" si="2"/>
        <v>0</v>
      </c>
      <c r="E58" s="72">
        <f t="shared" si="3"/>
        <v>0</v>
      </c>
      <c r="F58" s="72">
        <f t="shared" si="4"/>
        <v>0</v>
      </c>
      <c r="G58" s="72">
        <f t="shared" si="5"/>
        <v>0</v>
      </c>
      <c r="H58" s="150"/>
      <c r="I58" s="72"/>
    </row>
    <row r="59" spans="2:9" x14ac:dyDescent="0.25">
      <c r="B59" s="2">
        <f t="shared" si="1"/>
        <v>43</v>
      </c>
      <c r="C59" s="17">
        <f t="shared" si="2"/>
        <v>0</v>
      </c>
      <c r="E59" s="72">
        <f t="shared" si="3"/>
        <v>0</v>
      </c>
      <c r="F59" s="72">
        <f t="shared" si="4"/>
        <v>0</v>
      </c>
      <c r="G59" s="72">
        <f t="shared" si="5"/>
        <v>0</v>
      </c>
      <c r="H59" s="150"/>
      <c r="I59" s="72"/>
    </row>
    <row r="60" spans="2:9" x14ac:dyDescent="0.25">
      <c r="B60" s="2">
        <f t="shared" si="1"/>
        <v>44</v>
      </c>
      <c r="C60" s="17">
        <f t="shared" si="2"/>
        <v>0</v>
      </c>
      <c r="E60" s="72">
        <f t="shared" si="3"/>
        <v>0</v>
      </c>
      <c r="F60" s="72">
        <f t="shared" si="4"/>
        <v>0</v>
      </c>
      <c r="G60" s="72">
        <f t="shared" si="5"/>
        <v>0</v>
      </c>
      <c r="H60" s="150"/>
      <c r="I60" s="72"/>
    </row>
    <row r="61" spans="2:9" x14ac:dyDescent="0.25">
      <c r="B61" s="2">
        <f t="shared" si="1"/>
        <v>45</v>
      </c>
      <c r="C61" s="17">
        <f t="shared" si="2"/>
        <v>0</v>
      </c>
      <c r="E61" s="72">
        <f t="shared" si="3"/>
        <v>0</v>
      </c>
      <c r="F61" s="72">
        <f t="shared" si="4"/>
        <v>0</v>
      </c>
      <c r="G61" s="72">
        <f t="shared" si="5"/>
        <v>0</v>
      </c>
      <c r="H61" s="150"/>
      <c r="I61" s="72"/>
    </row>
    <row r="62" spans="2:9" x14ac:dyDescent="0.25">
      <c r="B62" s="2">
        <f t="shared" si="1"/>
        <v>46</v>
      </c>
      <c r="C62" s="17">
        <f t="shared" si="2"/>
        <v>0</v>
      </c>
      <c r="E62" s="72">
        <f t="shared" si="3"/>
        <v>0</v>
      </c>
      <c r="F62" s="72">
        <f t="shared" si="4"/>
        <v>0</v>
      </c>
      <c r="G62" s="72">
        <f t="shared" si="5"/>
        <v>0</v>
      </c>
      <c r="H62" s="150"/>
      <c r="I62" s="72"/>
    </row>
    <row r="63" spans="2:9" x14ac:dyDescent="0.25">
      <c r="B63" s="2">
        <f t="shared" si="1"/>
        <v>47</v>
      </c>
      <c r="C63" s="17">
        <f t="shared" si="2"/>
        <v>0</v>
      </c>
      <c r="E63" s="72">
        <f t="shared" si="3"/>
        <v>0</v>
      </c>
      <c r="F63" s="72">
        <f t="shared" si="4"/>
        <v>0</v>
      </c>
      <c r="G63" s="72">
        <f t="shared" si="5"/>
        <v>0</v>
      </c>
      <c r="H63" s="150"/>
      <c r="I63" s="72"/>
    </row>
    <row r="64" spans="2:9" x14ac:dyDescent="0.25">
      <c r="B64" s="2">
        <f t="shared" si="1"/>
        <v>48</v>
      </c>
      <c r="C64" s="17">
        <f t="shared" si="2"/>
        <v>0</v>
      </c>
      <c r="E64" s="72">
        <f t="shared" si="3"/>
        <v>0</v>
      </c>
      <c r="F64" s="72">
        <f t="shared" si="4"/>
        <v>0</v>
      </c>
      <c r="G64" s="72">
        <f t="shared" si="5"/>
        <v>0</v>
      </c>
      <c r="H64" s="150"/>
      <c r="I64" s="72"/>
    </row>
    <row r="65" spans="2:9" x14ac:dyDescent="0.25">
      <c r="B65" s="2">
        <f t="shared" si="1"/>
        <v>49</v>
      </c>
      <c r="C65" s="17">
        <f t="shared" si="2"/>
        <v>0</v>
      </c>
      <c r="E65" s="72">
        <f t="shared" si="3"/>
        <v>0</v>
      </c>
      <c r="F65" s="72">
        <f t="shared" si="4"/>
        <v>0</v>
      </c>
      <c r="G65" s="72">
        <f t="shared" si="5"/>
        <v>0</v>
      </c>
      <c r="H65" s="150"/>
      <c r="I65" s="72"/>
    </row>
    <row r="66" spans="2:9" x14ac:dyDescent="0.25">
      <c r="B66" s="2">
        <f t="shared" si="1"/>
        <v>50</v>
      </c>
      <c r="C66" s="17">
        <f t="shared" si="2"/>
        <v>0</v>
      </c>
      <c r="E66" s="72">
        <f t="shared" si="3"/>
        <v>0</v>
      </c>
      <c r="F66" s="72">
        <f t="shared" si="4"/>
        <v>0</v>
      </c>
      <c r="G66" s="72">
        <f t="shared" si="5"/>
        <v>0</v>
      </c>
      <c r="H66" s="150"/>
      <c r="I66" s="72"/>
    </row>
    <row r="67" spans="2:9" x14ac:dyDescent="0.25">
      <c r="B67" s="2">
        <f t="shared" si="1"/>
        <v>51</v>
      </c>
      <c r="C67" s="17">
        <f t="shared" si="2"/>
        <v>0</v>
      </c>
      <c r="E67" s="72">
        <f t="shared" si="3"/>
        <v>0</v>
      </c>
      <c r="F67" s="72">
        <f t="shared" si="4"/>
        <v>0</v>
      </c>
      <c r="G67" s="72">
        <f t="shared" si="5"/>
        <v>0</v>
      </c>
      <c r="H67" s="150"/>
      <c r="I67" s="72"/>
    </row>
    <row r="68" spans="2:9" x14ac:dyDescent="0.25">
      <c r="B68" s="2">
        <f t="shared" si="1"/>
        <v>52</v>
      </c>
      <c r="C68" s="17">
        <f t="shared" si="2"/>
        <v>0</v>
      </c>
      <c r="E68" s="72">
        <f t="shared" si="3"/>
        <v>0</v>
      </c>
      <c r="F68" s="72">
        <f t="shared" si="4"/>
        <v>0</v>
      </c>
      <c r="G68" s="72">
        <f t="shared" si="5"/>
        <v>0</v>
      </c>
      <c r="H68" s="150"/>
      <c r="I68" s="72"/>
    </row>
    <row r="69" spans="2:9" x14ac:dyDescent="0.25">
      <c r="B69" s="2">
        <f t="shared" si="1"/>
        <v>53</v>
      </c>
      <c r="C69" s="17">
        <f t="shared" si="2"/>
        <v>0</v>
      </c>
      <c r="E69" s="72">
        <f t="shared" si="3"/>
        <v>0</v>
      </c>
      <c r="F69" s="72">
        <f t="shared" si="4"/>
        <v>0</v>
      </c>
      <c r="G69" s="72">
        <f t="shared" si="5"/>
        <v>0</v>
      </c>
      <c r="H69" s="150"/>
      <c r="I69" s="72"/>
    </row>
    <row r="70" spans="2:9" x14ac:dyDescent="0.25">
      <c r="B70" s="2">
        <f t="shared" si="1"/>
        <v>54</v>
      </c>
      <c r="C70" s="17">
        <f t="shared" si="2"/>
        <v>0</v>
      </c>
      <c r="E70" s="72">
        <f t="shared" si="3"/>
        <v>0</v>
      </c>
      <c r="F70" s="72">
        <f t="shared" si="4"/>
        <v>0</v>
      </c>
      <c r="G70" s="72">
        <f t="shared" si="5"/>
        <v>0</v>
      </c>
      <c r="H70" s="150"/>
      <c r="I70" s="72"/>
    </row>
    <row r="71" spans="2:9" x14ac:dyDescent="0.25">
      <c r="B71" s="2">
        <f t="shared" si="1"/>
        <v>55</v>
      </c>
      <c r="C71" s="17">
        <f t="shared" si="2"/>
        <v>0</v>
      </c>
      <c r="E71" s="72">
        <f t="shared" si="3"/>
        <v>0</v>
      </c>
      <c r="F71" s="72">
        <f t="shared" si="4"/>
        <v>0</v>
      </c>
      <c r="G71" s="72">
        <f t="shared" si="5"/>
        <v>0</v>
      </c>
      <c r="H71" s="150"/>
      <c r="I71" s="72"/>
    </row>
    <row r="72" spans="2:9" x14ac:dyDescent="0.25">
      <c r="B72" s="2">
        <f t="shared" si="1"/>
        <v>56</v>
      </c>
      <c r="C72" s="17">
        <f t="shared" si="2"/>
        <v>0</v>
      </c>
      <c r="E72" s="72">
        <f t="shared" si="3"/>
        <v>0</v>
      </c>
      <c r="F72" s="72">
        <f t="shared" si="4"/>
        <v>0</v>
      </c>
      <c r="G72" s="72">
        <f t="shared" si="5"/>
        <v>0</v>
      </c>
      <c r="H72" s="150"/>
      <c r="I72" s="72"/>
    </row>
    <row r="73" spans="2:9" x14ac:dyDescent="0.25">
      <c r="B73" s="2">
        <f t="shared" si="1"/>
        <v>57</v>
      </c>
      <c r="C73" s="17">
        <f t="shared" si="2"/>
        <v>0</v>
      </c>
      <c r="E73" s="72">
        <f t="shared" si="3"/>
        <v>0</v>
      </c>
      <c r="F73" s="72">
        <f t="shared" si="4"/>
        <v>0</v>
      </c>
      <c r="G73" s="72">
        <f t="shared" si="5"/>
        <v>0</v>
      </c>
      <c r="H73" s="150"/>
      <c r="I73" s="72"/>
    </row>
    <row r="74" spans="2:9" x14ac:dyDescent="0.25">
      <c r="B74" s="2">
        <f t="shared" si="1"/>
        <v>58</v>
      </c>
      <c r="C74" s="17">
        <f t="shared" si="2"/>
        <v>0</v>
      </c>
      <c r="E74" s="72">
        <f t="shared" si="3"/>
        <v>0</v>
      </c>
      <c r="F74" s="72">
        <f t="shared" si="4"/>
        <v>0</v>
      </c>
      <c r="G74" s="72">
        <f t="shared" si="5"/>
        <v>0</v>
      </c>
      <c r="H74" s="150"/>
      <c r="I74" s="72"/>
    </row>
    <row r="75" spans="2:9" x14ac:dyDescent="0.25">
      <c r="B75" s="2">
        <f t="shared" si="1"/>
        <v>59</v>
      </c>
      <c r="C75" s="17">
        <f t="shared" si="2"/>
        <v>0</v>
      </c>
      <c r="E75" s="72">
        <f t="shared" si="3"/>
        <v>0</v>
      </c>
      <c r="F75" s="72">
        <f t="shared" si="4"/>
        <v>0</v>
      </c>
      <c r="G75" s="72">
        <f t="shared" si="5"/>
        <v>0</v>
      </c>
      <c r="H75" s="150"/>
      <c r="I75" s="72"/>
    </row>
    <row r="76" spans="2:9" x14ac:dyDescent="0.25">
      <c r="B76" s="2">
        <f t="shared" si="1"/>
        <v>60</v>
      </c>
      <c r="C76" s="17">
        <f t="shared" si="2"/>
        <v>0</v>
      </c>
      <c r="E76" s="72">
        <f t="shared" si="3"/>
        <v>0</v>
      </c>
      <c r="F76" s="72">
        <f t="shared" si="4"/>
        <v>0</v>
      </c>
      <c r="G76" s="72">
        <f t="shared" si="5"/>
        <v>0</v>
      </c>
      <c r="H76" s="150"/>
      <c r="I76" s="72"/>
    </row>
    <row r="77" spans="2:9" x14ac:dyDescent="0.25">
      <c r="B77" s="2">
        <f t="shared" si="1"/>
        <v>61</v>
      </c>
      <c r="C77" s="17">
        <f t="shared" si="2"/>
        <v>0</v>
      </c>
      <c r="E77" s="72">
        <f t="shared" si="3"/>
        <v>0</v>
      </c>
      <c r="F77" s="72">
        <f t="shared" si="4"/>
        <v>0</v>
      </c>
      <c r="G77" s="72">
        <f t="shared" si="5"/>
        <v>0</v>
      </c>
      <c r="H77" s="150"/>
      <c r="I77" s="72"/>
    </row>
    <row r="78" spans="2:9" x14ac:dyDescent="0.25">
      <c r="B78" s="2">
        <f t="shared" si="1"/>
        <v>62</v>
      </c>
      <c r="C78" s="17">
        <f t="shared" si="2"/>
        <v>0</v>
      </c>
      <c r="E78" s="72">
        <f t="shared" si="3"/>
        <v>0</v>
      </c>
      <c r="F78" s="72">
        <f t="shared" si="4"/>
        <v>0</v>
      </c>
      <c r="G78" s="72">
        <f t="shared" si="5"/>
        <v>0</v>
      </c>
      <c r="H78" s="150"/>
      <c r="I78" s="72"/>
    </row>
    <row r="79" spans="2:9" x14ac:dyDescent="0.25">
      <c r="B79" s="2">
        <f t="shared" si="1"/>
        <v>63</v>
      </c>
      <c r="C79" s="17">
        <f t="shared" si="2"/>
        <v>0</v>
      </c>
      <c r="E79" s="72">
        <f t="shared" si="3"/>
        <v>0</v>
      </c>
      <c r="F79" s="72">
        <f t="shared" si="4"/>
        <v>0</v>
      </c>
      <c r="G79" s="72">
        <f t="shared" si="5"/>
        <v>0</v>
      </c>
      <c r="H79" s="150"/>
      <c r="I79" s="72"/>
    </row>
    <row r="80" spans="2:9" x14ac:dyDescent="0.25">
      <c r="B80" s="2">
        <f t="shared" si="1"/>
        <v>64</v>
      </c>
      <c r="C80" s="17">
        <f t="shared" si="2"/>
        <v>0</v>
      </c>
      <c r="E80" s="72">
        <f t="shared" si="3"/>
        <v>0</v>
      </c>
      <c r="F80" s="72">
        <f t="shared" si="4"/>
        <v>0</v>
      </c>
      <c r="G80" s="72">
        <f t="shared" si="5"/>
        <v>0</v>
      </c>
      <c r="H80" s="150"/>
      <c r="I80" s="72"/>
    </row>
    <row r="81" spans="2:9" x14ac:dyDescent="0.25">
      <c r="B81" s="2">
        <f t="shared" si="1"/>
        <v>65</v>
      </c>
      <c r="C81" s="17">
        <f t="shared" si="2"/>
        <v>0</v>
      </c>
      <c r="E81" s="72">
        <f t="shared" si="3"/>
        <v>0</v>
      </c>
      <c r="F81" s="72">
        <f t="shared" si="4"/>
        <v>0</v>
      </c>
      <c r="G81" s="72">
        <f t="shared" si="5"/>
        <v>0</v>
      </c>
      <c r="H81" s="150"/>
      <c r="I81" s="72"/>
    </row>
    <row r="82" spans="2:9" x14ac:dyDescent="0.25">
      <c r="B82" s="2">
        <f t="shared" ref="B82:B145" si="6">B81+1</f>
        <v>66</v>
      </c>
      <c r="C82" s="17">
        <f t="shared" ref="C82:C145" si="7">$E$8</f>
        <v>0</v>
      </c>
      <c r="E82" s="72">
        <f t="shared" ref="E82:E145" si="8">G81*$E$9/12</f>
        <v>0</v>
      </c>
      <c r="F82" s="72">
        <f t="shared" ref="F82:F145" si="9">C82-E82</f>
        <v>0</v>
      </c>
      <c r="G82" s="72">
        <f t="shared" ref="G82:G145" si="10">G81-F82</f>
        <v>0</v>
      </c>
      <c r="H82" s="150"/>
      <c r="I82" s="72"/>
    </row>
    <row r="83" spans="2:9" x14ac:dyDescent="0.25">
      <c r="B83" s="2">
        <f t="shared" si="6"/>
        <v>67</v>
      </c>
      <c r="C83" s="17">
        <f t="shared" si="7"/>
        <v>0</v>
      </c>
      <c r="E83" s="72">
        <f t="shared" si="8"/>
        <v>0</v>
      </c>
      <c r="F83" s="72">
        <f t="shared" si="9"/>
        <v>0</v>
      </c>
      <c r="G83" s="72">
        <f t="shared" si="10"/>
        <v>0</v>
      </c>
      <c r="H83" s="150"/>
      <c r="I83" s="72"/>
    </row>
    <row r="84" spans="2:9" x14ac:dyDescent="0.25">
      <c r="B84" s="2">
        <f t="shared" si="6"/>
        <v>68</v>
      </c>
      <c r="C84" s="17">
        <f t="shared" si="7"/>
        <v>0</v>
      </c>
      <c r="E84" s="72">
        <f t="shared" si="8"/>
        <v>0</v>
      </c>
      <c r="F84" s="72">
        <f t="shared" si="9"/>
        <v>0</v>
      </c>
      <c r="G84" s="72">
        <f t="shared" si="10"/>
        <v>0</v>
      </c>
      <c r="H84" s="150"/>
      <c r="I84" s="72"/>
    </row>
    <row r="85" spans="2:9" x14ac:dyDescent="0.25">
      <c r="B85" s="2">
        <f t="shared" si="6"/>
        <v>69</v>
      </c>
      <c r="C85" s="17">
        <f t="shared" si="7"/>
        <v>0</v>
      </c>
      <c r="E85" s="72">
        <f t="shared" si="8"/>
        <v>0</v>
      </c>
      <c r="F85" s="72">
        <f t="shared" si="9"/>
        <v>0</v>
      </c>
      <c r="G85" s="72">
        <f t="shared" si="10"/>
        <v>0</v>
      </c>
      <c r="H85" s="150"/>
      <c r="I85" s="72"/>
    </row>
    <row r="86" spans="2:9" x14ac:dyDescent="0.25">
      <c r="B86" s="2">
        <f t="shared" si="6"/>
        <v>70</v>
      </c>
      <c r="C86" s="17">
        <f t="shared" si="7"/>
        <v>0</v>
      </c>
      <c r="E86" s="72">
        <f t="shared" si="8"/>
        <v>0</v>
      </c>
      <c r="F86" s="72">
        <f t="shared" si="9"/>
        <v>0</v>
      </c>
      <c r="G86" s="72">
        <f t="shared" si="10"/>
        <v>0</v>
      </c>
      <c r="H86" s="150"/>
      <c r="I86" s="72"/>
    </row>
    <row r="87" spans="2:9" x14ac:dyDescent="0.25">
      <c r="B87" s="2">
        <f t="shared" si="6"/>
        <v>71</v>
      </c>
      <c r="C87" s="17">
        <f t="shared" si="7"/>
        <v>0</v>
      </c>
      <c r="E87" s="72">
        <f t="shared" si="8"/>
        <v>0</v>
      </c>
      <c r="F87" s="72">
        <f t="shared" si="9"/>
        <v>0</v>
      </c>
      <c r="G87" s="72">
        <f t="shared" si="10"/>
        <v>0</v>
      </c>
      <c r="H87" s="150"/>
      <c r="I87" s="72"/>
    </row>
    <row r="88" spans="2:9" x14ac:dyDescent="0.25">
      <c r="B88" s="2">
        <f t="shared" si="6"/>
        <v>72</v>
      </c>
      <c r="C88" s="17">
        <f t="shared" si="7"/>
        <v>0</v>
      </c>
      <c r="E88" s="72">
        <f t="shared" si="8"/>
        <v>0</v>
      </c>
      <c r="F88" s="72">
        <f t="shared" si="9"/>
        <v>0</v>
      </c>
      <c r="G88" s="72">
        <f t="shared" si="10"/>
        <v>0</v>
      </c>
      <c r="H88" s="150"/>
      <c r="I88" s="72"/>
    </row>
    <row r="89" spans="2:9" x14ac:dyDescent="0.25">
      <c r="B89" s="2">
        <f t="shared" si="6"/>
        <v>73</v>
      </c>
      <c r="C89" s="17">
        <f t="shared" si="7"/>
        <v>0</v>
      </c>
      <c r="E89" s="72">
        <f t="shared" si="8"/>
        <v>0</v>
      </c>
      <c r="F89" s="72">
        <f t="shared" si="9"/>
        <v>0</v>
      </c>
      <c r="G89" s="72">
        <f t="shared" si="10"/>
        <v>0</v>
      </c>
      <c r="H89" s="150"/>
      <c r="I89" s="72"/>
    </row>
    <row r="90" spans="2:9" x14ac:dyDescent="0.25">
      <c r="B90" s="2">
        <f t="shared" si="6"/>
        <v>74</v>
      </c>
      <c r="C90" s="17">
        <f t="shared" si="7"/>
        <v>0</v>
      </c>
      <c r="E90" s="72">
        <f t="shared" si="8"/>
        <v>0</v>
      </c>
      <c r="F90" s="72">
        <f t="shared" si="9"/>
        <v>0</v>
      </c>
      <c r="G90" s="72">
        <f t="shared" si="10"/>
        <v>0</v>
      </c>
      <c r="H90" s="150"/>
      <c r="I90" s="72"/>
    </row>
    <row r="91" spans="2:9" x14ac:dyDescent="0.25">
      <c r="B91" s="2">
        <f t="shared" si="6"/>
        <v>75</v>
      </c>
      <c r="C91" s="17">
        <f t="shared" si="7"/>
        <v>0</v>
      </c>
      <c r="E91" s="72">
        <f t="shared" si="8"/>
        <v>0</v>
      </c>
      <c r="F91" s="72">
        <f t="shared" si="9"/>
        <v>0</v>
      </c>
      <c r="G91" s="72">
        <f t="shared" si="10"/>
        <v>0</v>
      </c>
      <c r="H91" s="150"/>
      <c r="I91" s="72"/>
    </row>
    <row r="92" spans="2:9" x14ac:dyDescent="0.25">
      <c r="B92" s="2">
        <f t="shared" si="6"/>
        <v>76</v>
      </c>
      <c r="C92" s="17">
        <f t="shared" si="7"/>
        <v>0</v>
      </c>
      <c r="E92" s="72">
        <f t="shared" si="8"/>
        <v>0</v>
      </c>
      <c r="F92" s="72">
        <f t="shared" si="9"/>
        <v>0</v>
      </c>
      <c r="G92" s="72">
        <f t="shared" si="10"/>
        <v>0</v>
      </c>
      <c r="H92" s="150"/>
      <c r="I92" s="72"/>
    </row>
    <row r="93" spans="2:9" x14ac:dyDescent="0.25">
      <c r="B93" s="2">
        <f t="shared" si="6"/>
        <v>77</v>
      </c>
      <c r="C93" s="17">
        <f t="shared" si="7"/>
        <v>0</v>
      </c>
      <c r="E93" s="72">
        <f t="shared" si="8"/>
        <v>0</v>
      </c>
      <c r="F93" s="72">
        <f t="shared" si="9"/>
        <v>0</v>
      </c>
      <c r="G93" s="72">
        <f t="shared" si="10"/>
        <v>0</v>
      </c>
      <c r="H93" s="150"/>
      <c r="I93" s="72"/>
    </row>
    <row r="94" spans="2:9" x14ac:dyDescent="0.25">
      <c r="B94" s="2">
        <f t="shared" si="6"/>
        <v>78</v>
      </c>
      <c r="C94" s="17">
        <f t="shared" si="7"/>
        <v>0</v>
      </c>
      <c r="E94" s="72">
        <f t="shared" si="8"/>
        <v>0</v>
      </c>
      <c r="F94" s="72">
        <f t="shared" si="9"/>
        <v>0</v>
      </c>
      <c r="G94" s="72">
        <f t="shared" si="10"/>
        <v>0</v>
      </c>
      <c r="H94" s="150"/>
      <c r="I94" s="72"/>
    </row>
    <row r="95" spans="2:9" x14ac:dyDescent="0.25">
      <c r="B95" s="2">
        <f t="shared" si="6"/>
        <v>79</v>
      </c>
      <c r="C95" s="17">
        <f t="shared" si="7"/>
        <v>0</v>
      </c>
      <c r="E95" s="72">
        <f t="shared" si="8"/>
        <v>0</v>
      </c>
      <c r="F95" s="72">
        <f t="shared" si="9"/>
        <v>0</v>
      </c>
      <c r="G95" s="72">
        <f t="shared" si="10"/>
        <v>0</v>
      </c>
      <c r="H95" s="150"/>
      <c r="I95" s="72"/>
    </row>
    <row r="96" spans="2:9" x14ac:dyDescent="0.25">
      <c r="B96" s="2">
        <f t="shared" si="6"/>
        <v>80</v>
      </c>
      <c r="C96" s="17">
        <f t="shared" si="7"/>
        <v>0</v>
      </c>
      <c r="E96" s="72">
        <f t="shared" si="8"/>
        <v>0</v>
      </c>
      <c r="F96" s="72">
        <f t="shared" si="9"/>
        <v>0</v>
      </c>
      <c r="G96" s="72">
        <f t="shared" si="10"/>
        <v>0</v>
      </c>
      <c r="H96" s="150"/>
      <c r="I96" s="72"/>
    </row>
    <row r="97" spans="2:9" x14ac:dyDescent="0.25">
      <c r="B97" s="2">
        <f t="shared" si="6"/>
        <v>81</v>
      </c>
      <c r="C97" s="17">
        <f t="shared" si="7"/>
        <v>0</v>
      </c>
      <c r="E97" s="72">
        <f t="shared" si="8"/>
        <v>0</v>
      </c>
      <c r="F97" s="72">
        <f t="shared" si="9"/>
        <v>0</v>
      </c>
      <c r="G97" s="72">
        <f t="shared" si="10"/>
        <v>0</v>
      </c>
      <c r="H97" s="150"/>
      <c r="I97" s="72"/>
    </row>
    <row r="98" spans="2:9" x14ac:dyDescent="0.25">
      <c r="B98" s="2">
        <f t="shared" si="6"/>
        <v>82</v>
      </c>
      <c r="C98" s="17">
        <f t="shared" si="7"/>
        <v>0</v>
      </c>
      <c r="E98" s="72">
        <f t="shared" si="8"/>
        <v>0</v>
      </c>
      <c r="F98" s="72">
        <f t="shared" si="9"/>
        <v>0</v>
      </c>
      <c r="G98" s="72">
        <f t="shared" si="10"/>
        <v>0</v>
      </c>
      <c r="H98" s="150"/>
      <c r="I98" s="72"/>
    </row>
    <row r="99" spans="2:9" x14ac:dyDescent="0.25">
      <c r="B99" s="2">
        <f t="shared" si="6"/>
        <v>83</v>
      </c>
      <c r="C99" s="17">
        <f t="shared" si="7"/>
        <v>0</v>
      </c>
      <c r="E99" s="72">
        <f t="shared" si="8"/>
        <v>0</v>
      </c>
      <c r="F99" s="72">
        <f t="shared" si="9"/>
        <v>0</v>
      </c>
      <c r="G99" s="72">
        <f t="shared" si="10"/>
        <v>0</v>
      </c>
      <c r="H99" s="150"/>
      <c r="I99" s="72"/>
    </row>
    <row r="100" spans="2:9" x14ac:dyDescent="0.25">
      <c r="B100" s="2">
        <f t="shared" si="6"/>
        <v>84</v>
      </c>
      <c r="C100" s="17">
        <f t="shared" si="7"/>
        <v>0</v>
      </c>
      <c r="E100" s="72">
        <f t="shared" si="8"/>
        <v>0</v>
      </c>
      <c r="F100" s="72">
        <f t="shared" si="9"/>
        <v>0</v>
      </c>
      <c r="G100" s="72">
        <f t="shared" si="10"/>
        <v>0</v>
      </c>
      <c r="H100" s="150"/>
      <c r="I100" s="72"/>
    </row>
    <row r="101" spans="2:9" x14ac:dyDescent="0.25">
      <c r="B101" s="2">
        <f t="shared" si="6"/>
        <v>85</v>
      </c>
      <c r="C101" s="17">
        <f t="shared" si="7"/>
        <v>0</v>
      </c>
      <c r="E101" s="72">
        <f t="shared" si="8"/>
        <v>0</v>
      </c>
      <c r="F101" s="72">
        <f t="shared" si="9"/>
        <v>0</v>
      </c>
      <c r="G101" s="72">
        <f t="shared" si="10"/>
        <v>0</v>
      </c>
      <c r="H101" s="150"/>
      <c r="I101" s="72"/>
    </row>
    <row r="102" spans="2:9" x14ac:dyDescent="0.25">
      <c r="B102" s="2">
        <f t="shared" si="6"/>
        <v>86</v>
      </c>
      <c r="C102" s="17">
        <f t="shared" si="7"/>
        <v>0</v>
      </c>
      <c r="E102" s="72">
        <f t="shared" si="8"/>
        <v>0</v>
      </c>
      <c r="F102" s="72">
        <f t="shared" si="9"/>
        <v>0</v>
      </c>
      <c r="G102" s="72">
        <f t="shared" si="10"/>
        <v>0</v>
      </c>
      <c r="H102" s="150"/>
      <c r="I102" s="72"/>
    </row>
    <row r="103" spans="2:9" x14ac:dyDescent="0.25">
      <c r="B103" s="2">
        <f t="shared" si="6"/>
        <v>87</v>
      </c>
      <c r="C103" s="17">
        <f t="shared" si="7"/>
        <v>0</v>
      </c>
      <c r="E103" s="72">
        <f t="shared" si="8"/>
        <v>0</v>
      </c>
      <c r="F103" s="72">
        <f t="shared" si="9"/>
        <v>0</v>
      </c>
      <c r="G103" s="72">
        <f t="shared" si="10"/>
        <v>0</v>
      </c>
      <c r="H103" s="150"/>
      <c r="I103" s="72"/>
    </row>
    <row r="104" spans="2:9" x14ac:dyDescent="0.25">
      <c r="B104" s="2">
        <f t="shared" si="6"/>
        <v>88</v>
      </c>
      <c r="C104" s="17">
        <f t="shared" si="7"/>
        <v>0</v>
      </c>
      <c r="E104" s="72">
        <f t="shared" si="8"/>
        <v>0</v>
      </c>
      <c r="F104" s="72">
        <f t="shared" si="9"/>
        <v>0</v>
      </c>
      <c r="G104" s="72">
        <f t="shared" si="10"/>
        <v>0</v>
      </c>
      <c r="H104" s="150"/>
      <c r="I104" s="72"/>
    </row>
    <row r="105" spans="2:9" x14ac:dyDescent="0.25">
      <c r="B105" s="2">
        <f t="shared" si="6"/>
        <v>89</v>
      </c>
      <c r="C105" s="17">
        <f t="shared" si="7"/>
        <v>0</v>
      </c>
      <c r="E105" s="72">
        <f t="shared" si="8"/>
        <v>0</v>
      </c>
      <c r="F105" s="72">
        <f t="shared" si="9"/>
        <v>0</v>
      </c>
      <c r="G105" s="72">
        <f t="shared" si="10"/>
        <v>0</v>
      </c>
      <c r="H105" s="150"/>
      <c r="I105" s="72"/>
    </row>
    <row r="106" spans="2:9" x14ac:dyDescent="0.25">
      <c r="B106" s="2">
        <f t="shared" si="6"/>
        <v>90</v>
      </c>
      <c r="C106" s="17">
        <f t="shared" si="7"/>
        <v>0</v>
      </c>
      <c r="E106" s="72">
        <f t="shared" si="8"/>
        <v>0</v>
      </c>
      <c r="F106" s="72">
        <f t="shared" si="9"/>
        <v>0</v>
      </c>
      <c r="G106" s="72">
        <f t="shared" si="10"/>
        <v>0</v>
      </c>
      <c r="H106" s="150"/>
      <c r="I106" s="72"/>
    </row>
    <row r="107" spans="2:9" x14ac:dyDescent="0.25">
      <c r="B107" s="2">
        <f t="shared" si="6"/>
        <v>91</v>
      </c>
      <c r="C107" s="17">
        <f t="shared" si="7"/>
        <v>0</v>
      </c>
      <c r="E107" s="72">
        <f t="shared" si="8"/>
        <v>0</v>
      </c>
      <c r="F107" s="72">
        <f t="shared" si="9"/>
        <v>0</v>
      </c>
      <c r="G107" s="72">
        <f t="shared" si="10"/>
        <v>0</v>
      </c>
      <c r="H107" s="150"/>
      <c r="I107" s="72"/>
    </row>
    <row r="108" spans="2:9" x14ac:dyDescent="0.25">
      <c r="B108" s="2">
        <f t="shared" si="6"/>
        <v>92</v>
      </c>
      <c r="C108" s="17">
        <f t="shared" si="7"/>
        <v>0</v>
      </c>
      <c r="E108" s="72">
        <f t="shared" si="8"/>
        <v>0</v>
      </c>
      <c r="F108" s="72">
        <f t="shared" si="9"/>
        <v>0</v>
      </c>
      <c r="G108" s="72">
        <f t="shared" si="10"/>
        <v>0</v>
      </c>
      <c r="H108" s="150"/>
      <c r="I108" s="72"/>
    </row>
    <row r="109" spans="2:9" x14ac:dyDescent="0.25">
      <c r="B109" s="2">
        <f t="shared" si="6"/>
        <v>93</v>
      </c>
      <c r="C109" s="17">
        <f t="shared" si="7"/>
        <v>0</v>
      </c>
      <c r="E109" s="72">
        <f t="shared" si="8"/>
        <v>0</v>
      </c>
      <c r="F109" s="72">
        <f t="shared" si="9"/>
        <v>0</v>
      </c>
      <c r="G109" s="72">
        <f t="shared" si="10"/>
        <v>0</v>
      </c>
      <c r="H109" s="150"/>
      <c r="I109" s="72"/>
    </row>
    <row r="110" spans="2:9" x14ac:dyDescent="0.25">
      <c r="B110" s="2">
        <f t="shared" si="6"/>
        <v>94</v>
      </c>
      <c r="C110" s="17">
        <f t="shared" si="7"/>
        <v>0</v>
      </c>
      <c r="E110" s="72">
        <f t="shared" si="8"/>
        <v>0</v>
      </c>
      <c r="F110" s="72">
        <f t="shared" si="9"/>
        <v>0</v>
      </c>
      <c r="G110" s="72">
        <f t="shared" si="10"/>
        <v>0</v>
      </c>
      <c r="H110" s="150"/>
      <c r="I110" s="72"/>
    </row>
    <row r="111" spans="2:9" x14ac:dyDescent="0.25">
      <c r="B111" s="2">
        <f t="shared" si="6"/>
        <v>95</v>
      </c>
      <c r="C111" s="17">
        <f t="shared" si="7"/>
        <v>0</v>
      </c>
      <c r="E111" s="72">
        <f t="shared" si="8"/>
        <v>0</v>
      </c>
      <c r="F111" s="72">
        <f t="shared" si="9"/>
        <v>0</v>
      </c>
      <c r="G111" s="72">
        <f t="shared" si="10"/>
        <v>0</v>
      </c>
      <c r="H111" s="150"/>
      <c r="I111" s="72"/>
    </row>
    <row r="112" spans="2:9" x14ac:dyDescent="0.25">
      <c r="B112" s="2">
        <f t="shared" si="6"/>
        <v>96</v>
      </c>
      <c r="C112" s="17">
        <f t="shared" si="7"/>
        <v>0</v>
      </c>
      <c r="E112" s="72">
        <f t="shared" si="8"/>
        <v>0</v>
      </c>
      <c r="F112" s="72">
        <f t="shared" si="9"/>
        <v>0</v>
      </c>
      <c r="G112" s="72">
        <f t="shared" si="10"/>
        <v>0</v>
      </c>
      <c r="H112" s="150"/>
      <c r="I112" s="72"/>
    </row>
    <row r="113" spans="2:9" x14ac:dyDescent="0.25">
      <c r="B113" s="2">
        <f t="shared" si="6"/>
        <v>97</v>
      </c>
      <c r="C113" s="17">
        <f t="shared" si="7"/>
        <v>0</v>
      </c>
      <c r="E113" s="72">
        <f t="shared" si="8"/>
        <v>0</v>
      </c>
      <c r="F113" s="72">
        <f t="shared" si="9"/>
        <v>0</v>
      </c>
      <c r="G113" s="72">
        <f t="shared" si="10"/>
        <v>0</v>
      </c>
      <c r="H113" s="150"/>
      <c r="I113" s="72"/>
    </row>
    <row r="114" spans="2:9" x14ac:dyDescent="0.25">
      <c r="B114" s="2">
        <f t="shared" si="6"/>
        <v>98</v>
      </c>
      <c r="C114" s="17">
        <f t="shared" si="7"/>
        <v>0</v>
      </c>
      <c r="E114" s="72">
        <f t="shared" si="8"/>
        <v>0</v>
      </c>
      <c r="F114" s="72">
        <f t="shared" si="9"/>
        <v>0</v>
      </c>
      <c r="G114" s="72">
        <f t="shared" si="10"/>
        <v>0</v>
      </c>
      <c r="H114" s="150"/>
      <c r="I114" s="72"/>
    </row>
    <row r="115" spans="2:9" x14ac:dyDescent="0.25">
      <c r="B115" s="2">
        <f t="shared" si="6"/>
        <v>99</v>
      </c>
      <c r="C115" s="17">
        <f t="shared" si="7"/>
        <v>0</v>
      </c>
      <c r="E115" s="72">
        <f t="shared" si="8"/>
        <v>0</v>
      </c>
      <c r="F115" s="72">
        <f t="shared" si="9"/>
        <v>0</v>
      </c>
      <c r="G115" s="72">
        <f t="shared" si="10"/>
        <v>0</v>
      </c>
      <c r="H115" s="150"/>
      <c r="I115" s="72"/>
    </row>
    <row r="116" spans="2:9" x14ac:dyDescent="0.25">
      <c r="B116" s="2">
        <f t="shared" si="6"/>
        <v>100</v>
      </c>
      <c r="C116" s="17">
        <f t="shared" si="7"/>
        <v>0</v>
      </c>
      <c r="E116" s="72">
        <f t="shared" si="8"/>
        <v>0</v>
      </c>
      <c r="F116" s="72">
        <f t="shared" si="9"/>
        <v>0</v>
      </c>
      <c r="G116" s="72">
        <f t="shared" si="10"/>
        <v>0</v>
      </c>
      <c r="H116" s="150"/>
      <c r="I116" s="72"/>
    </row>
    <row r="117" spans="2:9" x14ac:dyDescent="0.25">
      <c r="B117" s="2">
        <f t="shared" si="6"/>
        <v>101</v>
      </c>
      <c r="C117" s="17">
        <f t="shared" si="7"/>
        <v>0</v>
      </c>
      <c r="E117" s="72">
        <f t="shared" si="8"/>
        <v>0</v>
      </c>
      <c r="F117" s="72">
        <f t="shared" si="9"/>
        <v>0</v>
      </c>
      <c r="G117" s="72">
        <f t="shared" si="10"/>
        <v>0</v>
      </c>
      <c r="H117" s="150"/>
      <c r="I117" s="72"/>
    </row>
    <row r="118" spans="2:9" x14ac:dyDescent="0.25">
      <c r="B118" s="2">
        <f t="shared" si="6"/>
        <v>102</v>
      </c>
      <c r="C118" s="17">
        <f t="shared" si="7"/>
        <v>0</v>
      </c>
      <c r="E118" s="72">
        <f t="shared" si="8"/>
        <v>0</v>
      </c>
      <c r="F118" s="72">
        <f t="shared" si="9"/>
        <v>0</v>
      </c>
      <c r="G118" s="72">
        <f t="shared" si="10"/>
        <v>0</v>
      </c>
      <c r="H118" s="150"/>
      <c r="I118" s="72"/>
    </row>
    <row r="119" spans="2:9" x14ac:dyDescent="0.25">
      <c r="B119" s="2">
        <f t="shared" si="6"/>
        <v>103</v>
      </c>
      <c r="C119" s="17">
        <f t="shared" si="7"/>
        <v>0</v>
      </c>
      <c r="E119" s="72">
        <f t="shared" si="8"/>
        <v>0</v>
      </c>
      <c r="F119" s="72">
        <f t="shared" si="9"/>
        <v>0</v>
      </c>
      <c r="G119" s="72">
        <f t="shared" si="10"/>
        <v>0</v>
      </c>
      <c r="H119" s="150"/>
      <c r="I119" s="72"/>
    </row>
    <row r="120" spans="2:9" x14ac:dyDescent="0.25">
      <c r="B120" s="2">
        <f t="shared" si="6"/>
        <v>104</v>
      </c>
      <c r="C120" s="17">
        <f t="shared" si="7"/>
        <v>0</v>
      </c>
      <c r="E120" s="72">
        <f t="shared" si="8"/>
        <v>0</v>
      </c>
      <c r="F120" s="72">
        <f t="shared" si="9"/>
        <v>0</v>
      </c>
      <c r="G120" s="72">
        <f t="shared" si="10"/>
        <v>0</v>
      </c>
      <c r="H120" s="150"/>
      <c r="I120" s="72"/>
    </row>
    <row r="121" spans="2:9" x14ac:dyDescent="0.25">
      <c r="B121" s="2">
        <f t="shared" si="6"/>
        <v>105</v>
      </c>
      <c r="C121" s="17">
        <f t="shared" si="7"/>
        <v>0</v>
      </c>
      <c r="E121" s="72">
        <f t="shared" si="8"/>
        <v>0</v>
      </c>
      <c r="F121" s="72">
        <f t="shared" si="9"/>
        <v>0</v>
      </c>
      <c r="G121" s="72">
        <f t="shared" si="10"/>
        <v>0</v>
      </c>
      <c r="H121" s="150"/>
      <c r="I121" s="72"/>
    </row>
    <row r="122" spans="2:9" x14ac:dyDescent="0.25">
      <c r="B122" s="2">
        <f t="shared" si="6"/>
        <v>106</v>
      </c>
      <c r="C122" s="17">
        <f t="shared" si="7"/>
        <v>0</v>
      </c>
      <c r="E122" s="72">
        <f t="shared" si="8"/>
        <v>0</v>
      </c>
      <c r="F122" s="72">
        <f t="shared" si="9"/>
        <v>0</v>
      </c>
      <c r="G122" s="72">
        <f t="shared" si="10"/>
        <v>0</v>
      </c>
      <c r="H122" s="150"/>
      <c r="I122" s="72"/>
    </row>
    <row r="123" spans="2:9" x14ac:dyDescent="0.25">
      <c r="B123" s="2">
        <f t="shared" si="6"/>
        <v>107</v>
      </c>
      <c r="C123" s="17">
        <f t="shared" si="7"/>
        <v>0</v>
      </c>
      <c r="E123" s="72">
        <f t="shared" si="8"/>
        <v>0</v>
      </c>
      <c r="F123" s="72">
        <f t="shared" si="9"/>
        <v>0</v>
      </c>
      <c r="G123" s="72">
        <f t="shared" si="10"/>
        <v>0</v>
      </c>
      <c r="H123" s="150"/>
      <c r="I123" s="72"/>
    </row>
    <row r="124" spans="2:9" x14ac:dyDescent="0.25">
      <c r="B124" s="2">
        <f t="shared" si="6"/>
        <v>108</v>
      </c>
      <c r="C124" s="17">
        <f t="shared" si="7"/>
        <v>0</v>
      </c>
      <c r="E124" s="72">
        <f t="shared" si="8"/>
        <v>0</v>
      </c>
      <c r="F124" s="72">
        <f t="shared" si="9"/>
        <v>0</v>
      </c>
      <c r="G124" s="72">
        <f t="shared" si="10"/>
        <v>0</v>
      </c>
      <c r="H124" s="150"/>
      <c r="I124" s="72"/>
    </row>
    <row r="125" spans="2:9" x14ac:dyDescent="0.25">
      <c r="B125" s="2">
        <f t="shared" si="6"/>
        <v>109</v>
      </c>
      <c r="C125" s="17">
        <f t="shared" si="7"/>
        <v>0</v>
      </c>
      <c r="E125" s="72">
        <f t="shared" si="8"/>
        <v>0</v>
      </c>
      <c r="F125" s="72">
        <f t="shared" si="9"/>
        <v>0</v>
      </c>
      <c r="G125" s="72">
        <f t="shared" si="10"/>
        <v>0</v>
      </c>
      <c r="H125" s="150"/>
      <c r="I125" s="72"/>
    </row>
    <row r="126" spans="2:9" x14ac:dyDescent="0.25">
      <c r="B126" s="2">
        <f t="shared" si="6"/>
        <v>110</v>
      </c>
      <c r="C126" s="17">
        <f t="shared" si="7"/>
        <v>0</v>
      </c>
      <c r="E126" s="72">
        <f t="shared" si="8"/>
        <v>0</v>
      </c>
      <c r="F126" s="72">
        <f t="shared" si="9"/>
        <v>0</v>
      </c>
      <c r="G126" s="72">
        <f t="shared" si="10"/>
        <v>0</v>
      </c>
      <c r="H126" s="150"/>
      <c r="I126" s="72"/>
    </row>
    <row r="127" spans="2:9" x14ac:dyDescent="0.25">
      <c r="B127" s="2">
        <f t="shared" si="6"/>
        <v>111</v>
      </c>
      <c r="C127" s="17">
        <f t="shared" si="7"/>
        <v>0</v>
      </c>
      <c r="E127" s="72">
        <f t="shared" si="8"/>
        <v>0</v>
      </c>
      <c r="F127" s="72">
        <f t="shared" si="9"/>
        <v>0</v>
      </c>
      <c r="G127" s="72">
        <f t="shared" si="10"/>
        <v>0</v>
      </c>
      <c r="H127" s="150"/>
      <c r="I127" s="72"/>
    </row>
    <row r="128" spans="2:9" x14ac:dyDescent="0.25">
      <c r="B128" s="2">
        <f t="shared" si="6"/>
        <v>112</v>
      </c>
      <c r="C128" s="17">
        <f t="shared" si="7"/>
        <v>0</v>
      </c>
      <c r="E128" s="72">
        <f t="shared" si="8"/>
        <v>0</v>
      </c>
      <c r="F128" s="72">
        <f t="shared" si="9"/>
        <v>0</v>
      </c>
      <c r="G128" s="72">
        <f t="shared" si="10"/>
        <v>0</v>
      </c>
      <c r="H128" s="150"/>
      <c r="I128" s="72"/>
    </row>
    <row r="129" spans="2:9" x14ac:dyDescent="0.25">
      <c r="B129" s="2">
        <f t="shared" si="6"/>
        <v>113</v>
      </c>
      <c r="C129" s="17">
        <f t="shared" si="7"/>
        <v>0</v>
      </c>
      <c r="E129" s="72">
        <f t="shared" si="8"/>
        <v>0</v>
      </c>
      <c r="F129" s="72">
        <f t="shared" si="9"/>
        <v>0</v>
      </c>
      <c r="G129" s="72">
        <f t="shared" si="10"/>
        <v>0</v>
      </c>
      <c r="H129" s="150"/>
      <c r="I129" s="72"/>
    </row>
    <row r="130" spans="2:9" x14ac:dyDescent="0.25">
      <c r="B130" s="2">
        <f t="shared" si="6"/>
        <v>114</v>
      </c>
      <c r="C130" s="17">
        <f t="shared" si="7"/>
        <v>0</v>
      </c>
      <c r="E130" s="72">
        <f t="shared" si="8"/>
        <v>0</v>
      </c>
      <c r="F130" s="72">
        <f t="shared" si="9"/>
        <v>0</v>
      </c>
      <c r="G130" s="72">
        <f t="shared" si="10"/>
        <v>0</v>
      </c>
      <c r="H130" s="150"/>
      <c r="I130" s="72"/>
    </row>
    <row r="131" spans="2:9" x14ac:dyDescent="0.25">
      <c r="B131" s="2">
        <f t="shared" si="6"/>
        <v>115</v>
      </c>
      <c r="C131" s="17">
        <f t="shared" si="7"/>
        <v>0</v>
      </c>
      <c r="E131" s="72">
        <f t="shared" si="8"/>
        <v>0</v>
      </c>
      <c r="F131" s="72">
        <f t="shared" si="9"/>
        <v>0</v>
      </c>
      <c r="G131" s="72">
        <f t="shared" si="10"/>
        <v>0</v>
      </c>
      <c r="H131" s="150"/>
      <c r="I131" s="72"/>
    </row>
    <row r="132" spans="2:9" x14ac:dyDescent="0.25">
      <c r="B132" s="2">
        <f t="shared" si="6"/>
        <v>116</v>
      </c>
      <c r="C132" s="17">
        <f t="shared" si="7"/>
        <v>0</v>
      </c>
      <c r="E132" s="72">
        <f t="shared" si="8"/>
        <v>0</v>
      </c>
      <c r="F132" s="72">
        <f t="shared" si="9"/>
        <v>0</v>
      </c>
      <c r="G132" s="72">
        <f t="shared" si="10"/>
        <v>0</v>
      </c>
      <c r="H132" s="150"/>
      <c r="I132" s="72"/>
    </row>
    <row r="133" spans="2:9" x14ac:dyDescent="0.25">
      <c r="B133" s="2">
        <f t="shared" si="6"/>
        <v>117</v>
      </c>
      <c r="C133" s="17">
        <f t="shared" si="7"/>
        <v>0</v>
      </c>
      <c r="E133" s="72">
        <f t="shared" si="8"/>
        <v>0</v>
      </c>
      <c r="F133" s="72">
        <f t="shared" si="9"/>
        <v>0</v>
      </c>
      <c r="G133" s="72">
        <f t="shared" si="10"/>
        <v>0</v>
      </c>
      <c r="H133" s="150"/>
      <c r="I133" s="72"/>
    </row>
    <row r="134" spans="2:9" x14ac:dyDescent="0.25">
      <c r="B134" s="2">
        <f t="shared" si="6"/>
        <v>118</v>
      </c>
      <c r="C134" s="17">
        <f t="shared" si="7"/>
        <v>0</v>
      </c>
      <c r="E134" s="72">
        <f t="shared" si="8"/>
        <v>0</v>
      </c>
      <c r="F134" s="72">
        <f t="shared" si="9"/>
        <v>0</v>
      </c>
      <c r="G134" s="72">
        <f t="shared" si="10"/>
        <v>0</v>
      </c>
      <c r="H134" s="150"/>
      <c r="I134" s="72"/>
    </row>
    <row r="135" spans="2:9" x14ac:dyDescent="0.25">
      <c r="B135" s="2">
        <f t="shared" si="6"/>
        <v>119</v>
      </c>
      <c r="C135" s="17">
        <f t="shared" si="7"/>
        <v>0</v>
      </c>
      <c r="E135" s="72">
        <f t="shared" si="8"/>
        <v>0</v>
      </c>
      <c r="F135" s="72">
        <f t="shared" si="9"/>
        <v>0</v>
      </c>
      <c r="G135" s="72">
        <f t="shared" si="10"/>
        <v>0</v>
      </c>
      <c r="H135" s="150"/>
      <c r="I135" s="72"/>
    </row>
    <row r="136" spans="2:9" x14ac:dyDescent="0.25">
      <c r="B136" s="2">
        <f t="shared" si="6"/>
        <v>120</v>
      </c>
      <c r="C136" s="17">
        <f t="shared" si="7"/>
        <v>0</v>
      </c>
      <c r="E136" s="72">
        <f t="shared" si="8"/>
        <v>0</v>
      </c>
      <c r="F136" s="72">
        <f t="shared" si="9"/>
        <v>0</v>
      </c>
      <c r="G136" s="72">
        <f t="shared" si="10"/>
        <v>0</v>
      </c>
      <c r="H136" s="150"/>
      <c r="I136" s="72"/>
    </row>
    <row r="137" spans="2:9" x14ac:dyDescent="0.25">
      <c r="B137" s="2">
        <f t="shared" si="6"/>
        <v>121</v>
      </c>
      <c r="C137" s="17">
        <f t="shared" si="7"/>
        <v>0</v>
      </c>
      <c r="E137" s="72">
        <f t="shared" si="8"/>
        <v>0</v>
      </c>
      <c r="F137" s="72">
        <f t="shared" si="9"/>
        <v>0</v>
      </c>
      <c r="G137" s="72">
        <f t="shared" si="10"/>
        <v>0</v>
      </c>
      <c r="H137" s="150"/>
      <c r="I137" s="72"/>
    </row>
    <row r="138" spans="2:9" x14ac:dyDescent="0.25">
      <c r="B138" s="2">
        <f t="shared" si="6"/>
        <v>122</v>
      </c>
      <c r="C138" s="17">
        <f t="shared" si="7"/>
        <v>0</v>
      </c>
      <c r="E138" s="72">
        <f t="shared" si="8"/>
        <v>0</v>
      </c>
      <c r="F138" s="72">
        <f t="shared" si="9"/>
        <v>0</v>
      </c>
      <c r="G138" s="72">
        <f t="shared" si="10"/>
        <v>0</v>
      </c>
      <c r="H138" s="150"/>
      <c r="I138" s="72"/>
    </row>
    <row r="139" spans="2:9" x14ac:dyDescent="0.25">
      <c r="B139" s="2">
        <f t="shared" si="6"/>
        <v>123</v>
      </c>
      <c r="C139" s="17">
        <f t="shared" si="7"/>
        <v>0</v>
      </c>
      <c r="E139" s="72">
        <f t="shared" si="8"/>
        <v>0</v>
      </c>
      <c r="F139" s="72">
        <f t="shared" si="9"/>
        <v>0</v>
      </c>
      <c r="G139" s="72">
        <f t="shared" si="10"/>
        <v>0</v>
      </c>
      <c r="H139" s="150"/>
      <c r="I139" s="72"/>
    </row>
    <row r="140" spans="2:9" x14ac:dyDescent="0.25">
      <c r="B140" s="2">
        <f t="shared" si="6"/>
        <v>124</v>
      </c>
      <c r="C140" s="17">
        <f t="shared" si="7"/>
        <v>0</v>
      </c>
      <c r="E140" s="72">
        <f t="shared" si="8"/>
        <v>0</v>
      </c>
      <c r="F140" s="72">
        <f t="shared" si="9"/>
        <v>0</v>
      </c>
      <c r="G140" s="72">
        <f t="shared" si="10"/>
        <v>0</v>
      </c>
      <c r="H140" s="150"/>
      <c r="I140" s="72"/>
    </row>
    <row r="141" spans="2:9" x14ac:dyDescent="0.25">
      <c r="B141" s="2">
        <f t="shared" si="6"/>
        <v>125</v>
      </c>
      <c r="C141" s="17">
        <f t="shared" si="7"/>
        <v>0</v>
      </c>
      <c r="E141" s="72">
        <f t="shared" si="8"/>
        <v>0</v>
      </c>
      <c r="F141" s="72">
        <f t="shared" si="9"/>
        <v>0</v>
      </c>
      <c r="G141" s="72">
        <f t="shared" si="10"/>
        <v>0</v>
      </c>
      <c r="H141" s="150"/>
      <c r="I141" s="72"/>
    </row>
    <row r="142" spans="2:9" x14ac:dyDescent="0.25">
      <c r="B142" s="2">
        <f t="shared" si="6"/>
        <v>126</v>
      </c>
      <c r="C142" s="17">
        <f t="shared" si="7"/>
        <v>0</v>
      </c>
      <c r="E142" s="72">
        <f t="shared" si="8"/>
        <v>0</v>
      </c>
      <c r="F142" s="72">
        <f t="shared" si="9"/>
        <v>0</v>
      </c>
      <c r="G142" s="72">
        <f t="shared" si="10"/>
        <v>0</v>
      </c>
      <c r="H142" s="150"/>
      <c r="I142" s="72"/>
    </row>
    <row r="143" spans="2:9" x14ac:dyDescent="0.25">
      <c r="B143" s="2">
        <f t="shared" si="6"/>
        <v>127</v>
      </c>
      <c r="C143" s="17">
        <f t="shared" si="7"/>
        <v>0</v>
      </c>
      <c r="E143" s="72">
        <f t="shared" si="8"/>
        <v>0</v>
      </c>
      <c r="F143" s="72">
        <f t="shared" si="9"/>
        <v>0</v>
      </c>
      <c r="G143" s="72">
        <f t="shared" si="10"/>
        <v>0</v>
      </c>
      <c r="H143" s="150"/>
      <c r="I143" s="72"/>
    </row>
    <row r="144" spans="2:9" x14ac:dyDescent="0.25">
      <c r="B144" s="2">
        <f t="shared" si="6"/>
        <v>128</v>
      </c>
      <c r="C144" s="17">
        <f t="shared" si="7"/>
        <v>0</v>
      </c>
      <c r="E144" s="72">
        <f t="shared" si="8"/>
        <v>0</v>
      </c>
      <c r="F144" s="72">
        <f t="shared" si="9"/>
        <v>0</v>
      </c>
      <c r="G144" s="72">
        <f t="shared" si="10"/>
        <v>0</v>
      </c>
      <c r="H144" s="150"/>
      <c r="I144" s="72"/>
    </row>
    <row r="145" spans="2:9" x14ac:dyDescent="0.25">
      <c r="B145" s="2">
        <f t="shared" si="6"/>
        <v>129</v>
      </c>
      <c r="C145" s="17">
        <f t="shared" si="7"/>
        <v>0</v>
      </c>
      <c r="E145" s="72">
        <f t="shared" si="8"/>
        <v>0</v>
      </c>
      <c r="F145" s="72">
        <f t="shared" si="9"/>
        <v>0</v>
      </c>
      <c r="G145" s="72">
        <f t="shared" si="10"/>
        <v>0</v>
      </c>
      <c r="H145" s="150"/>
      <c r="I145" s="72"/>
    </row>
    <row r="146" spans="2:9" x14ac:dyDescent="0.25">
      <c r="B146" s="2">
        <f t="shared" ref="B146:B209" si="11">B145+1</f>
        <v>130</v>
      </c>
      <c r="C146" s="17">
        <f t="shared" ref="C146:C209" si="12">$E$8</f>
        <v>0</v>
      </c>
      <c r="E146" s="72">
        <f t="shared" ref="E146:E209" si="13">G145*$E$9/12</f>
        <v>0</v>
      </c>
      <c r="F146" s="72">
        <f t="shared" ref="F146:F209" si="14">C146-E146</f>
        <v>0</v>
      </c>
      <c r="G146" s="72">
        <f t="shared" ref="G146:G209" si="15">G145-F146</f>
        <v>0</v>
      </c>
      <c r="H146" s="150"/>
      <c r="I146" s="72"/>
    </row>
    <row r="147" spans="2:9" x14ac:dyDescent="0.25">
      <c r="B147" s="2">
        <f t="shared" si="11"/>
        <v>131</v>
      </c>
      <c r="C147" s="17">
        <f t="shared" si="12"/>
        <v>0</v>
      </c>
      <c r="E147" s="72">
        <f t="shared" si="13"/>
        <v>0</v>
      </c>
      <c r="F147" s="72">
        <f t="shared" si="14"/>
        <v>0</v>
      </c>
      <c r="G147" s="72">
        <f t="shared" si="15"/>
        <v>0</v>
      </c>
      <c r="H147" s="150"/>
      <c r="I147" s="72"/>
    </row>
    <row r="148" spans="2:9" x14ac:dyDescent="0.25">
      <c r="B148" s="2">
        <f t="shared" si="11"/>
        <v>132</v>
      </c>
      <c r="C148" s="17">
        <f t="shared" si="12"/>
        <v>0</v>
      </c>
      <c r="E148" s="72">
        <f t="shared" si="13"/>
        <v>0</v>
      </c>
      <c r="F148" s="72">
        <f t="shared" si="14"/>
        <v>0</v>
      </c>
      <c r="G148" s="72">
        <f t="shared" si="15"/>
        <v>0</v>
      </c>
      <c r="H148" s="150"/>
      <c r="I148" s="72"/>
    </row>
    <row r="149" spans="2:9" x14ac:dyDescent="0.25">
      <c r="B149" s="2">
        <f t="shared" si="11"/>
        <v>133</v>
      </c>
      <c r="C149" s="17">
        <f t="shared" si="12"/>
        <v>0</v>
      </c>
      <c r="E149" s="72">
        <f t="shared" si="13"/>
        <v>0</v>
      </c>
      <c r="F149" s="72">
        <f t="shared" si="14"/>
        <v>0</v>
      </c>
      <c r="G149" s="72">
        <f t="shared" si="15"/>
        <v>0</v>
      </c>
      <c r="H149" s="150"/>
      <c r="I149" s="72"/>
    </row>
    <row r="150" spans="2:9" x14ac:dyDescent="0.25">
      <c r="B150" s="2">
        <f t="shared" si="11"/>
        <v>134</v>
      </c>
      <c r="C150" s="17">
        <f t="shared" si="12"/>
        <v>0</v>
      </c>
      <c r="E150" s="72">
        <f t="shared" si="13"/>
        <v>0</v>
      </c>
      <c r="F150" s="72">
        <f t="shared" si="14"/>
        <v>0</v>
      </c>
      <c r="G150" s="72">
        <f t="shared" si="15"/>
        <v>0</v>
      </c>
      <c r="H150" s="150"/>
      <c r="I150" s="72"/>
    </row>
    <row r="151" spans="2:9" x14ac:dyDescent="0.25">
      <c r="B151" s="2">
        <f t="shared" si="11"/>
        <v>135</v>
      </c>
      <c r="C151" s="17">
        <f t="shared" si="12"/>
        <v>0</v>
      </c>
      <c r="E151" s="72">
        <f t="shared" si="13"/>
        <v>0</v>
      </c>
      <c r="F151" s="72">
        <f t="shared" si="14"/>
        <v>0</v>
      </c>
      <c r="G151" s="72">
        <f t="shared" si="15"/>
        <v>0</v>
      </c>
      <c r="H151" s="150"/>
      <c r="I151" s="72"/>
    </row>
    <row r="152" spans="2:9" x14ac:dyDescent="0.25">
      <c r="B152" s="2">
        <f t="shared" si="11"/>
        <v>136</v>
      </c>
      <c r="C152" s="17">
        <f t="shared" si="12"/>
        <v>0</v>
      </c>
      <c r="E152" s="72">
        <f t="shared" si="13"/>
        <v>0</v>
      </c>
      <c r="F152" s="72">
        <f t="shared" si="14"/>
        <v>0</v>
      </c>
      <c r="G152" s="72">
        <f t="shared" si="15"/>
        <v>0</v>
      </c>
      <c r="H152" s="150"/>
      <c r="I152" s="72"/>
    </row>
    <row r="153" spans="2:9" x14ac:dyDescent="0.25">
      <c r="B153" s="2">
        <f t="shared" si="11"/>
        <v>137</v>
      </c>
      <c r="C153" s="17">
        <f t="shared" si="12"/>
        <v>0</v>
      </c>
      <c r="E153" s="72">
        <f t="shared" si="13"/>
        <v>0</v>
      </c>
      <c r="F153" s="72">
        <f t="shared" si="14"/>
        <v>0</v>
      </c>
      <c r="G153" s="72">
        <f t="shared" si="15"/>
        <v>0</v>
      </c>
      <c r="H153" s="150"/>
      <c r="I153" s="72"/>
    </row>
    <row r="154" spans="2:9" x14ac:dyDescent="0.25">
      <c r="B154" s="2">
        <f t="shared" si="11"/>
        <v>138</v>
      </c>
      <c r="C154" s="17">
        <f t="shared" si="12"/>
        <v>0</v>
      </c>
      <c r="E154" s="72">
        <f t="shared" si="13"/>
        <v>0</v>
      </c>
      <c r="F154" s="72">
        <f t="shared" si="14"/>
        <v>0</v>
      </c>
      <c r="G154" s="72">
        <f t="shared" si="15"/>
        <v>0</v>
      </c>
      <c r="H154" s="150"/>
      <c r="I154" s="72"/>
    </row>
    <row r="155" spans="2:9" x14ac:dyDescent="0.25">
      <c r="B155" s="2">
        <f t="shared" si="11"/>
        <v>139</v>
      </c>
      <c r="C155" s="17">
        <f t="shared" si="12"/>
        <v>0</v>
      </c>
      <c r="E155" s="72">
        <f t="shared" si="13"/>
        <v>0</v>
      </c>
      <c r="F155" s="72">
        <f t="shared" si="14"/>
        <v>0</v>
      </c>
      <c r="G155" s="72">
        <f t="shared" si="15"/>
        <v>0</v>
      </c>
      <c r="H155" s="150"/>
      <c r="I155" s="72"/>
    </row>
    <row r="156" spans="2:9" x14ac:dyDescent="0.25">
      <c r="B156" s="2">
        <f t="shared" si="11"/>
        <v>140</v>
      </c>
      <c r="C156" s="17">
        <f t="shared" si="12"/>
        <v>0</v>
      </c>
      <c r="E156" s="72">
        <f t="shared" si="13"/>
        <v>0</v>
      </c>
      <c r="F156" s="72">
        <f t="shared" si="14"/>
        <v>0</v>
      </c>
      <c r="G156" s="72">
        <f t="shared" si="15"/>
        <v>0</v>
      </c>
      <c r="H156" s="150"/>
      <c r="I156" s="72"/>
    </row>
    <row r="157" spans="2:9" x14ac:dyDescent="0.25">
      <c r="B157" s="2">
        <f t="shared" si="11"/>
        <v>141</v>
      </c>
      <c r="C157" s="17">
        <f t="shared" si="12"/>
        <v>0</v>
      </c>
      <c r="E157" s="72">
        <f t="shared" si="13"/>
        <v>0</v>
      </c>
      <c r="F157" s="72">
        <f t="shared" si="14"/>
        <v>0</v>
      </c>
      <c r="G157" s="72">
        <f t="shared" si="15"/>
        <v>0</v>
      </c>
      <c r="H157" s="150"/>
      <c r="I157" s="72"/>
    </row>
    <row r="158" spans="2:9" x14ac:dyDescent="0.25">
      <c r="B158" s="2">
        <f t="shared" si="11"/>
        <v>142</v>
      </c>
      <c r="C158" s="17">
        <f t="shared" si="12"/>
        <v>0</v>
      </c>
      <c r="E158" s="72">
        <f t="shared" si="13"/>
        <v>0</v>
      </c>
      <c r="F158" s="72">
        <f t="shared" si="14"/>
        <v>0</v>
      </c>
      <c r="G158" s="72">
        <f t="shared" si="15"/>
        <v>0</v>
      </c>
      <c r="H158" s="150"/>
      <c r="I158" s="72"/>
    </row>
    <row r="159" spans="2:9" x14ac:dyDescent="0.25">
      <c r="B159" s="2">
        <f t="shared" si="11"/>
        <v>143</v>
      </c>
      <c r="C159" s="17">
        <f t="shared" si="12"/>
        <v>0</v>
      </c>
      <c r="E159" s="72">
        <f t="shared" si="13"/>
        <v>0</v>
      </c>
      <c r="F159" s="72">
        <f t="shared" si="14"/>
        <v>0</v>
      </c>
      <c r="G159" s="72">
        <f t="shared" si="15"/>
        <v>0</v>
      </c>
      <c r="H159" s="150"/>
      <c r="I159" s="72"/>
    </row>
    <row r="160" spans="2:9" x14ac:dyDescent="0.25">
      <c r="B160" s="2">
        <f t="shared" si="11"/>
        <v>144</v>
      </c>
      <c r="C160" s="17">
        <f t="shared" si="12"/>
        <v>0</v>
      </c>
      <c r="E160" s="72">
        <f t="shared" si="13"/>
        <v>0</v>
      </c>
      <c r="F160" s="72">
        <f t="shared" si="14"/>
        <v>0</v>
      </c>
      <c r="G160" s="72">
        <f t="shared" si="15"/>
        <v>0</v>
      </c>
      <c r="H160" s="150"/>
      <c r="I160" s="72"/>
    </row>
    <row r="161" spans="2:9" x14ac:dyDescent="0.25">
      <c r="B161" s="2">
        <f t="shared" si="11"/>
        <v>145</v>
      </c>
      <c r="C161" s="17">
        <f t="shared" si="12"/>
        <v>0</v>
      </c>
      <c r="E161" s="72">
        <f t="shared" si="13"/>
        <v>0</v>
      </c>
      <c r="F161" s="72">
        <f t="shared" si="14"/>
        <v>0</v>
      </c>
      <c r="G161" s="72">
        <f t="shared" si="15"/>
        <v>0</v>
      </c>
      <c r="H161" s="150"/>
      <c r="I161" s="72"/>
    </row>
    <row r="162" spans="2:9" x14ac:dyDescent="0.25">
      <c r="B162" s="2">
        <f t="shared" si="11"/>
        <v>146</v>
      </c>
      <c r="C162" s="17">
        <f t="shared" si="12"/>
        <v>0</v>
      </c>
      <c r="E162" s="72">
        <f t="shared" si="13"/>
        <v>0</v>
      </c>
      <c r="F162" s="72">
        <f t="shared" si="14"/>
        <v>0</v>
      </c>
      <c r="G162" s="72">
        <f t="shared" si="15"/>
        <v>0</v>
      </c>
      <c r="H162" s="150"/>
      <c r="I162" s="72"/>
    </row>
    <row r="163" spans="2:9" x14ac:dyDescent="0.25">
      <c r="B163" s="2">
        <f t="shared" si="11"/>
        <v>147</v>
      </c>
      <c r="C163" s="17">
        <f t="shared" si="12"/>
        <v>0</v>
      </c>
      <c r="E163" s="72">
        <f t="shared" si="13"/>
        <v>0</v>
      </c>
      <c r="F163" s="72">
        <f t="shared" si="14"/>
        <v>0</v>
      </c>
      <c r="G163" s="72">
        <f t="shared" si="15"/>
        <v>0</v>
      </c>
      <c r="H163" s="150"/>
      <c r="I163" s="72"/>
    </row>
    <row r="164" spans="2:9" x14ac:dyDescent="0.25">
      <c r="B164" s="2">
        <f t="shared" si="11"/>
        <v>148</v>
      </c>
      <c r="C164" s="17">
        <f t="shared" si="12"/>
        <v>0</v>
      </c>
      <c r="E164" s="72">
        <f t="shared" si="13"/>
        <v>0</v>
      </c>
      <c r="F164" s="72">
        <f t="shared" si="14"/>
        <v>0</v>
      </c>
      <c r="G164" s="72">
        <f t="shared" si="15"/>
        <v>0</v>
      </c>
      <c r="H164" s="150"/>
      <c r="I164" s="72"/>
    </row>
    <row r="165" spans="2:9" x14ac:dyDescent="0.25">
      <c r="B165" s="2">
        <f t="shared" si="11"/>
        <v>149</v>
      </c>
      <c r="C165" s="17">
        <f t="shared" si="12"/>
        <v>0</v>
      </c>
      <c r="E165" s="72">
        <f t="shared" si="13"/>
        <v>0</v>
      </c>
      <c r="F165" s="72">
        <f t="shared" si="14"/>
        <v>0</v>
      </c>
      <c r="G165" s="72">
        <f t="shared" si="15"/>
        <v>0</v>
      </c>
      <c r="H165" s="150"/>
      <c r="I165" s="72"/>
    </row>
    <row r="166" spans="2:9" x14ac:dyDescent="0.25">
      <c r="B166" s="2">
        <f t="shared" si="11"/>
        <v>150</v>
      </c>
      <c r="C166" s="17">
        <f t="shared" si="12"/>
        <v>0</v>
      </c>
      <c r="E166" s="72">
        <f t="shared" si="13"/>
        <v>0</v>
      </c>
      <c r="F166" s="72">
        <f t="shared" si="14"/>
        <v>0</v>
      </c>
      <c r="G166" s="72">
        <f t="shared" si="15"/>
        <v>0</v>
      </c>
      <c r="H166" s="150"/>
      <c r="I166" s="72"/>
    </row>
    <row r="167" spans="2:9" x14ac:dyDescent="0.25">
      <c r="B167" s="2">
        <f t="shared" si="11"/>
        <v>151</v>
      </c>
      <c r="C167" s="17">
        <f t="shared" si="12"/>
        <v>0</v>
      </c>
      <c r="E167" s="72">
        <f t="shared" si="13"/>
        <v>0</v>
      </c>
      <c r="F167" s="72">
        <f t="shared" si="14"/>
        <v>0</v>
      </c>
      <c r="G167" s="72">
        <f t="shared" si="15"/>
        <v>0</v>
      </c>
      <c r="H167" s="150"/>
      <c r="I167" s="72"/>
    </row>
    <row r="168" spans="2:9" x14ac:dyDescent="0.25">
      <c r="B168" s="2">
        <f t="shared" si="11"/>
        <v>152</v>
      </c>
      <c r="C168" s="17">
        <f t="shared" si="12"/>
        <v>0</v>
      </c>
      <c r="E168" s="72">
        <f t="shared" si="13"/>
        <v>0</v>
      </c>
      <c r="F168" s="72">
        <f t="shared" si="14"/>
        <v>0</v>
      </c>
      <c r="G168" s="72">
        <f t="shared" si="15"/>
        <v>0</v>
      </c>
      <c r="H168" s="150"/>
      <c r="I168" s="72"/>
    </row>
    <row r="169" spans="2:9" x14ac:dyDescent="0.25">
      <c r="B169" s="2">
        <f t="shared" si="11"/>
        <v>153</v>
      </c>
      <c r="C169" s="17">
        <f t="shared" si="12"/>
        <v>0</v>
      </c>
      <c r="E169" s="72">
        <f t="shared" si="13"/>
        <v>0</v>
      </c>
      <c r="F169" s="72">
        <f t="shared" si="14"/>
        <v>0</v>
      </c>
      <c r="G169" s="72">
        <f t="shared" si="15"/>
        <v>0</v>
      </c>
      <c r="H169" s="150"/>
      <c r="I169" s="72"/>
    </row>
    <row r="170" spans="2:9" x14ac:dyDescent="0.25">
      <c r="B170" s="2">
        <f t="shared" si="11"/>
        <v>154</v>
      </c>
      <c r="C170" s="17">
        <f t="shared" si="12"/>
        <v>0</v>
      </c>
      <c r="E170" s="72">
        <f t="shared" si="13"/>
        <v>0</v>
      </c>
      <c r="F170" s="72">
        <f t="shared" si="14"/>
        <v>0</v>
      </c>
      <c r="G170" s="72">
        <f t="shared" si="15"/>
        <v>0</v>
      </c>
      <c r="H170" s="150"/>
      <c r="I170" s="72"/>
    </row>
    <row r="171" spans="2:9" x14ac:dyDescent="0.25">
      <c r="B171" s="2">
        <f t="shared" si="11"/>
        <v>155</v>
      </c>
      <c r="C171" s="17">
        <f t="shared" si="12"/>
        <v>0</v>
      </c>
      <c r="E171" s="72">
        <f t="shared" si="13"/>
        <v>0</v>
      </c>
      <c r="F171" s="72">
        <f t="shared" si="14"/>
        <v>0</v>
      </c>
      <c r="G171" s="72">
        <f t="shared" si="15"/>
        <v>0</v>
      </c>
      <c r="H171" s="150"/>
      <c r="I171" s="72"/>
    </row>
    <row r="172" spans="2:9" x14ac:dyDescent="0.25">
      <c r="B172" s="2">
        <f t="shared" si="11"/>
        <v>156</v>
      </c>
      <c r="C172" s="17">
        <f t="shared" si="12"/>
        <v>0</v>
      </c>
      <c r="E172" s="72">
        <f t="shared" si="13"/>
        <v>0</v>
      </c>
      <c r="F172" s="72">
        <f t="shared" si="14"/>
        <v>0</v>
      </c>
      <c r="G172" s="72">
        <f t="shared" si="15"/>
        <v>0</v>
      </c>
      <c r="H172" s="150"/>
      <c r="I172" s="72"/>
    </row>
    <row r="173" spans="2:9" x14ac:dyDescent="0.25">
      <c r="B173" s="2">
        <f t="shared" si="11"/>
        <v>157</v>
      </c>
      <c r="C173" s="17">
        <f t="shared" si="12"/>
        <v>0</v>
      </c>
      <c r="E173" s="72">
        <f t="shared" si="13"/>
        <v>0</v>
      </c>
      <c r="F173" s="72">
        <f t="shared" si="14"/>
        <v>0</v>
      </c>
      <c r="G173" s="72">
        <f t="shared" si="15"/>
        <v>0</v>
      </c>
      <c r="H173" s="150"/>
      <c r="I173" s="72"/>
    </row>
    <row r="174" spans="2:9" x14ac:dyDescent="0.25">
      <c r="B174" s="2">
        <f t="shared" si="11"/>
        <v>158</v>
      </c>
      <c r="C174" s="17">
        <f t="shared" si="12"/>
        <v>0</v>
      </c>
      <c r="E174" s="72">
        <f t="shared" si="13"/>
        <v>0</v>
      </c>
      <c r="F174" s="72">
        <f t="shared" si="14"/>
        <v>0</v>
      </c>
      <c r="G174" s="72">
        <f t="shared" si="15"/>
        <v>0</v>
      </c>
      <c r="H174" s="150"/>
      <c r="I174" s="72"/>
    </row>
    <row r="175" spans="2:9" x14ac:dyDescent="0.25">
      <c r="B175" s="2">
        <f t="shared" si="11"/>
        <v>159</v>
      </c>
      <c r="C175" s="17">
        <f t="shared" si="12"/>
        <v>0</v>
      </c>
      <c r="E175" s="72">
        <f t="shared" si="13"/>
        <v>0</v>
      </c>
      <c r="F175" s="72">
        <f t="shared" si="14"/>
        <v>0</v>
      </c>
      <c r="G175" s="72">
        <f t="shared" si="15"/>
        <v>0</v>
      </c>
      <c r="H175" s="150"/>
      <c r="I175" s="72"/>
    </row>
    <row r="176" spans="2:9" x14ac:dyDescent="0.25">
      <c r="B176" s="2">
        <f t="shared" si="11"/>
        <v>160</v>
      </c>
      <c r="C176" s="17">
        <f t="shared" si="12"/>
        <v>0</v>
      </c>
      <c r="E176" s="72">
        <f t="shared" si="13"/>
        <v>0</v>
      </c>
      <c r="F176" s="72">
        <f t="shared" si="14"/>
        <v>0</v>
      </c>
      <c r="G176" s="72">
        <f t="shared" si="15"/>
        <v>0</v>
      </c>
      <c r="H176" s="150"/>
      <c r="I176" s="72"/>
    </row>
    <row r="177" spans="2:9" x14ac:dyDescent="0.25">
      <c r="B177" s="2">
        <f t="shared" si="11"/>
        <v>161</v>
      </c>
      <c r="C177" s="17">
        <f t="shared" si="12"/>
        <v>0</v>
      </c>
      <c r="E177" s="72">
        <f t="shared" si="13"/>
        <v>0</v>
      </c>
      <c r="F177" s="72">
        <f t="shared" si="14"/>
        <v>0</v>
      </c>
      <c r="G177" s="72">
        <f t="shared" si="15"/>
        <v>0</v>
      </c>
      <c r="H177" s="150"/>
      <c r="I177" s="72"/>
    </row>
    <row r="178" spans="2:9" x14ac:dyDescent="0.25">
      <c r="B178" s="2">
        <f t="shared" si="11"/>
        <v>162</v>
      </c>
      <c r="C178" s="17">
        <f t="shared" si="12"/>
        <v>0</v>
      </c>
      <c r="E178" s="72">
        <f t="shared" si="13"/>
        <v>0</v>
      </c>
      <c r="F178" s="72">
        <f t="shared" si="14"/>
        <v>0</v>
      </c>
      <c r="G178" s="72">
        <f t="shared" si="15"/>
        <v>0</v>
      </c>
      <c r="H178" s="150"/>
      <c r="I178" s="72"/>
    </row>
    <row r="179" spans="2:9" x14ac:dyDescent="0.25">
      <c r="B179" s="2">
        <f t="shared" si="11"/>
        <v>163</v>
      </c>
      <c r="C179" s="17">
        <f t="shared" si="12"/>
        <v>0</v>
      </c>
      <c r="E179" s="72">
        <f t="shared" si="13"/>
        <v>0</v>
      </c>
      <c r="F179" s="72">
        <f t="shared" si="14"/>
        <v>0</v>
      </c>
      <c r="G179" s="72">
        <f t="shared" si="15"/>
        <v>0</v>
      </c>
      <c r="H179" s="150"/>
      <c r="I179" s="72"/>
    </row>
    <row r="180" spans="2:9" x14ac:dyDescent="0.25">
      <c r="B180" s="2">
        <f t="shared" si="11"/>
        <v>164</v>
      </c>
      <c r="C180" s="17">
        <f t="shared" si="12"/>
        <v>0</v>
      </c>
      <c r="E180" s="72">
        <f t="shared" si="13"/>
        <v>0</v>
      </c>
      <c r="F180" s="72">
        <f t="shared" si="14"/>
        <v>0</v>
      </c>
      <c r="G180" s="72">
        <f t="shared" si="15"/>
        <v>0</v>
      </c>
      <c r="H180" s="150"/>
      <c r="I180" s="72"/>
    </row>
    <row r="181" spans="2:9" x14ac:dyDescent="0.25">
      <c r="B181" s="2">
        <f t="shared" si="11"/>
        <v>165</v>
      </c>
      <c r="C181" s="17">
        <f t="shared" si="12"/>
        <v>0</v>
      </c>
      <c r="E181" s="72">
        <f t="shared" si="13"/>
        <v>0</v>
      </c>
      <c r="F181" s="72">
        <f t="shared" si="14"/>
        <v>0</v>
      </c>
      <c r="G181" s="72">
        <f t="shared" si="15"/>
        <v>0</v>
      </c>
      <c r="H181" s="150"/>
      <c r="I181" s="72"/>
    </row>
    <row r="182" spans="2:9" x14ac:dyDescent="0.25">
      <c r="B182" s="2">
        <f t="shared" si="11"/>
        <v>166</v>
      </c>
      <c r="C182" s="17">
        <f t="shared" si="12"/>
        <v>0</v>
      </c>
      <c r="E182" s="72">
        <f t="shared" si="13"/>
        <v>0</v>
      </c>
      <c r="F182" s="72">
        <f t="shared" si="14"/>
        <v>0</v>
      </c>
      <c r="G182" s="72">
        <f t="shared" si="15"/>
        <v>0</v>
      </c>
      <c r="H182" s="150"/>
      <c r="I182" s="72"/>
    </row>
    <row r="183" spans="2:9" x14ac:dyDescent="0.25">
      <c r="B183" s="2">
        <f t="shared" si="11"/>
        <v>167</v>
      </c>
      <c r="C183" s="17">
        <f t="shared" si="12"/>
        <v>0</v>
      </c>
      <c r="E183" s="72">
        <f t="shared" si="13"/>
        <v>0</v>
      </c>
      <c r="F183" s="72">
        <f t="shared" si="14"/>
        <v>0</v>
      </c>
      <c r="G183" s="72">
        <f t="shared" si="15"/>
        <v>0</v>
      </c>
      <c r="H183" s="150"/>
      <c r="I183" s="72"/>
    </row>
    <row r="184" spans="2:9" x14ac:dyDescent="0.25">
      <c r="B184" s="2">
        <f t="shared" si="11"/>
        <v>168</v>
      </c>
      <c r="C184" s="17">
        <f t="shared" si="12"/>
        <v>0</v>
      </c>
      <c r="E184" s="72">
        <f t="shared" si="13"/>
        <v>0</v>
      </c>
      <c r="F184" s="72">
        <f t="shared" si="14"/>
        <v>0</v>
      </c>
      <c r="G184" s="72">
        <f t="shared" si="15"/>
        <v>0</v>
      </c>
      <c r="H184" s="150"/>
      <c r="I184" s="72"/>
    </row>
    <row r="185" spans="2:9" x14ac:dyDescent="0.25">
      <c r="B185" s="2">
        <f t="shared" si="11"/>
        <v>169</v>
      </c>
      <c r="C185" s="17">
        <f t="shared" si="12"/>
        <v>0</v>
      </c>
      <c r="E185" s="72">
        <f t="shared" si="13"/>
        <v>0</v>
      </c>
      <c r="F185" s="72">
        <f t="shared" si="14"/>
        <v>0</v>
      </c>
      <c r="G185" s="72">
        <f t="shared" si="15"/>
        <v>0</v>
      </c>
      <c r="H185" s="150"/>
      <c r="I185" s="72"/>
    </row>
    <row r="186" spans="2:9" x14ac:dyDescent="0.25">
      <c r="B186" s="2">
        <f t="shared" si="11"/>
        <v>170</v>
      </c>
      <c r="C186" s="17">
        <f t="shared" si="12"/>
        <v>0</v>
      </c>
      <c r="E186" s="72">
        <f t="shared" si="13"/>
        <v>0</v>
      </c>
      <c r="F186" s="72">
        <f t="shared" si="14"/>
        <v>0</v>
      </c>
      <c r="G186" s="72">
        <f t="shared" si="15"/>
        <v>0</v>
      </c>
      <c r="H186" s="150"/>
      <c r="I186" s="72"/>
    </row>
    <row r="187" spans="2:9" x14ac:dyDescent="0.25">
      <c r="B187" s="2">
        <f t="shared" si="11"/>
        <v>171</v>
      </c>
      <c r="C187" s="17">
        <f t="shared" si="12"/>
        <v>0</v>
      </c>
      <c r="E187" s="72">
        <f t="shared" si="13"/>
        <v>0</v>
      </c>
      <c r="F187" s="72">
        <f t="shared" si="14"/>
        <v>0</v>
      </c>
      <c r="G187" s="72">
        <f t="shared" si="15"/>
        <v>0</v>
      </c>
      <c r="H187" s="150"/>
      <c r="I187" s="72"/>
    </row>
    <row r="188" spans="2:9" x14ac:dyDescent="0.25">
      <c r="B188" s="2">
        <f t="shared" si="11"/>
        <v>172</v>
      </c>
      <c r="C188" s="17">
        <f t="shared" si="12"/>
        <v>0</v>
      </c>
      <c r="E188" s="72">
        <f t="shared" si="13"/>
        <v>0</v>
      </c>
      <c r="F188" s="72">
        <f t="shared" si="14"/>
        <v>0</v>
      </c>
      <c r="G188" s="72">
        <f t="shared" si="15"/>
        <v>0</v>
      </c>
      <c r="H188" s="150"/>
      <c r="I188" s="72"/>
    </row>
    <row r="189" spans="2:9" x14ac:dyDescent="0.25">
      <c r="B189" s="2">
        <f t="shared" si="11"/>
        <v>173</v>
      </c>
      <c r="C189" s="17">
        <f t="shared" si="12"/>
        <v>0</v>
      </c>
      <c r="E189" s="72">
        <f t="shared" si="13"/>
        <v>0</v>
      </c>
      <c r="F189" s="72">
        <f t="shared" si="14"/>
        <v>0</v>
      </c>
      <c r="G189" s="72">
        <f t="shared" si="15"/>
        <v>0</v>
      </c>
      <c r="H189" s="150"/>
      <c r="I189" s="72"/>
    </row>
    <row r="190" spans="2:9" x14ac:dyDescent="0.25">
      <c r="B190" s="2">
        <f t="shared" si="11"/>
        <v>174</v>
      </c>
      <c r="C190" s="17">
        <f t="shared" si="12"/>
        <v>0</v>
      </c>
      <c r="E190" s="72">
        <f t="shared" si="13"/>
        <v>0</v>
      </c>
      <c r="F190" s="72">
        <f t="shared" si="14"/>
        <v>0</v>
      </c>
      <c r="G190" s="72">
        <f t="shared" si="15"/>
        <v>0</v>
      </c>
      <c r="H190" s="150"/>
      <c r="I190" s="72"/>
    </row>
    <row r="191" spans="2:9" x14ac:dyDescent="0.25">
      <c r="B191" s="2">
        <f t="shared" si="11"/>
        <v>175</v>
      </c>
      <c r="C191" s="17">
        <f t="shared" si="12"/>
        <v>0</v>
      </c>
      <c r="E191" s="72">
        <f t="shared" si="13"/>
        <v>0</v>
      </c>
      <c r="F191" s="72">
        <f t="shared" si="14"/>
        <v>0</v>
      </c>
      <c r="G191" s="72">
        <f t="shared" si="15"/>
        <v>0</v>
      </c>
      <c r="H191" s="150"/>
      <c r="I191" s="72"/>
    </row>
    <row r="192" spans="2:9" x14ac:dyDescent="0.25">
      <c r="B192" s="2">
        <f t="shared" si="11"/>
        <v>176</v>
      </c>
      <c r="C192" s="17">
        <f t="shared" si="12"/>
        <v>0</v>
      </c>
      <c r="E192" s="72">
        <f t="shared" si="13"/>
        <v>0</v>
      </c>
      <c r="F192" s="72">
        <f t="shared" si="14"/>
        <v>0</v>
      </c>
      <c r="G192" s="72">
        <f t="shared" si="15"/>
        <v>0</v>
      </c>
      <c r="H192" s="150"/>
      <c r="I192" s="72"/>
    </row>
    <row r="193" spans="2:9" x14ac:dyDescent="0.25">
      <c r="B193" s="2">
        <f t="shared" si="11"/>
        <v>177</v>
      </c>
      <c r="C193" s="17">
        <f t="shared" si="12"/>
        <v>0</v>
      </c>
      <c r="E193" s="72">
        <f t="shared" si="13"/>
        <v>0</v>
      </c>
      <c r="F193" s="72">
        <f t="shared" si="14"/>
        <v>0</v>
      </c>
      <c r="G193" s="72">
        <f t="shared" si="15"/>
        <v>0</v>
      </c>
      <c r="H193" s="150"/>
      <c r="I193" s="72"/>
    </row>
    <row r="194" spans="2:9" x14ac:dyDescent="0.25">
      <c r="B194" s="2">
        <f t="shared" si="11"/>
        <v>178</v>
      </c>
      <c r="C194" s="17">
        <f t="shared" si="12"/>
        <v>0</v>
      </c>
      <c r="E194" s="72">
        <f t="shared" si="13"/>
        <v>0</v>
      </c>
      <c r="F194" s="72">
        <f t="shared" si="14"/>
        <v>0</v>
      </c>
      <c r="G194" s="72">
        <f t="shared" si="15"/>
        <v>0</v>
      </c>
      <c r="H194" s="150"/>
      <c r="I194" s="72"/>
    </row>
    <row r="195" spans="2:9" x14ac:dyDescent="0.25">
      <c r="B195" s="2">
        <f t="shared" si="11"/>
        <v>179</v>
      </c>
      <c r="C195" s="17">
        <f t="shared" si="12"/>
        <v>0</v>
      </c>
      <c r="E195" s="72">
        <f t="shared" si="13"/>
        <v>0</v>
      </c>
      <c r="F195" s="72">
        <f t="shared" si="14"/>
        <v>0</v>
      </c>
      <c r="G195" s="72">
        <f t="shared" si="15"/>
        <v>0</v>
      </c>
      <c r="H195" s="150"/>
      <c r="I195" s="72"/>
    </row>
    <row r="196" spans="2:9" x14ac:dyDescent="0.25">
      <c r="B196" s="2">
        <f t="shared" si="11"/>
        <v>180</v>
      </c>
      <c r="C196" s="17">
        <f t="shared" si="12"/>
        <v>0</v>
      </c>
      <c r="E196" s="72">
        <f t="shared" si="13"/>
        <v>0</v>
      </c>
      <c r="F196" s="72">
        <f t="shared" si="14"/>
        <v>0</v>
      </c>
      <c r="G196" s="72">
        <f t="shared" si="15"/>
        <v>0</v>
      </c>
      <c r="H196" s="150"/>
      <c r="I196" s="72"/>
    </row>
    <row r="197" spans="2:9" x14ac:dyDescent="0.25">
      <c r="B197" s="2">
        <f t="shared" si="11"/>
        <v>181</v>
      </c>
      <c r="C197" s="17">
        <f t="shared" si="12"/>
        <v>0</v>
      </c>
      <c r="E197" s="72">
        <f t="shared" si="13"/>
        <v>0</v>
      </c>
      <c r="F197" s="72">
        <f t="shared" si="14"/>
        <v>0</v>
      </c>
      <c r="G197" s="72">
        <f t="shared" si="15"/>
        <v>0</v>
      </c>
      <c r="H197" s="150"/>
      <c r="I197" s="72"/>
    </row>
    <row r="198" spans="2:9" x14ac:dyDescent="0.25">
      <c r="B198" s="2">
        <f t="shared" si="11"/>
        <v>182</v>
      </c>
      <c r="C198" s="17">
        <f t="shared" si="12"/>
        <v>0</v>
      </c>
      <c r="E198" s="72">
        <f t="shared" si="13"/>
        <v>0</v>
      </c>
      <c r="F198" s="72">
        <f t="shared" si="14"/>
        <v>0</v>
      </c>
      <c r="G198" s="72">
        <f t="shared" si="15"/>
        <v>0</v>
      </c>
      <c r="H198" s="150"/>
      <c r="I198" s="72"/>
    </row>
    <row r="199" spans="2:9" x14ac:dyDescent="0.25">
      <c r="B199" s="2">
        <f t="shared" si="11"/>
        <v>183</v>
      </c>
      <c r="C199" s="17">
        <f t="shared" si="12"/>
        <v>0</v>
      </c>
      <c r="E199" s="72">
        <f t="shared" si="13"/>
        <v>0</v>
      </c>
      <c r="F199" s="72">
        <f t="shared" si="14"/>
        <v>0</v>
      </c>
      <c r="G199" s="72">
        <f t="shared" si="15"/>
        <v>0</v>
      </c>
      <c r="H199" s="150"/>
      <c r="I199" s="72"/>
    </row>
    <row r="200" spans="2:9" x14ac:dyDescent="0.25">
      <c r="B200" s="2">
        <f t="shared" si="11"/>
        <v>184</v>
      </c>
      <c r="C200" s="17">
        <f t="shared" si="12"/>
        <v>0</v>
      </c>
      <c r="E200" s="72">
        <f t="shared" si="13"/>
        <v>0</v>
      </c>
      <c r="F200" s="72">
        <f t="shared" si="14"/>
        <v>0</v>
      </c>
      <c r="G200" s="72">
        <f t="shared" si="15"/>
        <v>0</v>
      </c>
      <c r="H200" s="150"/>
      <c r="I200" s="72"/>
    </row>
    <row r="201" spans="2:9" x14ac:dyDescent="0.25">
      <c r="B201" s="2">
        <f t="shared" si="11"/>
        <v>185</v>
      </c>
      <c r="C201" s="17">
        <f t="shared" si="12"/>
        <v>0</v>
      </c>
      <c r="E201" s="72">
        <f t="shared" si="13"/>
        <v>0</v>
      </c>
      <c r="F201" s="72">
        <f t="shared" si="14"/>
        <v>0</v>
      </c>
      <c r="G201" s="72">
        <f t="shared" si="15"/>
        <v>0</v>
      </c>
      <c r="H201" s="150"/>
      <c r="I201" s="72"/>
    </row>
    <row r="202" spans="2:9" x14ac:dyDescent="0.25">
      <c r="B202" s="2">
        <f t="shared" si="11"/>
        <v>186</v>
      </c>
      <c r="C202" s="17">
        <f t="shared" si="12"/>
        <v>0</v>
      </c>
      <c r="E202" s="72">
        <f t="shared" si="13"/>
        <v>0</v>
      </c>
      <c r="F202" s="72">
        <f t="shared" si="14"/>
        <v>0</v>
      </c>
      <c r="G202" s="72">
        <f t="shared" si="15"/>
        <v>0</v>
      </c>
      <c r="H202" s="150"/>
      <c r="I202" s="72"/>
    </row>
    <row r="203" spans="2:9" x14ac:dyDescent="0.25">
      <c r="B203" s="2">
        <f t="shared" si="11"/>
        <v>187</v>
      </c>
      <c r="C203" s="17">
        <f t="shared" si="12"/>
        <v>0</v>
      </c>
      <c r="E203" s="72">
        <f t="shared" si="13"/>
        <v>0</v>
      </c>
      <c r="F203" s="72">
        <f t="shared" si="14"/>
        <v>0</v>
      </c>
      <c r="G203" s="72">
        <f t="shared" si="15"/>
        <v>0</v>
      </c>
      <c r="H203" s="150"/>
      <c r="I203" s="72"/>
    </row>
    <row r="204" spans="2:9" x14ac:dyDescent="0.25">
      <c r="B204" s="2">
        <f t="shared" si="11"/>
        <v>188</v>
      </c>
      <c r="C204" s="17">
        <f t="shared" si="12"/>
        <v>0</v>
      </c>
      <c r="E204" s="72">
        <f t="shared" si="13"/>
        <v>0</v>
      </c>
      <c r="F204" s="72">
        <f t="shared" si="14"/>
        <v>0</v>
      </c>
      <c r="G204" s="72">
        <f t="shared" si="15"/>
        <v>0</v>
      </c>
      <c r="H204" s="150"/>
      <c r="I204" s="72"/>
    </row>
    <row r="205" spans="2:9" x14ac:dyDescent="0.25">
      <c r="B205" s="2">
        <f t="shared" si="11"/>
        <v>189</v>
      </c>
      <c r="C205" s="17">
        <f t="shared" si="12"/>
        <v>0</v>
      </c>
      <c r="E205" s="72">
        <f t="shared" si="13"/>
        <v>0</v>
      </c>
      <c r="F205" s="72">
        <f t="shared" si="14"/>
        <v>0</v>
      </c>
      <c r="G205" s="72">
        <f t="shared" si="15"/>
        <v>0</v>
      </c>
      <c r="H205" s="150"/>
      <c r="I205" s="72"/>
    </row>
    <row r="206" spans="2:9" x14ac:dyDescent="0.25">
      <c r="B206" s="2">
        <f t="shared" si="11"/>
        <v>190</v>
      </c>
      <c r="C206" s="17">
        <f t="shared" si="12"/>
        <v>0</v>
      </c>
      <c r="E206" s="72">
        <f t="shared" si="13"/>
        <v>0</v>
      </c>
      <c r="F206" s="72">
        <f t="shared" si="14"/>
        <v>0</v>
      </c>
      <c r="G206" s="72">
        <f t="shared" si="15"/>
        <v>0</v>
      </c>
      <c r="H206" s="150"/>
      <c r="I206" s="72"/>
    </row>
    <row r="207" spans="2:9" x14ac:dyDescent="0.25">
      <c r="B207" s="2">
        <f t="shared" si="11"/>
        <v>191</v>
      </c>
      <c r="C207" s="17">
        <f t="shared" si="12"/>
        <v>0</v>
      </c>
      <c r="E207" s="72">
        <f t="shared" si="13"/>
        <v>0</v>
      </c>
      <c r="F207" s="72">
        <f t="shared" si="14"/>
        <v>0</v>
      </c>
      <c r="G207" s="72">
        <f t="shared" si="15"/>
        <v>0</v>
      </c>
      <c r="H207" s="150"/>
      <c r="I207" s="72"/>
    </row>
    <row r="208" spans="2:9" x14ac:dyDescent="0.25">
      <c r="B208" s="2">
        <f t="shared" si="11"/>
        <v>192</v>
      </c>
      <c r="C208" s="17">
        <f t="shared" si="12"/>
        <v>0</v>
      </c>
      <c r="E208" s="72">
        <f t="shared" si="13"/>
        <v>0</v>
      </c>
      <c r="F208" s="72">
        <f t="shared" si="14"/>
        <v>0</v>
      </c>
      <c r="G208" s="72">
        <f t="shared" si="15"/>
        <v>0</v>
      </c>
      <c r="H208" s="150"/>
      <c r="I208" s="72"/>
    </row>
    <row r="209" spans="2:9" x14ac:dyDescent="0.25">
      <c r="B209" s="2">
        <f t="shared" si="11"/>
        <v>193</v>
      </c>
      <c r="C209" s="17">
        <f t="shared" si="12"/>
        <v>0</v>
      </c>
      <c r="E209" s="72">
        <f t="shared" si="13"/>
        <v>0</v>
      </c>
      <c r="F209" s="72">
        <f t="shared" si="14"/>
        <v>0</v>
      </c>
      <c r="G209" s="72">
        <f t="shared" si="15"/>
        <v>0</v>
      </c>
      <c r="H209" s="150"/>
      <c r="I209" s="72"/>
    </row>
    <row r="210" spans="2:9" x14ac:dyDescent="0.25">
      <c r="B210" s="2">
        <f t="shared" ref="B210:B256" si="16">B209+1</f>
        <v>194</v>
      </c>
      <c r="C210" s="17">
        <f t="shared" ref="C210:C256" si="17">$E$8</f>
        <v>0</v>
      </c>
      <c r="E210" s="72">
        <f t="shared" ref="E210:E256" si="18">G209*$E$9/12</f>
        <v>0</v>
      </c>
      <c r="F210" s="72">
        <f t="shared" ref="F210:F256" si="19">C210-E210</f>
        <v>0</v>
      </c>
      <c r="G210" s="72">
        <f t="shared" ref="G210:G256" si="20">G209-F210</f>
        <v>0</v>
      </c>
      <c r="H210" s="150"/>
      <c r="I210" s="72"/>
    </row>
    <row r="211" spans="2:9" x14ac:dyDescent="0.25">
      <c r="B211" s="2">
        <f t="shared" si="16"/>
        <v>195</v>
      </c>
      <c r="C211" s="17">
        <f t="shared" si="17"/>
        <v>0</v>
      </c>
      <c r="E211" s="72">
        <f t="shared" si="18"/>
        <v>0</v>
      </c>
      <c r="F211" s="72">
        <f t="shared" si="19"/>
        <v>0</v>
      </c>
      <c r="G211" s="72">
        <f t="shared" si="20"/>
        <v>0</v>
      </c>
      <c r="H211" s="150"/>
      <c r="I211" s="72"/>
    </row>
    <row r="212" spans="2:9" x14ac:dyDescent="0.25">
      <c r="B212" s="2">
        <f t="shared" si="16"/>
        <v>196</v>
      </c>
      <c r="C212" s="17">
        <f t="shared" si="17"/>
        <v>0</v>
      </c>
      <c r="E212" s="72">
        <f t="shared" si="18"/>
        <v>0</v>
      </c>
      <c r="F212" s="72">
        <f t="shared" si="19"/>
        <v>0</v>
      </c>
      <c r="G212" s="72">
        <f t="shared" si="20"/>
        <v>0</v>
      </c>
      <c r="H212" s="150"/>
      <c r="I212" s="72"/>
    </row>
    <row r="213" spans="2:9" x14ac:dyDescent="0.25">
      <c r="B213" s="2">
        <f t="shared" si="16"/>
        <v>197</v>
      </c>
      <c r="C213" s="17">
        <f t="shared" si="17"/>
        <v>0</v>
      </c>
      <c r="E213" s="72">
        <f t="shared" si="18"/>
        <v>0</v>
      </c>
      <c r="F213" s="72">
        <f t="shared" si="19"/>
        <v>0</v>
      </c>
      <c r="G213" s="72">
        <f t="shared" si="20"/>
        <v>0</v>
      </c>
      <c r="H213" s="150"/>
      <c r="I213" s="72"/>
    </row>
    <row r="214" spans="2:9" x14ac:dyDescent="0.25">
      <c r="B214" s="2">
        <f t="shared" si="16"/>
        <v>198</v>
      </c>
      <c r="C214" s="17">
        <f t="shared" si="17"/>
        <v>0</v>
      </c>
      <c r="E214" s="72">
        <f t="shared" si="18"/>
        <v>0</v>
      </c>
      <c r="F214" s="72">
        <f t="shared" si="19"/>
        <v>0</v>
      </c>
      <c r="G214" s="72">
        <f t="shared" si="20"/>
        <v>0</v>
      </c>
      <c r="H214" s="150"/>
      <c r="I214" s="72"/>
    </row>
    <row r="215" spans="2:9" x14ac:dyDescent="0.25">
      <c r="B215" s="2">
        <f t="shared" si="16"/>
        <v>199</v>
      </c>
      <c r="C215" s="17">
        <f t="shared" si="17"/>
        <v>0</v>
      </c>
      <c r="E215" s="72">
        <f t="shared" si="18"/>
        <v>0</v>
      </c>
      <c r="F215" s="72">
        <f t="shared" si="19"/>
        <v>0</v>
      </c>
      <c r="G215" s="72">
        <f t="shared" si="20"/>
        <v>0</v>
      </c>
      <c r="H215" s="150"/>
      <c r="I215" s="72"/>
    </row>
    <row r="216" spans="2:9" x14ac:dyDescent="0.25">
      <c r="B216" s="2">
        <f t="shared" si="16"/>
        <v>200</v>
      </c>
      <c r="C216" s="17">
        <f t="shared" si="17"/>
        <v>0</v>
      </c>
      <c r="E216" s="72">
        <f t="shared" si="18"/>
        <v>0</v>
      </c>
      <c r="F216" s="72">
        <f t="shared" si="19"/>
        <v>0</v>
      </c>
      <c r="G216" s="72">
        <f t="shared" si="20"/>
        <v>0</v>
      </c>
      <c r="H216" s="150"/>
      <c r="I216" s="72"/>
    </row>
    <row r="217" spans="2:9" x14ac:dyDescent="0.25">
      <c r="B217" s="2">
        <f t="shared" si="16"/>
        <v>201</v>
      </c>
      <c r="C217" s="17">
        <f t="shared" si="17"/>
        <v>0</v>
      </c>
      <c r="E217" s="72">
        <f t="shared" si="18"/>
        <v>0</v>
      </c>
      <c r="F217" s="72">
        <f t="shared" si="19"/>
        <v>0</v>
      </c>
      <c r="G217" s="72">
        <f t="shared" si="20"/>
        <v>0</v>
      </c>
      <c r="H217" s="150"/>
      <c r="I217" s="72"/>
    </row>
    <row r="218" spans="2:9" x14ac:dyDescent="0.25">
      <c r="B218" s="2">
        <f t="shared" si="16"/>
        <v>202</v>
      </c>
      <c r="C218" s="17">
        <f t="shared" si="17"/>
        <v>0</v>
      </c>
      <c r="E218" s="72">
        <f t="shared" si="18"/>
        <v>0</v>
      </c>
      <c r="F218" s="72">
        <f t="shared" si="19"/>
        <v>0</v>
      </c>
      <c r="G218" s="72">
        <f t="shared" si="20"/>
        <v>0</v>
      </c>
      <c r="H218" s="150"/>
      <c r="I218" s="72"/>
    </row>
    <row r="219" spans="2:9" x14ac:dyDescent="0.25">
      <c r="B219" s="2">
        <f t="shared" si="16"/>
        <v>203</v>
      </c>
      <c r="C219" s="17">
        <f t="shared" si="17"/>
        <v>0</v>
      </c>
      <c r="E219" s="72">
        <f t="shared" si="18"/>
        <v>0</v>
      </c>
      <c r="F219" s="72">
        <f t="shared" si="19"/>
        <v>0</v>
      </c>
      <c r="G219" s="72">
        <f t="shared" si="20"/>
        <v>0</v>
      </c>
      <c r="H219" s="150"/>
      <c r="I219" s="72"/>
    </row>
    <row r="220" spans="2:9" x14ac:dyDescent="0.25">
      <c r="B220" s="2">
        <f t="shared" si="16"/>
        <v>204</v>
      </c>
      <c r="C220" s="17">
        <f t="shared" si="17"/>
        <v>0</v>
      </c>
      <c r="E220" s="72">
        <f t="shared" si="18"/>
        <v>0</v>
      </c>
      <c r="F220" s="72">
        <f t="shared" si="19"/>
        <v>0</v>
      </c>
      <c r="G220" s="72">
        <f t="shared" si="20"/>
        <v>0</v>
      </c>
      <c r="H220" s="150"/>
      <c r="I220" s="72"/>
    </row>
    <row r="221" spans="2:9" x14ac:dyDescent="0.25">
      <c r="B221" s="2">
        <f t="shared" si="16"/>
        <v>205</v>
      </c>
      <c r="C221" s="17">
        <f t="shared" si="17"/>
        <v>0</v>
      </c>
      <c r="E221" s="72">
        <f t="shared" si="18"/>
        <v>0</v>
      </c>
      <c r="F221" s="72">
        <f t="shared" si="19"/>
        <v>0</v>
      </c>
      <c r="G221" s="72">
        <f t="shared" si="20"/>
        <v>0</v>
      </c>
      <c r="H221" s="150"/>
      <c r="I221" s="72"/>
    </row>
    <row r="222" spans="2:9" x14ac:dyDescent="0.25">
      <c r="B222" s="2">
        <f t="shared" si="16"/>
        <v>206</v>
      </c>
      <c r="C222" s="17">
        <f t="shared" si="17"/>
        <v>0</v>
      </c>
      <c r="E222" s="72">
        <f t="shared" si="18"/>
        <v>0</v>
      </c>
      <c r="F222" s="72">
        <f t="shared" si="19"/>
        <v>0</v>
      </c>
      <c r="G222" s="72">
        <f t="shared" si="20"/>
        <v>0</v>
      </c>
      <c r="H222" s="150"/>
      <c r="I222" s="72"/>
    </row>
    <row r="223" spans="2:9" x14ac:dyDescent="0.25">
      <c r="B223" s="2">
        <f t="shared" si="16"/>
        <v>207</v>
      </c>
      <c r="C223" s="17">
        <f t="shared" si="17"/>
        <v>0</v>
      </c>
      <c r="E223" s="72">
        <f t="shared" si="18"/>
        <v>0</v>
      </c>
      <c r="F223" s="72">
        <f t="shared" si="19"/>
        <v>0</v>
      </c>
      <c r="G223" s="72">
        <f t="shared" si="20"/>
        <v>0</v>
      </c>
      <c r="H223" s="150"/>
      <c r="I223" s="72"/>
    </row>
    <row r="224" spans="2:9" x14ac:dyDescent="0.25">
      <c r="B224" s="2">
        <f t="shared" si="16"/>
        <v>208</v>
      </c>
      <c r="C224" s="17">
        <f t="shared" si="17"/>
        <v>0</v>
      </c>
      <c r="E224" s="72">
        <f t="shared" si="18"/>
        <v>0</v>
      </c>
      <c r="F224" s="72">
        <f t="shared" si="19"/>
        <v>0</v>
      </c>
      <c r="G224" s="72">
        <f t="shared" si="20"/>
        <v>0</v>
      </c>
      <c r="H224" s="150"/>
      <c r="I224" s="72"/>
    </row>
    <row r="225" spans="2:9" x14ac:dyDescent="0.25">
      <c r="B225" s="2">
        <f t="shared" si="16"/>
        <v>209</v>
      </c>
      <c r="C225" s="17">
        <f t="shared" si="17"/>
        <v>0</v>
      </c>
      <c r="E225" s="72">
        <f t="shared" si="18"/>
        <v>0</v>
      </c>
      <c r="F225" s="72">
        <f t="shared" si="19"/>
        <v>0</v>
      </c>
      <c r="G225" s="72">
        <f t="shared" si="20"/>
        <v>0</v>
      </c>
      <c r="H225" s="150"/>
      <c r="I225" s="72"/>
    </row>
    <row r="226" spans="2:9" x14ac:dyDescent="0.25">
      <c r="B226" s="2">
        <f t="shared" si="16"/>
        <v>210</v>
      </c>
      <c r="C226" s="17">
        <f t="shared" si="17"/>
        <v>0</v>
      </c>
      <c r="E226" s="72">
        <f t="shared" si="18"/>
        <v>0</v>
      </c>
      <c r="F226" s="72">
        <f t="shared" si="19"/>
        <v>0</v>
      </c>
      <c r="G226" s="72">
        <f t="shared" si="20"/>
        <v>0</v>
      </c>
      <c r="H226" s="150"/>
      <c r="I226" s="72"/>
    </row>
    <row r="227" spans="2:9" x14ac:dyDescent="0.25">
      <c r="B227" s="2">
        <f t="shared" si="16"/>
        <v>211</v>
      </c>
      <c r="C227" s="17">
        <f t="shared" si="17"/>
        <v>0</v>
      </c>
      <c r="E227" s="72">
        <f t="shared" si="18"/>
        <v>0</v>
      </c>
      <c r="F227" s="72">
        <f t="shared" si="19"/>
        <v>0</v>
      </c>
      <c r="G227" s="72">
        <f t="shared" si="20"/>
        <v>0</v>
      </c>
      <c r="H227" s="150"/>
      <c r="I227" s="72"/>
    </row>
    <row r="228" spans="2:9" x14ac:dyDescent="0.25">
      <c r="B228" s="2">
        <f t="shared" si="16"/>
        <v>212</v>
      </c>
      <c r="C228" s="17">
        <f t="shared" si="17"/>
        <v>0</v>
      </c>
      <c r="E228" s="72">
        <f t="shared" si="18"/>
        <v>0</v>
      </c>
      <c r="F228" s="72">
        <f t="shared" si="19"/>
        <v>0</v>
      </c>
      <c r="G228" s="72">
        <f t="shared" si="20"/>
        <v>0</v>
      </c>
      <c r="H228" s="150"/>
      <c r="I228" s="72"/>
    </row>
    <row r="229" spans="2:9" x14ac:dyDescent="0.25">
      <c r="B229" s="2">
        <f t="shared" si="16"/>
        <v>213</v>
      </c>
      <c r="C229" s="17">
        <f t="shared" si="17"/>
        <v>0</v>
      </c>
      <c r="E229" s="72">
        <f t="shared" si="18"/>
        <v>0</v>
      </c>
      <c r="F229" s="72">
        <f t="shared" si="19"/>
        <v>0</v>
      </c>
      <c r="G229" s="72">
        <f t="shared" si="20"/>
        <v>0</v>
      </c>
      <c r="H229" s="150"/>
      <c r="I229" s="72"/>
    </row>
    <row r="230" spans="2:9" x14ac:dyDescent="0.25">
      <c r="B230" s="2">
        <f t="shared" si="16"/>
        <v>214</v>
      </c>
      <c r="C230" s="17">
        <f t="shared" si="17"/>
        <v>0</v>
      </c>
      <c r="E230" s="72">
        <f t="shared" si="18"/>
        <v>0</v>
      </c>
      <c r="F230" s="72">
        <f t="shared" si="19"/>
        <v>0</v>
      </c>
      <c r="G230" s="72">
        <f t="shared" si="20"/>
        <v>0</v>
      </c>
      <c r="H230" s="150"/>
      <c r="I230" s="72"/>
    </row>
    <row r="231" spans="2:9" x14ac:dyDescent="0.25">
      <c r="B231" s="2">
        <f t="shared" si="16"/>
        <v>215</v>
      </c>
      <c r="C231" s="17">
        <f t="shared" si="17"/>
        <v>0</v>
      </c>
      <c r="E231" s="72">
        <f t="shared" si="18"/>
        <v>0</v>
      </c>
      <c r="F231" s="72">
        <f t="shared" si="19"/>
        <v>0</v>
      </c>
      <c r="G231" s="72">
        <f t="shared" si="20"/>
        <v>0</v>
      </c>
      <c r="H231" s="150"/>
      <c r="I231" s="72"/>
    </row>
    <row r="232" spans="2:9" x14ac:dyDescent="0.25">
      <c r="B232" s="2">
        <f t="shared" si="16"/>
        <v>216</v>
      </c>
      <c r="C232" s="17">
        <f t="shared" si="17"/>
        <v>0</v>
      </c>
      <c r="E232" s="72">
        <f t="shared" si="18"/>
        <v>0</v>
      </c>
      <c r="F232" s="72">
        <f t="shared" si="19"/>
        <v>0</v>
      </c>
      <c r="G232" s="72">
        <f t="shared" si="20"/>
        <v>0</v>
      </c>
      <c r="H232" s="150"/>
      <c r="I232" s="72"/>
    </row>
    <row r="233" spans="2:9" x14ac:dyDescent="0.25">
      <c r="B233" s="2">
        <f t="shared" si="16"/>
        <v>217</v>
      </c>
      <c r="C233" s="17">
        <f t="shared" si="17"/>
        <v>0</v>
      </c>
      <c r="E233" s="72">
        <f t="shared" si="18"/>
        <v>0</v>
      </c>
      <c r="F233" s="72">
        <f t="shared" si="19"/>
        <v>0</v>
      </c>
      <c r="G233" s="72">
        <f t="shared" si="20"/>
        <v>0</v>
      </c>
      <c r="H233" s="150"/>
      <c r="I233" s="72"/>
    </row>
    <row r="234" spans="2:9" x14ac:dyDescent="0.25">
      <c r="B234" s="2">
        <f t="shared" si="16"/>
        <v>218</v>
      </c>
      <c r="C234" s="17">
        <f t="shared" si="17"/>
        <v>0</v>
      </c>
      <c r="E234" s="72">
        <f t="shared" si="18"/>
        <v>0</v>
      </c>
      <c r="F234" s="72">
        <f t="shared" si="19"/>
        <v>0</v>
      </c>
      <c r="G234" s="72">
        <f t="shared" si="20"/>
        <v>0</v>
      </c>
      <c r="H234" s="150"/>
      <c r="I234" s="72"/>
    </row>
    <row r="235" spans="2:9" x14ac:dyDescent="0.25">
      <c r="B235" s="2">
        <f t="shared" si="16"/>
        <v>219</v>
      </c>
      <c r="C235" s="17">
        <f t="shared" si="17"/>
        <v>0</v>
      </c>
      <c r="E235" s="72">
        <f t="shared" si="18"/>
        <v>0</v>
      </c>
      <c r="F235" s="72">
        <f t="shared" si="19"/>
        <v>0</v>
      </c>
      <c r="G235" s="72">
        <f t="shared" si="20"/>
        <v>0</v>
      </c>
      <c r="H235" s="150"/>
      <c r="I235" s="72"/>
    </row>
    <row r="236" spans="2:9" x14ac:dyDescent="0.25">
      <c r="B236" s="2">
        <f t="shared" si="16"/>
        <v>220</v>
      </c>
      <c r="C236" s="17">
        <f t="shared" si="17"/>
        <v>0</v>
      </c>
      <c r="E236" s="72">
        <f t="shared" si="18"/>
        <v>0</v>
      </c>
      <c r="F236" s="72">
        <f t="shared" si="19"/>
        <v>0</v>
      </c>
      <c r="G236" s="72">
        <f t="shared" si="20"/>
        <v>0</v>
      </c>
      <c r="H236" s="150"/>
      <c r="I236" s="72"/>
    </row>
    <row r="237" spans="2:9" x14ac:dyDescent="0.25">
      <c r="B237" s="2">
        <f t="shared" si="16"/>
        <v>221</v>
      </c>
      <c r="C237" s="17">
        <f t="shared" si="17"/>
        <v>0</v>
      </c>
      <c r="E237" s="72">
        <f t="shared" si="18"/>
        <v>0</v>
      </c>
      <c r="F237" s="72">
        <f t="shared" si="19"/>
        <v>0</v>
      </c>
      <c r="G237" s="72">
        <f t="shared" si="20"/>
        <v>0</v>
      </c>
      <c r="H237" s="150"/>
      <c r="I237" s="72"/>
    </row>
    <row r="238" spans="2:9" x14ac:dyDescent="0.25">
      <c r="B238" s="2">
        <f t="shared" si="16"/>
        <v>222</v>
      </c>
      <c r="C238" s="17">
        <f t="shared" si="17"/>
        <v>0</v>
      </c>
      <c r="E238" s="72">
        <f t="shared" si="18"/>
        <v>0</v>
      </c>
      <c r="F238" s="72">
        <f t="shared" si="19"/>
        <v>0</v>
      </c>
      <c r="G238" s="72">
        <f t="shared" si="20"/>
        <v>0</v>
      </c>
      <c r="H238" s="150"/>
      <c r="I238" s="72"/>
    </row>
    <row r="239" spans="2:9" x14ac:dyDescent="0.25">
      <c r="B239" s="2">
        <f t="shared" si="16"/>
        <v>223</v>
      </c>
      <c r="C239" s="17">
        <f t="shared" si="17"/>
        <v>0</v>
      </c>
      <c r="E239" s="72">
        <f t="shared" si="18"/>
        <v>0</v>
      </c>
      <c r="F239" s="72">
        <f t="shared" si="19"/>
        <v>0</v>
      </c>
      <c r="G239" s="72">
        <f t="shared" si="20"/>
        <v>0</v>
      </c>
      <c r="H239" s="150"/>
      <c r="I239" s="72"/>
    </row>
    <row r="240" spans="2:9" x14ac:dyDescent="0.25">
      <c r="B240" s="2">
        <f t="shared" si="16"/>
        <v>224</v>
      </c>
      <c r="C240" s="17">
        <f t="shared" si="17"/>
        <v>0</v>
      </c>
      <c r="E240" s="72">
        <f t="shared" si="18"/>
        <v>0</v>
      </c>
      <c r="F240" s="72">
        <f t="shared" si="19"/>
        <v>0</v>
      </c>
      <c r="G240" s="72">
        <f t="shared" si="20"/>
        <v>0</v>
      </c>
      <c r="H240" s="150"/>
      <c r="I240" s="72"/>
    </row>
    <row r="241" spans="2:9" x14ac:dyDescent="0.25">
      <c r="B241" s="2">
        <f t="shared" si="16"/>
        <v>225</v>
      </c>
      <c r="C241" s="17">
        <f t="shared" si="17"/>
        <v>0</v>
      </c>
      <c r="E241" s="72">
        <f t="shared" si="18"/>
        <v>0</v>
      </c>
      <c r="F241" s="72">
        <f t="shared" si="19"/>
        <v>0</v>
      </c>
      <c r="G241" s="72">
        <f t="shared" si="20"/>
        <v>0</v>
      </c>
      <c r="H241" s="150"/>
      <c r="I241" s="72"/>
    </row>
    <row r="242" spans="2:9" x14ac:dyDescent="0.25">
      <c r="B242" s="2">
        <f t="shared" si="16"/>
        <v>226</v>
      </c>
      <c r="C242" s="17">
        <f t="shared" si="17"/>
        <v>0</v>
      </c>
      <c r="E242" s="72">
        <f t="shared" si="18"/>
        <v>0</v>
      </c>
      <c r="F242" s="72">
        <f t="shared" si="19"/>
        <v>0</v>
      </c>
      <c r="G242" s="72">
        <f t="shared" si="20"/>
        <v>0</v>
      </c>
      <c r="H242" s="150"/>
      <c r="I242" s="72"/>
    </row>
    <row r="243" spans="2:9" x14ac:dyDescent="0.25">
      <c r="B243" s="2">
        <f t="shared" si="16"/>
        <v>227</v>
      </c>
      <c r="C243" s="17">
        <f t="shared" si="17"/>
        <v>0</v>
      </c>
      <c r="E243" s="72">
        <f t="shared" si="18"/>
        <v>0</v>
      </c>
      <c r="F243" s="72">
        <f t="shared" si="19"/>
        <v>0</v>
      </c>
      <c r="G243" s="72">
        <f t="shared" si="20"/>
        <v>0</v>
      </c>
      <c r="H243" s="150"/>
      <c r="I243" s="72"/>
    </row>
    <row r="244" spans="2:9" x14ac:dyDescent="0.25">
      <c r="B244" s="2">
        <f t="shared" si="16"/>
        <v>228</v>
      </c>
      <c r="C244" s="17">
        <f t="shared" si="17"/>
        <v>0</v>
      </c>
      <c r="E244" s="72">
        <f t="shared" si="18"/>
        <v>0</v>
      </c>
      <c r="F244" s="72">
        <f t="shared" si="19"/>
        <v>0</v>
      </c>
      <c r="G244" s="72">
        <f t="shared" si="20"/>
        <v>0</v>
      </c>
      <c r="H244" s="150"/>
      <c r="I244" s="72"/>
    </row>
    <row r="245" spans="2:9" x14ac:dyDescent="0.25">
      <c r="B245" s="2">
        <f t="shared" si="16"/>
        <v>229</v>
      </c>
      <c r="C245" s="17">
        <f t="shared" si="17"/>
        <v>0</v>
      </c>
      <c r="E245" s="72">
        <f t="shared" si="18"/>
        <v>0</v>
      </c>
      <c r="F245" s="72">
        <f t="shared" si="19"/>
        <v>0</v>
      </c>
      <c r="G245" s="72">
        <f t="shared" si="20"/>
        <v>0</v>
      </c>
      <c r="H245" s="150"/>
      <c r="I245" s="72"/>
    </row>
    <row r="246" spans="2:9" x14ac:dyDescent="0.25">
      <c r="B246" s="2">
        <f t="shared" si="16"/>
        <v>230</v>
      </c>
      <c r="C246" s="17">
        <f t="shared" si="17"/>
        <v>0</v>
      </c>
      <c r="E246" s="72">
        <f t="shared" si="18"/>
        <v>0</v>
      </c>
      <c r="F246" s="72">
        <f t="shared" si="19"/>
        <v>0</v>
      </c>
      <c r="G246" s="72">
        <f t="shared" si="20"/>
        <v>0</v>
      </c>
      <c r="H246" s="150"/>
      <c r="I246" s="72"/>
    </row>
    <row r="247" spans="2:9" x14ac:dyDescent="0.25">
      <c r="B247" s="2">
        <f t="shared" si="16"/>
        <v>231</v>
      </c>
      <c r="C247" s="17">
        <f t="shared" si="17"/>
        <v>0</v>
      </c>
      <c r="E247" s="72">
        <f t="shared" si="18"/>
        <v>0</v>
      </c>
      <c r="F247" s="72">
        <f t="shared" si="19"/>
        <v>0</v>
      </c>
      <c r="G247" s="72">
        <f t="shared" si="20"/>
        <v>0</v>
      </c>
      <c r="H247" s="150"/>
      <c r="I247" s="72"/>
    </row>
    <row r="248" spans="2:9" x14ac:dyDescent="0.25">
      <c r="B248" s="2">
        <f t="shared" si="16"/>
        <v>232</v>
      </c>
      <c r="C248" s="17">
        <f t="shared" si="17"/>
        <v>0</v>
      </c>
      <c r="E248" s="72">
        <f t="shared" si="18"/>
        <v>0</v>
      </c>
      <c r="F248" s="72">
        <f t="shared" si="19"/>
        <v>0</v>
      </c>
      <c r="G248" s="72">
        <f t="shared" si="20"/>
        <v>0</v>
      </c>
      <c r="H248" s="150"/>
      <c r="I248" s="72"/>
    </row>
    <row r="249" spans="2:9" x14ac:dyDescent="0.25">
      <c r="B249" s="2">
        <f t="shared" si="16"/>
        <v>233</v>
      </c>
      <c r="C249" s="17">
        <f t="shared" si="17"/>
        <v>0</v>
      </c>
      <c r="E249" s="72">
        <f t="shared" si="18"/>
        <v>0</v>
      </c>
      <c r="F249" s="72">
        <f t="shared" si="19"/>
        <v>0</v>
      </c>
      <c r="G249" s="72">
        <f t="shared" si="20"/>
        <v>0</v>
      </c>
      <c r="H249" s="150"/>
      <c r="I249" s="72"/>
    </row>
    <row r="250" spans="2:9" x14ac:dyDescent="0.25">
      <c r="B250" s="2">
        <f t="shared" si="16"/>
        <v>234</v>
      </c>
      <c r="C250" s="17">
        <f t="shared" si="17"/>
        <v>0</v>
      </c>
      <c r="E250" s="72">
        <f t="shared" si="18"/>
        <v>0</v>
      </c>
      <c r="F250" s="72">
        <f t="shared" si="19"/>
        <v>0</v>
      </c>
      <c r="G250" s="72">
        <f t="shared" si="20"/>
        <v>0</v>
      </c>
      <c r="H250" s="150"/>
      <c r="I250" s="72"/>
    </row>
    <row r="251" spans="2:9" x14ac:dyDescent="0.25">
      <c r="B251" s="2">
        <f t="shared" si="16"/>
        <v>235</v>
      </c>
      <c r="C251" s="17">
        <f t="shared" si="17"/>
        <v>0</v>
      </c>
      <c r="E251" s="72">
        <f t="shared" si="18"/>
        <v>0</v>
      </c>
      <c r="F251" s="72">
        <f t="shared" si="19"/>
        <v>0</v>
      </c>
      <c r="G251" s="72">
        <f t="shared" si="20"/>
        <v>0</v>
      </c>
      <c r="H251" s="150"/>
      <c r="I251" s="72"/>
    </row>
    <row r="252" spans="2:9" x14ac:dyDescent="0.25">
      <c r="B252" s="2">
        <f t="shared" si="16"/>
        <v>236</v>
      </c>
      <c r="C252" s="17">
        <f t="shared" si="17"/>
        <v>0</v>
      </c>
      <c r="E252" s="72">
        <f t="shared" si="18"/>
        <v>0</v>
      </c>
      <c r="F252" s="72">
        <f t="shared" si="19"/>
        <v>0</v>
      </c>
      <c r="G252" s="72">
        <f t="shared" si="20"/>
        <v>0</v>
      </c>
      <c r="H252" s="150"/>
      <c r="I252" s="72"/>
    </row>
    <row r="253" spans="2:9" x14ac:dyDescent="0.25">
      <c r="B253" s="2">
        <f t="shared" si="16"/>
        <v>237</v>
      </c>
      <c r="C253" s="17">
        <f t="shared" si="17"/>
        <v>0</v>
      </c>
      <c r="E253" s="72">
        <f t="shared" si="18"/>
        <v>0</v>
      </c>
      <c r="F253" s="72">
        <f t="shared" si="19"/>
        <v>0</v>
      </c>
      <c r="G253" s="72">
        <f t="shared" si="20"/>
        <v>0</v>
      </c>
      <c r="H253" s="150"/>
      <c r="I253" s="72"/>
    </row>
    <row r="254" spans="2:9" x14ac:dyDescent="0.25">
      <c r="B254" s="2">
        <f t="shared" si="16"/>
        <v>238</v>
      </c>
      <c r="C254" s="17">
        <f t="shared" si="17"/>
        <v>0</v>
      </c>
      <c r="E254" s="72">
        <f t="shared" si="18"/>
        <v>0</v>
      </c>
      <c r="F254" s="72">
        <f t="shared" si="19"/>
        <v>0</v>
      </c>
      <c r="G254" s="72">
        <f t="shared" si="20"/>
        <v>0</v>
      </c>
      <c r="H254" s="150"/>
      <c r="I254" s="72"/>
    </row>
    <row r="255" spans="2:9" x14ac:dyDescent="0.25">
      <c r="B255" s="2">
        <f t="shared" si="16"/>
        <v>239</v>
      </c>
      <c r="C255" s="17">
        <f t="shared" si="17"/>
        <v>0</v>
      </c>
      <c r="E255" s="72">
        <f t="shared" si="18"/>
        <v>0</v>
      </c>
      <c r="F255" s="72">
        <f t="shared" si="19"/>
        <v>0</v>
      </c>
      <c r="G255" s="72">
        <f t="shared" si="20"/>
        <v>0</v>
      </c>
      <c r="H255" s="150"/>
      <c r="I255" s="72"/>
    </row>
    <row r="256" spans="2:9" x14ac:dyDescent="0.25">
      <c r="B256" s="2">
        <f t="shared" si="16"/>
        <v>240</v>
      </c>
      <c r="C256" s="17">
        <f t="shared" si="17"/>
        <v>0</v>
      </c>
      <c r="E256" s="72">
        <f t="shared" si="18"/>
        <v>0</v>
      </c>
      <c r="F256" s="72">
        <f t="shared" si="19"/>
        <v>0</v>
      </c>
      <c r="G256" s="72">
        <f t="shared" si="20"/>
        <v>0</v>
      </c>
      <c r="H256" s="150"/>
      <c r="I256" s="72"/>
    </row>
    <row r="257" spans="3:9" x14ac:dyDescent="0.25">
      <c r="E257" s="72"/>
      <c r="F257" s="72"/>
      <c r="G257" s="72"/>
      <c r="H257" s="150"/>
      <c r="I257" s="72"/>
    </row>
    <row r="258" spans="3:9" ht="16.5" thickBot="1" x14ac:dyDescent="0.3">
      <c r="C258" s="33">
        <f>SUM(C17:C257)</f>
        <v>0</v>
      </c>
      <c r="D258" s="45"/>
      <c r="E258" s="33">
        <f>SUM(E17:E257)</f>
        <v>0</v>
      </c>
      <c r="F258" s="33">
        <f>SUM(F17:F257)</f>
        <v>0</v>
      </c>
      <c r="G258" s="72"/>
      <c r="H258" s="150"/>
      <c r="I258" s="72"/>
    </row>
    <row r="259" spans="3:9" ht="16.5" thickTop="1" x14ac:dyDescent="0.25">
      <c r="E259" s="72"/>
      <c r="F259" s="72"/>
      <c r="G259" s="72"/>
      <c r="H259" s="150"/>
      <c r="I259" s="72"/>
    </row>
    <row r="260" spans="3:9" x14ac:dyDescent="0.25">
      <c r="E260" s="72"/>
      <c r="F260" s="72"/>
      <c r="G260" s="72"/>
      <c r="H260" s="150"/>
      <c r="I260" s="72"/>
    </row>
    <row r="261" spans="3:9" x14ac:dyDescent="0.25">
      <c r="E261" s="72"/>
      <c r="F261" s="72"/>
      <c r="G261" s="72"/>
      <c r="H261" s="150"/>
      <c r="I261" s="72"/>
    </row>
    <row r="262" spans="3:9" x14ac:dyDescent="0.25">
      <c r="F262" s="72"/>
      <c r="G262" s="72"/>
      <c r="H262" s="72"/>
      <c r="I262" s="72"/>
    </row>
    <row r="263" spans="3:9" x14ac:dyDescent="0.25">
      <c r="F263" s="72"/>
      <c r="G263" s="72"/>
      <c r="H263" s="72"/>
      <c r="I263" s="72"/>
    </row>
    <row r="264" spans="3:9" x14ac:dyDescent="0.25">
      <c r="F264" s="72"/>
      <c r="G264" s="72"/>
      <c r="H264" s="72"/>
      <c r="I264" s="72"/>
    </row>
    <row r="265" spans="3:9" x14ac:dyDescent="0.25">
      <c r="F265" s="72"/>
      <c r="G265" s="72"/>
      <c r="H265" s="72"/>
      <c r="I265" s="72"/>
    </row>
    <row r="266" spans="3:9" x14ac:dyDescent="0.25">
      <c r="F266" s="72"/>
      <c r="G266" s="72"/>
      <c r="H266" s="72"/>
      <c r="I266" s="72"/>
    </row>
    <row r="267" spans="3:9" x14ac:dyDescent="0.25">
      <c r="F267" s="72"/>
      <c r="G267" s="72"/>
      <c r="H267" s="72"/>
      <c r="I267" s="72"/>
    </row>
    <row r="268" spans="3:9" x14ac:dyDescent="0.25">
      <c r="F268" s="72"/>
      <c r="G268" s="72"/>
      <c r="H268" s="72"/>
      <c r="I268" s="72"/>
    </row>
    <row r="269" spans="3:9" x14ac:dyDescent="0.25">
      <c r="F269" s="72"/>
      <c r="G269" s="72"/>
      <c r="H269" s="72"/>
      <c r="I269" s="72"/>
    </row>
    <row r="270" spans="3:9" x14ac:dyDescent="0.25">
      <c r="F270" s="72"/>
      <c r="G270" s="72"/>
      <c r="H270" s="72"/>
      <c r="I270" s="72"/>
    </row>
    <row r="271" spans="3:9" x14ac:dyDescent="0.25">
      <c r="G271" s="2"/>
      <c r="H271" s="2"/>
    </row>
    <row r="272" spans="3:9" x14ac:dyDescent="0.25">
      <c r="G272" s="2"/>
      <c r="H272" s="2"/>
    </row>
    <row r="273" spans="7:8" x14ac:dyDescent="0.25">
      <c r="G273" s="2"/>
      <c r="H273" s="2"/>
    </row>
    <row r="274" spans="7:8" x14ac:dyDescent="0.25">
      <c r="G274" s="2"/>
      <c r="H274" s="2"/>
    </row>
    <row r="275" spans="7:8" x14ac:dyDescent="0.25">
      <c r="G275" s="2"/>
      <c r="H275" s="2"/>
    </row>
    <row r="276" spans="7:8" x14ac:dyDescent="0.25">
      <c r="G276" s="2"/>
      <c r="H276" s="2"/>
    </row>
    <row r="277" spans="7:8" x14ac:dyDescent="0.25">
      <c r="G277" s="2"/>
      <c r="H277" s="2"/>
    </row>
    <row r="278" spans="7:8" x14ac:dyDescent="0.25">
      <c r="G278" s="2"/>
      <c r="H278" s="2"/>
    </row>
    <row r="279" spans="7:8" x14ac:dyDescent="0.25">
      <c r="G279" s="2"/>
      <c r="H279" s="2"/>
    </row>
    <row r="280" spans="7:8" x14ac:dyDescent="0.25">
      <c r="G280" s="2"/>
      <c r="H280" s="2"/>
    </row>
    <row r="281" spans="7:8" x14ac:dyDescent="0.25">
      <c r="G281" s="2"/>
      <c r="H281" s="2"/>
    </row>
    <row r="282" spans="7:8" x14ac:dyDescent="0.25">
      <c r="G282" s="2"/>
      <c r="H282" s="2"/>
    </row>
    <row r="283" spans="7:8" x14ac:dyDescent="0.25">
      <c r="G283" s="2"/>
      <c r="H283" s="2"/>
    </row>
    <row r="284" spans="7:8" x14ac:dyDescent="0.25">
      <c r="G284" s="2"/>
      <c r="H284" s="2"/>
    </row>
    <row r="285" spans="7:8" x14ac:dyDescent="0.25">
      <c r="G285" s="2"/>
      <c r="H285" s="2"/>
    </row>
    <row r="286" spans="7:8" x14ac:dyDescent="0.25">
      <c r="G286" s="2"/>
      <c r="H286" s="2"/>
    </row>
    <row r="2604" spans="7:9" s="2" customFormat="1" x14ac:dyDescent="0.25">
      <c r="G2604" s="5"/>
      <c r="H2604" s="5"/>
      <c r="I2604" s="32"/>
    </row>
  </sheetData>
  <pageMargins left="0.75" right="0.75" top="1" bottom="1" header="0.5" footer="0.5"/>
  <pageSetup paperSize="9" scale="76" fitToHeight="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8C8B0-F98C-4E43-91A9-CD5CB95AC8CB}">
  <dimension ref="A1:R432"/>
  <sheetViews>
    <sheetView zoomScale="89" zoomScaleNormal="89" workbookViewId="0">
      <pane ySplit="3" topLeftCell="A4" activePane="bottomLeft" state="frozen"/>
      <selection pane="bottomLeft"/>
    </sheetView>
  </sheetViews>
  <sheetFormatPr defaultRowHeight="12.75" x14ac:dyDescent="0.2"/>
  <cols>
    <col min="1" max="1" width="17.7109375" style="14" customWidth="1"/>
    <col min="3" max="3" width="46.42578125" style="15" bestFit="1" customWidth="1"/>
    <col min="4" max="5" width="15.42578125" style="16" bestFit="1" customWidth="1"/>
    <col min="6" max="6" width="15.42578125" style="16" customWidth="1"/>
    <col min="7" max="7" width="13.7109375" style="16" customWidth="1"/>
    <col min="8" max="8" width="15.28515625" style="16" bestFit="1" customWidth="1"/>
    <col min="9" max="9" width="16" style="213" customWidth="1"/>
    <col min="10" max="10" width="3.85546875" style="84" customWidth="1"/>
    <col min="11" max="11" width="16.140625" bestFit="1" customWidth="1"/>
    <col min="12" max="12" width="4.140625" customWidth="1"/>
    <col min="13" max="13" width="8.85546875" customWidth="1"/>
    <col min="14" max="14" width="15.28515625" style="50" bestFit="1" customWidth="1"/>
    <col min="15" max="15" width="14.28515625" bestFit="1" customWidth="1"/>
    <col min="16" max="17" width="13.140625" bestFit="1" customWidth="1"/>
    <col min="18" max="18" width="13.85546875" bestFit="1" customWidth="1"/>
  </cols>
  <sheetData>
    <row r="1" spans="1:18" x14ac:dyDescent="0.2">
      <c r="A1" s="412"/>
      <c r="B1" s="413"/>
      <c r="C1" s="443" t="str">
        <f>Criteria!E14</f>
        <v>ABC RESTAURANT</v>
      </c>
      <c r="D1" s="439"/>
      <c r="E1" s="439"/>
      <c r="F1" s="414"/>
      <c r="G1" s="415" t="s">
        <v>182</v>
      </c>
      <c r="H1" s="415"/>
      <c r="I1" s="416">
        <f>Criteria!E22</f>
        <v>2026</v>
      </c>
      <c r="J1" s="416"/>
      <c r="K1" s="416">
        <f>Criteria!E27</f>
        <v>2025</v>
      </c>
      <c r="L1" s="413"/>
      <c r="M1" s="413"/>
      <c r="N1" s="399" t="s">
        <v>380</v>
      </c>
      <c r="O1" s="70"/>
      <c r="P1" s="70"/>
    </row>
    <row r="2" spans="1:18" x14ac:dyDescent="0.2">
      <c r="A2" s="417" t="s">
        <v>1244</v>
      </c>
      <c r="B2" s="413"/>
      <c r="C2" s="413"/>
      <c r="D2" s="691">
        <f>D404-E404</f>
        <v>0</v>
      </c>
      <c r="E2" s="691"/>
      <c r="F2" s="419" t="s">
        <v>483</v>
      </c>
      <c r="G2" s="414">
        <f>G404</f>
        <v>0</v>
      </c>
      <c r="H2" s="414">
        <f>D2-E2</f>
        <v>0</v>
      </c>
      <c r="I2" s="421">
        <f>I404</f>
        <v>0</v>
      </c>
      <c r="J2" s="422"/>
      <c r="K2" s="423">
        <f>K404</f>
        <v>0</v>
      </c>
      <c r="L2" s="413"/>
      <c r="M2" s="413"/>
      <c r="N2" s="423">
        <f>SUM(I5:I165)</f>
        <v>0</v>
      </c>
      <c r="O2" s="71"/>
      <c r="P2" s="71"/>
    </row>
    <row r="3" spans="1:18" x14ac:dyDescent="0.2">
      <c r="A3" s="417" t="s">
        <v>673</v>
      </c>
      <c r="B3" s="444" t="s">
        <v>262</v>
      </c>
      <c r="C3" s="424" t="s">
        <v>263</v>
      </c>
      <c r="D3" s="417" t="s">
        <v>264</v>
      </c>
      <c r="E3" s="417" t="s">
        <v>265</v>
      </c>
      <c r="F3" s="425" t="s">
        <v>151</v>
      </c>
      <c r="G3" s="412"/>
      <c r="H3" s="412"/>
      <c r="I3" s="406"/>
      <c r="J3" s="427"/>
      <c r="K3" s="413"/>
      <c r="L3" s="413"/>
      <c r="M3" s="413"/>
      <c r="N3" s="395"/>
    </row>
    <row r="4" spans="1:18" x14ac:dyDescent="0.2">
      <c r="A4" s="165"/>
      <c r="B4" s="113" t="s">
        <v>266</v>
      </c>
      <c r="C4" s="396" t="s">
        <v>123</v>
      </c>
      <c r="D4" s="91"/>
      <c r="E4" s="59"/>
      <c r="F4" s="59"/>
      <c r="G4" s="46"/>
      <c r="H4" s="46"/>
      <c r="I4" s="211"/>
      <c r="J4" s="67"/>
      <c r="K4" s="54" t="s">
        <v>263</v>
      </c>
      <c r="N4" s="51"/>
    </row>
    <row r="5" spans="1:18" x14ac:dyDescent="0.2">
      <c r="A5" s="393"/>
      <c r="B5" s="13" t="s">
        <v>267</v>
      </c>
      <c r="C5" s="397" t="s">
        <v>1195</v>
      </c>
      <c r="D5" s="434"/>
      <c r="E5" s="434"/>
      <c r="F5" s="87"/>
      <c r="G5" s="55">
        <f>SUMIF(JournalsA!D$14:D$920,TrialBalanceA!M5,JournalsA!J$14:J$920)+SUMIF(JournalsA!E$14:E$920,TrialBalanceA!M5,JournalsA!J$14:J$920)</f>
        <v>0</v>
      </c>
      <c r="H5" s="442"/>
      <c r="I5" s="410">
        <f t="shared" ref="I5:I41" si="0">ROUND(D5-E5+G5+F5,0)</f>
        <v>0</v>
      </c>
      <c r="J5" s="83"/>
      <c r="K5" s="56">
        <f t="shared" ref="K5:K73" si="1">ROUND(SUM(A5),0)</f>
        <v>0</v>
      </c>
      <c r="M5" s="196" t="str">
        <f t="shared" ref="M5:M73" si="2">CONCATENATE(B5,C5)</f>
        <v>1000/001Sale of goods</v>
      </c>
      <c r="N5" s="78"/>
      <c r="P5" s="79"/>
      <c r="Q5" s="59"/>
      <c r="R5" s="34"/>
    </row>
    <row r="6" spans="1:18" x14ac:dyDescent="0.2">
      <c r="A6" s="393"/>
      <c r="B6" s="113" t="s">
        <v>268</v>
      </c>
      <c r="C6" s="397" t="s">
        <v>1196</v>
      </c>
      <c r="D6" s="434"/>
      <c r="E6" s="434"/>
      <c r="F6" s="87"/>
      <c r="G6" s="55">
        <f>SUMIF(JournalsA!D$14:D$920,TrialBalanceA!M6,JournalsA!J$14:J$920)+SUMIF(JournalsA!E$14:E$920,TrialBalanceA!M6,JournalsA!J$14:J$920)</f>
        <v>0</v>
      </c>
      <c r="H6" s="442"/>
      <c r="I6" s="410">
        <f t="shared" ref="I6:I9" si="3">ROUND(D6-E6+G6+F6,0)</f>
        <v>0</v>
      </c>
      <c r="J6" s="83"/>
      <c r="K6" s="56">
        <f t="shared" ref="K6:K9" si="4">ROUND(SUM(A6),0)</f>
        <v>0</v>
      </c>
      <c r="M6" s="196" t="str">
        <f t="shared" ref="M6:M9" si="5">CONCATENATE(B6,C6)</f>
        <v>1000/002Rendering of services</v>
      </c>
      <c r="N6" s="78"/>
      <c r="P6" s="79"/>
      <c r="Q6" s="59"/>
      <c r="R6" s="34"/>
    </row>
    <row r="7" spans="1:18" x14ac:dyDescent="0.2">
      <c r="A7" s="393"/>
      <c r="B7" s="113" t="s">
        <v>269</v>
      </c>
      <c r="C7" s="397" t="s">
        <v>1197</v>
      </c>
      <c r="D7" s="434"/>
      <c r="E7" s="434"/>
      <c r="F7" s="87"/>
      <c r="G7" s="55">
        <f>SUMIF(JournalsA!D$14:D$920,TrialBalanceA!M7,JournalsA!J$14:J$920)+SUMIF(JournalsA!E$14:E$920,TrialBalanceA!M7,JournalsA!J$14:J$920)</f>
        <v>0</v>
      </c>
      <c r="H7" s="442"/>
      <c r="I7" s="410">
        <f t="shared" si="3"/>
        <v>0</v>
      </c>
      <c r="J7" s="83"/>
      <c r="K7" s="56">
        <f t="shared" si="4"/>
        <v>0</v>
      </c>
      <c r="M7" s="196" t="str">
        <f t="shared" si="5"/>
        <v>1000/003Commissions received</v>
      </c>
      <c r="N7" s="78"/>
      <c r="P7" s="79"/>
      <c r="Q7" s="59"/>
      <c r="R7" s="34"/>
    </row>
    <row r="8" spans="1:18" x14ac:dyDescent="0.2">
      <c r="A8" s="393"/>
      <c r="B8" s="113" t="s">
        <v>1198</v>
      </c>
      <c r="C8" s="429">
        <f>TrialBalance!C8</f>
        <v>0</v>
      </c>
      <c r="D8" s="434"/>
      <c r="E8" s="434"/>
      <c r="F8" s="87"/>
      <c r="G8" s="55">
        <f>SUMIF(JournalsA!D$14:D$920,TrialBalanceA!M8,JournalsA!J$14:J$920)+SUMIF(JournalsA!E$14:E$920,TrialBalanceA!M8,JournalsA!J$14:J$920)</f>
        <v>0</v>
      </c>
      <c r="H8" s="442"/>
      <c r="I8" s="410">
        <f t="shared" si="3"/>
        <v>0</v>
      </c>
      <c r="J8" s="83"/>
      <c r="K8" s="56">
        <f t="shared" si="4"/>
        <v>0</v>
      </c>
      <c r="M8" s="196" t="str">
        <f t="shared" si="5"/>
        <v>1000/0040</v>
      </c>
      <c r="N8" s="78"/>
      <c r="P8" s="79"/>
      <c r="Q8" s="59"/>
      <c r="R8" s="34"/>
    </row>
    <row r="9" spans="1:18" x14ac:dyDescent="0.2">
      <c r="A9" s="393"/>
      <c r="B9" s="113" t="s">
        <v>1199</v>
      </c>
      <c r="C9" s="429">
        <f>TrialBalance!C9</f>
        <v>0</v>
      </c>
      <c r="D9" s="434"/>
      <c r="E9" s="434"/>
      <c r="F9" s="87"/>
      <c r="G9" s="55">
        <f>SUMIF(JournalsA!D$14:D$920,TrialBalanceA!M9,JournalsA!J$14:J$920)+SUMIF(JournalsA!E$14:E$920,TrialBalanceA!M9,JournalsA!J$14:J$920)</f>
        <v>0</v>
      </c>
      <c r="H9" s="442"/>
      <c r="I9" s="410">
        <f t="shared" si="3"/>
        <v>0</v>
      </c>
      <c r="J9" s="83"/>
      <c r="K9" s="56">
        <f t="shared" si="4"/>
        <v>0</v>
      </c>
      <c r="M9" s="196" t="str">
        <f t="shared" si="5"/>
        <v>1000/0050</v>
      </c>
      <c r="N9" s="78"/>
      <c r="P9" s="79"/>
      <c r="Q9" s="59"/>
      <c r="R9" s="34"/>
    </row>
    <row r="10" spans="1:18" x14ac:dyDescent="0.2">
      <c r="A10" s="393"/>
      <c r="B10" s="113" t="s">
        <v>1200</v>
      </c>
      <c r="C10" s="429">
        <f>TrialBalance!C10</f>
        <v>0</v>
      </c>
      <c r="D10" s="435"/>
      <c r="E10" s="434"/>
      <c r="F10" s="87"/>
      <c r="G10" s="55">
        <f>SUMIF(JournalsA!D$14:D$920,TrialBalanceA!M10,JournalsA!J$14:J$920)+SUMIF(JournalsA!E$14:E$920,TrialBalanceA!M10,JournalsA!J$14:J$920)</f>
        <v>0</v>
      </c>
      <c r="H10" s="442"/>
      <c r="I10" s="410">
        <f t="shared" si="0"/>
        <v>0</v>
      </c>
      <c r="J10" s="83"/>
      <c r="K10" s="56">
        <f t="shared" si="1"/>
        <v>0</v>
      </c>
      <c r="M10" s="196" t="str">
        <f t="shared" si="2"/>
        <v>1000/0060</v>
      </c>
      <c r="N10" s="78"/>
      <c r="P10" s="79"/>
      <c r="Q10" s="59"/>
      <c r="R10" s="34"/>
    </row>
    <row r="11" spans="1:18" x14ac:dyDescent="0.2">
      <c r="A11" s="393"/>
      <c r="B11" s="113" t="s">
        <v>1201</v>
      </c>
      <c r="C11" s="395" t="s">
        <v>398</v>
      </c>
      <c r="D11" s="427"/>
      <c r="E11" s="434"/>
      <c r="F11" s="87"/>
      <c r="G11" s="55">
        <f>SUMIF(JournalsA!D$14:D$920,TrialBalanceA!M11,JournalsA!J$14:J$920)+SUMIF(JournalsA!E$14:E$920,TrialBalanceA!M11,JournalsA!J$14:J$920)</f>
        <v>0</v>
      </c>
      <c r="H11" s="442"/>
      <c r="I11" s="410">
        <f t="shared" si="0"/>
        <v>0</v>
      </c>
      <c r="J11" s="83"/>
      <c r="K11" s="56">
        <f t="shared" si="1"/>
        <v>0</v>
      </c>
      <c r="M11" s="196" t="str">
        <f t="shared" si="2"/>
        <v>1000/007Rent received</v>
      </c>
      <c r="N11" s="78"/>
      <c r="P11" s="79"/>
      <c r="Q11" s="59"/>
      <c r="R11" s="34"/>
    </row>
    <row r="12" spans="1:18" x14ac:dyDescent="0.2">
      <c r="A12" s="393"/>
      <c r="B12" s="62" t="s">
        <v>270</v>
      </c>
      <c r="C12" s="396" t="s">
        <v>124</v>
      </c>
      <c r="D12" s="436"/>
      <c r="E12" s="434"/>
      <c r="F12" s="87"/>
      <c r="G12" s="55">
        <f>SUMIF(JournalsA!D$14:D$920,TrialBalanceA!M12,JournalsA!J$14:J$920)+SUMIF(JournalsA!E$14:E$920,TrialBalanceA!M12,JournalsA!J$14:J$920)</f>
        <v>0</v>
      </c>
      <c r="H12" s="442"/>
      <c r="I12" s="410">
        <f t="shared" si="0"/>
        <v>0</v>
      </c>
      <c r="J12" s="83"/>
      <c r="K12" s="56">
        <f t="shared" si="1"/>
        <v>0</v>
      </c>
      <c r="M12" s="196" t="str">
        <f t="shared" si="2"/>
        <v>2000/000COST OF SALES</v>
      </c>
      <c r="N12" s="78"/>
      <c r="P12" s="79"/>
      <c r="Q12" s="59"/>
      <c r="R12" s="34"/>
    </row>
    <row r="13" spans="1:18" x14ac:dyDescent="0.2">
      <c r="A13" s="393"/>
      <c r="B13" s="62" t="s">
        <v>271</v>
      </c>
      <c r="C13" s="397" t="s">
        <v>718</v>
      </c>
      <c r="D13" s="437"/>
      <c r="E13" s="434"/>
      <c r="F13" s="87"/>
      <c r="G13" s="55">
        <f>SUMIF(JournalsA!D$14:D$920,TrialBalanceA!M13,JournalsA!J$14:J$920)+SUMIF(JournalsA!E$14:E$920,TrialBalanceA!M13,JournalsA!J$14:J$920)</f>
        <v>0</v>
      </c>
      <c r="H13" s="442"/>
      <c r="I13" s="410">
        <f t="shared" si="0"/>
        <v>0</v>
      </c>
      <c r="J13" s="83"/>
      <c r="K13" s="56">
        <f t="shared" si="1"/>
        <v>0</v>
      </c>
      <c r="M13" s="196" t="str">
        <f t="shared" si="2"/>
        <v>2000/001Opening stock - Raw materials</v>
      </c>
      <c r="N13" s="78"/>
      <c r="P13" s="79"/>
      <c r="Q13" s="59"/>
      <c r="R13" s="34"/>
    </row>
    <row r="14" spans="1:18" x14ac:dyDescent="0.2">
      <c r="A14" s="393"/>
      <c r="B14" s="62" t="s">
        <v>426</v>
      </c>
      <c r="C14" s="394" t="s">
        <v>427</v>
      </c>
      <c r="D14" s="435"/>
      <c r="E14" s="434"/>
      <c r="F14" s="87"/>
      <c r="G14" s="55">
        <f>SUMIF(JournalsA!D$14:D$920,TrialBalanceA!M14,JournalsA!J$14:J$920)+SUMIF(JournalsA!E$14:E$920,TrialBalanceA!M14,JournalsA!J$14:J$920)</f>
        <v>0</v>
      </c>
      <c r="H14" s="442"/>
      <c r="I14" s="410">
        <f t="shared" si="0"/>
        <v>0</v>
      </c>
      <c r="J14" s="83"/>
      <c r="K14" s="56">
        <f t="shared" si="1"/>
        <v>0</v>
      </c>
      <c r="M14" s="196" t="str">
        <f t="shared" si="2"/>
        <v>2000/002Opening stock - WIP</v>
      </c>
      <c r="N14" s="78"/>
      <c r="P14" s="79"/>
      <c r="Q14" s="59"/>
      <c r="R14" s="34"/>
    </row>
    <row r="15" spans="1:18" x14ac:dyDescent="0.2">
      <c r="A15" s="393"/>
      <c r="B15" s="62" t="s">
        <v>428</v>
      </c>
      <c r="C15" s="394" t="s">
        <v>429</v>
      </c>
      <c r="D15" s="435"/>
      <c r="E15" s="434"/>
      <c r="F15" s="87"/>
      <c r="G15" s="55">
        <f>SUMIF(JournalsA!D$14:D$920,TrialBalanceA!M15,JournalsA!J$14:J$920)+SUMIF(JournalsA!E$14:E$920,TrialBalanceA!M15,JournalsA!J$14:J$920)</f>
        <v>0</v>
      </c>
      <c r="H15" s="442"/>
      <c r="I15" s="410">
        <f t="shared" si="0"/>
        <v>0</v>
      </c>
      <c r="J15" s="83"/>
      <c r="K15" s="56">
        <f t="shared" si="1"/>
        <v>0</v>
      </c>
      <c r="M15" s="196" t="str">
        <f t="shared" si="2"/>
        <v>2000/003Opening stock - Finished goods</v>
      </c>
      <c r="N15" s="78"/>
      <c r="P15" s="79"/>
      <c r="Q15" s="59"/>
      <c r="R15" s="34"/>
    </row>
    <row r="16" spans="1:18" x14ac:dyDescent="0.2">
      <c r="A16" s="393"/>
      <c r="B16" s="62" t="s">
        <v>430</v>
      </c>
      <c r="C16" s="394" t="s">
        <v>431</v>
      </c>
      <c r="D16" s="435"/>
      <c r="E16" s="434"/>
      <c r="F16" s="87"/>
      <c r="G16" s="55">
        <f>SUMIF(JournalsA!D$14:D$920,TrialBalanceA!M16,JournalsA!J$14:J$920)+SUMIF(JournalsA!E$14:E$920,TrialBalanceA!M16,JournalsA!J$14:J$920)</f>
        <v>0</v>
      </c>
      <c r="H16" s="442"/>
      <c r="I16" s="410">
        <f t="shared" si="0"/>
        <v>0</v>
      </c>
      <c r="J16" s="83"/>
      <c r="K16" s="56">
        <f t="shared" si="1"/>
        <v>0</v>
      </c>
      <c r="M16" s="196" t="str">
        <f t="shared" si="2"/>
        <v>2000/004Opening stock - Trading stock</v>
      </c>
      <c r="N16" s="78"/>
      <c r="P16" s="79"/>
      <c r="Q16" s="59"/>
      <c r="R16" s="34"/>
    </row>
    <row r="17" spans="1:18" x14ac:dyDescent="0.2">
      <c r="A17" s="393"/>
      <c r="B17" s="13" t="s">
        <v>432</v>
      </c>
      <c r="C17" s="394" t="s">
        <v>301</v>
      </c>
      <c r="D17" s="435"/>
      <c r="E17" s="434"/>
      <c r="F17" s="87"/>
      <c r="G17" s="55">
        <f>SUMIF(JournalsA!D$14:D$920,TrialBalanceA!M17,JournalsA!J$14:J$920)+SUMIF(JournalsA!E$14:E$920,TrialBalanceA!M17,JournalsA!J$14:J$920)</f>
        <v>0</v>
      </c>
      <c r="H17" s="442"/>
      <c r="I17" s="410">
        <f t="shared" si="0"/>
        <v>0</v>
      </c>
      <c r="J17" s="83"/>
      <c r="K17" s="56">
        <f t="shared" si="1"/>
        <v>0</v>
      </c>
      <c r="M17" s="196" t="str">
        <f t="shared" si="2"/>
        <v>2000/010Purchases</v>
      </c>
      <c r="N17" s="78"/>
      <c r="P17" s="79"/>
      <c r="Q17" s="59"/>
      <c r="R17" s="34"/>
    </row>
    <row r="18" spans="1:18" x14ac:dyDescent="0.2">
      <c r="A18" s="393"/>
      <c r="B18" s="13" t="s">
        <v>433</v>
      </c>
      <c r="C18" s="429"/>
      <c r="D18" s="427"/>
      <c r="E18" s="434"/>
      <c r="F18" s="87"/>
      <c r="G18" s="55">
        <f>SUMIF(JournalsA!D$14:D$920,TrialBalanceA!M18,JournalsA!J$14:J$920)+SUMIF(JournalsA!E$14:E$920,TrialBalanceA!M18,JournalsA!J$14:J$920)</f>
        <v>0</v>
      </c>
      <c r="H18" s="442"/>
      <c r="I18" s="410">
        <f t="shared" si="0"/>
        <v>0</v>
      </c>
      <c r="J18" s="83"/>
      <c r="K18" s="56">
        <f t="shared" si="1"/>
        <v>0</v>
      </c>
      <c r="M18" s="196" t="str">
        <f t="shared" si="2"/>
        <v>2000/011</v>
      </c>
      <c r="N18" s="78"/>
      <c r="O18" s="34"/>
      <c r="P18" s="79"/>
      <c r="Q18" s="59"/>
      <c r="R18" s="34"/>
    </row>
    <row r="19" spans="1:18" x14ac:dyDescent="0.2">
      <c r="A19" s="393"/>
      <c r="B19" s="62" t="s">
        <v>434</v>
      </c>
      <c r="C19" s="429"/>
      <c r="D19" s="427"/>
      <c r="E19" s="434"/>
      <c r="F19" s="87"/>
      <c r="G19" s="55">
        <f>SUMIF(JournalsA!D$14:D$920,TrialBalanceA!M19,JournalsA!J$14:J$920)+SUMIF(JournalsA!E$14:E$920,TrialBalanceA!M19,JournalsA!J$14:J$920)</f>
        <v>0</v>
      </c>
      <c r="H19" s="442"/>
      <c r="I19" s="410">
        <f t="shared" si="0"/>
        <v>0</v>
      </c>
      <c r="J19" s="83"/>
      <c r="K19" s="56">
        <f t="shared" si="1"/>
        <v>0</v>
      </c>
      <c r="M19" s="196" t="str">
        <f t="shared" si="2"/>
        <v>2000/012</v>
      </c>
      <c r="N19" s="78"/>
      <c r="P19" s="79"/>
      <c r="Q19" s="59"/>
      <c r="R19" s="34"/>
    </row>
    <row r="20" spans="1:18" x14ac:dyDescent="0.2">
      <c r="A20" s="393"/>
      <c r="B20" s="62" t="s">
        <v>435</v>
      </c>
      <c r="C20" s="430"/>
      <c r="D20" s="427"/>
      <c r="E20" s="434"/>
      <c r="F20" s="87"/>
      <c r="G20" s="55">
        <f>SUMIF(JournalsA!D$14:D$920,TrialBalanceA!M20,JournalsA!J$14:J$920)+SUMIF(JournalsA!E$14:E$920,TrialBalanceA!M20,JournalsA!J$14:J$920)</f>
        <v>0</v>
      </c>
      <c r="H20" s="442"/>
      <c r="I20" s="410">
        <f t="shared" si="0"/>
        <v>0</v>
      </c>
      <c r="J20" s="83"/>
      <c r="K20" s="56">
        <f t="shared" si="1"/>
        <v>0</v>
      </c>
      <c r="M20" s="196" t="str">
        <f t="shared" si="2"/>
        <v>2000/013</v>
      </c>
      <c r="N20" s="78"/>
      <c r="P20" s="79"/>
      <c r="Q20" s="59"/>
      <c r="R20" s="34"/>
    </row>
    <row r="21" spans="1:18" x14ac:dyDescent="0.2">
      <c r="A21" s="393"/>
      <c r="B21" s="62" t="s">
        <v>436</v>
      </c>
      <c r="C21" s="430"/>
      <c r="D21" s="427"/>
      <c r="E21" s="434"/>
      <c r="F21" s="87"/>
      <c r="G21" s="55">
        <f>SUMIF(JournalsA!D$14:D$920,TrialBalanceA!M21,JournalsA!J$14:J$920)+SUMIF(JournalsA!E$14:E$920,TrialBalanceA!M21,JournalsA!J$14:J$920)</f>
        <v>0</v>
      </c>
      <c r="H21" s="442"/>
      <c r="I21" s="410">
        <f t="shared" si="0"/>
        <v>0</v>
      </c>
      <c r="J21" s="83"/>
      <c r="K21" s="56">
        <f t="shared" si="1"/>
        <v>0</v>
      </c>
      <c r="M21" s="196" t="str">
        <f t="shared" si="2"/>
        <v>2000/014</v>
      </c>
      <c r="N21" s="78"/>
      <c r="P21" s="79"/>
      <c r="Q21" s="59"/>
      <c r="R21" s="34"/>
    </row>
    <row r="22" spans="1:18" x14ac:dyDescent="0.2">
      <c r="A22" s="393"/>
      <c r="B22" s="62" t="s">
        <v>437</v>
      </c>
      <c r="C22" s="430"/>
      <c r="D22" s="427"/>
      <c r="E22" s="434"/>
      <c r="F22" s="87"/>
      <c r="G22" s="55">
        <f>SUMIF(JournalsA!D$14:D$920,TrialBalanceA!M22,JournalsA!J$14:J$920)+SUMIF(JournalsA!E$14:E$920,TrialBalanceA!M22,JournalsA!J$14:J$920)</f>
        <v>0</v>
      </c>
      <c r="H22" s="442"/>
      <c r="I22" s="410">
        <f t="shared" si="0"/>
        <v>0</v>
      </c>
      <c r="J22" s="83"/>
      <c r="K22" s="56">
        <f t="shared" si="1"/>
        <v>0</v>
      </c>
      <c r="M22" s="196" t="str">
        <f t="shared" si="2"/>
        <v>2000/015</v>
      </c>
      <c r="N22" s="78"/>
      <c r="P22" s="79"/>
      <c r="Q22" s="59"/>
      <c r="R22" s="34"/>
    </row>
    <row r="23" spans="1:18" x14ac:dyDescent="0.2">
      <c r="A23" s="393"/>
      <c r="B23" s="62" t="s">
        <v>438</v>
      </c>
      <c r="C23" s="394" t="s">
        <v>439</v>
      </c>
      <c r="D23" s="435"/>
      <c r="E23" s="434"/>
      <c r="F23" s="87"/>
      <c r="G23" s="55">
        <f>SUMIF(JournalsA!D$14:D$920,TrialBalanceA!M23,JournalsA!J$14:J$920)+SUMIF(JournalsA!E$14:E$920,TrialBalanceA!M23,JournalsA!J$14:J$920)</f>
        <v>0</v>
      </c>
      <c r="H23" s="442"/>
      <c r="I23" s="410">
        <f t="shared" si="0"/>
        <v>0</v>
      </c>
      <c r="J23" s="83"/>
      <c r="K23" s="56">
        <f t="shared" si="1"/>
        <v>0</v>
      </c>
      <c r="M23" s="196" t="str">
        <f t="shared" si="2"/>
        <v>2000/050Closing stock - Raw materials</v>
      </c>
      <c r="N23" s="78"/>
      <c r="P23" s="79"/>
      <c r="Q23" s="59"/>
      <c r="R23" s="34"/>
    </row>
    <row r="24" spans="1:18" x14ac:dyDescent="0.2">
      <c r="A24" s="393"/>
      <c r="B24" s="62" t="s">
        <v>440</v>
      </c>
      <c r="C24" s="394" t="s">
        <v>441</v>
      </c>
      <c r="D24" s="435"/>
      <c r="E24" s="434"/>
      <c r="F24" s="87"/>
      <c r="G24" s="55">
        <f>SUMIF(JournalsA!D$14:D$920,TrialBalanceA!M24,JournalsA!J$14:J$920)+SUMIF(JournalsA!E$14:E$920,TrialBalanceA!M24,JournalsA!J$14:J$920)</f>
        <v>0</v>
      </c>
      <c r="H24" s="442"/>
      <c r="I24" s="410">
        <f t="shared" si="0"/>
        <v>0</v>
      </c>
      <c r="J24" s="83"/>
      <c r="K24" s="56">
        <f t="shared" si="1"/>
        <v>0</v>
      </c>
      <c r="M24" s="196" t="str">
        <f t="shared" si="2"/>
        <v>2000/051Closing stock - WIP</v>
      </c>
      <c r="N24" s="78"/>
      <c r="P24" s="79"/>
      <c r="Q24" s="59"/>
      <c r="R24" s="34"/>
    </row>
    <row r="25" spans="1:18" x14ac:dyDescent="0.2">
      <c r="A25" s="393"/>
      <c r="B25" s="62" t="s">
        <v>442</v>
      </c>
      <c r="C25" s="394" t="s">
        <v>443</v>
      </c>
      <c r="D25" s="435"/>
      <c r="E25" s="434"/>
      <c r="F25" s="87"/>
      <c r="G25" s="55">
        <f>SUMIF(JournalsA!D$14:D$920,TrialBalanceA!M25,JournalsA!J$14:J$920)+SUMIF(JournalsA!E$14:E$920,TrialBalanceA!M25,JournalsA!J$14:J$920)</f>
        <v>0</v>
      </c>
      <c r="H25" s="442"/>
      <c r="I25" s="410">
        <f t="shared" si="0"/>
        <v>0</v>
      </c>
      <c r="J25" s="83"/>
      <c r="K25" s="56">
        <f t="shared" si="1"/>
        <v>0</v>
      </c>
      <c r="M25" s="196" t="str">
        <f t="shared" si="2"/>
        <v>2000/052Closing stock - Finished goods</v>
      </c>
      <c r="N25" s="78"/>
      <c r="P25" s="79"/>
      <c r="Q25" s="59"/>
      <c r="R25" s="34"/>
    </row>
    <row r="26" spans="1:18" x14ac:dyDescent="0.2">
      <c r="A26" s="393"/>
      <c r="B26" s="62" t="s">
        <v>444</v>
      </c>
      <c r="C26" s="394" t="s">
        <v>445</v>
      </c>
      <c r="D26" s="435"/>
      <c r="E26" s="434"/>
      <c r="F26" s="87"/>
      <c r="G26" s="55">
        <f>SUMIF(JournalsA!D$14:D$920,TrialBalanceA!M26,JournalsA!J$14:J$920)+SUMIF(JournalsA!E$14:E$920,TrialBalanceA!M26,JournalsA!J$14:J$920)</f>
        <v>0</v>
      </c>
      <c r="H26" s="442"/>
      <c r="I26" s="410">
        <f t="shared" si="0"/>
        <v>0</v>
      </c>
      <c r="J26" s="83"/>
      <c r="K26" s="56">
        <f t="shared" si="1"/>
        <v>0</v>
      </c>
      <c r="M26" s="196" t="str">
        <f t="shared" si="2"/>
        <v>2000/053Closing stock - Trading stock</v>
      </c>
      <c r="N26" s="78"/>
      <c r="P26" s="79"/>
      <c r="Q26" s="59"/>
      <c r="R26" s="34"/>
    </row>
    <row r="27" spans="1:18" x14ac:dyDescent="0.2">
      <c r="A27" s="393"/>
      <c r="B27" s="64" t="s">
        <v>351</v>
      </c>
      <c r="C27" s="399" t="s">
        <v>350</v>
      </c>
      <c r="D27" s="425"/>
      <c r="E27" s="434"/>
      <c r="F27" s="87"/>
      <c r="G27" s="55">
        <f>SUMIF(JournalsA!D$14:D$920,TrialBalanceA!M27,JournalsA!J$14:J$920)+SUMIF(JournalsA!E$14:E$920,TrialBalanceA!M27,JournalsA!J$14:J$920)</f>
        <v>0</v>
      </c>
      <c r="H27" s="442"/>
      <c r="I27" s="410">
        <f t="shared" si="0"/>
        <v>0</v>
      </c>
      <c r="J27" s="83"/>
      <c r="K27" s="56">
        <f t="shared" si="1"/>
        <v>0</v>
      </c>
      <c r="M27" s="196" t="str">
        <f t="shared" si="2"/>
        <v>2050/000OTHER OPERATING INCOME</v>
      </c>
      <c r="N27" s="78"/>
      <c r="P27" s="79"/>
      <c r="Q27" s="59"/>
      <c r="R27" s="34"/>
    </row>
    <row r="28" spans="1:18" x14ac:dyDescent="0.2">
      <c r="A28" s="393"/>
      <c r="B28" s="64" t="s">
        <v>352</v>
      </c>
      <c r="C28" s="395" t="str">
        <f>CONCATENATE("Insurance claims - ",Criteria!H14)</f>
        <v>Insurance claims - ABC Restaurant</v>
      </c>
      <c r="D28" s="434"/>
      <c r="E28" s="434"/>
      <c r="F28" s="87"/>
      <c r="G28" s="55">
        <f>SUMIF(JournalsA!D$14:D$920,TrialBalanceA!M28,JournalsA!J$14:J$920)+SUMIF(JournalsA!E$14:E$920,TrialBalanceA!M28,JournalsA!J$14:J$920)</f>
        <v>0</v>
      </c>
      <c r="H28" s="442"/>
      <c r="I28" s="410">
        <f t="shared" si="0"/>
        <v>0</v>
      </c>
      <c r="J28" s="83"/>
      <c r="K28" s="56">
        <f t="shared" si="1"/>
        <v>0</v>
      </c>
      <c r="M28" s="196" t="str">
        <f t="shared" si="2"/>
        <v>2050/001Insurance claims - ABC Restaurant</v>
      </c>
      <c r="N28" s="78"/>
      <c r="P28" s="79"/>
      <c r="Q28" s="59"/>
      <c r="R28" s="34"/>
    </row>
    <row r="29" spans="1:18" x14ac:dyDescent="0.2">
      <c r="A29" s="393"/>
      <c r="B29" s="64" t="s">
        <v>353</v>
      </c>
      <c r="C29" s="395" t="s">
        <v>1009</v>
      </c>
      <c r="D29" s="434"/>
      <c r="E29" s="434"/>
      <c r="F29" s="87"/>
      <c r="G29" s="55">
        <f>SUMIF(JournalsA!D$14:D$920,TrialBalanceA!M29,JournalsA!J$14:J$920)+SUMIF(JournalsA!E$14:E$920,TrialBalanceA!M29,JournalsA!J$14:J$920)</f>
        <v>0</v>
      </c>
      <c r="H29" s="442"/>
      <c r="I29" s="410">
        <f t="shared" si="0"/>
        <v>0</v>
      </c>
      <c r="J29" s="83"/>
      <c r="K29" s="56">
        <f t="shared" si="1"/>
        <v>0</v>
      </c>
      <c r="M29" s="196" t="str">
        <f t="shared" si="2"/>
        <v>2050/002Government grants received</v>
      </c>
      <c r="N29" s="78"/>
      <c r="P29" s="79"/>
      <c r="Q29" s="59"/>
      <c r="R29" s="34"/>
    </row>
    <row r="30" spans="1:18" x14ac:dyDescent="0.2">
      <c r="A30" s="393"/>
      <c r="B30" s="64" t="s">
        <v>354</v>
      </c>
      <c r="C30" s="430"/>
      <c r="D30" s="427"/>
      <c r="E30" s="434"/>
      <c r="F30" s="87"/>
      <c r="G30" s="55">
        <f>SUMIF(JournalsA!D$14:D$920,TrialBalanceA!M30,JournalsA!J$14:J$920)+SUMIF(JournalsA!E$14:E$920,TrialBalanceA!M30,JournalsA!J$14:J$920)</f>
        <v>0</v>
      </c>
      <c r="H30" s="442"/>
      <c r="I30" s="410">
        <f t="shared" si="0"/>
        <v>0</v>
      </c>
      <c r="J30" s="83"/>
      <c r="K30" s="56">
        <f t="shared" si="1"/>
        <v>0</v>
      </c>
      <c r="M30" s="196" t="str">
        <f t="shared" si="2"/>
        <v>2050/003</v>
      </c>
      <c r="N30" s="78"/>
      <c r="P30" s="79"/>
      <c r="Q30" s="59"/>
      <c r="R30" s="34"/>
    </row>
    <row r="31" spans="1:18" x14ac:dyDescent="0.2">
      <c r="A31" s="393"/>
      <c r="B31" s="64" t="s">
        <v>355</v>
      </c>
      <c r="C31" s="430"/>
      <c r="D31" s="427"/>
      <c r="E31" s="434"/>
      <c r="F31" s="87"/>
      <c r="G31" s="55">
        <f>SUMIF(JournalsA!D$14:D$920,TrialBalanceA!M31,JournalsA!J$14:J$920)+SUMIF(JournalsA!E$14:E$920,TrialBalanceA!M31,JournalsA!J$14:J$920)</f>
        <v>0</v>
      </c>
      <c r="H31" s="442"/>
      <c r="I31" s="410">
        <f t="shared" si="0"/>
        <v>0</v>
      </c>
      <c r="J31" s="83"/>
      <c r="K31" s="56">
        <f t="shared" si="1"/>
        <v>0</v>
      </c>
      <c r="M31" s="196" t="str">
        <f t="shared" si="2"/>
        <v>2050/004</v>
      </c>
      <c r="N31" s="78"/>
      <c r="P31" s="79"/>
      <c r="Q31" s="59"/>
      <c r="R31" s="34"/>
    </row>
    <row r="32" spans="1:18" x14ac:dyDescent="0.2">
      <c r="A32" s="393"/>
      <c r="B32" s="64" t="s">
        <v>356</v>
      </c>
      <c r="C32" s="430"/>
      <c r="D32" s="427"/>
      <c r="E32" s="434"/>
      <c r="F32" s="87"/>
      <c r="G32" s="55">
        <f>SUMIF(JournalsA!D$14:D$920,TrialBalanceA!M32,JournalsA!J$14:J$920)+SUMIF(JournalsA!E$14:E$920,TrialBalanceA!M32,JournalsA!J$14:J$920)</f>
        <v>0</v>
      </c>
      <c r="H32" s="442"/>
      <c r="I32" s="410">
        <f t="shared" si="0"/>
        <v>0</v>
      </c>
      <c r="J32" s="83"/>
      <c r="K32" s="56">
        <f t="shared" si="1"/>
        <v>0</v>
      </c>
      <c r="M32" s="196" t="str">
        <f t="shared" si="2"/>
        <v>2050/005</v>
      </c>
      <c r="N32" s="78"/>
      <c r="P32" s="79"/>
      <c r="Q32" s="59"/>
      <c r="R32" s="34"/>
    </row>
    <row r="33" spans="1:18" x14ac:dyDescent="0.2">
      <c r="A33" s="393"/>
      <c r="B33" s="51" t="s">
        <v>1308</v>
      </c>
      <c r="C33" s="395" t="s">
        <v>1309</v>
      </c>
      <c r="D33" s="427"/>
      <c r="E33" s="434"/>
      <c r="F33" s="87"/>
      <c r="G33" s="55">
        <f>SUMIF(JournalsA!D$14:D$920,TrialBalanceA!M33,JournalsA!J$14:J$920)+SUMIF(JournalsA!E$14:E$920,TrialBalanceA!M33,JournalsA!J$14:J$920)</f>
        <v>0</v>
      </c>
      <c r="H33" s="442"/>
      <c r="I33" s="410">
        <f t="shared" ref="I33" si="6">ROUND(D33-E33+G33+F33,0)</f>
        <v>0</v>
      </c>
      <c r="J33" s="83"/>
      <c r="K33" s="56">
        <f t="shared" ref="K33" si="7">ROUND(SUM(A33),0)</f>
        <v>0</v>
      </c>
      <c r="M33" s="196" t="str">
        <f t="shared" ref="M33" si="8">CONCATENATE(B33,C33)</f>
        <v>2050/006Recoupment of depreciation</v>
      </c>
      <c r="N33" s="78"/>
      <c r="P33" s="79"/>
      <c r="Q33" s="59"/>
      <c r="R33" s="34"/>
    </row>
    <row r="34" spans="1:18" x14ac:dyDescent="0.2">
      <c r="A34" s="393"/>
      <c r="B34" s="51" t="s">
        <v>720</v>
      </c>
      <c r="C34" s="399" t="s">
        <v>719</v>
      </c>
      <c r="D34" s="425"/>
      <c r="E34" s="434"/>
      <c r="F34" s="87"/>
      <c r="G34" s="55">
        <f>SUMIF(JournalsA!D$14:D$920,TrialBalanceA!M34,JournalsA!J$14:J$920)+SUMIF(JournalsA!E$14:E$920,TrialBalanceA!M34,JournalsA!J$14:J$920)</f>
        <v>0</v>
      </c>
      <c r="H34" s="442"/>
      <c r="I34" s="410">
        <f t="shared" si="0"/>
        <v>0</v>
      </c>
      <c r="J34" s="83"/>
      <c r="K34" s="56">
        <f t="shared" si="1"/>
        <v>0</v>
      </c>
      <c r="M34" s="196" t="str">
        <f t="shared" si="2"/>
        <v>2060/000NET (PROFIT)/LOSS OTHER</v>
      </c>
      <c r="N34" s="78"/>
      <c r="P34" s="79"/>
      <c r="Q34" s="59"/>
      <c r="R34" s="34"/>
    </row>
    <row r="35" spans="1:18" x14ac:dyDescent="0.2">
      <c r="A35" s="393"/>
      <c r="B35" s="51" t="s">
        <v>617</v>
      </c>
      <c r="C35" s="395"/>
      <c r="D35" s="438"/>
      <c r="E35" s="434"/>
      <c r="F35" s="87"/>
      <c r="G35" s="55">
        <f>SUMIF(JournalsA!D$14:D$920,TrialBalanceA!M35,JournalsA!J$14:J$920)+SUMIF(JournalsA!E$14:E$920,TrialBalanceA!M35,JournalsA!J$14:J$920)</f>
        <v>0</v>
      </c>
      <c r="H35" s="442"/>
      <c r="I35" s="410">
        <f t="shared" si="0"/>
        <v>0</v>
      </c>
      <c r="J35" s="83"/>
      <c r="K35" s="56">
        <f t="shared" si="1"/>
        <v>0</v>
      </c>
      <c r="M35" s="196" t="str">
        <f t="shared" si="2"/>
        <v>2060/001</v>
      </c>
      <c r="N35" s="78"/>
      <c r="P35" s="79"/>
      <c r="Q35" s="59"/>
      <c r="R35" s="34"/>
    </row>
    <row r="36" spans="1:18" x14ac:dyDescent="0.2">
      <c r="A36" s="393"/>
      <c r="B36" s="51" t="s">
        <v>618</v>
      </c>
      <c r="C36" s="401"/>
      <c r="D36" s="438"/>
      <c r="E36" s="434"/>
      <c r="F36" s="87"/>
      <c r="G36" s="55">
        <f>SUMIF(JournalsA!D$14:D$920,TrialBalanceA!M36,JournalsA!J$14:J$920)+SUMIF(JournalsA!E$14:E$920,TrialBalanceA!M36,JournalsA!J$14:J$920)</f>
        <v>0</v>
      </c>
      <c r="H36" s="442"/>
      <c r="I36" s="410">
        <f t="shared" si="0"/>
        <v>0</v>
      </c>
      <c r="J36" s="83"/>
      <c r="K36" s="56">
        <f t="shared" si="1"/>
        <v>0</v>
      </c>
      <c r="M36" s="196" t="str">
        <f t="shared" si="2"/>
        <v>2060/002</v>
      </c>
      <c r="N36" s="78"/>
      <c r="P36" s="79"/>
      <c r="Q36" s="59"/>
      <c r="R36" s="34"/>
    </row>
    <row r="37" spans="1:18" x14ac:dyDescent="0.2">
      <c r="A37" s="393"/>
      <c r="B37" s="51" t="s">
        <v>619</v>
      </c>
      <c r="C37" s="401"/>
      <c r="D37" s="438"/>
      <c r="E37" s="434"/>
      <c r="F37" s="87"/>
      <c r="G37" s="55">
        <f>SUMIF(JournalsA!D$14:D$920,TrialBalanceA!M37,JournalsA!J$14:J$920)+SUMIF(JournalsA!E$14:E$920,TrialBalanceA!M37,JournalsA!J$14:J$920)</f>
        <v>0</v>
      </c>
      <c r="H37" s="442"/>
      <c r="I37" s="410">
        <f t="shared" si="0"/>
        <v>0</v>
      </c>
      <c r="J37" s="83"/>
      <c r="K37" s="56">
        <f t="shared" si="1"/>
        <v>0</v>
      </c>
      <c r="M37" s="196" t="str">
        <f t="shared" si="2"/>
        <v>2060/003</v>
      </c>
      <c r="N37" s="78"/>
      <c r="P37" s="79"/>
      <c r="Q37" s="59"/>
      <c r="R37" s="34"/>
    </row>
    <row r="38" spans="1:18" x14ac:dyDescent="0.2">
      <c r="A38" s="393"/>
      <c r="B38" s="51" t="s">
        <v>620</v>
      </c>
      <c r="C38" s="401"/>
      <c r="D38" s="427"/>
      <c r="E38" s="434"/>
      <c r="F38" s="87"/>
      <c r="G38" s="55">
        <f>SUMIF(JournalsA!D$14:D$920,TrialBalanceA!M38,JournalsA!J$14:J$920)+SUMIF(JournalsA!E$14:E$920,TrialBalanceA!M38,JournalsA!J$14:J$920)</f>
        <v>0</v>
      </c>
      <c r="H38" s="442"/>
      <c r="I38" s="410">
        <f t="shared" si="0"/>
        <v>0</v>
      </c>
      <c r="J38" s="83"/>
      <c r="K38" s="56">
        <f t="shared" si="1"/>
        <v>0</v>
      </c>
      <c r="M38" s="196" t="str">
        <f t="shared" si="2"/>
        <v>2060/004</v>
      </c>
      <c r="N38" s="78"/>
      <c r="P38" s="79"/>
      <c r="Q38" s="59"/>
      <c r="R38" s="34"/>
    </row>
    <row r="39" spans="1:18" x14ac:dyDescent="0.2">
      <c r="A39" s="393"/>
      <c r="B39" s="62" t="s">
        <v>446</v>
      </c>
      <c r="C39" s="396" t="s">
        <v>1239</v>
      </c>
      <c r="D39" s="436"/>
      <c r="E39" s="434"/>
      <c r="F39" s="87"/>
      <c r="G39" s="55">
        <f>SUMIF(JournalsA!D$14:D$920,TrialBalanceA!M39,JournalsA!J$14:J$920)+SUMIF(JournalsA!E$14:E$920,TrialBalanceA!M39,JournalsA!J$14:J$920)</f>
        <v>0</v>
      </c>
      <c r="H39" s="442"/>
      <c r="I39" s="410">
        <f t="shared" si="0"/>
        <v>0</v>
      </c>
      <c r="J39" s="83"/>
      <c r="K39" s="56">
        <f t="shared" si="1"/>
        <v>0</v>
      </c>
      <c r="M39" s="196" t="str">
        <f t="shared" si="2"/>
        <v>2100/000OPERATING EXPENSES</v>
      </c>
      <c r="N39" s="78"/>
      <c r="P39" s="79"/>
      <c r="Q39" s="59"/>
      <c r="R39" s="34"/>
    </row>
    <row r="40" spans="1:18" x14ac:dyDescent="0.2">
      <c r="A40" s="393"/>
      <c r="B40" s="62" t="s">
        <v>447</v>
      </c>
      <c r="C40" s="394" t="s">
        <v>302</v>
      </c>
      <c r="D40" s="435"/>
      <c r="E40" s="434"/>
      <c r="F40" s="87"/>
      <c r="G40" s="55">
        <f>SUMIF(JournalsA!D$14:D$920,TrialBalanceA!M40,JournalsA!J$14:J$920)+SUMIF(JournalsA!E$14:E$920,TrialBalanceA!M40,JournalsA!J$14:J$920)</f>
        <v>0</v>
      </c>
      <c r="H40" s="442"/>
      <c r="I40" s="410">
        <f t="shared" si="0"/>
        <v>0</v>
      </c>
      <c r="J40" s="83"/>
      <c r="K40" s="56">
        <f t="shared" si="1"/>
        <v>0</v>
      </c>
      <c r="M40" s="196" t="str">
        <f t="shared" si="2"/>
        <v>2100/001Advertising</v>
      </c>
      <c r="N40" s="78"/>
      <c r="P40" s="79"/>
      <c r="Q40" s="59"/>
      <c r="R40" s="34"/>
    </row>
    <row r="41" spans="1:18" x14ac:dyDescent="0.2">
      <c r="A41" s="393"/>
      <c r="B41" s="62" t="s">
        <v>448</v>
      </c>
      <c r="C41" s="397" t="s">
        <v>830</v>
      </c>
      <c r="D41" s="437"/>
      <c r="E41" s="434"/>
      <c r="F41" s="87"/>
      <c r="G41" s="55">
        <f>SUMIF(JournalsA!D$14:D$920,TrialBalanceA!M41,JournalsA!J$14:J$920)+SUMIF(JournalsA!E$14:E$920,TrialBalanceA!M41,JournalsA!J$14:J$920)</f>
        <v>0</v>
      </c>
      <c r="H41" s="442"/>
      <c r="I41" s="410">
        <f t="shared" si="0"/>
        <v>0</v>
      </c>
      <c r="J41" s="83"/>
      <c r="K41" s="56">
        <f t="shared" si="1"/>
        <v>0</v>
      </c>
      <c r="M41" s="196" t="str">
        <f t="shared" si="2"/>
        <v>2100/010Assets less than R7,000</v>
      </c>
      <c r="N41" s="78"/>
      <c r="P41" s="79"/>
      <c r="Q41" s="59"/>
      <c r="R41" s="34"/>
    </row>
    <row r="42" spans="1:18" x14ac:dyDescent="0.2">
      <c r="A42" s="393"/>
      <c r="B42" s="62" t="s">
        <v>449</v>
      </c>
      <c r="C42" s="394" t="s">
        <v>303</v>
      </c>
      <c r="D42" s="435"/>
      <c r="E42" s="434"/>
      <c r="F42" s="87"/>
      <c r="G42" s="55">
        <f>SUMIF(JournalsA!D$14:D$920,TrialBalanceA!M42,JournalsA!J$14:J$920)+SUMIF(JournalsA!E$14:E$920,TrialBalanceA!M42,JournalsA!J$14:J$920)</f>
        <v>0</v>
      </c>
      <c r="H42" s="442"/>
      <c r="I42" s="410">
        <f t="shared" ref="I42:I73" si="9">ROUND(D42-E42+G42+F42,0)</f>
        <v>0</v>
      </c>
      <c r="J42" s="83"/>
      <c r="K42" s="56">
        <f t="shared" si="1"/>
        <v>0</v>
      </c>
      <c r="M42" s="196" t="str">
        <f t="shared" si="2"/>
        <v>2100/020Consumables</v>
      </c>
      <c r="N42" s="78"/>
      <c r="P42" s="79"/>
      <c r="Q42" s="59"/>
      <c r="R42" s="34"/>
    </row>
    <row r="43" spans="1:18" x14ac:dyDescent="0.2">
      <c r="A43" s="393"/>
      <c r="B43" s="62" t="s">
        <v>450</v>
      </c>
      <c r="C43" s="396" t="s">
        <v>695</v>
      </c>
      <c r="D43" s="436"/>
      <c r="E43" s="434"/>
      <c r="F43" s="87"/>
      <c r="G43" s="55">
        <f>SUMIF(JournalsA!D$14:D$920,TrialBalanceA!M43,JournalsA!J$14:J$920)+SUMIF(JournalsA!E$14:E$920,TrialBalanceA!M43,JournalsA!J$14:J$920)</f>
        <v>0</v>
      </c>
      <c r="H43" s="442"/>
      <c r="I43" s="410">
        <f t="shared" si="9"/>
        <v>0</v>
      </c>
      <c r="J43" s="83"/>
      <c r="K43" s="56">
        <f t="shared" si="1"/>
        <v>0</v>
      </c>
      <c r="M43" s="196" t="str">
        <f t="shared" si="2"/>
        <v>2100/030Depreciation--------------------------------------------------</v>
      </c>
      <c r="N43" s="78"/>
      <c r="P43" s="79"/>
      <c r="Q43" s="59"/>
      <c r="R43" s="34"/>
    </row>
    <row r="44" spans="1:18" x14ac:dyDescent="0.2">
      <c r="A44" s="393"/>
      <c r="B44" s="62" t="s">
        <v>452</v>
      </c>
      <c r="C44" s="397" t="s">
        <v>1366</v>
      </c>
      <c r="D44" s="435"/>
      <c r="E44" s="434"/>
      <c r="F44" s="87"/>
      <c r="G44" s="55">
        <f>SUMIF(JournalsA!D$14:D$920,TrialBalanceA!M44,JournalsA!J$14:J$920)+SUMIF(JournalsA!E$14:E$920,TrialBalanceA!M44,JournalsA!J$14:J$920)</f>
        <v>0</v>
      </c>
      <c r="H44" s="442"/>
      <c r="I44" s="410">
        <f t="shared" si="9"/>
        <v>0</v>
      </c>
      <c r="J44" s="83"/>
      <c r="K44" s="56">
        <f t="shared" si="1"/>
        <v>0</v>
      </c>
      <c r="M44" s="196" t="str">
        <f t="shared" si="2"/>
        <v>2100/031Depr - Property</v>
      </c>
      <c r="N44" s="78"/>
      <c r="P44" s="79"/>
      <c r="Q44" s="59"/>
      <c r="R44" s="34"/>
    </row>
    <row r="45" spans="1:18" x14ac:dyDescent="0.2">
      <c r="A45" s="393"/>
      <c r="B45" s="62" t="s">
        <v>453</v>
      </c>
      <c r="C45" s="397" t="s">
        <v>926</v>
      </c>
      <c r="D45" s="435"/>
      <c r="E45" s="434"/>
      <c r="F45" s="87"/>
      <c r="G45" s="55">
        <f>SUMIF(JournalsA!D$14:D$920,TrialBalanceA!M45,JournalsA!J$14:J$920)+SUMIF(JournalsA!E$14:E$920,TrialBalanceA!M45,JournalsA!J$14:J$920)</f>
        <v>0</v>
      </c>
      <c r="H45" s="442"/>
      <c r="I45" s="410">
        <f t="shared" si="9"/>
        <v>0</v>
      </c>
      <c r="J45" s="83"/>
      <c r="K45" s="56">
        <f t="shared" si="1"/>
        <v>0</v>
      </c>
      <c r="M45" s="196" t="str">
        <f t="shared" si="2"/>
        <v>2100/032Depr - Plant and machinery</v>
      </c>
      <c r="N45" s="78"/>
      <c r="P45" s="79"/>
      <c r="Q45" s="59"/>
      <c r="R45" s="34"/>
    </row>
    <row r="46" spans="1:18" x14ac:dyDescent="0.2">
      <c r="A46" s="393"/>
      <c r="B46" s="62" t="s">
        <v>58</v>
      </c>
      <c r="C46" s="394" t="s">
        <v>59</v>
      </c>
      <c r="D46" s="435"/>
      <c r="E46" s="434"/>
      <c r="F46" s="87"/>
      <c r="G46" s="55">
        <f>SUMIF(JournalsA!D$14:D$920,TrialBalanceA!M46,JournalsA!J$14:J$920)+SUMIF(JournalsA!E$14:E$920,TrialBalanceA!M46,JournalsA!J$14:J$920)</f>
        <v>0</v>
      </c>
      <c r="H46" s="442"/>
      <c r="I46" s="410">
        <f t="shared" si="9"/>
        <v>0</v>
      </c>
      <c r="J46" s="83"/>
      <c r="K46" s="56">
        <f t="shared" si="1"/>
        <v>0</v>
      </c>
      <c r="M46" s="196" t="str">
        <f t="shared" si="2"/>
        <v>2100/033Depr - Motor vehicles</v>
      </c>
      <c r="N46" s="78"/>
      <c r="P46" s="79"/>
      <c r="Q46" s="59"/>
      <c r="R46" s="34"/>
    </row>
    <row r="47" spans="1:18" x14ac:dyDescent="0.2">
      <c r="A47" s="393"/>
      <c r="B47" s="62" t="s">
        <v>61</v>
      </c>
      <c r="C47" s="394" t="s">
        <v>62</v>
      </c>
      <c r="D47" s="435"/>
      <c r="E47" s="434"/>
      <c r="F47" s="87"/>
      <c r="G47" s="55">
        <f>SUMIF(JournalsA!D$14:D$920,TrialBalanceA!M47,JournalsA!J$14:J$920)+SUMIF(JournalsA!E$14:E$920,TrialBalanceA!M47,JournalsA!J$14:J$920)</f>
        <v>0</v>
      </c>
      <c r="H47" s="442"/>
      <c r="I47" s="410">
        <f t="shared" si="9"/>
        <v>0</v>
      </c>
      <c r="J47" s="83"/>
      <c r="K47" s="56">
        <f t="shared" si="1"/>
        <v>0</v>
      </c>
      <c r="M47" s="196" t="str">
        <f t="shared" si="2"/>
        <v>2100/040Discounts allowed</v>
      </c>
      <c r="N47" s="78"/>
      <c r="P47" s="79"/>
      <c r="Q47" s="59"/>
      <c r="R47" s="34"/>
    </row>
    <row r="48" spans="1:18" x14ac:dyDescent="0.2">
      <c r="A48" s="393"/>
      <c r="B48" s="62" t="s">
        <v>63</v>
      </c>
      <c r="C48" s="397" t="s">
        <v>871</v>
      </c>
      <c r="D48" s="435"/>
      <c r="E48" s="434"/>
      <c r="F48" s="87"/>
      <c r="G48" s="55">
        <f>SUMIF(JournalsA!D$14:D$920,TrialBalanceA!M48,JournalsA!J$14:J$920)+SUMIF(JournalsA!E$14:E$920,TrialBalanceA!M48,JournalsA!J$14:J$920)</f>
        <v>0</v>
      </c>
      <c r="H48" s="442"/>
      <c r="I48" s="410">
        <f t="shared" si="9"/>
        <v>0</v>
      </c>
      <c r="J48" s="83"/>
      <c r="K48" s="56">
        <f t="shared" si="1"/>
        <v>0</v>
      </c>
      <c r="M48" s="196" t="str">
        <f t="shared" si="2"/>
        <v>2100/050Electricity and water</v>
      </c>
      <c r="N48" s="78"/>
      <c r="P48" s="79"/>
      <c r="Q48" s="59"/>
      <c r="R48" s="34"/>
    </row>
    <row r="49" spans="1:18" x14ac:dyDescent="0.2">
      <c r="A49" s="393"/>
      <c r="B49" s="62" t="s">
        <v>64</v>
      </c>
      <c r="C49" s="394" t="s">
        <v>69</v>
      </c>
      <c r="D49" s="435"/>
      <c r="E49" s="434"/>
      <c r="F49" s="87"/>
      <c r="G49" s="55">
        <f>SUMIF(JournalsA!D$14:D$920,TrialBalanceA!M49,JournalsA!J$14:J$920)+SUMIF(JournalsA!E$14:E$920,TrialBalanceA!M49,JournalsA!J$14:J$920)</f>
        <v>0</v>
      </c>
      <c r="H49" s="442"/>
      <c r="I49" s="410">
        <f t="shared" si="9"/>
        <v>0</v>
      </c>
      <c r="J49" s="83"/>
      <c r="K49" s="56">
        <f t="shared" si="1"/>
        <v>0</v>
      </c>
      <c r="M49" s="196" t="str">
        <f t="shared" si="2"/>
        <v>2100/055Equipment lease</v>
      </c>
      <c r="N49" s="78"/>
      <c r="P49" s="79"/>
      <c r="Q49" s="59"/>
      <c r="R49" s="34"/>
    </row>
    <row r="50" spans="1:18" x14ac:dyDescent="0.2">
      <c r="A50" s="393"/>
      <c r="B50" s="62" t="s">
        <v>70</v>
      </c>
      <c r="C50" s="394" t="s">
        <v>305</v>
      </c>
      <c r="D50" s="435"/>
      <c r="E50" s="434"/>
      <c r="F50" s="87"/>
      <c r="G50" s="55">
        <f>SUMIF(JournalsA!D$14:D$920,TrialBalanceA!M50,JournalsA!J$14:J$920)+SUMIF(JournalsA!E$14:E$920,TrialBalanceA!M50,JournalsA!J$14:J$920)</f>
        <v>0</v>
      </c>
      <c r="H50" s="442"/>
      <c r="I50" s="410">
        <f t="shared" si="9"/>
        <v>0</v>
      </c>
      <c r="J50" s="83"/>
      <c r="K50" s="56">
        <f t="shared" si="1"/>
        <v>0</v>
      </c>
      <c r="M50" s="196" t="str">
        <f t="shared" si="2"/>
        <v>2100/060Insurance</v>
      </c>
      <c r="N50" s="78"/>
      <c r="P50" s="59"/>
      <c r="Q50" s="59"/>
      <c r="R50" s="34"/>
    </row>
    <row r="51" spans="1:18" x14ac:dyDescent="0.2">
      <c r="A51" s="393"/>
      <c r="B51" s="62" t="s">
        <v>484</v>
      </c>
      <c r="C51" s="394" t="s">
        <v>190</v>
      </c>
      <c r="D51" s="435"/>
      <c r="E51" s="434"/>
      <c r="F51" s="87"/>
      <c r="G51" s="55">
        <f>SUMIF(JournalsA!D$14:D$920,TrialBalanceA!M51,JournalsA!J$14:J$920)+SUMIF(JournalsA!E$14:E$920,TrialBalanceA!M51,JournalsA!J$14:J$920)</f>
        <v>0</v>
      </c>
      <c r="H51" s="442"/>
      <c r="I51" s="410">
        <f t="shared" si="9"/>
        <v>0</v>
      </c>
      <c r="J51" s="83"/>
      <c r="K51" s="56">
        <f t="shared" si="1"/>
        <v>0</v>
      </c>
      <c r="M51" s="196" t="str">
        <f t="shared" si="2"/>
        <v>2100/071Levies - SDL</v>
      </c>
      <c r="N51" s="78"/>
      <c r="P51" s="79"/>
      <c r="Q51" s="59"/>
      <c r="R51" s="34"/>
    </row>
    <row r="52" spans="1:18" x14ac:dyDescent="0.2">
      <c r="A52" s="393"/>
      <c r="B52" s="62" t="s">
        <v>191</v>
      </c>
      <c r="C52" s="394" t="s">
        <v>192</v>
      </c>
      <c r="D52" s="435"/>
      <c r="E52" s="434"/>
      <c r="F52" s="87"/>
      <c r="G52" s="55">
        <f>SUMIF(JournalsA!D$14:D$920,TrialBalanceA!M52,JournalsA!J$14:J$920)+SUMIF(JournalsA!E$14:E$920,TrialBalanceA!M52,JournalsA!J$14:J$920)</f>
        <v>0</v>
      </c>
      <c r="H52" s="442"/>
      <c r="I52" s="410">
        <f t="shared" si="9"/>
        <v>0</v>
      </c>
      <c r="J52" s="83"/>
      <c r="K52" s="56">
        <f t="shared" si="1"/>
        <v>0</v>
      </c>
      <c r="M52" s="196" t="str">
        <f t="shared" si="2"/>
        <v>2100/072Levies - other</v>
      </c>
      <c r="N52" s="78"/>
      <c r="P52" s="79"/>
      <c r="Q52" s="59"/>
      <c r="R52" s="34"/>
    </row>
    <row r="53" spans="1:18" x14ac:dyDescent="0.2">
      <c r="A53" s="393"/>
      <c r="B53" s="62" t="s">
        <v>193</v>
      </c>
      <c r="C53" s="401" t="s">
        <v>387</v>
      </c>
      <c r="D53" s="427"/>
      <c r="E53" s="434"/>
      <c r="F53" s="87"/>
      <c r="G53" s="55">
        <f>SUMIF(JournalsA!D$14:D$920,TrialBalanceA!M53,JournalsA!J$14:J$920)+SUMIF(JournalsA!E$14:E$920,TrialBalanceA!M53,JournalsA!J$14:J$920)</f>
        <v>0</v>
      </c>
      <c r="H53" s="442"/>
      <c r="I53" s="410">
        <f t="shared" si="9"/>
        <v>0</v>
      </c>
      <c r="J53" s="83"/>
      <c r="K53" s="56">
        <f t="shared" si="1"/>
        <v>0</v>
      </c>
      <c r="M53" s="196" t="str">
        <f t="shared" si="2"/>
        <v>2100/080Trade licenses</v>
      </c>
      <c r="N53" s="78"/>
      <c r="P53" s="79"/>
      <c r="Q53" s="59"/>
      <c r="R53" s="34"/>
    </row>
    <row r="54" spans="1:18" x14ac:dyDescent="0.2">
      <c r="A54" s="393"/>
      <c r="B54" s="62" t="s">
        <v>194</v>
      </c>
      <c r="C54" s="396" t="s">
        <v>730</v>
      </c>
      <c r="D54" s="436"/>
      <c r="E54" s="434"/>
      <c r="F54" s="87"/>
      <c r="G54" s="55">
        <f>SUMIF(JournalsA!D$14:D$920,TrialBalanceA!M54,JournalsA!J$14:J$920)+SUMIF(JournalsA!E$14:E$920,TrialBalanceA!M54,JournalsA!J$14:J$920)</f>
        <v>0</v>
      </c>
      <c r="H54" s="442"/>
      <c r="I54" s="410">
        <f t="shared" si="9"/>
        <v>0</v>
      </c>
      <c r="J54" s="83"/>
      <c r="K54" s="56">
        <f t="shared" si="1"/>
        <v>0</v>
      </c>
      <c r="M54" s="196" t="str">
        <f t="shared" si="2"/>
        <v>2100/090Motor vehicle expenses----------------------------------</v>
      </c>
      <c r="N54" s="78"/>
      <c r="P54" s="79"/>
      <c r="Q54" s="59"/>
      <c r="R54" s="34"/>
    </row>
    <row r="55" spans="1:18" x14ac:dyDescent="0.2">
      <c r="A55" s="393"/>
      <c r="B55" s="62" t="s">
        <v>196</v>
      </c>
      <c r="C55" s="394" t="s">
        <v>197</v>
      </c>
      <c r="D55" s="435"/>
      <c r="E55" s="434"/>
      <c r="F55" s="87"/>
      <c r="G55" s="55">
        <f>SUMIF(JournalsA!D$14:D$920,TrialBalanceA!M55,JournalsA!J$14:J$920)+SUMIF(JournalsA!E$14:E$920,TrialBalanceA!M55,JournalsA!J$14:J$920)</f>
        <v>0</v>
      </c>
      <c r="H55" s="442"/>
      <c r="I55" s="410">
        <f t="shared" si="9"/>
        <v>0</v>
      </c>
      <c r="J55" s="83"/>
      <c r="K55" s="56">
        <f t="shared" si="1"/>
        <v>0</v>
      </c>
      <c r="M55" s="196" t="str">
        <f t="shared" si="2"/>
        <v>2100/091Motor vehicle expenses - Petrol and oil</v>
      </c>
      <c r="N55" s="78"/>
      <c r="P55" s="79"/>
      <c r="Q55" s="59"/>
      <c r="R55" s="34"/>
    </row>
    <row r="56" spans="1:18" x14ac:dyDescent="0.2">
      <c r="A56" s="393"/>
      <c r="B56" s="62" t="s">
        <v>198</v>
      </c>
      <c r="C56" s="394" t="s">
        <v>199</v>
      </c>
      <c r="D56" s="435"/>
      <c r="E56" s="434"/>
      <c r="F56" s="87"/>
      <c r="G56" s="55">
        <f>SUMIF(JournalsA!D$14:D$920,TrialBalanceA!M56,JournalsA!J$14:J$920)+SUMIF(JournalsA!E$14:E$920,TrialBalanceA!M56,JournalsA!J$14:J$920)</f>
        <v>0</v>
      </c>
      <c r="H56" s="442"/>
      <c r="I56" s="410">
        <f t="shared" si="9"/>
        <v>0</v>
      </c>
      <c r="J56" s="83"/>
      <c r="K56" s="56">
        <f t="shared" si="1"/>
        <v>0</v>
      </c>
      <c r="M56" s="196" t="str">
        <f t="shared" si="2"/>
        <v>2100/092Motor vehicle expenses - R&amp;M</v>
      </c>
      <c r="N56" s="78"/>
      <c r="P56" s="79"/>
      <c r="Q56" s="59"/>
      <c r="R56" s="34"/>
    </row>
    <row r="57" spans="1:18" x14ac:dyDescent="0.2">
      <c r="A57" s="393"/>
      <c r="B57" s="62" t="s">
        <v>200</v>
      </c>
      <c r="C57" s="394" t="s">
        <v>201</v>
      </c>
      <c r="D57" s="435"/>
      <c r="E57" s="434"/>
      <c r="F57" s="87"/>
      <c r="G57" s="55">
        <f>SUMIF(JournalsA!D$14:D$920,TrialBalanceA!M57,JournalsA!J$14:J$920)+SUMIF(JournalsA!E$14:E$920,TrialBalanceA!M57,JournalsA!J$14:J$920)</f>
        <v>0</v>
      </c>
      <c r="H57" s="442"/>
      <c r="I57" s="410">
        <f t="shared" si="9"/>
        <v>0</v>
      </c>
      <c r="J57" s="83"/>
      <c r="K57" s="56">
        <f t="shared" si="1"/>
        <v>0</v>
      </c>
      <c r="M57" s="196" t="str">
        <f t="shared" si="2"/>
        <v>2100/093Motor vehicle expenses - Insurance</v>
      </c>
      <c r="N57" s="78"/>
      <c r="P57" s="79"/>
      <c r="Q57" s="59"/>
      <c r="R57" s="34"/>
    </row>
    <row r="58" spans="1:18" x14ac:dyDescent="0.2">
      <c r="A58" s="393"/>
      <c r="B58" s="62" t="s">
        <v>202</v>
      </c>
      <c r="C58" s="395" t="s">
        <v>927</v>
      </c>
      <c r="D58" s="427"/>
      <c r="E58" s="434"/>
      <c r="F58" s="87"/>
      <c r="G58" s="55">
        <f>SUMIF(JournalsA!D$14:D$920,TrialBalanceA!M58,JournalsA!J$14:J$920)+SUMIF(JournalsA!E$14:E$920,TrialBalanceA!M58,JournalsA!J$14:J$920)</f>
        <v>0</v>
      </c>
      <c r="H58" s="442"/>
      <c r="I58" s="410">
        <f t="shared" si="9"/>
        <v>0</v>
      </c>
      <c r="J58" s="83"/>
      <c r="K58" s="56">
        <f t="shared" si="1"/>
        <v>0</v>
      </c>
      <c r="M58" s="196" t="str">
        <f t="shared" si="2"/>
        <v>2100/094Motor vehicle expenses - Licenses</v>
      </c>
      <c r="N58" s="78"/>
      <c r="P58" s="79"/>
      <c r="Q58" s="59"/>
      <c r="R58" s="34"/>
    </row>
    <row r="59" spans="1:18" x14ac:dyDescent="0.2">
      <c r="A59" s="393"/>
      <c r="B59" s="62" t="s">
        <v>203</v>
      </c>
      <c r="C59" s="397" t="s">
        <v>928</v>
      </c>
      <c r="D59" s="435"/>
      <c r="E59" s="434"/>
      <c r="F59" s="87"/>
      <c r="G59" s="55">
        <f>SUMIF(JournalsA!D$14:D$920,TrialBalanceA!M59,JournalsA!J$14:J$920)+SUMIF(JournalsA!E$14:E$920,TrialBalanceA!M59,JournalsA!J$14:J$920)</f>
        <v>0</v>
      </c>
      <c r="H59" s="442"/>
      <c r="I59" s="410">
        <f t="shared" si="9"/>
        <v>0</v>
      </c>
      <c r="J59" s="83"/>
      <c r="K59" s="56">
        <f t="shared" si="1"/>
        <v>0</v>
      </c>
      <c r="M59" s="196" t="str">
        <f t="shared" si="2"/>
        <v>2100/095Motor vehicle expenses - General</v>
      </c>
      <c r="N59" s="78"/>
      <c r="P59" s="79"/>
      <c r="Q59" s="59"/>
      <c r="R59" s="34"/>
    </row>
    <row r="60" spans="1:18" x14ac:dyDescent="0.2">
      <c r="A60" s="393"/>
      <c r="B60" s="62" t="s">
        <v>204</v>
      </c>
      <c r="C60" s="396" t="s">
        <v>205</v>
      </c>
      <c r="D60" s="436"/>
      <c r="E60" s="434"/>
      <c r="F60" s="87"/>
      <c r="G60" s="55">
        <f>SUMIF(JournalsA!D$14:D$920,TrialBalanceA!M60,JournalsA!J$14:J$920)+SUMIF(JournalsA!E$14:E$920,TrialBalanceA!M60,JournalsA!J$14:J$920)</f>
        <v>0</v>
      </c>
      <c r="H60" s="442"/>
      <c r="I60" s="410">
        <f t="shared" si="9"/>
        <v>0</v>
      </c>
      <c r="J60" s="83"/>
      <c r="K60" s="56">
        <f t="shared" si="1"/>
        <v>0</v>
      </c>
      <c r="M60" s="196" t="str">
        <f t="shared" si="2"/>
        <v>2100/100Rent paid-------------------------------</v>
      </c>
      <c r="N60" s="78"/>
      <c r="P60" s="79"/>
      <c r="Q60" s="59"/>
      <c r="R60" s="34"/>
    </row>
    <row r="61" spans="1:18" x14ac:dyDescent="0.2">
      <c r="A61" s="393"/>
      <c r="B61" s="62" t="s">
        <v>206</v>
      </c>
      <c r="C61" s="429"/>
      <c r="D61" s="434"/>
      <c r="E61" s="434"/>
      <c r="F61" s="87"/>
      <c r="G61" s="55">
        <f>SUMIF(JournalsA!D$14:D$920,TrialBalanceA!M61,JournalsA!J$14:J$920)+SUMIF(JournalsA!E$14:E$920,TrialBalanceA!M61,JournalsA!J$14:J$920)</f>
        <v>0</v>
      </c>
      <c r="H61" s="442"/>
      <c r="I61" s="410">
        <f t="shared" si="9"/>
        <v>0</v>
      </c>
      <c r="J61" s="83"/>
      <c r="K61" s="56">
        <f t="shared" si="1"/>
        <v>0</v>
      </c>
      <c r="M61" s="196" t="str">
        <f t="shared" si="2"/>
        <v>2100/101</v>
      </c>
      <c r="N61" s="78"/>
      <c r="P61" s="79"/>
      <c r="Q61" s="59"/>
      <c r="R61" s="34"/>
    </row>
    <row r="62" spans="1:18" x14ac:dyDescent="0.2">
      <c r="A62" s="393"/>
      <c r="B62" s="62" t="s">
        <v>207</v>
      </c>
      <c r="C62" s="430"/>
      <c r="D62" s="434"/>
      <c r="E62" s="434"/>
      <c r="F62" s="87"/>
      <c r="G62" s="55">
        <f>SUMIF(JournalsA!D$14:D$920,TrialBalanceA!M62,JournalsA!J$14:J$920)+SUMIF(JournalsA!E$14:E$920,TrialBalanceA!M62,JournalsA!J$14:J$920)</f>
        <v>0</v>
      </c>
      <c r="H62" s="442"/>
      <c r="I62" s="410">
        <f t="shared" si="9"/>
        <v>0</v>
      </c>
      <c r="J62" s="83"/>
      <c r="K62" s="56">
        <f t="shared" si="1"/>
        <v>0</v>
      </c>
      <c r="M62" s="196" t="str">
        <f t="shared" si="2"/>
        <v>2100/102</v>
      </c>
      <c r="N62" s="78"/>
      <c r="P62" s="79"/>
      <c r="Q62" s="59"/>
      <c r="R62" s="34"/>
    </row>
    <row r="63" spans="1:18" x14ac:dyDescent="0.2">
      <c r="A63" s="393"/>
      <c r="B63" s="62" t="s">
        <v>208</v>
      </c>
      <c r="C63" s="430"/>
      <c r="D63" s="427"/>
      <c r="E63" s="434"/>
      <c r="F63" s="87"/>
      <c r="G63" s="55">
        <f>SUMIF(JournalsA!D$14:D$920,TrialBalanceA!M63,JournalsA!J$14:J$920)+SUMIF(JournalsA!E$14:E$920,TrialBalanceA!M63,JournalsA!J$14:J$920)</f>
        <v>0</v>
      </c>
      <c r="H63" s="442"/>
      <c r="I63" s="410">
        <f t="shared" si="9"/>
        <v>0</v>
      </c>
      <c r="J63" s="83"/>
      <c r="K63" s="56">
        <f t="shared" si="1"/>
        <v>0</v>
      </c>
      <c r="M63" s="196" t="str">
        <f t="shared" si="2"/>
        <v>2100/103</v>
      </c>
      <c r="N63" s="78"/>
      <c r="P63" s="79"/>
      <c r="Q63" s="59"/>
      <c r="R63" s="34"/>
    </row>
    <row r="64" spans="1:18" x14ac:dyDescent="0.2">
      <c r="A64" s="393"/>
      <c r="B64" s="62" t="s">
        <v>209</v>
      </c>
      <c r="C64" s="394" t="s">
        <v>77</v>
      </c>
      <c r="D64" s="435"/>
      <c r="E64" s="434"/>
      <c r="F64" s="87"/>
      <c r="G64" s="55">
        <f>SUMIF(JournalsA!D$14:D$920,TrialBalanceA!M64,JournalsA!J$14:J$920)+SUMIF(JournalsA!E$14:E$920,TrialBalanceA!M64,JournalsA!J$14:J$920)</f>
        <v>0</v>
      </c>
      <c r="H64" s="442"/>
      <c r="I64" s="410">
        <f t="shared" si="9"/>
        <v>0</v>
      </c>
      <c r="J64" s="83"/>
      <c r="K64" s="56">
        <f t="shared" si="1"/>
        <v>0</v>
      </c>
      <c r="M64" s="196" t="str">
        <f t="shared" si="2"/>
        <v>2100/110Repairs and maintenance</v>
      </c>
      <c r="N64" s="78"/>
      <c r="P64" s="79"/>
      <c r="Q64" s="59"/>
      <c r="R64" s="34"/>
    </row>
    <row r="65" spans="1:18" x14ac:dyDescent="0.2">
      <c r="A65" s="393"/>
      <c r="B65" s="113" t="s">
        <v>1755</v>
      </c>
      <c r="C65" s="397" t="s">
        <v>1756</v>
      </c>
      <c r="D65" s="435"/>
      <c r="E65" s="434"/>
      <c r="F65" s="87"/>
      <c r="G65" s="55">
        <f>SUMIF(JournalsA!D$14:D$920,TrialBalanceA!M65,JournalsA!J$14:J$920)+SUMIF(JournalsA!E$14:E$920,TrialBalanceA!M65,JournalsA!J$14:J$920)</f>
        <v>0</v>
      </c>
      <c r="H65" s="442"/>
      <c r="I65" s="410">
        <f t="shared" ref="I65" si="10">ROUND(D65-E65+G65+F65,0)</f>
        <v>0</v>
      </c>
      <c r="J65" s="83"/>
      <c r="K65" s="56">
        <f t="shared" ref="K65" si="11">ROUND(SUM(A65),0)</f>
        <v>0</v>
      </c>
      <c r="M65" s="196" t="str">
        <f t="shared" ref="M65" si="12">CONCATENATE(B65,C65)</f>
        <v>2100/115Research and development cost</v>
      </c>
      <c r="N65" s="78"/>
      <c r="P65" s="79"/>
      <c r="Q65" s="59"/>
      <c r="R65" s="34"/>
    </row>
    <row r="66" spans="1:18" x14ac:dyDescent="0.2">
      <c r="A66" s="393"/>
      <c r="B66" s="62" t="s">
        <v>78</v>
      </c>
      <c r="C66" s="394" t="s">
        <v>79</v>
      </c>
      <c r="D66" s="435"/>
      <c r="E66" s="434"/>
      <c r="F66" s="87"/>
      <c r="G66" s="55">
        <f>SUMIF(JournalsA!D$14:D$920,TrialBalanceA!M66,JournalsA!J$14:J$920)+SUMIF(JournalsA!E$14:E$920,TrialBalanceA!M66,JournalsA!J$14:J$920)</f>
        <v>0</v>
      </c>
      <c r="H66" s="442"/>
      <c r="I66" s="410">
        <f t="shared" si="9"/>
        <v>0</v>
      </c>
      <c r="J66" s="83"/>
      <c r="K66" s="56">
        <f t="shared" si="1"/>
        <v>0</v>
      </c>
      <c r="M66" s="196" t="str">
        <f t="shared" si="2"/>
        <v>2100/120Salaries</v>
      </c>
      <c r="N66" s="78"/>
      <c r="P66" s="79"/>
      <c r="Q66" s="59"/>
      <c r="R66" s="34"/>
    </row>
    <row r="67" spans="1:18" x14ac:dyDescent="0.2">
      <c r="A67" s="393"/>
      <c r="B67" s="62" t="s">
        <v>80</v>
      </c>
      <c r="C67" s="394" t="s">
        <v>81</v>
      </c>
      <c r="D67" s="435"/>
      <c r="E67" s="434"/>
      <c r="F67" s="87"/>
      <c r="G67" s="55">
        <f>SUMIF(JournalsA!D$14:D$920,TrialBalanceA!M67,JournalsA!J$14:J$920)+SUMIF(JournalsA!E$14:E$920,TrialBalanceA!M67,JournalsA!J$14:J$920)</f>
        <v>0</v>
      </c>
      <c r="H67" s="442"/>
      <c r="I67" s="410">
        <f t="shared" si="9"/>
        <v>0</v>
      </c>
      <c r="J67" s="83"/>
      <c r="K67" s="56">
        <f t="shared" si="1"/>
        <v>0</v>
      </c>
      <c r="M67" s="196" t="str">
        <f t="shared" si="2"/>
        <v>2100/121UIF - Employer</v>
      </c>
      <c r="N67" s="78"/>
      <c r="P67" s="79"/>
      <c r="Q67" s="59"/>
      <c r="R67" s="34"/>
    </row>
    <row r="68" spans="1:18" x14ac:dyDescent="0.2">
      <c r="A68" s="393"/>
      <c r="B68" s="62" t="s">
        <v>82</v>
      </c>
      <c r="C68" s="394" t="s">
        <v>83</v>
      </c>
      <c r="D68" s="435"/>
      <c r="E68" s="434"/>
      <c r="F68" s="87"/>
      <c r="G68" s="55">
        <f>SUMIF(JournalsA!D$14:D$920,TrialBalanceA!M68,JournalsA!J$14:J$920)+SUMIF(JournalsA!E$14:E$920,TrialBalanceA!M68,JournalsA!J$14:J$920)</f>
        <v>0</v>
      </c>
      <c r="H68" s="442"/>
      <c r="I68" s="410">
        <f t="shared" si="9"/>
        <v>0</v>
      </c>
      <c r="J68" s="83"/>
      <c r="K68" s="56">
        <f t="shared" si="1"/>
        <v>0</v>
      </c>
      <c r="M68" s="196" t="str">
        <f t="shared" si="2"/>
        <v>2100/122Casual wages</v>
      </c>
      <c r="N68" s="78"/>
      <c r="P68" s="79"/>
      <c r="Q68" s="59"/>
      <c r="R68" s="34"/>
    </row>
    <row r="69" spans="1:18" x14ac:dyDescent="0.2">
      <c r="A69" s="393"/>
      <c r="B69" s="62" t="s">
        <v>84</v>
      </c>
      <c r="C69" s="394" t="s">
        <v>85</v>
      </c>
      <c r="D69" s="435"/>
      <c r="E69" s="434"/>
      <c r="F69" s="87"/>
      <c r="G69" s="55">
        <f>SUMIF(JournalsA!D$14:D$920,TrialBalanceA!M69,JournalsA!J$14:J$920)+SUMIF(JournalsA!E$14:E$920,TrialBalanceA!M69,JournalsA!J$14:J$920)</f>
        <v>0</v>
      </c>
      <c r="H69" s="442"/>
      <c r="I69" s="410">
        <f t="shared" si="9"/>
        <v>0</v>
      </c>
      <c r="J69" s="83"/>
      <c r="K69" s="56">
        <f t="shared" si="1"/>
        <v>0</v>
      </c>
      <c r="M69" s="196" t="str">
        <f t="shared" si="2"/>
        <v>2100/130Telephone</v>
      </c>
      <c r="N69" s="78"/>
      <c r="P69" s="79"/>
      <c r="Q69" s="59"/>
      <c r="R69" s="34"/>
    </row>
    <row r="70" spans="1:18" x14ac:dyDescent="0.2">
      <c r="A70" s="393"/>
      <c r="B70" s="62" t="s">
        <v>86</v>
      </c>
      <c r="C70" s="394" t="s">
        <v>519</v>
      </c>
      <c r="D70" s="435"/>
      <c r="E70" s="434"/>
      <c r="F70" s="87"/>
      <c r="G70" s="55">
        <f>SUMIF(JournalsA!D$14:D$920,TrialBalanceA!M70,JournalsA!J$14:J$920)+SUMIF(JournalsA!E$14:E$920,TrialBalanceA!M70,JournalsA!J$14:J$920)</f>
        <v>0</v>
      </c>
      <c r="H70" s="442"/>
      <c r="I70" s="410">
        <f t="shared" si="9"/>
        <v>0</v>
      </c>
      <c r="J70" s="83"/>
      <c r="K70" s="56">
        <f t="shared" si="1"/>
        <v>0</v>
      </c>
      <c r="M70" s="196" t="str">
        <f t="shared" si="2"/>
        <v>2100/135Postage and courier</v>
      </c>
      <c r="N70" s="78"/>
      <c r="P70" s="79"/>
      <c r="Q70" s="59"/>
      <c r="R70" s="34"/>
    </row>
    <row r="71" spans="1:18" x14ac:dyDescent="0.2">
      <c r="A71" s="393"/>
      <c r="B71" s="62" t="s">
        <v>87</v>
      </c>
      <c r="C71" s="394" t="s">
        <v>287</v>
      </c>
      <c r="D71" s="435"/>
      <c r="E71" s="434"/>
      <c r="F71" s="87"/>
      <c r="G71" s="55">
        <f>SUMIF(JournalsA!D$14:D$920,TrialBalanceA!M71,JournalsA!J$14:J$920)+SUMIF(JournalsA!E$14:E$920,TrialBalanceA!M71,JournalsA!J$14:J$920)</f>
        <v>0</v>
      </c>
      <c r="H71" s="442"/>
      <c r="I71" s="410">
        <f t="shared" si="9"/>
        <v>0</v>
      </c>
      <c r="J71" s="83"/>
      <c r="K71" s="56">
        <f t="shared" si="1"/>
        <v>0</v>
      </c>
      <c r="M71" s="196" t="str">
        <f t="shared" si="2"/>
        <v>2100/140Training</v>
      </c>
      <c r="N71" s="78"/>
      <c r="P71" s="79"/>
      <c r="Q71" s="59"/>
      <c r="R71" s="34"/>
    </row>
    <row r="72" spans="1:18" x14ac:dyDescent="0.2">
      <c r="A72" s="393"/>
      <c r="B72" s="62" t="s">
        <v>88</v>
      </c>
      <c r="C72" s="395" t="s">
        <v>976</v>
      </c>
      <c r="D72" s="427"/>
      <c r="E72" s="434"/>
      <c r="F72" s="87"/>
      <c r="G72" s="55">
        <f>SUMIF(JournalsA!D$14:D$920,TrialBalanceA!M72,JournalsA!J$14:J$920)+SUMIF(JournalsA!E$14:E$920,TrialBalanceA!M72,JournalsA!J$14:J$920)</f>
        <v>0</v>
      </c>
      <c r="H72" s="442"/>
      <c r="I72" s="410">
        <f t="shared" si="9"/>
        <v>0</v>
      </c>
      <c r="J72" s="83"/>
      <c r="K72" s="56">
        <f t="shared" si="1"/>
        <v>0</v>
      </c>
      <c r="M72" s="196" t="str">
        <f t="shared" si="2"/>
        <v>2100/150Traveling and accommodation</v>
      </c>
      <c r="N72" s="78"/>
      <c r="P72" s="79"/>
      <c r="Q72" s="59"/>
      <c r="R72" s="34"/>
    </row>
    <row r="73" spans="1:18" x14ac:dyDescent="0.2">
      <c r="A73" s="393"/>
      <c r="B73" s="113" t="s">
        <v>674</v>
      </c>
      <c r="C73" s="429"/>
      <c r="D73" s="434"/>
      <c r="E73" s="434"/>
      <c r="F73" s="87"/>
      <c r="G73" s="55">
        <f>SUMIF(JournalsA!D$14:D$920,TrialBalanceA!M73,JournalsA!J$14:J$920)+SUMIF(JournalsA!E$14:E$920,TrialBalanceA!M73,JournalsA!J$14:J$920)</f>
        <v>0</v>
      </c>
      <c r="H73" s="442"/>
      <c r="I73" s="410">
        <f t="shared" si="9"/>
        <v>0</v>
      </c>
      <c r="J73" s="83"/>
      <c r="K73" s="56">
        <f t="shared" si="1"/>
        <v>0</v>
      </c>
      <c r="M73" s="196" t="str">
        <f t="shared" si="2"/>
        <v>2150/001</v>
      </c>
      <c r="N73" s="78"/>
      <c r="P73" s="79"/>
      <c r="Q73" s="59"/>
      <c r="R73" s="34"/>
    </row>
    <row r="74" spans="1:18" x14ac:dyDescent="0.2">
      <c r="A74" s="393"/>
      <c r="B74" s="113" t="s">
        <v>675</v>
      </c>
      <c r="C74" s="429"/>
      <c r="D74" s="434"/>
      <c r="E74" s="434"/>
      <c r="F74" s="87"/>
      <c r="G74" s="55">
        <f>SUMIF(JournalsA!D$14:D$920,TrialBalanceA!M74,JournalsA!J$14:J$920)+SUMIF(JournalsA!E$14:E$920,TrialBalanceA!M74,JournalsA!J$14:J$920)</f>
        <v>0</v>
      </c>
      <c r="H74" s="442"/>
      <c r="I74" s="410">
        <f t="shared" ref="I74:I102" si="13">ROUND(D74-E74+G74+F74,0)</f>
        <v>0</v>
      </c>
      <c r="J74" s="83"/>
      <c r="K74" s="56">
        <f t="shared" ref="K74:K138" si="14">ROUND(SUM(A74),0)</f>
        <v>0</v>
      </c>
      <c r="M74" s="196" t="str">
        <f t="shared" ref="M74:M138" si="15">CONCATENATE(B74,C74)</f>
        <v>2150/002</v>
      </c>
      <c r="N74" s="78"/>
      <c r="P74" s="79"/>
      <c r="Q74" s="59"/>
      <c r="R74" s="34"/>
    </row>
    <row r="75" spans="1:18" x14ac:dyDescent="0.2">
      <c r="A75" s="393"/>
      <c r="B75" s="113" t="s">
        <v>676</v>
      </c>
      <c r="C75" s="429"/>
      <c r="D75" s="434"/>
      <c r="E75" s="434"/>
      <c r="F75" s="87"/>
      <c r="G75" s="55">
        <f>SUMIF(JournalsA!D$14:D$920,TrialBalanceA!M75,JournalsA!J$14:J$920)+SUMIF(JournalsA!E$14:E$920,TrialBalanceA!M75,JournalsA!J$14:J$920)</f>
        <v>0</v>
      </c>
      <c r="H75" s="442"/>
      <c r="I75" s="410">
        <f t="shared" si="13"/>
        <v>0</v>
      </c>
      <c r="J75" s="83"/>
      <c r="K75" s="56">
        <f t="shared" si="14"/>
        <v>0</v>
      </c>
      <c r="M75" s="196" t="str">
        <f t="shared" si="15"/>
        <v>2150/003</v>
      </c>
      <c r="N75" s="78"/>
      <c r="P75" s="79"/>
      <c r="Q75" s="59"/>
      <c r="R75" s="34"/>
    </row>
    <row r="76" spans="1:18" x14ac:dyDescent="0.2">
      <c r="A76" s="393"/>
      <c r="B76" s="113" t="s">
        <v>677</v>
      </c>
      <c r="C76" s="429"/>
      <c r="D76" s="434"/>
      <c r="E76" s="434"/>
      <c r="F76" s="87"/>
      <c r="G76" s="55">
        <f>SUMIF(JournalsA!D$14:D$920,TrialBalanceA!M76,JournalsA!J$14:J$920)+SUMIF(JournalsA!E$14:E$920,TrialBalanceA!M76,JournalsA!J$14:J$920)</f>
        <v>0</v>
      </c>
      <c r="H76" s="442"/>
      <c r="I76" s="410">
        <f t="shared" si="13"/>
        <v>0</v>
      </c>
      <c r="J76" s="83"/>
      <c r="K76" s="56">
        <f t="shared" si="14"/>
        <v>0</v>
      </c>
      <c r="M76" s="196" t="str">
        <f t="shared" si="15"/>
        <v>2150/004</v>
      </c>
      <c r="N76" s="78"/>
      <c r="P76" s="79"/>
      <c r="Q76" s="59"/>
      <c r="R76" s="34"/>
    </row>
    <row r="77" spans="1:18" x14ac:dyDescent="0.2">
      <c r="A77" s="393"/>
      <c r="B77" s="113" t="s">
        <v>678</v>
      </c>
      <c r="C77" s="429"/>
      <c r="D77" s="434"/>
      <c r="E77" s="434"/>
      <c r="F77" s="87"/>
      <c r="G77" s="55">
        <f>SUMIF(JournalsA!D$14:D$920,TrialBalanceA!M77,JournalsA!J$14:J$920)+SUMIF(JournalsA!E$14:E$920,TrialBalanceA!M77,JournalsA!J$14:J$920)</f>
        <v>0</v>
      </c>
      <c r="H77" s="442"/>
      <c r="I77" s="410">
        <f t="shared" si="13"/>
        <v>0</v>
      </c>
      <c r="J77" s="83"/>
      <c r="K77" s="56">
        <f t="shared" si="14"/>
        <v>0</v>
      </c>
      <c r="M77" s="196" t="str">
        <f t="shared" si="15"/>
        <v>2150/005</v>
      </c>
      <c r="N77" s="78"/>
      <c r="P77" s="79"/>
      <c r="Q77" s="59"/>
      <c r="R77" s="34"/>
    </row>
    <row r="78" spans="1:18" x14ac:dyDescent="0.2">
      <c r="A78" s="393"/>
      <c r="B78" s="113" t="s">
        <v>679</v>
      </c>
      <c r="C78" s="431"/>
      <c r="D78" s="439"/>
      <c r="E78" s="434"/>
      <c r="F78" s="87"/>
      <c r="G78" s="55">
        <f>SUMIF(JournalsA!D$14:D$920,TrialBalanceA!M78,JournalsA!J$14:J$920)+SUMIF(JournalsA!E$14:E$920,TrialBalanceA!M78,JournalsA!J$14:J$920)</f>
        <v>0</v>
      </c>
      <c r="H78" s="442"/>
      <c r="I78" s="410">
        <f t="shared" si="13"/>
        <v>0</v>
      </c>
      <c r="J78" s="83"/>
      <c r="K78" s="56">
        <f t="shared" si="14"/>
        <v>0</v>
      </c>
      <c r="M78" s="196" t="str">
        <f t="shared" si="15"/>
        <v>2150/006</v>
      </c>
      <c r="N78" s="78"/>
      <c r="P78" s="79"/>
      <c r="Q78" s="59"/>
      <c r="R78" s="34"/>
    </row>
    <row r="79" spans="1:18" x14ac:dyDescent="0.2">
      <c r="A79" s="393"/>
      <c r="B79" s="113" t="s">
        <v>680</v>
      </c>
      <c r="C79" s="431"/>
      <c r="D79" s="439"/>
      <c r="E79" s="434"/>
      <c r="F79" s="87"/>
      <c r="G79" s="55">
        <f>SUMIF(JournalsA!D$14:D$920,TrialBalanceA!M79,JournalsA!J$14:J$920)+SUMIF(JournalsA!E$14:E$920,TrialBalanceA!M79,JournalsA!J$14:J$920)</f>
        <v>0</v>
      </c>
      <c r="H79" s="442"/>
      <c r="I79" s="410">
        <f t="shared" si="13"/>
        <v>0</v>
      </c>
      <c r="J79" s="83"/>
      <c r="K79" s="56">
        <f t="shared" si="14"/>
        <v>0</v>
      </c>
      <c r="M79" s="196" t="str">
        <f t="shared" si="15"/>
        <v>2150/007</v>
      </c>
      <c r="N79" s="78"/>
      <c r="P79" s="79"/>
      <c r="Q79" s="59"/>
      <c r="R79" s="34"/>
    </row>
    <row r="80" spans="1:18" x14ac:dyDescent="0.2">
      <c r="A80" s="393"/>
      <c r="B80" s="113" t="s">
        <v>681</v>
      </c>
      <c r="C80" s="429"/>
      <c r="D80" s="439"/>
      <c r="E80" s="434"/>
      <c r="F80" s="87"/>
      <c r="G80" s="55">
        <f>SUMIF(JournalsA!D$14:D$920,TrialBalanceA!M80,JournalsA!J$14:J$920)+SUMIF(JournalsA!E$14:E$920,TrialBalanceA!M80,JournalsA!J$14:J$920)</f>
        <v>0</v>
      </c>
      <c r="H80" s="442"/>
      <c r="I80" s="410">
        <f t="shared" si="13"/>
        <v>0</v>
      </c>
      <c r="J80" s="83"/>
      <c r="K80" s="56">
        <f t="shared" si="14"/>
        <v>0</v>
      </c>
      <c r="M80" s="196" t="str">
        <f t="shared" si="15"/>
        <v>2150/008</v>
      </c>
      <c r="N80" s="78"/>
      <c r="P80" s="79"/>
      <c r="Q80" s="59"/>
      <c r="R80" s="34"/>
    </row>
    <row r="81" spans="1:18" x14ac:dyDescent="0.2">
      <c r="A81" s="393"/>
      <c r="B81" s="113" t="s">
        <v>682</v>
      </c>
      <c r="C81" s="429"/>
      <c r="D81" s="439"/>
      <c r="E81" s="434"/>
      <c r="F81" s="87"/>
      <c r="G81" s="55">
        <f>SUMIF(JournalsA!D$14:D$920,TrialBalanceA!M81,JournalsA!J$14:J$920)+SUMIF(JournalsA!E$14:E$920,TrialBalanceA!M81,JournalsA!J$14:J$920)</f>
        <v>0</v>
      </c>
      <c r="H81" s="442"/>
      <c r="I81" s="410">
        <f t="shared" si="13"/>
        <v>0</v>
      </c>
      <c r="J81" s="83"/>
      <c r="K81" s="56">
        <f t="shared" si="14"/>
        <v>0</v>
      </c>
      <c r="M81" s="196" t="str">
        <f t="shared" si="15"/>
        <v>2150/009</v>
      </c>
      <c r="N81" s="78"/>
      <c r="P81" s="79"/>
      <c r="Q81" s="59"/>
      <c r="R81" s="34"/>
    </row>
    <row r="82" spans="1:18" x14ac:dyDescent="0.2">
      <c r="A82" s="393"/>
      <c r="B82" s="113" t="s">
        <v>683</v>
      </c>
      <c r="C82" s="429"/>
      <c r="D82" s="427"/>
      <c r="E82" s="434"/>
      <c r="F82" s="87"/>
      <c r="G82" s="55">
        <f>SUMIF(JournalsA!D$14:D$920,TrialBalanceA!M82,JournalsA!J$14:J$920)+SUMIF(JournalsA!E$14:E$920,TrialBalanceA!M82,JournalsA!J$14:J$920)</f>
        <v>0</v>
      </c>
      <c r="H82" s="442"/>
      <c r="I82" s="410">
        <f t="shared" si="13"/>
        <v>0</v>
      </c>
      <c r="J82" s="83"/>
      <c r="K82" s="56">
        <f t="shared" si="14"/>
        <v>0</v>
      </c>
      <c r="M82" s="196" t="str">
        <f t="shared" si="15"/>
        <v>2150/010</v>
      </c>
      <c r="N82" s="78"/>
      <c r="P82" s="79"/>
      <c r="Q82" s="59"/>
      <c r="R82" s="34"/>
    </row>
    <row r="83" spans="1:18" x14ac:dyDescent="0.2">
      <c r="A83" s="393"/>
      <c r="B83" s="62" t="s">
        <v>20</v>
      </c>
      <c r="C83" s="396" t="s">
        <v>125</v>
      </c>
      <c r="D83" s="436"/>
      <c r="E83" s="434"/>
      <c r="F83" s="87"/>
      <c r="G83" s="55">
        <f>SUMIF(JournalsA!D$14:D$920,TrialBalanceA!M83,JournalsA!J$14:J$920)+SUMIF(JournalsA!E$14:E$920,TrialBalanceA!M83,JournalsA!J$14:J$920)</f>
        <v>0</v>
      </c>
      <c r="H83" s="442"/>
      <c r="I83" s="410">
        <f t="shared" si="13"/>
        <v>0</v>
      </c>
      <c r="J83" s="83"/>
      <c r="K83" s="56">
        <f t="shared" si="14"/>
        <v>0</v>
      </c>
      <c r="M83" s="196" t="str">
        <f t="shared" si="15"/>
        <v>2500/000OTHER INCOME</v>
      </c>
      <c r="N83" s="78"/>
      <c r="P83" s="79"/>
      <c r="Q83" s="59"/>
      <c r="R83" s="34"/>
    </row>
    <row r="84" spans="1:18" x14ac:dyDescent="0.2">
      <c r="A84" s="393"/>
      <c r="B84" s="62" t="s">
        <v>397</v>
      </c>
      <c r="C84" s="395" t="s">
        <v>929</v>
      </c>
      <c r="D84" s="427"/>
      <c r="E84" s="434"/>
      <c r="F84" s="87"/>
      <c r="G84" s="55">
        <f>SUMIF(JournalsA!D$14:D$920,TrialBalanceA!M84,JournalsA!J$14:J$920)+SUMIF(JournalsA!E$14:E$920,TrialBalanceA!M84,JournalsA!J$14:J$920)</f>
        <v>0</v>
      </c>
      <c r="H84" s="442"/>
      <c r="I84" s="410">
        <f t="shared" si="13"/>
        <v>0</v>
      </c>
      <c r="J84" s="83"/>
      <c r="K84" s="56">
        <f t="shared" si="14"/>
        <v>0</v>
      </c>
      <c r="M84" s="196" t="str">
        <f t="shared" si="15"/>
        <v>2710/000Rent received (not main income)</v>
      </c>
      <c r="N84" s="78"/>
      <c r="P84" s="79"/>
      <c r="Q84" s="59"/>
      <c r="R84" s="34"/>
    </row>
    <row r="85" spans="1:18" x14ac:dyDescent="0.2">
      <c r="A85" s="393"/>
      <c r="B85" s="62" t="s">
        <v>89</v>
      </c>
      <c r="C85" s="396" t="s">
        <v>935</v>
      </c>
      <c r="D85" s="436"/>
      <c r="E85" s="434"/>
      <c r="F85" s="87"/>
      <c r="G85" s="55">
        <f>SUMIF(JournalsA!D$14:D$920,TrialBalanceA!M85,JournalsA!J$14:J$920)+SUMIF(JournalsA!E$14:E$920,TrialBalanceA!M85,JournalsA!J$14:J$920)</f>
        <v>0</v>
      </c>
      <c r="H85" s="442"/>
      <c r="I85" s="410">
        <f t="shared" si="13"/>
        <v>0</v>
      </c>
      <c r="J85" s="83"/>
      <c r="K85" s="56">
        <f t="shared" si="14"/>
        <v>0</v>
      </c>
      <c r="M85" s="196" t="str">
        <f t="shared" si="15"/>
        <v>2750/000Interest received-----------------------</v>
      </c>
      <c r="N85" s="78"/>
      <c r="P85" s="79"/>
      <c r="Q85" s="59"/>
      <c r="R85" s="34"/>
    </row>
    <row r="86" spans="1:18" x14ac:dyDescent="0.2">
      <c r="A86" s="393"/>
      <c r="B86" s="62" t="s">
        <v>90</v>
      </c>
      <c r="C86" s="429"/>
      <c r="D86" s="439"/>
      <c r="E86" s="434"/>
      <c r="F86" s="87"/>
      <c r="G86" s="55">
        <f>SUMIF(JournalsA!D$14:D$920,TrialBalanceA!M86,JournalsA!J$14:J$920)+SUMIF(JournalsA!E$14:E$920,TrialBalanceA!M86,JournalsA!J$14:J$920)</f>
        <v>0</v>
      </c>
      <c r="H86" s="442"/>
      <c r="I86" s="410">
        <f t="shared" si="13"/>
        <v>0</v>
      </c>
      <c r="J86" s="83"/>
      <c r="K86" s="56">
        <f t="shared" si="14"/>
        <v>0</v>
      </c>
      <c r="M86" s="196" t="str">
        <f t="shared" si="15"/>
        <v>2750/001</v>
      </c>
      <c r="N86" s="78"/>
      <c r="P86" s="79"/>
      <c r="Q86" s="59"/>
      <c r="R86" s="34"/>
    </row>
    <row r="87" spans="1:18" x14ac:dyDescent="0.2">
      <c r="A87" s="393"/>
      <c r="B87" s="62" t="s">
        <v>91</v>
      </c>
      <c r="C87" s="431"/>
      <c r="D87" s="439"/>
      <c r="E87" s="434"/>
      <c r="F87" s="87"/>
      <c r="G87" s="55">
        <f>SUMIF(JournalsA!D$14:D$920,TrialBalanceA!M87,JournalsA!J$14:J$920)+SUMIF(JournalsA!E$14:E$920,TrialBalanceA!M87,JournalsA!J$14:J$920)</f>
        <v>0</v>
      </c>
      <c r="H87" s="442"/>
      <c r="I87" s="410">
        <f t="shared" si="13"/>
        <v>0</v>
      </c>
      <c r="J87" s="83"/>
      <c r="K87" s="56">
        <f t="shared" si="14"/>
        <v>0</v>
      </c>
      <c r="M87" s="196" t="str">
        <f t="shared" si="15"/>
        <v>2750/002</v>
      </c>
      <c r="N87" s="78"/>
      <c r="P87" s="79"/>
      <c r="Q87" s="59"/>
      <c r="R87" s="34"/>
    </row>
    <row r="88" spans="1:18" x14ac:dyDescent="0.2">
      <c r="A88" s="393"/>
      <c r="B88" s="62" t="s">
        <v>92</v>
      </c>
      <c r="C88" s="432"/>
      <c r="D88" s="435"/>
      <c r="E88" s="434"/>
      <c r="F88" s="87"/>
      <c r="G88" s="55">
        <f>SUMIF(JournalsA!D$14:D$920,TrialBalanceA!M88,JournalsA!J$14:J$920)+SUMIF(JournalsA!E$14:E$920,TrialBalanceA!M88,JournalsA!J$14:J$920)</f>
        <v>0</v>
      </c>
      <c r="H88" s="442"/>
      <c r="I88" s="410">
        <f t="shared" si="13"/>
        <v>0</v>
      </c>
      <c r="J88" s="83"/>
      <c r="K88" s="56">
        <f t="shared" si="14"/>
        <v>0</v>
      </c>
      <c r="M88" s="196" t="str">
        <f t="shared" si="15"/>
        <v>2750/003</v>
      </c>
      <c r="N88" s="78"/>
      <c r="P88" s="79"/>
      <c r="Q88" s="59"/>
      <c r="R88" s="34"/>
    </row>
    <row r="89" spans="1:18" x14ac:dyDescent="0.2">
      <c r="A89" s="393"/>
      <c r="B89" s="62" t="s">
        <v>93</v>
      </c>
      <c r="C89" s="432"/>
      <c r="D89" s="435"/>
      <c r="E89" s="434"/>
      <c r="F89" s="87"/>
      <c r="G89" s="55">
        <f>SUMIF(JournalsA!D$14:D$920,TrialBalanceA!M89,JournalsA!J$14:J$920)+SUMIF(JournalsA!E$14:E$920,TrialBalanceA!M89,JournalsA!J$14:J$920)</f>
        <v>0</v>
      </c>
      <c r="H89" s="442"/>
      <c r="I89" s="410">
        <f t="shared" si="13"/>
        <v>0</v>
      </c>
      <c r="J89" s="83"/>
      <c r="K89" s="56">
        <f t="shared" si="14"/>
        <v>0</v>
      </c>
      <c r="M89" s="196" t="str">
        <f t="shared" si="15"/>
        <v>2750/004</v>
      </c>
      <c r="N89" s="78"/>
      <c r="P89" s="79"/>
      <c r="Q89" s="59"/>
      <c r="R89" s="34"/>
    </row>
    <row r="90" spans="1:18" x14ac:dyDescent="0.2">
      <c r="A90" s="393"/>
      <c r="B90" s="62" t="s">
        <v>210</v>
      </c>
      <c r="C90" s="396" t="s">
        <v>326</v>
      </c>
      <c r="D90" s="436"/>
      <c r="E90" s="434"/>
      <c r="F90" s="87"/>
      <c r="G90" s="55">
        <f>SUMIF(JournalsA!D$14:D$920,TrialBalanceA!M90,JournalsA!J$14:J$920)+SUMIF(JournalsA!E$14:E$920,TrialBalanceA!M90,JournalsA!J$14:J$920)</f>
        <v>0</v>
      </c>
      <c r="H90" s="442"/>
      <c r="I90" s="410">
        <f t="shared" si="13"/>
        <v>0</v>
      </c>
      <c r="J90" s="83"/>
      <c r="K90" s="56">
        <f t="shared" si="14"/>
        <v>0</v>
      </c>
      <c r="M90" s="196" t="str">
        <f t="shared" si="15"/>
        <v>2800/000Dividends received----------------------</v>
      </c>
      <c r="N90" s="78"/>
      <c r="P90" s="79"/>
      <c r="Q90" s="59"/>
      <c r="R90" s="34"/>
    </row>
    <row r="91" spans="1:18" x14ac:dyDescent="0.2">
      <c r="A91" s="393"/>
      <c r="B91" s="62" t="s">
        <v>327</v>
      </c>
      <c r="C91" s="397" t="s">
        <v>856</v>
      </c>
      <c r="D91" s="435"/>
      <c r="E91" s="434"/>
      <c r="F91" s="87"/>
      <c r="G91" s="55">
        <f>SUMIF(JournalsA!D$14:D$920,TrialBalanceA!M91,JournalsA!J$14:J$920)+SUMIF(JournalsA!E$14:E$920,TrialBalanceA!M91,JournalsA!J$14:J$920)</f>
        <v>0</v>
      </c>
      <c r="H91" s="442"/>
      <c r="I91" s="410">
        <f t="shared" si="13"/>
        <v>0</v>
      </c>
      <c r="J91" s="83"/>
      <c r="K91" s="56">
        <f t="shared" si="14"/>
        <v>0</v>
      </c>
      <c r="M91" s="196" t="str">
        <f t="shared" si="15"/>
        <v>2800/001Div.'s received - SA sources</v>
      </c>
      <c r="N91" s="78"/>
      <c r="P91" s="79"/>
      <c r="Q91" s="59"/>
      <c r="R91" s="34"/>
    </row>
    <row r="92" spans="1:18" x14ac:dyDescent="0.2">
      <c r="A92" s="393"/>
      <c r="B92" s="62" t="s">
        <v>220</v>
      </c>
      <c r="C92" s="397" t="s">
        <v>1205</v>
      </c>
      <c r="D92" s="435"/>
      <c r="E92" s="434"/>
      <c r="F92" s="87"/>
      <c r="G92" s="55">
        <f>SUMIF(JournalsA!D$14:D$920,TrialBalanceA!M92,JournalsA!J$14:J$920)+SUMIF(JournalsA!E$14:E$920,TrialBalanceA!M92,JournalsA!J$14:J$920)</f>
        <v>0</v>
      </c>
      <c r="H92" s="442"/>
      <c r="I92" s="410">
        <f t="shared" ref="I92" si="16">ROUND(D92-E92+G92+F92,0)</f>
        <v>0</v>
      </c>
      <c r="J92" s="83"/>
      <c r="K92" s="56">
        <f t="shared" ref="K92" si="17">ROUND(SUM(A92),0)</f>
        <v>0</v>
      </c>
      <c r="M92" s="196" t="str">
        <f t="shared" ref="M92" si="18">CONCATENATE(B92,C92)</f>
        <v>2800/002Div.'s received - Associates</v>
      </c>
      <c r="N92" s="78"/>
      <c r="P92" s="79"/>
      <c r="Q92" s="59"/>
      <c r="R92" s="34"/>
    </row>
    <row r="93" spans="1:18" x14ac:dyDescent="0.2">
      <c r="A93" s="393"/>
      <c r="B93" s="113" t="s">
        <v>1204</v>
      </c>
      <c r="C93" s="397" t="s">
        <v>857</v>
      </c>
      <c r="D93" s="435"/>
      <c r="E93" s="434"/>
      <c r="F93" s="87"/>
      <c r="G93" s="55">
        <f>SUMIF(JournalsA!D$14:D$920,TrialBalanceA!M93,JournalsA!J$14:J$920)+SUMIF(JournalsA!E$14:E$920,TrialBalanceA!M93,JournalsA!J$14:J$920)</f>
        <v>0</v>
      </c>
      <c r="H93" s="442"/>
      <c r="I93" s="410">
        <f t="shared" si="13"/>
        <v>0</v>
      </c>
      <c r="J93" s="83"/>
      <c r="K93" s="56">
        <f t="shared" si="14"/>
        <v>0</v>
      </c>
      <c r="M93" s="196" t="str">
        <f t="shared" si="15"/>
        <v>2800/003Div.'s received - Foreign div.'s</v>
      </c>
      <c r="N93" s="78"/>
      <c r="P93" s="79"/>
      <c r="Q93" s="59"/>
      <c r="R93" s="34"/>
    </row>
    <row r="94" spans="1:18" x14ac:dyDescent="0.2">
      <c r="A94" s="393"/>
      <c r="B94" s="62" t="s">
        <v>221</v>
      </c>
      <c r="C94" s="397" t="s">
        <v>721</v>
      </c>
      <c r="D94" s="437"/>
      <c r="E94" s="434"/>
      <c r="F94" s="87"/>
      <c r="G94" s="55">
        <f>SUMIF(JournalsA!D$14:D$920,TrialBalanceA!M94,JournalsA!J$14:J$920)+SUMIF(JournalsA!E$14:E$920,TrialBalanceA!M94,JournalsA!J$14:J$920)</f>
        <v>0</v>
      </c>
      <c r="H94" s="442"/>
      <c r="I94" s="410">
        <f t="shared" si="13"/>
        <v>0</v>
      </c>
      <c r="J94" s="83"/>
      <c r="K94" s="56">
        <f t="shared" si="14"/>
        <v>0</v>
      </c>
      <c r="M94" s="196" t="str">
        <f t="shared" si="15"/>
        <v>2810/000(Profit)/Loss on sale of fixed assets</v>
      </c>
      <c r="N94" s="78"/>
      <c r="P94" s="79"/>
      <c r="Q94" s="59"/>
      <c r="R94" s="34"/>
    </row>
    <row r="95" spans="1:18" x14ac:dyDescent="0.2">
      <c r="A95" s="393"/>
      <c r="B95" s="62" t="s">
        <v>222</v>
      </c>
      <c r="C95" s="394" t="s">
        <v>223</v>
      </c>
      <c r="D95" s="435"/>
      <c r="E95" s="434"/>
      <c r="F95" s="87"/>
      <c r="G95" s="55">
        <f>SUMIF(JournalsA!D$14:D$920,TrialBalanceA!M95,JournalsA!J$14:J$920)+SUMIF(JournalsA!E$14:E$920,TrialBalanceA!M95,JournalsA!J$14:J$920)</f>
        <v>0</v>
      </c>
      <c r="H95" s="442"/>
      <c r="I95" s="410">
        <f t="shared" si="13"/>
        <v>0</v>
      </c>
      <c r="J95" s="83"/>
      <c r="K95" s="56">
        <f t="shared" si="14"/>
        <v>0</v>
      </c>
      <c r="M95" s="196" t="str">
        <f t="shared" si="15"/>
        <v>2820/000Bad debts recovered</v>
      </c>
      <c r="N95" s="78"/>
      <c r="P95" s="79"/>
      <c r="Q95" s="59"/>
      <c r="R95" s="34"/>
    </row>
    <row r="96" spans="1:18" x14ac:dyDescent="0.2">
      <c r="A96" s="393"/>
      <c r="B96" s="62" t="s">
        <v>224</v>
      </c>
      <c r="C96" s="394" t="s">
        <v>225</v>
      </c>
      <c r="D96" s="435"/>
      <c r="E96" s="434"/>
      <c r="F96" s="87"/>
      <c r="G96" s="55">
        <f>SUMIF(JournalsA!D$14:D$920,TrialBalanceA!M96,JournalsA!J$14:J$920)+SUMIF(JournalsA!E$14:E$920,TrialBalanceA!M96,JournalsA!J$14:J$920)</f>
        <v>0</v>
      </c>
      <c r="H96" s="442"/>
      <c r="I96" s="410">
        <f t="shared" si="13"/>
        <v>0</v>
      </c>
      <c r="J96" s="83"/>
      <c r="K96" s="56">
        <f t="shared" si="14"/>
        <v>0</v>
      </c>
      <c r="M96" s="196" t="str">
        <f t="shared" si="15"/>
        <v>2830/000Other income</v>
      </c>
      <c r="N96" s="78"/>
      <c r="P96" s="59"/>
      <c r="Q96" s="59"/>
      <c r="R96" s="34"/>
    </row>
    <row r="97" spans="1:18" x14ac:dyDescent="0.2">
      <c r="A97" s="393"/>
      <c r="B97" s="113" t="s">
        <v>1310</v>
      </c>
      <c r="C97" s="397" t="s">
        <v>1311</v>
      </c>
      <c r="D97" s="435"/>
      <c r="E97" s="434"/>
      <c r="F97" s="87"/>
      <c r="G97" s="55">
        <f>SUMIF(JournalsA!D$14:D$920,TrialBalanceA!M97,JournalsA!J$14:J$920)+SUMIF(JournalsA!E$14:E$920,TrialBalanceA!M97,JournalsA!J$14:J$920)</f>
        <v>0</v>
      </c>
      <c r="H97" s="442"/>
      <c r="I97" s="410">
        <f t="shared" ref="I97" si="19">ROUND(D97-E97+G97+F97,0)</f>
        <v>0</v>
      </c>
      <c r="J97" s="83"/>
      <c r="K97" s="56">
        <f t="shared" ref="K97" si="20">ROUND(SUM(A97),0)</f>
        <v>0</v>
      </c>
      <c r="M97" s="196" t="str">
        <f t="shared" ref="M97" si="21">CONCATENATE(B97,C97)</f>
        <v>2840/000Revaluation of investment property</v>
      </c>
      <c r="N97" s="78"/>
      <c r="P97" s="59"/>
      <c r="Q97" s="59"/>
      <c r="R97" s="34"/>
    </row>
    <row r="98" spans="1:18" x14ac:dyDescent="0.2">
      <c r="A98" s="393"/>
      <c r="B98" s="62" t="s">
        <v>226</v>
      </c>
      <c r="C98" s="396" t="s">
        <v>1192</v>
      </c>
      <c r="D98" s="436"/>
      <c r="E98" s="434"/>
      <c r="F98" s="87"/>
      <c r="G98" s="55">
        <f>SUMIF(JournalsA!D$14:D$920,TrialBalanceA!M98,JournalsA!J$14:J$920)+SUMIF(JournalsA!E$14:E$920,TrialBalanceA!M98,JournalsA!J$14:J$920)</f>
        <v>0</v>
      </c>
      <c r="H98" s="442"/>
      <c r="I98" s="410">
        <f t="shared" si="13"/>
        <v>0</v>
      </c>
      <c r="J98" s="83"/>
      <c r="K98" s="56">
        <f t="shared" si="14"/>
        <v>0</v>
      </c>
      <c r="M98" s="196" t="str">
        <f t="shared" si="15"/>
        <v>3000/000ADMINISTRATIVE EXPENSES</v>
      </c>
      <c r="N98" s="78"/>
      <c r="P98" s="79"/>
      <c r="Q98" s="59"/>
      <c r="R98" s="34"/>
    </row>
    <row r="99" spans="1:18" x14ac:dyDescent="0.2">
      <c r="A99" s="393"/>
      <c r="B99" s="62" t="s">
        <v>227</v>
      </c>
      <c r="C99" s="394" t="s">
        <v>228</v>
      </c>
      <c r="D99" s="435"/>
      <c r="E99" s="434"/>
      <c r="F99" s="87"/>
      <c r="G99" s="55">
        <f>SUMIF(JournalsA!D$14:D$920,TrialBalanceA!M99,JournalsA!J$14:J$920)+SUMIF(JournalsA!E$14:E$920,TrialBalanceA!M99,JournalsA!J$14:J$920)</f>
        <v>0</v>
      </c>
      <c r="H99" s="442"/>
      <c r="I99" s="410">
        <f t="shared" si="13"/>
        <v>0</v>
      </c>
      <c r="J99" s="83"/>
      <c r="K99" s="56">
        <f t="shared" si="14"/>
        <v>0</v>
      </c>
      <c r="M99" s="196" t="str">
        <f t="shared" si="15"/>
        <v>3000/011Audit fees for current year</v>
      </c>
      <c r="N99" s="78"/>
      <c r="P99" s="59"/>
      <c r="Q99" s="59"/>
      <c r="R99" s="34"/>
    </row>
    <row r="100" spans="1:18" x14ac:dyDescent="0.2">
      <c r="A100" s="393"/>
      <c r="B100" s="62" t="s">
        <v>229</v>
      </c>
      <c r="C100" s="401" t="s">
        <v>386</v>
      </c>
      <c r="D100" s="427"/>
      <c r="E100" s="434"/>
      <c r="F100" s="87"/>
      <c r="G100" s="55">
        <f>SUMIF(JournalsA!D$14:D$920,TrialBalanceA!M100,JournalsA!J$14:J$920)+SUMIF(JournalsA!E$14:E$920,TrialBalanceA!M100,JournalsA!J$14:J$920)</f>
        <v>0</v>
      </c>
      <c r="H100" s="442"/>
      <c r="I100" s="410">
        <f t="shared" si="13"/>
        <v>0</v>
      </c>
      <c r="J100" s="83"/>
      <c r="K100" s="56">
        <f t="shared" si="14"/>
        <v>0</v>
      </c>
      <c r="M100" s="196" t="str">
        <f t="shared" si="15"/>
        <v>3000/012Under provision previous year</v>
      </c>
      <c r="N100" s="78"/>
      <c r="P100" s="79"/>
      <c r="Q100" s="59"/>
      <c r="R100" s="34"/>
    </row>
    <row r="101" spans="1:18" x14ac:dyDescent="0.2">
      <c r="A101" s="393"/>
      <c r="B101" s="62" t="s">
        <v>230</v>
      </c>
      <c r="C101" s="394" t="s">
        <v>231</v>
      </c>
      <c r="D101" s="435"/>
      <c r="E101" s="434"/>
      <c r="F101" s="87"/>
      <c r="G101" s="55">
        <f>SUMIF(JournalsA!D$14:D$920,TrialBalanceA!M101,JournalsA!J$14:J$920)+SUMIF(JournalsA!E$14:E$920,TrialBalanceA!M101,JournalsA!J$14:J$920)</f>
        <v>0</v>
      </c>
      <c r="H101" s="442"/>
      <c r="I101" s="410">
        <f t="shared" si="13"/>
        <v>0</v>
      </c>
      <c r="J101" s="83"/>
      <c r="K101" s="56">
        <f t="shared" si="14"/>
        <v>0</v>
      </c>
      <c r="M101" s="196" t="str">
        <f t="shared" si="15"/>
        <v>3000/013Overprovision previous year</v>
      </c>
      <c r="N101" s="78"/>
      <c r="P101" s="79"/>
      <c r="Q101" s="59"/>
      <c r="R101" s="34"/>
    </row>
    <row r="102" spans="1:18" x14ac:dyDescent="0.2">
      <c r="A102" s="393"/>
      <c r="B102" s="62" t="s">
        <v>232</v>
      </c>
      <c r="C102" s="394" t="s">
        <v>233</v>
      </c>
      <c r="D102" s="435"/>
      <c r="E102" s="434"/>
      <c r="F102" s="87"/>
      <c r="G102" s="55">
        <f>SUMIF(JournalsA!D$14:D$920,TrialBalanceA!M102,JournalsA!J$14:J$920)+SUMIF(JournalsA!E$14:E$920,TrialBalanceA!M102,JournalsA!J$14:J$920)</f>
        <v>0</v>
      </c>
      <c r="H102" s="442"/>
      <c r="I102" s="410">
        <f t="shared" si="13"/>
        <v>0</v>
      </c>
      <c r="J102" s="83"/>
      <c r="K102" s="56">
        <f t="shared" si="14"/>
        <v>0</v>
      </c>
      <c r="M102" s="196" t="str">
        <f t="shared" si="15"/>
        <v>3000/014Accounting fees</v>
      </c>
      <c r="N102" s="78"/>
      <c r="P102" s="79"/>
      <c r="Q102" s="59"/>
      <c r="R102" s="34"/>
    </row>
    <row r="103" spans="1:18" x14ac:dyDescent="0.2">
      <c r="A103" s="393"/>
      <c r="B103" s="62" t="s">
        <v>234</v>
      </c>
      <c r="C103" s="394" t="s">
        <v>235</v>
      </c>
      <c r="D103" s="435"/>
      <c r="E103" s="434"/>
      <c r="F103" s="87"/>
      <c r="G103" s="55">
        <f>SUMIF(JournalsA!D$14:D$920,TrialBalanceA!M103,JournalsA!J$14:J$920)+SUMIF(JournalsA!E$14:E$920,TrialBalanceA!M103,JournalsA!J$14:J$920)</f>
        <v>0</v>
      </c>
      <c r="H103" s="442"/>
      <c r="I103" s="410">
        <f>ROUND(D103-E103+G103+F103,0)</f>
        <v>0</v>
      </c>
      <c r="J103" s="83"/>
      <c r="K103" s="56">
        <f t="shared" si="14"/>
        <v>0</v>
      </c>
      <c r="M103" s="196" t="str">
        <f t="shared" si="15"/>
        <v>3000/020Bank charges</v>
      </c>
      <c r="N103" s="78"/>
      <c r="P103" s="79"/>
      <c r="Q103" s="59"/>
      <c r="R103" s="34"/>
    </row>
    <row r="104" spans="1:18" x14ac:dyDescent="0.2">
      <c r="A104" s="393"/>
      <c r="B104" s="62" t="s">
        <v>236</v>
      </c>
      <c r="C104" s="394" t="s">
        <v>237</v>
      </c>
      <c r="D104" s="435"/>
      <c r="E104" s="434"/>
      <c r="F104" s="87"/>
      <c r="G104" s="55">
        <f>SUMIF(JournalsA!D$14:D$920,TrialBalanceA!M104,JournalsA!J$14:J$920)+SUMIF(JournalsA!E$14:E$920,TrialBalanceA!M104,JournalsA!J$14:J$920)</f>
        <v>0</v>
      </c>
      <c r="H104" s="442"/>
      <c r="I104" s="410">
        <f t="shared" ref="I104:I136" si="22">ROUND(D104-E104+G104+F104,0)</f>
        <v>0</v>
      </c>
      <c r="J104" s="83"/>
      <c r="K104" s="56">
        <f t="shared" si="14"/>
        <v>0</v>
      </c>
      <c r="M104" s="196" t="str">
        <f t="shared" si="15"/>
        <v>3000/030Bad debts</v>
      </c>
      <c r="N104" s="78"/>
      <c r="P104" s="79"/>
      <c r="Q104" s="59"/>
      <c r="R104" s="34"/>
    </row>
    <row r="105" spans="1:18" x14ac:dyDescent="0.2">
      <c r="A105" s="393"/>
      <c r="B105" s="62" t="s">
        <v>238</v>
      </c>
      <c r="C105" s="394" t="s">
        <v>291</v>
      </c>
      <c r="D105" s="435"/>
      <c r="E105" s="434"/>
      <c r="F105" s="87"/>
      <c r="G105" s="55">
        <f>SUMIF(JournalsA!D$14:D$920,TrialBalanceA!M105,JournalsA!J$14:J$920)+SUMIF(JournalsA!E$14:E$920,TrialBalanceA!M105,JournalsA!J$14:J$920)</f>
        <v>0</v>
      </c>
      <c r="H105" s="442"/>
      <c r="I105" s="410">
        <f t="shared" si="22"/>
        <v>0</v>
      </c>
      <c r="J105" s="83"/>
      <c r="K105" s="56">
        <f t="shared" si="14"/>
        <v>0</v>
      </c>
      <c r="M105" s="196" t="str">
        <f t="shared" si="15"/>
        <v>3000/040Cleaning</v>
      </c>
      <c r="N105" s="78"/>
      <c r="P105" s="79"/>
      <c r="Q105" s="59"/>
      <c r="R105" s="34"/>
    </row>
    <row r="106" spans="1:18" x14ac:dyDescent="0.2">
      <c r="A106" s="393"/>
      <c r="B106" s="62" t="s">
        <v>239</v>
      </c>
      <c r="C106" s="394" t="s">
        <v>240</v>
      </c>
      <c r="D106" s="435"/>
      <c r="E106" s="434"/>
      <c r="F106" s="87"/>
      <c r="G106" s="55">
        <f>SUMIF(JournalsA!D$14:D$920,TrialBalanceA!M106,JournalsA!J$14:J$920)+SUMIF(JournalsA!E$14:E$920,TrialBalanceA!M106,JournalsA!J$14:J$920)</f>
        <v>0</v>
      </c>
      <c r="H106" s="442"/>
      <c r="I106" s="410">
        <f t="shared" si="22"/>
        <v>0</v>
      </c>
      <c r="J106" s="83"/>
      <c r="K106" s="56">
        <f t="shared" si="14"/>
        <v>0</v>
      </c>
      <c r="M106" s="196" t="str">
        <f t="shared" si="15"/>
        <v>3000/050Computer expenses</v>
      </c>
      <c r="N106" s="78"/>
      <c r="P106" s="79"/>
      <c r="Q106" s="59"/>
      <c r="R106" s="34"/>
    </row>
    <row r="107" spans="1:18" x14ac:dyDescent="0.2">
      <c r="A107" s="393"/>
      <c r="B107" s="113" t="s">
        <v>780</v>
      </c>
      <c r="C107" s="397" t="s">
        <v>873</v>
      </c>
      <c r="D107" s="435"/>
      <c r="E107" s="434"/>
      <c r="F107" s="87"/>
      <c r="G107" s="55">
        <f>SUMIF(JournalsA!D$14:D$920,TrialBalanceA!M107,JournalsA!J$14:J$920)+SUMIF(JournalsA!E$14:E$920,TrialBalanceA!M107,JournalsA!J$14:J$920)</f>
        <v>0</v>
      </c>
      <c r="H107" s="442"/>
      <c r="I107" s="410">
        <f t="shared" ref="I107" si="23">ROUND(D107-E107+G107+F107,0)</f>
        <v>0</v>
      </c>
      <c r="J107" s="83"/>
      <c r="K107" s="56">
        <f t="shared" ref="K107" si="24">ROUND(SUM(A107),0)</f>
        <v>0</v>
      </c>
      <c r="M107" s="196" t="str">
        <f t="shared" ref="M107" si="25">CONCATENATE(B107,C107)</f>
        <v>3000/055Consulting and professional fees</v>
      </c>
      <c r="N107" s="78"/>
      <c r="P107" s="79"/>
      <c r="Q107" s="59"/>
      <c r="R107" s="34"/>
    </row>
    <row r="108" spans="1:18" x14ac:dyDescent="0.2">
      <c r="A108" s="393"/>
      <c r="B108" s="113" t="s">
        <v>1758</v>
      </c>
      <c r="C108" s="397" t="s">
        <v>1759</v>
      </c>
      <c r="D108" s="435"/>
      <c r="E108" s="434"/>
      <c r="F108" s="87"/>
      <c r="G108" s="55">
        <f>SUMIF(JournalsA!D$14:D$920,TrialBalanceA!M108,JournalsA!J$14:J$920)+SUMIF(JournalsA!E$14:E$920,TrialBalanceA!M108,JournalsA!J$14:J$920)</f>
        <v>0</v>
      </c>
      <c r="H108" s="442"/>
      <c r="I108" s="410">
        <f t="shared" ref="I108" si="26">ROUND(D108-E108+G108+F108,0)</f>
        <v>0</v>
      </c>
      <c r="J108" s="83"/>
      <c r="K108" s="56">
        <f t="shared" ref="K108" si="27">ROUND(SUM(A108),0)</f>
        <v>0</v>
      </c>
      <c r="M108" s="196" t="str">
        <f t="shared" ref="M108" si="28">CONCATENATE(B108,C108)</f>
        <v>3000/058Defined contribution plan expense</v>
      </c>
      <c r="N108" s="78"/>
      <c r="P108" s="79"/>
      <c r="Q108" s="59"/>
      <c r="R108" s="34"/>
    </row>
    <row r="109" spans="1:18" x14ac:dyDescent="0.2">
      <c r="A109" s="393"/>
      <c r="B109" s="62" t="s">
        <v>241</v>
      </c>
      <c r="C109" s="396" t="s">
        <v>451</v>
      </c>
      <c r="D109" s="436"/>
      <c r="E109" s="434"/>
      <c r="F109" s="87"/>
      <c r="G109" s="55">
        <f>SUMIF(JournalsA!D$14:D$920,TrialBalanceA!M109,JournalsA!J$14:J$920)+SUMIF(JournalsA!E$14:E$920,TrialBalanceA!M109,JournalsA!J$14:J$920)</f>
        <v>0</v>
      </c>
      <c r="H109" s="442"/>
      <c r="I109" s="410">
        <f t="shared" si="22"/>
        <v>0</v>
      </c>
      <c r="J109" s="83"/>
      <c r="K109" s="56">
        <f t="shared" si="14"/>
        <v>0</v>
      </c>
      <c r="M109" s="196" t="str">
        <f t="shared" si="15"/>
        <v>3000/060Depreciation----------------------------</v>
      </c>
      <c r="N109" s="78"/>
      <c r="P109" s="79"/>
      <c r="Q109" s="59"/>
      <c r="R109" s="34"/>
    </row>
    <row r="110" spans="1:18" x14ac:dyDescent="0.2">
      <c r="A110" s="393"/>
      <c r="B110" s="113" t="s">
        <v>242</v>
      </c>
      <c r="C110" s="395" t="s">
        <v>60</v>
      </c>
      <c r="D110" s="434"/>
      <c r="E110" s="434"/>
      <c r="F110" s="87"/>
      <c r="G110" s="55">
        <f>SUMIF(JournalsA!D$14:D$920,TrialBalanceA!M110,JournalsA!J$14:J$920)+SUMIF(JournalsA!E$14:E$920,TrialBalanceA!M110,JournalsA!J$14:J$920)</f>
        <v>0</v>
      </c>
      <c r="H110" s="442"/>
      <c r="I110" s="410">
        <f t="shared" si="22"/>
        <v>0</v>
      </c>
      <c r="J110" s="83"/>
      <c r="K110" s="56">
        <f t="shared" si="14"/>
        <v>0</v>
      </c>
      <c r="M110" s="196" t="str">
        <f t="shared" si="15"/>
        <v>3000/061Depr - Electronic equipment</v>
      </c>
      <c r="N110" s="78"/>
      <c r="P110" s="79"/>
      <c r="Q110" s="59"/>
      <c r="R110" s="34"/>
    </row>
    <row r="111" spans="1:18" x14ac:dyDescent="0.2">
      <c r="A111" s="393"/>
      <c r="B111" s="113" t="s">
        <v>399</v>
      </c>
      <c r="C111" s="397" t="s">
        <v>934</v>
      </c>
      <c r="D111" s="435"/>
      <c r="E111" s="434"/>
      <c r="F111" s="87"/>
      <c r="G111" s="55">
        <f>SUMIF(JournalsA!D$14:D$920,TrialBalanceA!M111,JournalsA!J$14:J$920)+SUMIF(JournalsA!E$14:E$920,TrialBalanceA!M111,JournalsA!J$14:J$920)</f>
        <v>0</v>
      </c>
      <c r="H111" s="442"/>
      <c r="I111" s="410">
        <f t="shared" si="22"/>
        <v>0</v>
      </c>
      <c r="J111" s="83"/>
      <c r="K111" s="56">
        <f t="shared" si="14"/>
        <v>0</v>
      </c>
      <c r="M111" s="196" t="str">
        <f t="shared" si="15"/>
        <v>3000/063Depr - Furniture and fittings</v>
      </c>
      <c r="N111" s="78"/>
      <c r="P111" s="79"/>
      <c r="Q111" s="59"/>
      <c r="R111" s="34"/>
    </row>
    <row r="112" spans="1:18" x14ac:dyDescent="0.2">
      <c r="A112" s="393"/>
      <c r="B112" s="62" t="s">
        <v>400</v>
      </c>
      <c r="C112" s="396" t="s">
        <v>668</v>
      </c>
      <c r="D112" s="436"/>
      <c r="E112" s="434"/>
      <c r="F112" s="87"/>
      <c r="G112" s="55">
        <f>SUMIF(JournalsA!D$14:D$920,TrialBalanceA!M112,JournalsA!J$14:J$920)+SUMIF(JournalsA!E$14:E$920,TrialBalanceA!M112,JournalsA!J$14:J$920)</f>
        <v>0</v>
      </c>
      <c r="H112" s="442"/>
      <c r="I112" s="410">
        <f t="shared" si="22"/>
        <v>0</v>
      </c>
      <c r="J112" s="83"/>
      <c r="K112" s="56">
        <f t="shared" si="14"/>
        <v>0</v>
      </c>
      <c r="M112" s="196" t="str">
        <f t="shared" si="15"/>
        <v>3000/070Directors' remuneration-----------------</v>
      </c>
      <c r="N112" s="78"/>
      <c r="P112" s="79"/>
      <c r="Q112" s="59"/>
      <c r="R112" s="34"/>
    </row>
    <row r="113" spans="1:18" x14ac:dyDescent="0.2">
      <c r="A113" s="393"/>
      <c r="B113" s="62" t="s">
        <v>401</v>
      </c>
      <c r="C113" s="429" t="str">
        <f>Criteria!E41</f>
        <v>A Director</v>
      </c>
      <c r="D113" s="434"/>
      <c r="E113" s="434"/>
      <c r="F113" s="87"/>
      <c r="G113" s="55">
        <f>SUMIF(JournalsA!D$14:D$920,TrialBalanceA!M113,JournalsA!J$14:J$920)+SUMIF(JournalsA!E$14:E$920,TrialBalanceA!M113,JournalsA!J$14:J$920)</f>
        <v>0</v>
      </c>
      <c r="H113" s="442"/>
      <c r="I113" s="410">
        <f t="shared" si="22"/>
        <v>0</v>
      </c>
      <c r="J113" s="83"/>
      <c r="K113" s="56">
        <f t="shared" si="14"/>
        <v>0</v>
      </c>
      <c r="M113" s="196" t="str">
        <f t="shared" si="15"/>
        <v>3000/071A Director</v>
      </c>
      <c r="N113" s="78"/>
      <c r="P113" s="79"/>
      <c r="Q113" s="59"/>
      <c r="R113" s="34"/>
    </row>
    <row r="114" spans="1:18" x14ac:dyDescent="0.2">
      <c r="A114" s="393"/>
      <c r="B114" s="62" t="s">
        <v>402</v>
      </c>
      <c r="C114" s="429" t="str">
        <f>Criteria!E42</f>
        <v>B Director</v>
      </c>
      <c r="D114" s="434"/>
      <c r="E114" s="434"/>
      <c r="F114" s="87"/>
      <c r="G114" s="55">
        <f>SUMIF(JournalsA!D$14:D$920,TrialBalanceA!M114,JournalsA!J$14:J$920)+SUMIF(JournalsA!E$14:E$920,TrialBalanceA!M114,JournalsA!J$14:J$920)</f>
        <v>0</v>
      </c>
      <c r="H114" s="442"/>
      <c r="I114" s="410">
        <f t="shared" si="22"/>
        <v>0</v>
      </c>
      <c r="J114" s="83"/>
      <c r="K114" s="56">
        <f t="shared" si="14"/>
        <v>0</v>
      </c>
      <c r="M114" s="196" t="str">
        <f t="shared" si="15"/>
        <v>3000/072B Director</v>
      </c>
      <c r="N114" s="78"/>
      <c r="P114" s="79"/>
      <c r="Q114" s="59"/>
      <c r="R114" s="34"/>
    </row>
    <row r="115" spans="1:18" x14ac:dyDescent="0.2">
      <c r="A115" s="393"/>
      <c r="B115" s="62" t="s">
        <v>403</v>
      </c>
      <c r="C115" s="429">
        <f>Criteria!E43</f>
        <v>0</v>
      </c>
      <c r="D115" s="434"/>
      <c r="E115" s="434"/>
      <c r="F115" s="87"/>
      <c r="G115" s="55">
        <f>SUMIF(JournalsA!D$14:D$920,TrialBalanceA!M115,JournalsA!J$14:J$920)+SUMIF(JournalsA!E$14:E$920,TrialBalanceA!M115,JournalsA!J$14:J$920)</f>
        <v>0</v>
      </c>
      <c r="H115" s="442"/>
      <c r="I115" s="410">
        <f t="shared" si="22"/>
        <v>0</v>
      </c>
      <c r="J115" s="83"/>
      <c r="K115" s="56">
        <f t="shared" si="14"/>
        <v>0</v>
      </c>
      <c r="M115" s="196" t="str">
        <f t="shared" si="15"/>
        <v>3000/0730</v>
      </c>
      <c r="N115" s="78"/>
      <c r="P115" s="79"/>
      <c r="Q115" s="59"/>
      <c r="R115" s="34"/>
    </row>
    <row r="116" spans="1:18" x14ac:dyDescent="0.2">
      <c r="A116" s="393"/>
      <c r="B116" s="62" t="s">
        <v>404</v>
      </c>
      <c r="C116" s="429">
        <f>Criteria!E44</f>
        <v>0</v>
      </c>
      <c r="D116" s="434"/>
      <c r="E116" s="434"/>
      <c r="F116" s="87"/>
      <c r="G116" s="55">
        <f>SUMIF(JournalsA!D$14:D$920,TrialBalanceA!M116,JournalsA!J$14:J$920)+SUMIF(JournalsA!E$14:E$920,TrialBalanceA!M116,JournalsA!J$14:J$920)</f>
        <v>0</v>
      </c>
      <c r="H116" s="442"/>
      <c r="I116" s="410">
        <f t="shared" si="22"/>
        <v>0</v>
      </c>
      <c r="J116" s="83"/>
      <c r="K116" s="56">
        <f t="shared" si="14"/>
        <v>0</v>
      </c>
      <c r="M116" s="196" t="str">
        <f t="shared" si="15"/>
        <v>3000/0740</v>
      </c>
      <c r="N116" s="78"/>
      <c r="P116" s="79"/>
      <c r="Q116" s="59"/>
      <c r="R116" s="34"/>
    </row>
    <row r="117" spans="1:18" x14ac:dyDescent="0.2">
      <c r="A117" s="393"/>
      <c r="B117" s="62" t="s">
        <v>405</v>
      </c>
      <c r="C117" s="429">
        <f>Criteria!E45</f>
        <v>0</v>
      </c>
      <c r="D117" s="435"/>
      <c r="E117" s="434"/>
      <c r="F117" s="87"/>
      <c r="G117" s="55">
        <f>SUMIF(JournalsA!D$14:D$920,TrialBalanceA!M117,JournalsA!J$14:J$920)+SUMIF(JournalsA!E$14:E$920,TrialBalanceA!M117,JournalsA!J$14:J$920)</f>
        <v>0</v>
      </c>
      <c r="H117" s="442"/>
      <c r="I117" s="410">
        <f t="shared" si="22"/>
        <v>0</v>
      </c>
      <c r="J117" s="83"/>
      <c r="K117" s="56">
        <f t="shared" si="14"/>
        <v>0</v>
      </c>
      <c r="M117" s="196" t="str">
        <f t="shared" si="15"/>
        <v>3000/0750</v>
      </c>
      <c r="N117" s="78"/>
      <c r="P117" s="79"/>
      <c r="Q117" s="59"/>
      <c r="R117" s="34"/>
    </row>
    <row r="118" spans="1:18" x14ac:dyDescent="0.2">
      <c r="A118" s="393"/>
      <c r="B118" s="62" t="s">
        <v>406</v>
      </c>
      <c r="C118" s="394" t="s">
        <v>292</v>
      </c>
      <c r="D118" s="435"/>
      <c r="E118" s="434"/>
      <c r="F118" s="87"/>
      <c r="G118" s="55">
        <f>SUMIF(JournalsA!D$14:D$920,TrialBalanceA!M118,JournalsA!J$14:J$920)+SUMIF(JournalsA!E$14:E$920,TrialBalanceA!M118,JournalsA!J$14:J$920)</f>
        <v>0</v>
      </c>
      <c r="H118" s="442"/>
      <c r="I118" s="410">
        <f t="shared" si="22"/>
        <v>0</v>
      </c>
      <c r="J118" s="83"/>
      <c r="K118" s="56">
        <f t="shared" si="14"/>
        <v>0</v>
      </c>
      <c r="M118" s="196" t="str">
        <f t="shared" si="15"/>
        <v>3000/080Donations</v>
      </c>
      <c r="N118" s="78"/>
      <c r="P118" s="79"/>
      <c r="Q118" s="59"/>
      <c r="R118" s="34"/>
    </row>
    <row r="119" spans="1:18" x14ac:dyDescent="0.2">
      <c r="A119" s="393"/>
      <c r="B119" s="62" t="s">
        <v>407</v>
      </c>
      <c r="C119" s="394" t="s">
        <v>408</v>
      </c>
      <c r="D119" s="435"/>
      <c r="E119" s="434"/>
      <c r="F119" s="87"/>
      <c r="G119" s="55">
        <f>SUMIF(JournalsA!D$14:D$920,TrialBalanceA!M119,JournalsA!J$14:J$920)+SUMIF(JournalsA!E$14:E$920,TrialBalanceA!M119,JournalsA!J$14:J$920)</f>
        <v>0</v>
      </c>
      <c r="H119" s="442"/>
      <c r="I119" s="410">
        <f t="shared" si="22"/>
        <v>0</v>
      </c>
      <c r="J119" s="83"/>
      <c r="K119" s="56">
        <f t="shared" si="14"/>
        <v>0</v>
      </c>
      <c r="M119" s="196" t="str">
        <f t="shared" si="15"/>
        <v>3000/090Entertainment expenses</v>
      </c>
      <c r="N119" s="78"/>
      <c r="P119" s="79"/>
      <c r="Q119" s="59"/>
      <c r="R119" s="34"/>
    </row>
    <row r="120" spans="1:18" x14ac:dyDescent="0.2">
      <c r="A120" s="393"/>
      <c r="B120" s="64" t="s">
        <v>71</v>
      </c>
      <c r="C120" s="401" t="s">
        <v>357</v>
      </c>
      <c r="D120" s="427"/>
      <c r="E120" s="434"/>
      <c r="F120" s="87"/>
      <c r="G120" s="55">
        <f>SUMIF(JournalsA!D$14:D$920,TrialBalanceA!M120,JournalsA!J$14:J$920)+SUMIF(JournalsA!E$14:E$920,TrialBalanceA!M120,JournalsA!J$14:J$920)</f>
        <v>0</v>
      </c>
      <c r="H120" s="442"/>
      <c r="I120" s="410">
        <f t="shared" si="22"/>
        <v>0</v>
      </c>
      <c r="J120" s="83"/>
      <c r="K120" s="56">
        <f t="shared" si="14"/>
        <v>0</v>
      </c>
      <c r="M120" s="196" t="str">
        <f t="shared" si="15"/>
        <v>3000/095Fines</v>
      </c>
      <c r="N120" s="78"/>
      <c r="P120" s="79"/>
      <c r="Q120" s="59"/>
      <c r="R120" s="34"/>
    </row>
    <row r="121" spans="1:18" x14ac:dyDescent="0.2">
      <c r="A121" s="393"/>
      <c r="B121" s="62" t="s">
        <v>409</v>
      </c>
      <c r="C121" s="394" t="s">
        <v>410</v>
      </c>
      <c r="D121" s="435"/>
      <c r="E121" s="434"/>
      <c r="F121" s="87"/>
      <c r="G121" s="55">
        <f>SUMIF(JournalsA!D$14:D$920,TrialBalanceA!M121,JournalsA!J$14:J$920)+SUMIF(JournalsA!E$14:E$920,TrialBalanceA!M121,JournalsA!J$14:J$920)</f>
        <v>0</v>
      </c>
      <c r="H121" s="442"/>
      <c r="I121" s="410">
        <f t="shared" si="22"/>
        <v>0</v>
      </c>
      <c r="J121" s="83"/>
      <c r="K121" s="56">
        <f t="shared" si="14"/>
        <v>0</v>
      </c>
      <c r="M121" s="196" t="str">
        <f t="shared" si="15"/>
        <v>3000/100General expenses</v>
      </c>
      <c r="N121" s="78"/>
      <c r="P121" s="79"/>
      <c r="Q121" s="59"/>
      <c r="R121" s="34"/>
    </row>
    <row r="122" spans="1:18" x14ac:dyDescent="0.2">
      <c r="A122" s="393"/>
      <c r="B122" s="62" t="s">
        <v>328</v>
      </c>
      <c r="C122" s="395" t="s">
        <v>931</v>
      </c>
      <c r="D122" s="427"/>
      <c r="E122" s="434"/>
      <c r="F122" s="87"/>
      <c r="G122" s="55">
        <f>SUMIF(JournalsA!D$14:D$920,TrialBalanceA!M122,JournalsA!J$14:J$920)+SUMIF(JournalsA!E$14:E$920,TrialBalanceA!M122,JournalsA!J$14:J$920)</f>
        <v>0</v>
      </c>
      <c r="H122" s="442"/>
      <c r="I122" s="410">
        <f t="shared" si="22"/>
        <v>0</v>
      </c>
      <c r="J122" s="83"/>
      <c r="K122" s="56">
        <f t="shared" si="14"/>
        <v>0</v>
      </c>
      <c r="M122" s="196" t="str">
        <f t="shared" si="15"/>
        <v>3000/110Legal expenses - tax deductible</v>
      </c>
      <c r="N122" s="78"/>
      <c r="P122" s="79"/>
      <c r="Q122" s="59"/>
      <c r="R122" s="34"/>
    </row>
    <row r="123" spans="1:18" x14ac:dyDescent="0.2">
      <c r="A123" s="393"/>
      <c r="B123" s="62" t="s">
        <v>485</v>
      </c>
      <c r="C123" s="395" t="s">
        <v>932</v>
      </c>
      <c r="D123" s="427"/>
      <c r="E123" s="434"/>
      <c r="F123" s="87"/>
      <c r="G123" s="55">
        <f>SUMIF(JournalsA!D$14:D$920,TrialBalanceA!M123,JournalsA!J$14:J$920)+SUMIF(JournalsA!E$14:E$920,TrialBalanceA!M123,JournalsA!J$14:J$920)</f>
        <v>0</v>
      </c>
      <c r="H123" s="442"/>
      <c r="I123" s="410">
        <f t="shared" si="22"/>
        <v>0</v>
      </c>
      <c r="J123" s="83"/>
      <c r="K123" s="56">
        <f t="shared" si="14"/>
        <v>0</v>
      </c>
      <c r="M123" s="196" t="str">
        <f t="shared" si="15"/>
        <v>3000/111Legal expenses - non deductible</v>
      </c>
      <c r="N123" s="78"/>
      <c r="P123" s="79"/>
      <c r="Q123" s="59"/>
      <c r="R123" s="34"/>
    </row>
    <row r="124" spans="1:18" x14ac:dyDescent="0.2">
      <c r="A124" s="393"/>
      <c r="B124" s="62" t="s">
        <v>329</v>
      </c>
      <c r="C124" s="394" t="s">
        <v>330</v>
      </c>
      <c r="D124" s="435"/>
      <c r="E124" s="434"/>
      <c r="F124" s="87"/>
      <c r="G124" s="55">
        <f>SUMIF(JournalsA!D$14:D$920,TrialBalanceA!M124,JournalsA!J$14:J$920)+SUMIF(JournalsA!E$14:E$920,TrialBalanceA!M124,JournalsA!J$14:J$920)</f>
        <v>0</v>
      </c>
      <c r="H124" s="442"/>
      <c r="I124" s="410">
        <f t="shared" si="22"/>
        <v>0</v>
      </c>
      <c r="J124" s="83"/>
      <c r="K124" s="56">
        <f t="shared" si="14"/>
        <v>0</v>
      </c>
      <c r="M124" s="196" t="str">
        <f t="shared" si="15"/>
        <v>3000/120Printing and stationary</v>
      </c>
      <c r="N124" s="78"/>
      <c r="P124" s="79"/>
      <c r="Q124" s="59"/>
      <c r="R124" s="34"/>
    </row>
    <row r="125" spans="1:18" x14ac:dyDescent="0.2">
      <c r="A125" s="393"/>
      <c r="B125" s="62" t="s">
        <v>331</v>
      </c>
      <c r="C125" s="394" t="s">
        <v>293</v>
      </c>
      <c r="D125" s="435"/>
      <c r="E125" s="434"/>
      <c r="F125" s="87"/>
      <c r="G125" s="55">
        <f>SUMIF(JournalsA!D$14:D$920,TrialBalanceA!M125,JournalsA!J$14:J$920)+SUMIF(JournalsA!E$14:E$920,TrialBalanceA!M125,JournalsA!J$14:J$920)</f>
        <v>0</v>
      </c>
      <c r="H125" s="442"/>
      <c r="I125" s="410">
        <f t="shared" si="22"/>
        <v>0</v>
      </c>
      <c r="J125" s="83"/>
      <c r="K125" s="56">
        <f t="shared" si="14"/>
        <v>0</v>
      </c>
      <c r="M125" s="196" t="str">
        <f t="shared" si="15"/>
        <v>3000/130Refreshments</v>
      </c>
      <c r="N125" s="78"/>
      <c r="P125" s="79"/>
      <c r="Q125" s="59"/>
      <c r="R125" s="34"/>
    </row>
    <row r="126" spans="1:18" x14ac:dyDescent="0.2">
      <c r="A126" s="393"/>
      <c r="B126" s="62" t="s">
        <v>332</v>
      </c>
      <c r="C126" s="394" t="s">
        <v>79</v>
      </c>
      <c r="D126" s="435"/>
      <c r="E126" s="434"/>
      <c r="F126" s="87"/>
      <c r="G126" s="55">
        <f>SUMIF(JournalsA!D$14:D$920,TrialBalanceA!M126,JournalsA!J$14:J$920)+SUMIF(JournalsA!E$14:E$920,TrialBalanceA!M126,JournalsA!J$14:J$920)</f>
        <v>0</v>
      </c>
      <c r="H126" s="442"/>
      <c r="I126" s="410">
        <f t="shared" si="22"/>
        <v>0</v>
      </c>
      <c r="J126" s="83"/>
      <c r="K126" s="56">
        <f t="shared" si="14"/>
        <v>0</v>
      </c>
      <c r="M126" s="196" t="str">
        <f t="shared" si="15"/>
        <v>3000/140Salaries</v>
      </c>
      <c r="N126" s="78"/>
      <c r="P126" s="79"/>
      <c r="Q126" s="59"/>
      <c r="R126" s="34"/>
    </row>
    <row r="127" spans="1:18" x14ac:dyDescent="0.2">
      <c r="A127" s="393"/>
      <c r="B127" s="113" t="s">
        <v>333</v>
      </c>
      <c r="C127" s="394" t="s">
        <v>83</v>
      </c>
      <c r="D127" s="435"/>
      <c r="E127" s="434"/>
      <c r="F127" s="87"/>
      <c r="G127" s="55">
        <f>SUMIF(JournalsA!D$14:D$920,TrialBalanceA!M127,JournalsA!J$14:J$920)+SUMIF(JournalsA!E$14:E$920,TrialBalanceA!M127,JournalsA!J$14:J$920)</f>
        <v>0</v>
      </c>
      <c r="H127" s="442"/>
      <c r="I127" s="410">
        <f t="shared" si="22"/>
        <v>0</v>
      </c>
      <c r="J127" s="83"/>
      <c r="K127" s="56">
        <f t="shared" si="14"/>
        <v>0</v>
      </c>
      <c r="M127" s="196" t="str">
        <f t="shared" si="15"/>
        <v>3000/141Casual wages</v>
      </c>
      <c r="N127" s="78"/>
      <c r="P127" s="79"/>
      <c r="Q127" s="59"/>
      <c r="R127" s="34"/>
    </row>
    <row r="128" spans="1:18" x14ac:dyDescent="0.2">
      <c r="A128" s="393"/>
      <c r="B128" s="62" t="s">
        <v>334</v>
      </c>
      <c r="C128" s="394" t="s">
        <v>294</v>
      </c>
      <c r="D128" s="435"/>
      <c r="E128" s="434"/>
      <c r="F128" s="87"/>
      <c r="G128" s="55">
        <f>SUMIF(JournalsA!D$14:D$920,TrialBalanceA!M128,JournalsA!J$14:J$920)+SUMIF(JournalsA!E$14:E$920,TrialBalanceA!M128,JournalsA!J$14:J$920)</f>
        <v>0</v>
      </c>
      <c r="H128" s="442"/>
      <c r="I128" s="410">
        <f t="shared" si="22"/>
        <v>0</v>
      </c>
      <c r="J128" s="83"/>
      <c r="K128" s="56">
        <f t="shared" si="14"/>
        <v>0</v>
      </c>
      <c r="M128" s="196" t="str">
        <f t="shared" si="15"/>
        <v>3000/150Security</v>
      </c>
      <c r="N128" s="78"/>
      <c r="P128" s="79"/>
      <c r="Q128" s="59"/>
      <c r="R128" s="34"/>
    </row>
    <row r="129" spans="1:18" x14ac:dyDescent="0.2">
      <c r="A129" s="393"/>
      <c r="B129" s="62" t="s">
        <v>335</v>
      </c>
      <c r="C129" s="397" t="s">
        <v>875</v>
      </c>
      <c r="D129" s="437"/>
      <c r="E129" s="434"/>
      <c r="F129" s="87"/>
      <c r="G129" s="55">
        <f>SUMIF(JournalsA!D$14:D$920,TrialBalanceA!M129,JournalsA!J$14:J$920)+SUMIF(JournalsA!E$14:E$920,TrialBalanceA!M129,JournalsA!J$14:J$920)</f>
        <v>0</v>
      </c>
      <c r="H129" s="442"/>
      <c r="I129" s="410">
        <f t="shared" si="22"/>
        <v>0</v>
      </c>
      <c r="J129" s="83"/>
      <c r="K129" s="56">
        <f t="shared" si="14"/>
        <v>0</v>
      </c>
      <c r="M129" s="196" t="str">
        <f t="shared" si="15"/>
        <v>3000/160Subscriptions and membership fees</v>
      </c>
      <c r="N129" s="78"/>
      <c r="P129" s="79"/>
      <c r="Q129" s="59"/>
      <c r="R129" s="34"/>
    </row>
    <row r="130" spans="1:18" x14ac:dyDescent="0.2">
      <c r="A130" s="393"/>
      <c r="B130" s="62" t="s">
        <v>362</v>
      </c>
      <c r="C130" s="397" t="s">
        <v>933</v>
      </c>
      <c r="D130" s="435"/>
      <c r="E130" s="434"/>
      <c r="F130" s="87"/>
      <c r="G130" s="55">
        <f>SUMIF(JournalsA!D$14:D$920,TrialBalanceA!M130,JournalsA!J$14:J$920)+SUMIF(JournalsA!E$14:E$920,TrialBalanceA!M130,JournalsA!J$14:J$920)</f>
        <v>0</v>
      </c>
      <c r="H130" s="442"/>
      <c r="I130" s="410">
        <f t="shared" si="22"/>
        <v>0</v>
      </c>
      <c r="J130" s="83"/>
      <c r="K130" s="56">
        <f t="shared" si="14"/>
        <v>0</v>
      </c>
      <c r="M130" s="196" t="str">
        <f t="shared" si="15"/>
        <v>3000/170Penalties and interest - SARS</v>
      </c>
      <c r="N130" s="78"/>
      <c r="P130" s="79"/>
      <c r="Q130" s="59"/>
      <c r="R130" s="34"/>
    </row>
    <row r="131" spans="1:18" x14ac:dyDescent="0.2">
      <c r="A131" s="393"/>
      <c r="B131" s="62" t="s">
        <v>306</v>
      </c>
      <c r="C131" s="429"/>
      <c r="D131" s="434"/>
      <c r="E131" s="434"/>
      <c r="F131" s="87"/>
      <c r="G131" s="55">
        <f>SUMIF(JournalsA!D$14:D$920,TrialBalanceA!M131,JournalsA!J$14:J$920)+SUMIF(JournalsA!E$14:E$920,TrialBalanceA!M131,JournalsA!J$14:J$920)</f>
        <v>0</v>
      </c>
      <c r="H131" s="442"/>
      <c r="I131" s="410">
        <f t="shared" si="22"/>
        <v>0</v>
      </c>
      <c r="J131" s="83"/>
      <c r="K131" s="56">
        <f t="shared" si="14"/>
        <v>0</v>
      </c>
      <c r="M131" s="196" t="str">
        <f t="shared" si="15"/>
        <v>3000/180</v>
      </c>
      <c r="N131" s="78"/>
      <c r="P131" s="79"/>
      <c r="Q131" s="59"/>
      <c r="R131" s="34"/>
    </row>
    <row r="132" spans="1:18" x14ac:dyDescent="0.2">
      <c r="A132" s="393"/>
      <c r="B132" s="62" t="s">
        <v>307</v>
      </c>
      <c r="C132" s="429"/>
      <c r="D132" s="434"/>
      <c r="E132" s="434"/>
      <c r="F132" s="87"/>
      <c r="G132" s="55">
        <f>SUMIF(JournalsA!D$14:D$920,TrialBalanceA!M132,JournalsA!J$14:J$920)+SUMIF(JournalsA!E$14:E$920,TrialBalanceA!M132,JournalsA!J$14:J$920)</f>
        <v>0</v>
      </c>
      <c r="H132" s="442"/>
      <c r="I132" s="410">
        <f t="shared" si="22"/>
        <v>0</v>
      </c>
      <c r="J132" s="83"/>
      <c r="K132" s="56">
        <f t="shared" si="14"/>
        <v>0</v>
      </c>
      <c r="M132" s="196" t="str">
        <f t="shared" si="15"/>
        <v>3000/190</v>
      </c>
      <c r="N132" s="78"/>
      <c r="P132" s="79"/>
      <c r="Q132" s="59"/>
      <c r="R132" s="34"/>
    </row>
    <row r="133" spans="1:18" x14ac:dyDescent="0.2">
      <c r="A133" s="393"/>
      <c r="B133" s="62" t="s">
        <v>308</v>
      </c>
      <c r="C133" s="429"/>
      <c r="D133" s="427"/>
      <c r="E133" s="434"/>
      <c r="F133" s="87"/>
      <c r="G133" s="55">
        <f>SUMIF(JournalsA!D$14:D$920,TrialBalanceA!M133,JournalsA!J$14:J$920)+SUMIF(JournalsA!E$14:E$920,TrialBalanceA!M133,JournalsA!J$14:J$920)</f>
        <v>0</v>
      </c>
      <c r="H133" s="442"/>
      <c r="I133" s="410">
        <f t="shared" si="22"/>
        <v>0</v>
      </c>
      <c r="J133" s="83"/>
      <c r="K133" s="56">
        <f t="shared" si="14"/>
        <v>0</v>
      </c>
      <c r="M133" s="196" t="str">
        <f t="shared" si="15"/>
        <v>3000/200</v>
      </c>
      <c r="N133" s="78"/>
      <c r="P133" s="79"/>
      <c r="Q133" s="59"/>
      <c r="R133" s="34"/>
    </row>
    <row r="134" spans="1:18" x14ac:dyDescent="0.2">
      <c r="A134" s="393"/>
      <c r="B134" s="62" t="s">
        <v>309</v>
      </c>
      <c r="C134" s="430"/>
      <c r="D134" s="427"/>
      <c r="E134" s="434"/>
      <c r="F134" s="87"/>
      <c r="G134" s="55">
        <f>SUMIF(JournalsA!D$14:D$920,TrialBalanceA!M134,JournalsA!J$14:J$920)+SUMIF(JournalsA!E$14:E$920,TrialBalanceA!M134,JournalsA!J$14:J$920)</f>
        <v>0</v>
      </c>
      <c r="H134" s="442"/>
      <c r="I134" s="410">
        <f t="shared" si="22"/>
        <v>0</v>
      </c>
      <c r="J134" s="83"/>
      <c r="K134" s="56">
        <f t="shared" si="14"/>
        <v>0</v>
      </c>
      <c r="M134" s="196" t="str">
        <f t="shared" si="15"/>
        <v>3000/210</v>
      </c>
      <c r="N134" s="78"/>
      <c r="P134" s="79"/>
      <c r="Q134" s="59"/>
      <c r="R134" s="34"/>
    </row>
    <row r="135" spans="1:18" x14ac:dyDescent="0.2">
      <c r="A135" s="393"/>
      <c r="B135" s="62" t="s">
        <v>310</v>
      </c>
      <c r="C135" s="429"/>
      <c r="D135" s="427"/>
      <c r="E135" s="434"/>
      <c r="F135" s="87"/>
      <c r="G135" s="55">
        <f>SUMIF(JournalsA!D$14:D$920,TrialBalanceA!M135,JournalsA!J$14:J$920)+SUMIF(JournalsA!E$14:E$920,TrialBalanceA!M135,JournalsA!J$14:J$920)</f>
        <v>0</v>
      </c>
      <c r="H135" s="442"/>
      <c r="I135" s="410">
        <f t="shared" si="22"/>
        <v>0</v>
      </c>
      <c r="J135" s="83"/>
      <c r="K135" s="56">
        <f t="shared" si="14"/>
        <v>0</v>
      </c>
      <c r="M135" s="196" t="str">
        <f t="shared" si="15"/>
        <v>3000/220</v>
      </c>
      <c r="N135" s="78"/>
      <c r="P135" s="79"/>
      <c r="Q135" s="59"/>
      <c r="R135" s="34"/>
    </row>
    <row r="136" spans="1:18" x14ac:dyDescent="0.2">
      <c r="A136" s="393"/>
      <c r="B136" s="113" t="s">
        <v>573</v>
      </c>
      <c r="C136" s="430"/>
      <c r="D136" s="427"/>
      <c r="E136" s="434"/>
      <c r="F136" s="87"/>
      <c r="G136" s="55">
        <f>SUMIF(JournalsA!D$14:D$920,TrialBalanceA!M136,JournalsA!J$14:J$920)+SUMIF(JournalsA!E$14:E$920,TrialBalanceA!M136,JournalsA!J$14:J$920)</f>
        <v>0</v>
      </c>
      <c r="H136" s="442"/>
      <c r="I136" s="410">
        <f t="shared" si="22"/>
        <v>0</v>
      </c>
      <c r="J136" s="83"/>
      <c r="K136" s="56">
        <f t="shared" si="14"/>
        <v>0</v>
      </c>
      <c r="M136" s="196" t="str">
        <f t="shared" si="15"/>
        <v>3000/230</v>
      </c>
      <c r="N136" s="78"/>
      <c r="P136" s="79"/>
      <c r="Q136" s="59"/>
      <c r="R136" s="34"/>
    </row>
    <row r="137" spans="1:18" x14ac:dyDescent="0.2">
      <c r="A137" s="393"/>
      <c r="B137" s="113" t="s">
        <v>574</v>
      </c>
      <c r="C137" s="430"/>
      <c r="D137" s="427"/>
      <c r="E137" s="434"/>
      <c r="F137" s="87"/>
      <c r="G137" s="55">
        <f>SUMIF(JournalsA!D$14:D$920,TrialBalanceA!M137,JournalsA!J$14:J$920)+SUMIF(JournalsA!E$14:E$920,TrialBalanceA!M137,JournalsA!J$14:J$920)</f>
        <v>0</v>
      </c>
      <c r="H137" s="442"/>
      <c r="I137" s="410">
        <f t="shared" ref="I137:I171" si="29">ROUND(D137-E137+G137+F137,0)</f>
        <v>0</v>
      </c>
      <c r="J137" s="83"/>
      <c r="K137" s="56">
        <f t="shared" si="14"/>
        <v>0</v>
      </c>
      <c r="M137" s="196" t="str">
        <f t="shared" si="15"/>
        <v>3000/240</v>
      </c>
      <c r="N137" s="78"/>
      <c r="P137" s="79"/>
      <c r="Q137" s="59"/>
      <c r="R137" s="34"/>
    </row>
    <row r="138" spans="1:18" x14ac:dyDescent="0.2">
      <c r="A138" s="393"/>
      <c r="B138" s="113" t="s">
        <v>575</v>
      </c>
      <c r="C138" s="430"/>
      <c r="D138" s="427"/>
      <c r="E138" s="434"/>
      <c r="F138" s="87"/>
      <c r="G138" s="55">
        <f>SUMIF(JournalsA!D$14:D$920,TrialBalanceA!M138,JournalsA!J$14:J$920)+SUMIF(JournalsA!E$14:E$920,TrialBalanceA!M138,JournalsA!J$14:J$920)</f>
        <v>0</v>
      </c>
      <c r="H138" s="442"/>
      <c r="I138" s="410">
        <f t="shared" si="29"/>
        <v>0</v>
      </c>
      <c r="J138" s="83"/>
      <c r="K138" s="56">
        <f t="shared" si="14"/>
        <v>0</v>
      </c>
      <c r="M138" s="196" t="str">
        <f t="shared" si="15"/>
        <v>3000/250</v>
      </c>
      <c r="N138" s="78"/>
      <c r="P138" s="79"/>
      <c r="Q138" s="59"/>
      <c r="R138" s="34"/>
    </row>
    <row r="139" spans="1:18" x14ac:dyDescent="0.2">
      <c r="A139" s="393"/>
      <c r="B139" s="113" t="s">
        <v>576</v>
      </c>
      <c r="C139" s="430"/>
      <c r="D139" s="427"/>
      <c r="E139" s="434"/>
      <c r="F139" s="87"/>
      <c r="G139" s="55">
        <f>SUMIF(JournalsA!D$14:D$920,TrialBalanceA!M139,JournalsA!J$14:J$920)+SUMIF(JournalsA!E$14:E$920,TrialBalanceA!M139,JournalsA!J$14:J$920)</f>
        <v>0</v>
      </c>
      <c r="H139" s="442"/>
      <c r="I139" s="410">
        <f t="shared" si="29"/>
        <v>0</v>
      </c>
      <c r="J139" s="83"/>
      <c r="K139" s="56">
        <f t="shared" ref="K139:K207" si="30">ROUND(SUM(A139),0)</f>
        <v>0</v>
      </c>
      <c r="M139" s="196" t="str">
        <f t="shared" ref="M139:M207" si="31">CONCATENATE(B139,C139)</f>
        <v>3000/260</v>
      </c>
      <c r="N139" s="78"/>
      <c r="P139" s="79"/>
      <c r="Q139" s="59"/>
      <c r="R139" s="34"/>
    </row>
    <row r="140" spans="1:18" x14ac:dyDescent="0.2">
      <c r="A140" s="393"/>
      <c r="B140" s="113" t="s">
        <v>577</v>
      </c>
      <c r="C140" s="395" t="s">
        <v>1255</v>
      </c>
      <c r="D140" s="434"/>
      <c r="E140" s="434"/>
      <c r="F140" s="87"/>
      <c r="G140" s="55">
        <f>SUMIF(JournalsA!D$14:D$920,TrialBalanceA!M140,JournalsA!J$14:J$920)+SUMIF(JournalsA!E$14:E$920,TrialBalanceA!M140,JournalsA!J$14:J$920)</f>
        <v>0</v>
      </c>
      <c r="H140" s="442"/>
      <c r="I140" s="410">
        <f t="shared" si="29"/>
        <v>0</v>
      </c>
      <c r="J140" s="83"/>
      <c r="K140" s="56">
        <f t="shared" si="30"/>
        <v>0</v>
      </c>
      <c r="M140" s="196" t="str">
        <f t="shared" si="31"/>
        <v>3000/270Amortisation of prepaid lease agreement</v>
      </c>
      <c r="N140" s="78"/>
      <c r="P140" s="79"/>
      <c r="Q140" s="59"/>
      <c r="R140" s="34"/>
    </row>
    <row r="141" spans="1:18" x14ac:dyDescent="0.2">
      <c r="A141" s="393"/>
      <c r="B141" s="113" t="s">
        <v>1257</v>
      </c>
      <c r="C141" s="397" t="s">
        <v>1258</v>
      </c>
      <c r="D141" s="434"/>
      <c r="E141" s="434"/>
      <c r="F141" s="87"/>
      <c r="G141" s="55">
        <f>SUMIF(JournalsA!D$14:D$920,TrialBalanceA!M141,JournalsA!J$14:J$920)+SUMIF(JournalsA!E$14:E$920,TrialBalanceA!M141,JournalsA!J$14:J$920)</f>
        <v>0</v>
      </c>
      <c r="H141" s="442"/>
      <c r="I141" s="410">
        <f t="shared" ref="I141" si="32">ROUND(D141-E141+G141+F141,0)</f>
        <v>0</v>
      </c>
      <c r="J141" s="83"/>
      <c r="K141" s="56">
        <f t="shared" ref="K141" si="33">ROUND(SUM(A141),0)</f>
        <v>0</v>
      </c>
      <c r="M141" s="196" t="str">
        <f t="shared" ref="M141" si="34">CONCATENATE(B141,C141)</f>
        <v>3000/280Amortisation of goodwill</v>
      </c>
      <c r="N141" s="78"/>
      <c r="P141" s="79"/>
      <c r="Q141" s="59"/>
      <c r="R141" s="34"/>
    </row>
    <row r="142" spans="1:18" x14ac:dyDescent="0.2">
      <c r="A142" s="393"/>
      <c r="B142" s="62" t="s">
        <v>336</v>
      </c>
      <c r="C142" s="396" t="s">
        <v>126</v>
      </c>
      <c r="D142" s="436"/>
      <c r="E142" s="434"/>
      <c r="F142" s="87"/>
      <c r="G142" s="55">
        <f>SUMIF(JournalsA!D$14:D$920,TrialBalanceA!M142,JournalsA!J$14:J$920)+SUMIF(JournalsA!E$14:E$920,TrialBalanceA!M142,JournalsA!J$14:J$920)</f>
        <v>0</v>
      </c>
      <c r="H142" s="442"/>
      <c r="I142" s="410">
        <f t="shared" si="29"/>
        <v>0</v>
      </c>
      <c r="J142" s="83"/>
      <c r="K142" s="56">
        <f t="shared" si="30"/>
        <v>0</v>
      </c>
      <c r="M142" s="196" t="str">
        <f t="shared" si="31"/>
        <v>4700/000FINANCE COSTS</v>
      </c>
      <c r="N142" s="78"/>
      <c r="P142" s="79"/>
      <c r="Q142" s="59"/>
      <c r="R142" s="34"/>
    </row>
    <row r="143" spans="1:18" x14ac:dyDescent="0.2">
      <c r="A143" s="393"/>
      <c r="B143" s="62" t="s">
        <v>337</v>
      </c>
      <c r="C143" s="396" t="s">
        <v>338</v>
      </c>
      <c r="D143" s="436"/>
      <c r="E143" s="434"/>
      <c r="F143" s="87"/>
      <c r="G143" s="55">
        <f>SUMIF(JournalsA!D$14:D$920,TrialBalanceA!M143,JournalsA!J$14:J$920)+SUMIF(JournalsA!E$14:E$920,TrialBalanceA!M143,JournalsA!J$14:J$920)</f>
        <v>0</v>
      </c>
      <c r="H143" s="442"/>
      <c r="I143" s="410">
        <f t="shared" si="29"/>
        <v>0</v>
      </c>
      <c r="J143" s="83"/>
      <c r="K143" s="56">
        <f t="shared" si="30"/>
        <v>0</v>
      </c>
      <c r="M143" s="196" t="str">
        <f t="shared" si="31"/>
        <v>4700/010Interest paid---------------------------</v>
      </c>
      <c r="N143" s="78"/>
      <c r="P143" s="79"/>
      <c r="Q143" s="59"/>
      <c r="R143" s="34"/>
    </row>
    <row r="144" spans="1:18" x14ac:dyDescent="0.2">
      <c r="A144" s="393"/>
      <c r="B144" s="62" t="s">
        <v>339</v>
      </c>
      <c r="C144" s="429"/>
      <c r="D144" s="434"/>
      <c r="E144" s="434"/>
      <c r="F144" s="87"/>
      <c r="G144" s="55">
        <f>SUMIF(JournalsA!D$14:D$920,TrialBalanceA!M144,JournalsA!J$14:J$920)+SUMIF(JournalsA!E$14:E$920,TrialBalanceA!M144,JournalsA!J$14:J$920)</f>
        <v>0</v>
      </c>
      <c r="H144" s="442"/>
      <c r="I144" s="410">
        <f t="shared" si="29"/>
        <v>0</v>
      </c>
      <c r="J144" s="83"/>
      <c r="K144" s="56">
        <f t="shared" si="30"/>
        <v>0</v>
      </c>
      <c r="M144" s="196" t="str">
        <f t="shared" si="31"/>
        <v>4700/011</v>
      </c>
      <c r="N144" s="78"/>
      <c r="P144" s="79"/>
      <c r="Q144" s="59"/>
      <c r="R144" s="34"/>
    </row>
    <row r="145" spans="1:18" x14ac:dyDescent="0.2">
      <c r="A145" s="393"/>
      <c r="B145" s="62" t="s">
        <v>340</v>
      </c>
      <c r="C145" s="430"/>
      <c r="D145" s="434"/>
      <c r="E145" s="434"/>
      <c r="F145" s="87"/>
      <c r="G145" s="55">
        <f>SUMIF(JournalsA!D$14:D$920,TrialBalanceA!M145,JournalsA!J$14:J$920)+SUMIF(JournalsA!E$14:E$920,TrialBalanceA!M145,JournalsA!J$14:J$920)</f>
        <v>0</v>
      </c>
      <c r="H145" s="442"/>
      <c r="I145" s="410">
        <f t="shared" si="29"/>
        <v>0</v>
      </c>
      <c r="J145" s="83"/>
      <c r="K145" s="56">
        <f t="shared" si="30"/>
        <v>0</v>
      </c>
      <c r="M145" s="196" t="str">
        <f t="shared" si="31"/>
        <v>4700/012</v>
      </c>
      <c r="N145" s="78"/>
      <c r="P145" s="79"/>
      <c r="Q145" s="59"/>
      <c r="R145" s="34"/>
    </row>
    <row r="146" spans="1:18" x14ac:dyDescent="0.2">
      <c r="A146" s="393"/>
      <c r="B146" s="62" t="s">
        <v>341</v>
      </c>
      <c r="C146" s="430"/>
      <c r="D146" s="434"/>
      <c r="E146" s="434"/>
      <c r="F146" s="87"/>
      <c r="G146" s="55">
        <f>SUMIF(JournalsA!D$14:D$920,TrialBalanceA!M146,JournalsA!J$14:J$920)+SUMIF(JournalsA!E$14:E$920,TrialBalanceA!M146,JournalsA!J$14:J$920)</f>
        <v>0</v>
      </c>
      <c r="H146" s="442"/>
      <c r="I146" s="410">
        <f t="shared" si="29"/>
        <v>0</v>
      </c>
      <c r="J146" s="83"/>
      <c r="K146" s="56">
        <f t="shared" si="30"/>
        <v>0</v>
      </c>
      <c r="M146" s="196" t="str">
        <f t="shared" si="31"/>
        <v>4700/013</v>
      </c>
      <c r="N146" s="78"/>
      <c r="P146" s="79"/>
      <c r="Q146" s="59"/>
      <c r="R146" s="34"/>
    </row>
    <row r="147" spans="1:18" x14ac:dyDescent="0.2">
      <c r="A147" s="393"/>
      <c r="B147" s="62" t="s">
        <v>342</v>
      </c>
      <c r="C147" s="430"/>
      <c r="D147" s="434"/>
      <c r="E147" s="434"/>
      <c r="F147" s="87"/>
      <c r="G147" s="55">
        <f>SUMIF(JournalsA!D$14:D$920,TrialBalanceA!M147,JournalsA!J$14:J$920)+SUMIF(JournalsA!E$14:E$920,TrialBalanceA!M147,JournalsA!J$14:J$920)</f>
        <v>0</v>
      </c>
      <c r="H147" s="442"/>
      <c r="I147" s="410">
        <f t="shared" si="29"/>
        <v>0</v>
      </c>
      <c r="J147" s="83"/>
      <c r="K147" s="56">
        <f t="shared" si="30"/>
        <v>0</v>
      </c>
      <c r="M147" s="196" t="str">
        <f t="shared" si="31"/>
        <v>4700/014</v>
      </c>
      <c r="N147" s="78"/>
      <c r="P147" s="79"/>
      <c r="Q147" s="59"/>
      <c r="R147" s="34"/>
    </row>
    <row r="148" spans="1:18" x14ac:dyDescent="0.2">
      <c r="A148" s="393"/>
      <c r="B148" s="62" t="s">
        <v>549</v>
      </c>
      <c r="C148" s="430"/>
      <c r="D148" s="434"/>
      <c r="E148" s="434"/>
      <c r="F148" s="87"/>
      <c r="G148" s="55">
        <f>SUMIF(JournalsA!D$14:D$920,TrialBalanceA!M148,JournalsA!J$14:J$920)+SUMIF(JournalsA!E$14:E$920,TrialBalanceA!M148,JournalsA!J$14:J$920)</f>
        <v>0</v>
      </c>
      <c r="H148" s="442"/>
      <c r="I148" s="410">
        <f t="shared" si="29"/>
        <v>0</v>
      </c>
      <c r="J148" s="83"/>
      <c r="K148" s="56">
        <f t="shared" si="30"/>
        <v>0</v>
      </c>
      <c r="M148" s="196" t="str">
        <f t="shared" si="31"/>
        <v>4700/015</v>
      </c>
      <c r="N148" s="78"/>
      <c r="P148" s="79"/>
      <c r="Q148" s="59"/>
      <c r="R148" s="34"/>
    </row>
    <row r="149" spans="1:18" x14ac:dyDescent="0.2">
      <c r="A149" s="393"/>
      <c r="B149" s="62" t="s">
        <v>559</v>
      </c>
      <c r="C149" s="430"/>
      <c r="D149" s="434"/>
      <c r="E149" s="434"/>
      <c r="F149" s="87"/>
      <c r="G149" s="55">
        <f>SUMIF(JournalsA!D$14:D$920,TrialBalanceA!M149,JournalsA!J$14:J$920)+SUMIF(JournalsA!E$14:E$920,TrialBalanceA!M149,JournalsA!J$14:J$920)</f>
        <v>0</v>
      </c>
      <c r="H149" s="442"/>
      <c r="I149" s="410">
        <f t="shared" si="29"/>
        <v>0</v>
      </c>
      <c r="J149" s="83"/>
      <c r="K149" s="56">
        <f t="shared" si="30"/>
        <v>0</v>
      </c>
      <c r="M149" s="196" t="str">
        <f t="shared" si="31"/>
        <v>4700/016</v>
      </c>
      <c r="N149" s="78"/>
      <c r="P149" s="79"/>
      <c r="Q149" s="59"/>
      <c r="R149" s="34"/>
    </row>
    <row r="150" spans="1:18" x14ac:dyDescent="0.2">
      <c r="A150" s="393"/>
      <c r="B150" s="113" t="s">
        <v>621</v>
      </c>
      <c r="C150" s="430"/>
      <c r="D150" s="434"/>
      <c r="E150" s="434"/>
      <c r="F150" s="87"/>
      <c r="G150" s="55">
        <f>SUMIF(JournalsA!D$14:D$920,TrialBalanceA!M150,JournalsA!J$14:J$920)+SUMIF(JournalsA!E$14:E$920,TrialBalanceA!M150,JournalsA!J$14:J$920)</f>
        <v>0</v>
      </c>
      <c r="H150" s="442"/>
      <c r="I150" s="410">
        <f t="shared" ref="I150:I152" si="35">ROUND(D150-E150+G150+F150,0)</f>
        <v>0</v>
      </c>
      <c r="J150" s="83"/>
      <c r="K150" s="56">
        <f t="shared" ref="K150:K152" si="36">ROUND(SUM(A150),0)</f>
        <v>0</v>
      </c>
      <c r="M150" s="196" t="str">
        <f t="shared" ref="M150:M152" si="37">CONCATENATE(B150,C150)</f>
        <v>4700/017</v>
      </c>
      <c r="N150" s="78"/>
      <c r="P150" s="79"/>
      <c r="Q150" s="59"/>
      <c r="R150" s="34"/>
    </row>
    <row r="151" spans="1:18" x14ac:dyDescent="0.2">
      <c r="A151" s="393"/>
      <c r="B151" s="113" t="s">
        <v>712</v>
      </c>
      <c r="C151" s="430"/>
      <c r="D151" s="434"/>
      <c r="E151" s="434"/>
      <c r="F151" s="87"/>
      <c r="G151" s="55">
        <f>SUMIF(JournalsA!D$14:D$920,TrialBalanceA!M151,JournalsA!J$14:J$920)+SUMIF(JournalsA!E$14:E$920,TrialBalanceA!M151,JournalsA!J$14:J$920)</f>
        <v>0</v>
      </c>
      <c r="H151" s="442"/>
      <c r="I151" s="410">
        <f t="shared" si="35"/>
        <v>0</v>
      </c>
      <c r="J151" s="83"/>
      <c r="K151" s="56">
        <f t="shared" si="36"/>
        <v>0</v>
      </c>
      <c r="M151" s="196" t="str">
        <f t="shared" si="37"/>
        <v>4700/018</v>
      </c>
      <c r="N151" s="78"/>
      <c r="P151" s="79"/>
      <c r="Q151" s="59"/>
      <c r="R151" s="34"/>
    </row>
    <row r="152" spans="1:18" x14ac:dyDescent="0.2">
      <c r="A152" s="393"/>
      <c r="B152" s="113" t="s">
        <v>713</v>
      </c>
      <c r="C152" s="430"/>
      <c r="D152" s="434"/>
      <c r="E152" s="434"/>
      <c r="F152" s="87"/>
      <c r="G152" s="55">
        <f>SUMIF(JournalsA!D$14:D$920,TrialBalanceA!M152,JournalsA!J$14:J$920)+SUMIF(JournalsA!E$14:E$920,TrialBalanceA!M152,JournalsA!J$14:J$920)</f>
        <v>0</v>
      </c>
      <c r="H152" s="442"/>
      <c r="I152" s="410">
        <f t="shared" si="35"/>
        <v>0</v>
      </c>
      <c r="J152" s="83"/>
      <c r="K152" s="56">
        <f t="shared" si="36"/>
        <v>0</v>
      </c>
      <c r="M152" s="196" t="str">
        <f t="shared" si="37"/>
        <v>4700/019</v>
      </c>
      <c r="N152" s="78"/>
      <c r="P152" s="79"/>
      <c r="Q152" s="59"/>
      <c r="R152" s="34"/>
    </row>
    <row r="153" spans="1:18" x14ac:dyDescent="0.2">
      <c r="A153" s="393"/>
      <c r="B153" s="113" t="s">
        <v>343</v>
      </c>
      <c r="C153" s="430"/>
      <c r="D153" s="434"/>
      <c r="E153" s="434"/>
      <c r="F153" s="87"/>
      <c r="G153" s="55">
        <f>SUMIF(JournalsA!D$14:D$920,TrialBalanceA!M153,JournalsA!J$14:J$920)+SUMIF(JournalsA!E$14:E$920,TrialBalanceA!M153,JournalsA!J$14:J$920)</f>
        <v>0</v>
      </c>
      <c r="H153" s="442"/>
      <c r="I153" s="410">
        <f t="shared" si="29"/>
        <v>0</v>
      </c>
      <c r="J153" s="83"/>
      <c r="K153" s="56">
        <f t="shared" si="30"/>
        <v>0</v>
      </c>
      <c r="M153" s="196" t="str">
        <f t="shared" si="31"/>
        <v>4700/020</v>
      </c>
      <c r="N153" s="78"/>
      <c r="P153" s="79"/>
      <c r="Q153" s="59"/>
      <c r="R153" s="34"/>
    </row>
    <row r="154" spans="1:18" x14ac:dyDescent="0.2">
      <c r="A154" s="393"/>
      <c r="B154" s="113" t="s">
        <v>714</v>
      </c>
      <c r="C154" s="394" t="str">
        <f>CONCATENATE("Finance leases - ",Criteria!H14)</f>
        <v>Finance leases - ABC Restaurant</v>
      </c>
      <c r="D154" s="435"/>
      <c r="E154" s="434"/>
      <c r="F154" s="87"/>
      <c r="G154" s="55">
        <f>SUMIF(JournalsA!D$14:D$920,TrialBalanceA!M154,JournalsA!J$14:J$920)+SUMIF(JournalsA!E$14:E$920,TrialBalanceA!M154,JournalsA!J$14:J$920)</f>
        <v>0</v>
      </c>
      <c r="H154" s="442"/>
      <c r="I154" s="410">
        <f t="shared" si="29"/>
        <v>0</v>
      </c>
      <c r="J154" s="83"/>
      <c r="K154" s="56">
        <f t="shared" si="30"/>
        <v>0</v>
      </c>
      <c r="M154" s="196" t="str">
        <f t="shared" si="31"/>
        <v>4700/021Finance leases - ABC Restaurant</v>
      </c>
      <c r="N154" s="78"/>
      <c r="P154" s="79"/>
      <c r="Q154" s="59"/>
      <c r="R154" s="34"/>
    </row>
    <row r="155" spans="1:18" x14ac:dyDescent="0.2">
      <c r="A155" s="393"/>
      <c r="B155" s="62" t="s">
        <v>486</v>
      </c>
      <c r="C155" s="396" t="s">
        <v>381</v>
      </c>
      <c r="D155" s="436"/>
      <c r="E155" s="434"/>
      <c r="F155" s="87"/>
      <c r="G155" s="55">
        <f>SUMIF(JournalsA!D$14:D$920,TrialBalanceA!M155,JournalsA!J$14:J$920)+SUMIF(JournalsA!E$14:E$920,TrialBalanceA!M155,JournalsA!J$14:J$920)</f>
        <v>0</v>
      </c>
      <c r="H155" s="442"/>
      <c r="I155" s="410">
        <f t="shared" si="29"/>
        <v>0</v>
      </c>
      <c r="J155" s="83"/>
      <c r="K155" s="56">
        <f t="shared" si="30"/>
        <v>0</v>
      </c>
      <c r="M155" s="196" t="str">
        <f t="shared" si="31"/>
        <v>4750/000OTHER</v>
      </c>
      <c r="N155" s="78"/>
      <c r="P155" s="79"/>
      <c r="Q155" s="59"/>
      <c r="R155" s="34"/>
    </row>
    <row r="156" spans="1:18" x14ac:dyDescent="0.2">
      <c r="A156" s="393"/>
      <c r="B156" s="62" t="s">
        <v>487</v>
      </c>
      <c r="C156" s="395" t="s">
        <v>1256</v>
      </c>
      <c r="D156" s="434"/>
      <c r="E156" s="434"/>
      <c r="F156" s="87"/>
      <c r="G156" s="55">
        <f>SUMIF(JournalsA!D$14:D$920,TrialBalanceA!M156,JournalsA!J$14:J$920)+SUMIF(JournalsA!E$14:E$920,TrialBalanceA!M156,JournalsA!J$14:J$920)</f>
        <v>0</v>
      </c>
      <c r="H156" s="442"/>
      <c r="I156" s="410">
        <f t="shared" si="29"/>
        <v>0</v>
      </c>
      <c r="J156" s="83"/>
      <c r="K156" s="56">
        <f t="shared" si="30"/>
        <v>0</v>
      </c>
      <c r="M156" s="196" t="str">
        <f t="shared" si="31"/>
        <v>4750/010Impairment losses</v>
      </c>
      <c r="N156" s="78"/>
      <c r="P156" s="79"/>
      <c r="Q156" s="59"/>
      <c r="R156" s="34"/>
    </row>
    <row r="157" spans="1:18" x14ac:dyDescent="0.2">
      <c r="A157" s="393"/>
      <c r="B157" s="62" t="s">
        <v>344</v>
      </c>
      <c r="C157" s="396" t="s">
        <v>345</v>
      </c>
      <c r="D157" s="436"/>
      <c r="E157" s="434"/>
      <c r="F157" s="87"/>
      <c r="G157" s="55">
        <f>SUMIF(JournalsA!D$14:D$920,TrialBalanceA!M157,JournalsA!J$14:J$920)+SUMIF(JournalsA!E$14:E$920,TrialBalanceA!M157,JournalsA!J$14:J$920)</f>
        <v>0</v>
      </c>
      <c r="H157" s="442"/>
      <c r="I157" s="410">
        <f t="shared" si="29"/>
        <v>0</v>
      </c>
      <c r="J157" s="83"/>
      <c r="K157" s="56">
        <f t="shared" si="30"/>
        <v>0</v>
      </c>
      <c r="M157" s="196" t="str">
        <f t="shared" si="31"/>
        <v>4800/000NORMAL TAXATION</v>
      </c>
      <c r="N157" s="78"/>
      <c r="P157" s="79"/>
      <c r="Q157" s="59"/>
      <c r="R157" s="34"/>
    </row>
    <row r="158" spans="1:18" x14ac:dyDescent="0.2">
      <c r="A158" s="393"/>
      <c r="B158" s="62" t="s">
        <v>346</v>
      </c>
      <c r="C158" s="394" t="s">
        <v>347</v>
      </c>
      <c r="D158" s="435"/>
      <c r="E158" s="434"/>
      <c r="F158" s="87"/>
      <c r="G158" s="55">
        <f>SUMIF(JournalsA!D$14:D$920,TrialBalanceA!M158,JournalsA!J$14:J$920)+SUMIF(JournalsA!E$14:E$920,TrialBalanceA!M158,JournalsA!J$14:J$920)</f>
        <v>0</v>
      </c>
      <c r="H158" s="442"/>
      <c r="I158" s="410">
        <f t="shared" si="29"/>
        <v>0</v>
      </c>
      <c r="J158" s="83"/>
      <c r="K158" s="56">
        <f t="shared" si="30"/>
        <v>0</v>
      </c>
      <c r="M158" s="196" t="str">
        <f t="shared" si="31"/>
        <v>4800/001Tax provided this year</v>
      </c>
      <c r="N158" s="78"/>
      <c r="P158" s="79"/>
      <c r="Q158" s="59"/>
      <c r="R158" s="34"/>
    </row>
    <row r="159" spans="1:18" x14ac:dyDescent="0.2">
      <c r="A159" s="393"/>
      <c r="B159" s="62" t="s">
        <v>348</v>
      </c>
      <c r="C159" s="394" t="s">
        <v>349</v>
      </c>
      <c r="D159" s="435"/>
      <c r="E159" s="434"/>
      <c r="F159" s="87"/>
      <c r="G159" s="55">
        <f>SUMIF(JournalsA!D$14:D$920,TrialBalanceA!M159,JournalsA!J$14:J$920)+SUMIF(JournalsA!E$14:E$920,TrialBalanceA!M159,JournalsA!J$14:J$920)</f>
        <v>0</v>
      </c>
      <c r="H159" s="442"/>
      <c r="I159" s="410">
        <f t="shared" si="29"/>
        <v>0</v>
      </c>
      <c r="J159" s="83"/>
      <c r="K159" s="56">
        <f t="shared" si="30"/>
        <v>0</v>
      </c>
      <c r="M159" s="196" t="str">
        <f t="shared" si="31"/>
        <v>4800/002Tax adjustment previous year</v>
      </c>
      <c r="N159" s="78"/>
      <c r="P159" s="79"/>
      <c r="Q159" s="59"/>
      <c r="R159" s="34"/>
    </row>
    <row r="160" spans="1:18" x14ac:dyDescent="0.2">
      <c r="A160" s="393"/>
      <c r="B160" s="62" t="s">
        <v>211</v>
      </c>
      <c r="C160" s="396" t="s">
        <v>212</v>
      </c>
      <c r="D160" s="436"/>
      <c r="E160" s="434"/>
      <c r="F160" s="87"/>
      <c r="G160" s="55">
        <f>SUMIF(JournalsA!D$14:D$920,TrialBalanceA!M160,JournalsA!J$14:J$920)+SUMIF(JournalsA!E$14:E$920,TrialBalanceA!M160,JournalsA!J$14:J$920)</f>
        <v>0</v>
      </c>
      <c r="H160" s="442"/>
      <c r="I160" s="410">
        <f t="shared" si="29"/>
        <v>0</v>
      </c>
      <c r="J160" s="83"/>
      <c r="K160" s="56">
        <f t="shared" si="30"/>
        <v>0</v>
      </c>
      <c r="M160" s="196" t="str">
        <f t="shared" si="31"/>
        <v>4820/000DEFERRED TAX</v>
      </c>
      <c r="N160" s="78"/>
      <c r="P160" s="79"/>
      <c r="Q160" s="59"/>
      <c r="R160" s="34"/>
    </row>
    <row r="161" spans="1:18" x14ac:dyDescent="0.2">
      <c r="A161" s="393"/>
      <c r="B161" s="62" t="s">
        <v>213</v>
      </c>
      <c r="C161" s="394" t="s">
        <v>214</v>
      </c>
      <c r="D161" s="435"/>
      <c r="E161" s="434"/>
      <c r="F161" s="87"/>
      <c r="G161" s="55">
        <f>SUMIF(JournalsA!D$14:D$920,TrialBalanceA!M161,JournalsA!J$14:J$920)+SUMIF(JournalsA!E$14:E$920,TrialBalanceA!M161,JournalsA!J$14:J$920)</f>
        <v>0</v>
      </c>
      <c r="H161" s="442"/>
      <c r="I161" s="410">
        <f t="shared" si="29"/>
        <v>0</v>
      </c>
      <c r="J161" s="83"/>
      <c r="K161" s="56">
        <f t="shared" si="30"/>
        <v>0</v>
      </c>
      <c r="M161" s="196" t="str">
        <f t="shared" si="31"/>
        <v>4820/001Deferred tax this year</v>
      </c>
      <c r="N161" s="78"/>
      <c r="P161" s="79"/>
      <c r="Q161" s="59"/>
      <c r="R161" s="34"/>
    </row>
    <row r="162" spans="1:18" x14ac:dyDescent="0.2">
      <c r="A162" s="393"/>
      <c r="B162" s="113" t="s">
        <v>215</v>
      </c>
      <c r="C162" s="397" t="s">
        <v>1344</v>
      </c>
      <c r="D162" s="435"/>
      <c r="E162" s="434"/>
      <c r="F162" s="87"/>
      <c r="G162" s="55">
        <f>SUMIF(JournalsA!D$14:D$920,TrialBalanceA!M162,JournalsA!J$14:J$920)+SUMIF(JournalsA!E$14:E$920,TrialBalanceA!M162,JournalsA!J$14:J$920)</f>
        <v>0</v>
      </c>
      <c r="H162" s="442"/>
      <c r="I162" s="410">
        <f t="shared" ref="I162" si="38">ROUND(D162-E162+G162+F162,0)</f>
        <v>0</v>
      </c>
      <c r="J162" s="83"/>
      <c r="K162" s="56">
        <f t="shared" ref="K162" si="39">ROUND(SUM(A162),0)</f>
        <v>0</v>
      </c>
      <c r="M162" s="196" t="str">
        <f t="shared" ref="M162" si="40">CONCATENATE(B162,C162)</f>
        <v>4820/002Deferred tax adjustment on income tax rate change</v>
      </c>
      <c r="N162" s="78"/>
      <c r="P162" s="79"/>
      <c r="Q162" s="59"/>
      <c r="R162" s="34"/>
    </row>
    <row r="163" spans="1:18" x14ac:dyDescent="0.2">
      <c r="A163" s="393"/>
      <c r="B163" s="113" t="s">
        <v>1345</v>
      </c>
      <c r="C163" s="394" t="s">
        <v>216</v>
      </c>
      <c r="D163" s="435"/>
      <c r="E163" s="434"/>
      <c r="F163" s="87"/>
      <c r="G163" s="55">
        <f>SUMIF(JournalsA!D$14:D$920,TrialBalanceA!M163,JournalsA!J$14:J$920)+SUMIF(JournalsA!E$14:E$920,TrialBalanceA!M163,JournalsA!J$14:J$920)</f>
        <v>0</v>
      </c>
      <c r="H163" s="442"/>
      <c r="I163" s="410">
        <f t="shared" si="29"/>
        <v>0</v>
      </c>
      <c r="J163" s="83"/>
      <c r="K163" s="56">
        <f t="shared" si="30"/>
        <v>0</v>
      </c>
      <c r="M163" s="196" t="str">
        <f t="shared" si="31"/>
        <v>4820/003Deferred tax adjustment previous year</v>
      </c>
      <c r="N163" s="78"/>
      <c r="P163" s="79"/>
      <c r="Q163" s="59"/>
      <c r="R163" s="34"/>
    </row>
    <row r="164" spans="1:18" x14ac:dyDescent="0.2">
      <c r="A164" s="393"/>
      <c r="B164" s="62" t="s">
        <v>217</v>
      </c>
      <c r="C164" s="397" t="s">
        <v>525</v>
      </c>
      <c r="D164" s="435"/>
      <c r="E164" s="434"/>
      <c r="F164" s="87"/>
      <c r="G164" s="55">
        <f>SUMIF(JournalsA!D$14:D$920,TrialBalanceA!M164,JournalsA!J$14:J$920)+SUMIF(JournalsA!E$14:E$920,TrialBalanceA!M164,JournalsA!J$14:J$920)</f>
        <v>0</v>
      </c>
      <c r="H164" s="442"/>
      <c r="I164" s="410">
        <f t="shared" si="29"/>
        <v>0</v>
      </c>
      <c r="J164" s="83"/>
      <c r="K164" s="56">
        <f t="shared" si="30"/>
        <v>0</v>
      </c>
      <c r="M164" s="196" t="str">
        <f t="shared" si="31"/>
        <v>4850/000Dividends declared</v>
      </c>
      <c r="N164" s="78"/>
      <c r="P164" s="79"/>
      <c r="Q164" s="59"/>
      <c r="R164" s="34"/>
    </row>
    <row r="165" spans="1:18" x14ac:dyDescent="0.2">
      <c r="A165" s="393"/>
      <c r="B165" s="62" t="s">
        <v>218</v>
      </c>
      <c r="C165" s="394" t="s">
        <v>244</v>
      </c>
      <c r="D165" s="435"/>
      <c r="E165" s="434"/>
      <c r="F165" s="87"/>
      <c r="G165" s="55">
        <f>SUMIF(JournalsA!D$14:D$920,TrialBalanceA!M165,JournalsA!J$14:J$920)+SUMIF(JournalsA!E$14:E$920,TrialBalanceA!M165,JournalsA!J$14:J$920)</f>
        <v>0</v>
      </c>
      <c r="H165" s="442"/>
      <c r="I165" s="410">
        <f t="shared" si="29"/>
        <v>0</v>
      </c>
      <c r="J165" s="83"/>
      <c r="K165" s="56">
        <f t="shared" si="30"/>
        <v>0</v>
      </c>
      <c r="M165" s="196" t="str">
        <f t="shared" si="31"/>
        <v>4860/000Dividends paid</v>
      </c>
      <c r="N165" s="78"/>
      <c r="P165" s="79"/>
      <c r="Q165" s="59"/>
      <c r="R165" s="34"/>
    </row>
    <row r="166" spans="1:18" x14ac:dyDescent="0.2">
      <c r="A166" s="393"/>
      <c r="B166" s="62" t="s">
        <v>263</v>
      </c>
      <c r="C166" s="394"/>
      <c r="D166" s="435"/>
      <c r="E166" s="427"/>
      <c r="F166" s="87"/>
      <c r="G166" s="55"/>
      <c r="H166" s="442"/>
      <c r="I166" s="410">
        <f t="shared" si="29"/>
        <v>0</v>
      </c>
      <c r="J166" s="83"/>
      <c r="K166" s="56">
        <f t="shared" si="30"/>
        <v>0</v>
      </c>
      <c r="M166" s="196">
        <v>0</v>
      </c>
      <c r="N166" s="78"/>
      <c r="P166" s="79"/>
      <c r="Q166" s="59"/>
      <c r="R166" s="34"/>
    </row>
    <row r="167" spans="1:18" x14ac:dyDescent="0.2">
      <c r="A167" s="393"/>
      <c r="B167" s="62" t="s">
        <v>263</v>
      </c>
      <c r="C167" s="394" t="s">
        <v>263</v>
      </c>
      <c r="D167" s="435"/>
      <c r="E167" s="427"/>
      <c r="F167" s="87"/>
      <c r="G167" s="55"/>
      <c r="H167" s="442"/>
      <c r="I167" s="410">
        <f t="shared" si="29"/>
        <v>0</v>
      </c>
      <c r="J167" s="83"/>
      <c r="K167" s="56">
        <f t="shared" si="30"/>
        <v>0</v>
      </c>
      <c r="M167" s="196">
        <v>0</v>
      </c>
      <c r="N167" s="78"/>
      <c r="P167" s="79"/>
      <c r="Q167" s="59"/>
      <c r="R167" s="34"/>
    </row>
    <row r="168" spans="1:18" x14ac:dyDescent="0.2">
      <c r="A168" s="393"/>
      <c r="B168" s="62" t="s">
        <v>263</v>
      </c>
      <c r="C168" s="394"/>
      <c r="D168" s="435"/>
      <c r="E168" s="427"/>
      <c r="F168" s="87"/>
      <c r="G168" s="55"/>
      <c r="H168" s="442"/>
      <c r="I168" s="410">
        <f t="shared" si="29"/>
        <v>0</v>
      </c>
      <c r="J168" s="83"/>
      <c r="K168" s="56">
        <f t="shared" si="30"/>
        <v>0</v>
      </c>
      <c r="M168" s="196">
        <v>0</v>
      </c>
      <c r="N168" s="78"/>
      <c r="P168" s="79"/>
      <c r="Q168" s="59"/>
      <c r="R168" s="34"/>
    </row>
    <row r="169" spans="1:18" x14ac:dyDescent="0.2">
      <c r="A169" s="393"/>
      <c r="B169" s="62" t="s">
        <v>539</v>
      </c>
      <c r="C169" s="396" t="s">
        <v>529</v>
      </c>
      <c r="D169" s="436"/>
      <c r="E169" s="427"/>
      <c r="F169" s="87"/>
      <c r="G169" s="55">
        <f>SUMIF(JournalsA!D$14:D$920,TrialBalanceA!M169,JournalsA!J$14:J$920)+SUMIF(JournalsA!E$14:E$920,TrialBalanceA!M169,JournalsA!J$14:J$920)</f>
        <v>0</v>
      </c>
      <c r="H169" s="442"/>
      <c r="I169" s="410">
        <f t="shared" si="29"/>
        <v>0</v>
      </c>
      <c r="J169" s="83"/>
      <c r="K169" s="56">
        <f t="shared" si="30"/>
        <v>0</v>
      </c>
      <c r="M169" s="196" t="str">
        <f t="shared" si="31"/>
        <v>5100/000SHARE CAPITAL</v>
      </c>
      <c r="N169" s="78"/>
      <c r="P169" s="79"/>
      <c r="Q169" s="59"/>
      <c r="R169" s="34"/>
    </row>
    <row r="170" spans="1:18" x14ac:dyDescent="0.2">
      <c r="A170" s="393"/>
      <c r="B170" s="62" t="s">
        <v>540</v>
      </c>
      <c r="C170" s="397" t="s">
        <v>936</v>
      </c>
      <c r="D170" s="435"/>
      <c r="E170" s="427"/>
      <c r="F170" s="87">
        <f>SUM(K170:K171)</f>
        <v>0</v>
      </c>
      <c r="G170" s="55">
        <f>SUMIF(JournalsA!D$14:D$920,TrialBalanceA!M170,JournalsA!J$14:J$920)+SUMIF(JournalsA!E$14:E$920,TrialBalanceA!M170,JournalsA!J$14:J$920)</f>
        <v>0</v>
      </c>
      <c r="H170" s="442"/>
      <c r="I170" s="410">
        <f t="shared" si="29"/>
        <v>0</v>
      </c>
      <c r="J170" s="83"/>
      <c r="K170" s="56">
        <f t="shared" si="30"/>
        <v>0</v>
      </c>
      <c r="M170" s="196" t="str">
        <f t="shared" si="31"/>
        <v>5100/001Share capital - balance b/fwd</v>
      </c>
      <c r="N170" s="78"/>
      <c r="P170" s="79"/>
      <c r="Q170" s="59"/>
      <c r="R170" s="34"/>
    </row>
    <row r="171" spans="1:18" x14ac:dyDescent="0.2">
      <c r="A171" s="393"/>
      <c r="B171" s="62" t="s">
        <v>541</v>
      </c>
      <c r="C171" s="397" t="s">
        <v>937</v>
      </c>
      <c r="D171" s="435"/>
      <c r="E171" s="427"/>
      <c r="F171" s="87"/>
      <c r="G171" s="55">
        <f>SUMIF(JournalsA!D$14:D$920,TrialBalanceA!M171,JournalsA!J$14:J$920)+SUMIF(JournalsA!E$14:E$920,TrialBalanceA!M171,JournalsA!J$14:J$920)</f>
        <v>0</v>
      </c>
      <c r="H171" s="442"/>
      <c r="I171" s="410">
        <f t="shared" si="29"/>
        <v>0</v>
      </c>
      <c r="J171" s="83"/>
      <c r="K171" s="56">
        <f t="shared" si="30"/>
        <v>0</v>
      </c>
      <c r="M171" s="196" t="str">
        <f t="shared" si="31"/>
        <v>5100/002Share capital - additions</v>
      </c>
      <c r="N171" s="78"/>
      <c r="P171" s="79"/>
      <c r="Q171" s="59"/>
      <c r="R171" s="34"/>
    </row>
    <row r="172" spans="1:18" x14ac:dyDescent="0.2">
      <c r="A172" s="393"/>
      <c r="B172" s="104" t="s">
        <v>542</v>
      </c>
      <c r="C172" s="433" t="s">
        <v>534</v>
      </c>
      <c r="D172" s="437"/>
      <c r="E172" s="427"/>
      <c r="F172" s="87"/>
      <c r="G172" s="55">
        <f>SUMIF(JournalsA!D$14:D$920,TrialBalanceA!M172,JournalsA!J$14:J$920)+SUMIF(JournalsA!E$14:E$920,TrialBalanceA!M172,JournalsA!J$14:J$920)</f>
        <v>0</v>
      </c>
      <c r="H172" s="442"/>
      <c r="I172" s="410">
        <f t="shared" ref="I172:I205" si="41">ROUND(D172-E172+G172+F172,0)</f>
        <v>0</v>
      </c>
      <c r="J172" s="83"/>
      <c r="K172" s="56">
        <f t="shared" si="30"/>
        <v>0</v>
      </c>
      <c r="M172" s="196" t="str">
        <f t="shared" si="31"/>
        <v>5110/000SHARE PREMIUM</v>
      </c>
      <c r="N172" s="78"/>
      <c r="P172" s="79"/>
      <c r="Q172" s="59"/>
      <c r="R172" s="34"/>
    </row>
    <row r="173" spans="1:18" x14ac:dyDescent="0.2">
      <c r="A173" s="393"/>
      <c r="B173" s="104" t="s">
        <v>543</v>
      </c>
      <c r="C173" s="397" t="s">
        <v>938</v>
      </c>
      <c r="D173" s="440"/>
      <c r="E173" s="427"/>
      <c r="F173" s="87">
        <f>SUM(K173:K175)</f>
        <v>0</v>
      </c>
      <c r="G173" s="55">
        <f>SUMIF(JournalsA!D$14:D$920,TrialBalanceA!M173,JournalsA!J$14:J$920)+SUMIF(JournalsA!E$14:E$920,TrialBalanceA!M173,JournalsA!J$14:J$920)</f>
        <v>0</v>
      </c>
      <c r="H173" s="442"/>
      <c r="I173" s="410">
        <f t="shared" si="41"/>
        <v>0</v>
      </c>
      <c r="J173" s="83"/>
      <c r="K173" s="56">
        <f t="shared" si="30"/>
        <v>0</v>
      </c>
      <c r="M173" s="196" t="str">
        <f t="shared" si="31"/>
        <v>5110/001Share premium - balance b/fwd</v>
      </c>
      <c r="N173" s="78"/>
      <c r="P173" s="79"/>
      <c r="Q173" s="59"/>
      <c r="R173" s="34"/>
    </row>
    <row r="174" spans="1:18" x14ac:dyDescent="0.2">
      <c r="A174" s="393"/>
      <c r="B174" s="104" t="s">
        <v>544</v>
      </c>
      <c r="C174" s="397" t="s">
        <v>939</v>
      </c>
      <c r="D174" s="440"/>
      <c r="E174" s="427"/>
      <c r="F174" s="87"/>
      <c r="G174" s="55">
        <f>SUMIF(JournalsA!D$14:D$920,TrialBalanceA!M174,JournalsA!J$14:J$920)+SUMIF(JournalsA!E$14:E$920,TrialBalanceA!M174,JournalsA!J$14:J$920)</f>
        <v>0</v>
      </c>
      <c r="H174" s="442"/>
      <c r="I174" s="410">
        <f t="shared" si="41"/>
        <v>0</v>
      </c>
      <c r="J174" s="83"/>
      <c r="K174" s="56">
        <f t="shared" si="30"/>
        <v>0</v>
      </c>
      <c r="M174" s="196" t="str">
        <f t="shared" si="31"/>
        <v>5110/002Share premium - additions</v>
      </c>
      <c r="N174" s="78"/>
      <c r="P174" s="79"/>
      <c r="Q174" s="59"/>
      <c r="R174" s="34"/>
    </row>
    <row r="175" spans="1:18" x14ac:dyDescent="0.2">
      <c r="A175" s="393"/>
      <c r="B175" s="104" t="s">
        <v>545</v>
      </c>
      <c r="C175" s="403" t="s">
        <v>546</v>
      </c>
      <c r="D175" s="440"/>
      <c r="E175" s="427"/>
      <c r="F175" s="87"/>
      <c r="G175" s="55">
        <f>SUMIF(JournalsA!D$14:D$920,TrialBalanceA!M175,JournalsA!J$14:J$920)+SUMIF(JournalsA!E$14:E$920,TrialBalanceA!M175,JournalsA!J$14:J$920)</f>
        <v>0</v>
      </c>
      <c r="H175" s="442"/>
      <c r="I175" s="410">
        <f t="shared" si="41"/>
        <v>0</v>
      </c>
      <c r="J175" s="83"/>
      <c r="K175" s="56">
        <f t="shared" si="30"/>
        <v>0</v>
      </c>
      <c r="M175" s="196" t="str">
        <f t="shared" si="31"/>
        <v>5110/003Share premium - transfer</v>
      </c>
      <c r="N175" s="78"/>
      <c r="P175" s="79"/>
      <c r="Q175" s="59"/>
      <c r="R175" s="34"/>
    </row>
    <row r="176" spans="1:18" x14ac:dyDescent="0.2">
      <c r="A176" s="393"/>
      <c r="B176" s="62" t="s">
        <v>496</v>
      </c>
      <c r="C176" s="396" t="s">
        <v>1213</v>
      </c>
      <c r="D176" s="437"/>
      <c r="E176" s="427"/>
      <c r="F176" s="87"/>
      <c r="G176" s="55">
        <f>SUMIF(JournalsA!D$14:D$920,TrialBalanceA!M176,JournalsA!J$14:J$920)+SUMIF(JournalsA!E$14:E$920,TrialBalanceA!M176,JournalsA!J$14:J$920)</f>
        <v>0</v>
      </c>
      <c r="H176" s="442"/>
      <c r="I176" s="410">
        <f t="shared" si="41"/>
        <v>0</v>
      </c>
      <c r="J176" s="83"/>
      <c r="K176" s="56">
        <f t="shared" si="30"/>
        <v>0</v>
      </c>
      <c r="M176" s="196" t="str">
        <f t="shared" si="31"/>
        <v>5120/000REVALUATION RESERVE</v>
      </c>
      <c r="N176" s="78"/>
      <c r="P176" s="79"/>
      <c r="Q176" s="59"/>
      <c r="R176" s="34"/>
    </row>
    <row r="177" spans="1:18" x14ac:dyDescent="0.2">
      <c r="A177" s="393"/>
      <c r="B177" s="62" t="s">
        <v>497</v>
      </c>
      <c r="C177" s="397" t="s">
        <v>1214</v>
      </c>
      <c r="D177" s="435"/>
      <c r="E177" s="427"/>
      <c r="F177" s="87">
        <f>SUM(K177:K179)</f>
        <v>0</v>
      </c>
      <c r="G177" s="55">
        <f>SUMIF(JournalsA!D$14:D$920,TrialBalanceA!M177,JournalsA!J$14:J$920)+SUMIF(JournalsA!E$14:E$920,TrialBalanceA!M177,JournalsA!J$14:J$920)</f>
        <v>0</v>
      </c>
      <c r="H177" s="442"/>
      <c r="I177" s="410">
        <f t="shared" si="41"/>
        <v>0</v>
      </c>
      <c r="J177" s="83"/>
      <c r="K177" s="56">
        <f t="shared" si="30"/>
        <v>0</v>
      </c>
      <c r="M177" s="196" t="str">
        <f t="shared" si="31"/>
        <v>5120/001Revaluation reserve - balance b/fwd</v>
      </c>
      <c r="N177" s="78"/>
      <c r="P177" s="79"/>
      <c r="Q177" s="59"/>
      <c r="R177" s="34"/>
    </row>
    <row r="178" spans="1:18" x14ac:dyDescent="0.2">
      <c r="A178" s="393"/>
      <c r="B178" s="62" t="s">
        <v>498</v>
      </c>
      <c r="C178" s="397" t="s">
        <v>1215</v>
      </c>
      <c r="D178" s="435"/>
      <c r="E178" s="427"/>
      <c r="F178" s="87"/>
      <c r="G178" s="55">
        <f>SUMIF(JournalsA!D$14:D$920,TrialBalanceA!M178,JournalsA!J$14:J$920)+SUMIF(JournalsA!E$14:E$920,TrialBalanceA!M178,JournalsA!J$14:J$920)</f>
        <v>0</v>
      </c>
      <c r="H178" s="442"/>
      <c r="I178" s="410">
        <f t="shared" si="41"/>
        <v>0</v>
      </c>
      <c r="J178" s="83"/>
      <c r="K178" s="56">
        <f t="shared" si="30"/>
        <v>0</v>
      </c>
      <c r="M178" s="196" t="str">
        <f t="shared" si="31"/>
        <v>5120/002Revaluation reserve - additions</v>
      </c>
      <c r="N178" s="78"/>
      <c r="P178" s="79"/>
      <c r="Q178" s="59"/>
      <c r="R178" s="34"/>
    </row>
    <row r="179" spans="1:18" x14ac:dyDescent="0.2">
      <c r="A179" s="393"/>
      <c r="B179" s="62" t="s">
        <v>499</v>
      </c>
      <c r="C179" s="397" t="s">
        <v>1216</v>
      </c>
      <c r="D179" s="435"/>
      <c r="E179" s="427"/>
      <c r="F179" s="87"/>
      <c r="G179" s="55">
        <f>SUMIF(JournalsA!D$14:D$920,TrialBalanceA!M179,JournalsA!J$14:J$920)+SUMIF(JournalsA!E$14:E$920,TrialBalanceA!M179,JournalsA!J$14:J$920)</f>
        <v>0</v>
      </c>
      <c r="H179" s="442"/>
      <c r="I179" s="410">
        <f t="shared" si="41"/>
        <v>0</v>
      </c>
      <c r="J179" s="83"/>
      <c r="K179" s="56">
        <f t="shared" si="30"/>
        <v>0</v>
      </c>
      <c r="M179" s="196" t="str">
        <f t="shared" si="31"/>
        <v>5120/003Revaluation reserve - transfer</v>
      </c>
      <c r="N179" s="78"/>
      <c r="P179" s="79"/>
      <c r="Q179" s="59"/>
      <c r="R179" s="34"/>
    </row>
    <row r="180" spans="1:18" x14ac:dyDescent="0.2">
      <c r="A180" s="393"/>
      <c r="B180" s="62" t="s">
        <v>101</v>
      </c>
      <c r="C180" s="396" t="s">
        <v>283</v>
      </c>
      <c r="D180" s="437"/>
      <c r="E180" s="427"/>
      <c r="F180" s="87"/>
      <c r="G180" s="55">
        <f>SUMIF(JournalsA!D$14:D$920,TrialBalanceA!M180,JournalsA!J$14:J$920)+SUMIF(JournalsA!E$14:E$920,TrialBalanceA!M180,JournalsA!J$14:J$920)</f>
        <v>0</v>
      </c>
      <c r="H180" s="442"/>
      <c r="I180" s="410">
        <f t="shared" si="41"/>
        <v>0</v>
      </c>
      <c r="J180" s="83"/>
      <c r="K180" s="56">
        <f t="shared" si="30"/>
        <v>0</v>
      </c>
      <c r="M180" s="196" t="str">
        <f t="shared" si="31"/>
        <v>5130/000OTHER RESERVES</v>
      </c>
      <c r="N180" s="78"/>
      <c r="P180" s="79"/>
      <c r="Q180" s="59"/>
      <c r="R180" s="34"/>
    </row>
    <row r="181" spans="1:18" x14ac:dyDescent="0.2">
      <c r="A181" s="393"/>
      <c r="B181" s="62" t="s">
        <v>284</v>
      </c>
      <c r="C181" s="397" t="s">
        <v>940</v>
      </c>
      <c r="D181" s="435"/>
      <c r="E181" s="427"/>
      <c r="F181" s="87">
        <f>SUM(K181:K183)</f>
        <v>0</v>
      </c>
      <c r="G181" s="55">
        <f>SUMIF(JournalsA!D$14:D$920,TrialBalanceA!M181,JournalsA!J$14:J$920)+SUMIF(JournalsA!E$14:E$920,TrialBalanceA!M181,JournalsA!J$14:J$920)</f>
        <v>0</v>
      </c>
      <c r="H181" s="442"/>
      <c r="I181" s="410">
        <f t="shared" si="41"/>
        <v>0</v>
      </c>
      <c r="J181" s="83"/>
      <c r="K181" s="56">
        <f t="shared" si="30"/>
        <v>0</v>
      </c>
      <c r="M181" s="196" t="str">
        <f t="shared" si="31"/>
        <v>5130/001Other reserves - balance b/fwd</v>
      </c>
      <c r="N181" s="78"/>
      <c r="P181" s="79"/>
      <c r="Q181" s="59"/>
      <c r="R181" s="34"/>
    </row>
    <row r="182" spans="1:18" x14ac:dyDescent="0.2">
      <c r="A182" s="393"/>
      <c r="B182" s="62" t="s">
        <v>285</v>
      </c>
      <c r="C182" s="397" t="s">
        <v>941</v>
      </c>
      <c r="D182" s="435"/>
      <c r="E182" s="427"/>
      <c r="F182" s="87"/>
      <c r="G182" s="55">
        <f>SUMIF(JournalsA!D$14:D$920,TrialBalanceA!M182,JournalsA!J$14:J$920)+SUMIF(JournalsA!E$14:E$920,TrialBalanceA!M182,JournalsA!J$14:J$920)</f>
        <v>0</v>
      </c>
      <c r="H182" s="442"/>
      <c r="I182" s="410">
        <f t="shared" si="41"/>
        <v>0</v>
      </c>
      <c r="J182" s="83"/>
      <c r="K182" s="56">
        <f t="shared" si="30"/>
        <v>0</v>
      </c>
      <c r="M182" s="196" t="str">
        <f t="shared" si="31"/>
        <v>5130/002Other reserves - additions</v>
      </c>
      <c r="N182" s="78"/>
      <c r="P182" s="79"/>
      <c r="Q182" s="59"/>
      <c r="R182" s="34"/>
    </row>
    <row r="183" spans="1:18" x14ac:dyDescent="0.2">
      <c r="A183" s="393"/>
      <c r="B183" s="62" t="s">
        <v>358</v>
      </c>
      <c r="C183" s="394" t="s">
        <v>423</v>
      </c>
      <c r="D183" s="435"/>
      <c r="E183" s="427"/>
      <c r="F183" s="87"/>
      <c r="G183" s="55">
        <f>SUMIF(JournalsA!D$14:D$920,TrialBalanceA!M183,JournalsA!J$14:J$920)+SUMIF(JournalsA!E$14:E$920,TrialBalanceA!M183,JournalsA!J$14:J$920)</f>
        <v>0</v>
      </c>
      <c r="H183" s="442"/>
      <c r="I183" s="410">
        <f t="shared" si="41"/>
        <v>0</v>
      </c>
      <c r="J183" s="83"/>
      <c r="K183" s="56">
        <f t="shared" si="30"/>
        <v>0</v>
      </c>
      <c r="M183" s="196" t="str">
        <f t="shared" si="31"/>
        <v>5130/003Other reserves - transfer</v>
      </c>
      <c r="N183" s="78"/>
      <c r="P183" s="79"/>
      <c r="Q183" s="59"/>
      <c r="R183" s="34"/>
    </row>
    <row r="184" spans="1:18" x14ac:dyDescent="0.2">
      <c r="A184" s="393"/>
      <c r="B184" s="62" t="s">
        <v>424</v>
      </c>
      <c r="C184" s="396" t="s">
        <v>942</v>
      </c>
      <c r="D184" s="436"/>
      <c r="E184" s="427"/>
      <c r="F184" s="87">
        <f>K184+SUM(K5:K165)</f>
        <v>0</v>
      </c>
      <c r="G184" s="55">
        <f>SUMIF(JournalsA!D$14:D$920,TrialBalanceA!M184,JournalsA!J$14:J$920)+SUMIF(JournalsA!E$14:E$920,TrialBalanceA!M184,JournalsA!J$14:J$920)</f>
        <v>0</v>
      </c>
      <c r="H184" s="442"/>
      <c r="I184" s="410">
        <f t="shared" si="41"/>
        <v>0</v>
      </c>
      <c r="J184" s="83"/>
      <c r="K184" s="56">
        <f t="shared" si="30"/>
        <v>0</v>
      </c>
      <c r="M184" s="196" t="str">
        <f t="shared" si="31"/>
        <v>5200/000(Retained income) / Accumulated loss</v>
      </c>
      <c r="N184" s="78"/>
      <c r="P184" s="79"/>
      <c r="Q184" s="59"/>
      <c r="R184" s="34"/>
    </row>
    <row r="185" spans="1:18" x14ac:dyDescent="0.2">
      <c r="A185" s="393"/>
      <c r="B185" s="62" t="s">
        <v>143</v>
      </c>
      <c r="C185" s="396" t="s">
        <v>144</v>
      </c>
      <c r="D185" s="436"/>
      <c r="E185" s="427"/>
      <c r="F185" s="87"/>
      <c r="G185" s="55">
        <f>SUMIF(JournalsA!D$14:D$920,TrialBalanceA!M185,JournalsA!J$14:J$920)+SUMIF(JournalsA!E$14:E$920,TrialBalanceA!M185,JournalsA!J$14:J$920)</f>
        <v>0</v>
      </c>
      <c r="H185" s="442"/>
      <c r="I185" s="410">
        <f t="shared" si="41"/>
        <v>0</v>
      </c>
      <c r="J185" s="83"/>
      <c r="K185" s="56">
        <f t="shared" si="30"/>
        <v>0</v>
      </c>
      <c r="M185" s="196" t="str">
        <f t="shared" si="31"/>
        <v>5500/000LONG TERM  INTEREST LIABILITIES</v>
      </c>
      <c r="N185" s="78"/>
      <c r="P185" s="79"/>
      <c r="Q185" s="59"/>
      <c r="R185" s="34"/>
    </row>
    <row r="186" spans="1:18" x14ac:dyDescent="0.2">
      <c r="A186" s="393"/>
      <c r="B186" s="62" t="s">
        <v>145</v>
      </c>
      <c r="C186" s="429">
        <f>TrialBalance!C186</f>
        <v>0</v>
      </c>
      <c r="D186" s="434"/>
      <c r="E186" s="427"/>
      <c r="F186" s="87">
        <f>K186</f>
        <v>0</v>
      </c>
      <c r="G186" s="55">
        <f>SUMIF(JournalsA!D$14:D$920,TrialBalanceA!M186,JournalsA!J$14:J$920)+SUMIF(JournalsA!E$14:E$920,TrialBalanceA!M186,JournalsA!J$14:J$920)</f>
        <v>0</v>
      </c>
      <c r="H186" s="442"/>
      <c r="I186" s="410">
        <f t="shared" si="41"/>
        <v>0</v>
      </c>
      <c r="J186" s="83"/>
      <c r="K186" s="56">
        <f t="shared" si="30"/>
        <v>0</v>
      </c>
      <c r="M186" s="196" t="str">
        <f t="shared" si="31"/>
        <v>5500/0010</v>
      </c>
      <c r="N186" s="78"/>
      <c r="P186" s="79"/>
      <c r="Q186" s="59"/>
      <c r="R186" s="34"/>
    </row>
    <row r="187" spans="1:18" x14ac:dyDescent="0.2">
      <c r="A187" s="393"/>
      <c r="B187" s="62" t="s">
        <v>146</v>
      </c>
      <c r="C187" s="429">
        <f>TrialBalance!C187</f>
        <v>0</v>
      </c>
      <c r="D187" s="435"/>
      <c r="E187" s="427"/>
      <c r="F187" s="87">
        <f>K187</f>
        <v>0</v>
      </c>
      <c r="G187" s="55">
        <f>SUMIF(JournalsA!D$14:D$920,TrialBalanceA!M187,JournalsA!J$14:J$920)+SUMIF(JournalsA!E$14:E$920,TrialBalanceA!M187,JournalsA!J$14:J$920)</f>
        <v>0</v>
      </c>
      <c r="H187" s="442"/>
      <c r="I187" s="410">
        <f t="shared" si="41"/>
        <v>0</v>
      </c>
      <c r="J187" s="83"/>
      <c r="K187" s="56">
        <f t="shared" si="30"/>
        <v>0</v>
      </c>
      <c r="M187" s="196" t="str">
        <f t="shared" si="31"/>
        <v>5500/0020</v>
      </c>
      <c r="N187" s="78"/>
      <c r="P187" s="79"/>
      <c r="Q187" s="59"/>
      <c r="R187" s="34"/>
    </row>
    <row r="188" spans="1:18" x14ac:dyDescent="0.2">
      <c r="A188" s="393"/>
      <c r="B188" s="62" t="s">
        <v>147</v>
      </c>
      <c r="C188" s="429">
        <f>TrialBalance!C188</f>
        <v>0</v>
      </c>
      <c r="D188" s="435"/>
      <c r="E188" s="427"/>
      <c r="F188" s="87">
        <f>K188</f>
        <v>0</v>
      </c>
      <c r="G188" s="55">
        <f>SUMIF(JournalsA!D$14:D$920,TrialBalanceA!M188,JournalsA!J$14:J$920)+SUMIF(JournalsA!E$14:E$920,TrialBalanceA!M188,JournalsA!J$14:J$920)</f>
        <v>0</v>
      </c>
      <c r="H188" s="442"/>
      <c r="I188" s="410">
        <f t="shared" si="41"/>
        <v>0</v>
      </c>
      <c r="J188" s="83"/>
      <c r="K188" s="56">
        <f t="shared" si="30"/>
        <v>0</v>
      </c>
      <c r="M188" s="196" t="str">
        <f t="shared" si="31"/>
        <v>5500/0030</v>
      </c>
      <c r="N188" s="78"/>
      <c r="P188" s="79"/>
      <c r="Q188" s="59"/>
      <c r="R188" s="34"/>
    </row>
    <row r="189" spans="1:18" x14ac:dyDescent="0.2">
      <c r="A189" s="393"/>
      <c r="B189" s="62" t="s">
        <v>148</v>
      </c>
      <c r="C189" s="429">
        <f>TrialBalance!C189</f>
        <v>0</v>
      </c>
      <c r="D189" s="435"/>
      <c r="E189" s="427"/>
      <c r="F189" s="87">
        <f>K189</f>
        <v>0</v>
      </c>
      <c r="G189" s="55">
        <f>SUMIF(JournalsA!D$14:D$920,TrialBalanceA!M189,JournalsA!J$14:J$920)+SUMIF(JournalsA!E$14:E$920,TrialBalanceA!M189,JournalsA!J$14:J$920)</f>
        <v>0</v>
      </c>
      <c r="H189" s="442"/>
      <c r="I189" s="410">
        <f t="shared" si="41"/>
        <v>0</v>
      </c>
      <c r="J189" s="83"/>
      <c r="K189" s="56">
        <f t="shared" si="30"/>
        <v>0</v>
      </c>
      <c r="M189" s="196" t="str">
        <f t="shared" si="31"/>
        <v>5500/0040</v>
      </c>
      <c r="N189" s="78"/>
      <c r="P189" s="79"/>
      <c r="Q189" s="59"/>
      <c r="R189" s="34"/>
    </row>
    <row r="190" spans="1:18" x14ac:dyDescent="0.2">
      <c r="A190" s="393"/>
      <c r="B190" s="62" t="s">
        <v>149</v>
      </c>
      <c r="C190" s="429">
        <f>TrialBalance!C190</f>
        <v>0</v>
      </c>
      <c r="D190" s="435"/>
      <c r="E190" s="427"/>
      <c r="F190" s="87">
        <f>K190</f>
        <v>0</v>
      </c>
      <c r="G190" s="55">
        <f>SUMIF(JournalsA!D$14:D$920,TrialBalanceA!M190,JournalsA!J$14:J$920)+SUMIF(JournalsA!E$14:E$920,TrialBalanceA!M190,JournalsA!J$14:J$920)</f>
        <v>0</v>
      </c>
      <c r="H190" s="442"/>
      <c r="I190" s="410">
        <f t="shared" si="41"/>
        <v>0</v>
      </c>
      <c r="J190" s="83"/>
      <c r="K190" s="56">
        <f t="shared" si="30"/>
        <v>0</v>
      </c>
      <c r="M190" s="196" t="str">
        <f t="shared" si="31"/>
        <v>5500/0050</v>
      </c>
      <c r="N190" s="78"/>
      <c r="P190" s="79"/>
      <c r="Q190" s="59"/>
      <c r="R190" s="34"/>
    </row>
    <row r="191" spans="1:18" x14ac:dyDescent="0.2">
      <c r="A191" s="393"/>
      <c r="B191" s="113" t="s">
        <v>654</v>
      </c>
      <c r="C191" s="429">
        <f>TrialBalance!C191</f>
        <v>0</v>
      </c>
      <c r="D191" s="435"/>
      <c r="E191" s="427"/>
      <c r="F191" s="87">
        <f t="shared" ref="F191:F216" si="42">K191</f>
        <v>0</v>
      </c>
      <c r="G191" s="55">
        <f>SUMIF(JournalsA!D$14:D$920,TrialBalanceA!M191,JournalsA!J$14:J$920)+SUMIF(JournalsA!E$14:E$920,TrialBalanceA!M191,JournalsA!J$14:J$920)</f>
        <v>0</v>
      </c>
      <c r="H191" s="442"/>
      <c r="I191" s="410">
        <f t="shared" si="41"/>
        <v>0</v>
      </c>
      <c r="J191" s="83"/>
      <c r="K191" s="56">
        <f t="shared" si="30"/>
        <v>0</v>
      </c>
      <c r="M191" s="196" t="str">
        <f t="shared" si="31"/>
        <v>5500/0060</v>
      </c>
      <c r="N191" s="78"/>
      <c r="P191" s="79"/>
      <c r="Q191" s="59"/>
      <c r="R191" s="34"/>
    </row>
    <row r="192" spans="1:18" x14ac:dyDescent="0.2">
      <c r="A192" s="393"/>
      <c r="B192" s="113" t="s">
        <v>655</v>
      </c>
      <c r="C192" s="429">
        <f>TrialBalance!C192</f>
        <v>0</v>
      </c>
      <c r="D192" s="435"/>
      <c r="E192" s="427"/>
      <c r="F192" s="87">
        <f t="shared" si="42"/>
        <v>0</v>
      </c>
      <c r="G192" s="55">
        <f>SUMIF(JournalsA!D$14:D$920,TrialBalanceA!M192,JournalsA!J$14:J$920)+SUMIF(JournalsA!E$14:E$920,TrialBalanceA!M192,JournalsA!J$14:J$920)</f>
        <v>0</v>
      </c>
      <c r="H192" s="442"/>
      <c r="I192" s="410">
        <f t="shared" si="41"/>
        <v>0</v>
      </c>
      <c r="J192" s="83"/>
      <c r="K192" s="56">
        <f t="shared" si="30"/>
        <v>0</v>
      </c>
      <c r="M192" s="196" t="str">
        <f t="shared" si="31"/>
        <v>5500/0070</v>
      </c>
      <c r="N192" s="78"/>
      <c r="P192" s="79"/>
      <c r="Q192" s="59"/>
      <c r="R192" s="34"/>
    </row>
    <row r="193" spans="1:18" x14ac:dyDescent="0.2">
      <c r="A193" s="393"/>
      <c r="B193" s="113" t="s">
        <v>656</v>
      </c>
      <c r="C193" s="429">
        <f>TrialBalance!C193</f>
        <v>0</v>
      </c>
      <c r="D193" s="435"/>
      <c r="E193" s="427"/>
      <c r="F193" s="87">
        <f t="shared" si="42"/>
        <v>0</v>
      </c>
      <c r="G193" s="55">
        <f>SUMIF(JournalsA!D$14:D$920,TrialBalanceA!M193,JournalsA!J$14:J$920)+SUMIF(JournalsA!E$14:E$920,TrialBalanceA!M193,JournalsA!J$14:J$920)</f>
        <v>0</v>
      </c>
      <c r="H193" s="442"/>
      <c r="I193" s="410">
        <f t="shared" si="41"/>
        <v>0</v>
      </c>
      <c r="J193" s="83"/>
      <c r="K193" s="56">
        <f t="shared" si="30"/>
        <v>0</v>
      </c>
      <c r="M193" s="196" t="str">
        <f t="shared" si="31"/>
        <v>5500/0080</v>
      </c>
      <c r="N193" s="78"/>
      <c r="P193" s="79"/>
      <c r="Q193" s="59"/>
      <c r="R193" s="34"/>
    </row>
    <row r="194" spans="1:18" x14ac:dyDescent="0.2">
      <c r="A194" s="393"/>
      <c r="B194" s="113" t="s">
        <v>657</v>
      </c>
      <c r="C194" s="429">
        <f>TrialBalance!C194</f>
        <v>0</v>
      </c>
      <c r="D194" s="437"/>
      <c r="E194" s="427"/>
      <c r="F194" s="87">
        <f t="shared" si="42"/>
        <v>0</v>
      </c>
      <c r="G194" s="55">
        <f>SUMIF(JournalsA!D$14:D$920,TrialBalanceA!M194,JournalsA!J$14:J$920)+SUMIF(JournalsA!E$14:E$920,TrialBalanceA!M194,JournalsA!J$14:J$920)</f>
        <v>0</v>
      </c>
      <c r="H194" s="442"/>
      <c r="I194" s="410">
        <f t="shared" si="41"/>
        <v>0</v>
      </c>
      <c r="J194" s="83"/>
      <c r="K194" s="56">
        <f t="shared" si="30"/>
        <v>0</v>
      </c>
      <c r="M194" s="196" t="str">
        <f t="shared" si="31"/>
        <v>5500/0090</v>
      </c>
      <c r="N194" s="78"/>
      <c r="P194" s="79"/>
      <c r="Q194" s="59"/>
      <c r="R194" s="34"/>
    </row>
    <row r="195" spans="1:18" x14ac:dyDescent="0.2">
      <c r="A195" s="393"/>
      <c r="B195" s="113" t="s">
        <v>658</v>
      </c>
      <c r="C195" s="429">
        <f>TrialBalance!C195</f>
        <v>0</v>
      </c>
      <c r="D195" s="437"/>
      <c r="E195" s="427"/>
      <c r="F195" s="87">
        <f t="shared" si="42"/>
        <v>0</v>
      </c>
      <c r="G195" s="55">
        <f>SUMIF(JournalsA!D$14:D$920,TrialBalanceA!M195,JournalsA!J$14:J$920)+SUMIF(JournalsA!E$14:E$920,TrialBalanceA!M195,JournalsA!J$14:J$920)</f>
        <v>0</v>
      </c>
      <c r="H195" s="442"/>
      <c r="I195" s="410">
        <f t="shared" si="41"/>
        <v>0</v>
      </c>
      <c r="J195" s="83"/>
      <c r="K195" s="56">
        <f t="shared" si="30"/>
        <v>0</v>
      </c>
      <c r="M195" s="196" t="str">
        <f t="shared" si="31"/>
        <v>5500/0100</v>
      </c>
      <c r="N195" s="78"/>
      <c r="P195" s="79"/>
      <c r="Q195" s="59"/>
      <c r="R195" s="34"/>
    </row>
    <row r="196" spans="1:18" x14ac:dyDescent="0.2">
      <c r="A196" s="393"/>
      <c r="B196" s="113" t="s">
        <v>659</v>
      </c>
      <c r="C196" s="429">
        <f>TrialBalance!C196</f>
        <v>0</v>
      </c>
      <c r="D196" s="435"/>
      <c r="E196" s="427"/>
      <c r="F196" s="87">
        <f t="shared" si="42"/>
        <v>0</v>
      </c>
      <c r="G196" s="55">
        <f>SUMIF(JournalsA!D$14:D$920,TrialBalanceA!M196,JournalsA!J$14:J$920)+SUMIF(JournalsA!E$14:E$920,TrialBalanceA!M196,JournalsA!J$14:J$920)</f>
        <v>0</v>
      </c>
      <c r="H196" s="442"/>
      <c r="I196" s="410">
        <f t="shared" si="41"/>
        <v>0</v>
      </c>
      <c r="J196" s="83"/>
      <c r="K196" s="56">
        <f t="shared" si="30"/>
        <v>0</v>
      </c>
      <c r="M196" s="196" t="str">
        <f t="shared" si="31"/>
        <v>5500/0110</v>
      </c>
      <c r="N196" s="78"/>
      <c r="P196" s="79"/>
      <c r="Q196" s="59"/>
      <c r="R196" s="34"/>
    </row>
    <row r="197" spans="1:18" x14ac:dyDescent="0.2">
      <c r="A197" s="393"/>
      <c r="B197" s="113" t="s">
        <v>660</v>
      </c>
      <c r="C197" s="429">
        <f>TrialBalance!C197</f>
        <v>0</v>
      </c>
      <c r="D197" s="435"/>
      <c r="E197" s="435"/>
      <c r="F197" s="87">
        <f t="shared" si="42"/>
        <v>0</v>
      </c>
      <c r="G197" s="55">
        <f>SUMIF(JournalsA!D$14:D$920,TrialBalanceA!M197,JournalsA!J$14:J$920)+SUMIF(JournalsA!E$14:E$920,TrialBalanceA!M197,JournalsA!J$14:J$920)</f>
        <v>0</v>
      </c>
      <c r="H197" s="442"/>
      <c r="I197" s="410">
        <f t="shared" si="41"/>
        <v>0</v>
      </c>
      <c r="J197" s="83"/>
      <c r="K197" s="56">
        <f t="shared" si="30"/>
        <v>0</v>
      </c>
      <c r="M197" s="196" t="str">
        <f t="shared" si="31"/>
        <v>5500/0120</v>
      </c>
      <c r="N197" s="78"/>
      <c r="P197" s="79"/>
      <c r="Q197" s="59"/>
      <c r="R197" s="34"/>
    </row>
    <row r="198" spans="1:18" x14ac:dyDescent="0.2">
      <c r="A198" s="393"/>
      <c r="B198" s="113" t="s">
        <v>661</v>
      </c>
      <c r="C198" s="429">
        <f>TrialBalance!C198</f>
        <v>0</v>
      </c>
      <c r="D198" s="435"/>
      <c r="E198" s="435"/>
      <c r="F198" s="87">
        <f t="shared" ref="F198:F199" si="43">K198</f>
        <v>0</v>
      </c>
      <c r="G198" s="55">
        <f>SUMIF(JournalsA!D$14:D$920,TrialBalanceA!M198,JournalsA!J$14:J$920)+SUMIF(JournalsA!E$14:E$920,TrialBalanceA!M198,JournalsA!J$14:J$920)</f>
        <v>0</v>
      </c>
      <c r="H198" s="442"/>
      <c r="I198" s="410">
        <f t="shared" ref="I198:I199" si="44">ROUND(D198-E198+G198+F198,0)</f>
        <v>0</v>
      </c>
      <c r="J198" s="83"/>
      <c r="K198" s="56">
        <f t="shared" ref="K198:K199" si="45">ROUND(SUM(A198),0)</f>
        <v>0</v>
      </c>
      <c r="M198" s="196" t="str">
        <f t="shared" ref="M198:M199" si="46">CONCATENATE(B198,C198)</f>
        <v>5500/0130</v>
      </c>
      <c r="N198" s="78"/>
      <c r="P198" s="79"/>
      <c r="Q198" s="59"/>
      <c r="R198" s="34"/>
    </row>
    <row r="199" spans="1:18" x14ac:dyDescent="0.2">
      <c r="A199" s="393"/>
      <c r="B199" s="113" t="s">
        <v>715</v>
      </c>
      <c r="C199" s="429">
        <f>TrialBalance!C199</f>
        <v>0</v>
      </c>
      <c r="D199" s="435"/>
      <c r="E199" s="435"/>
      <c r="F199" s="87">
        <f t="shared" si="43"/>
        <v>0</v>
      </c>
      <c r="G199" s="55">
        <f>SUMIF(JournalsA!D$14:D$920,TrialBalanceA!M199,JournalsA!J$14:J$920)+SUMIF(JournalsA!E$14:E$920,TrialBalanceA!M199,JournalsA!J$14:J$920)</f>
        <v>0</v>
      </c>
      <c r="H199" s="442"/>
      <c r="I199" s="410">
        <f t="shared" si="44"/>
        <v>0</v>
      </c>
      <c r="J199" s="83"/>
      <c r="K199" s="56">
        <f t="shared" si="45"/>
        <v>0</v>
      </c>
      <c r="M199" s="196" t="str">
        <f t="shared" si="46"/>
        <v>5500/0140</v>
      </c>
      <c r="N199" s="78"/>
      <c r="P199" s="79"/>
      <c r="Q199" s="59"/>
      <c r="R199" s="34"/>
    </row>
    <row r="200" spans="1:18" x14ac:dyDescent="0.2">
      <c r="A200" s="393"/>
      <c r="B200" s="113" t="s">
        <v>716</v>
      </c>
      <c r="C200" s="429">
        <f>TrialBalance!C200</f>
        <v>0</v>
      </c>
      <c r="D200" s="437"/>
      <c r="E200" s="427"/>
      <c r="F200" s="87">
        <f t="shared" si="42"/>
        <v>0</v>
      </c>
      <c r="G200" s="55">
        <f>SUMIF(JournalsA!D$14:D$920,TrialBalanceA!M200,JournalsA!J$14:J$920)+SUMIF(JournalsA!E$14:E$920,TrialBalanceA!M200,JournalsA!J$14:J$920)</f>
        <v>0</v>
      </c>
      <c r="H200" s="442"/>
      <c r="I200" s="410">
        <f t="shared" si="41"/>
        <v>0</v>
      </c>
      <c r="J200" s="83"/>
      <c r="K200" s="56">
        <f t="shared" si="30"/>
        <v>0</v>
      </c>
      <c r="M200" s="196" t="str">
        <f t="shared" si="31"/>
        <v>5500/0150</v>
      </c>
      <c r="N200" s="78"/>
      <c r="P200" s="79"/>
      <c r="Q200" s="59"/>
      <c r="R200" s="34"/>
    </row>
    <row r="201" spans="1:18" x14ac:dyDescent="0.2">
      <c r="A201" s="393"/>
      <c r="B201" s="62" t="s">
        <v>150</v>
      </c>
      <c r="C201" s="394" t="s">
        <v>288</v>
      </c>
      <c r="D201" s="435"/>
      <c r="E201" s="427"/>
      <c r="F201" s="87">
        <f t="shared" si="42"/>
        <v>0</v>
      </c>
      <c r="G201" s="55">
        <f>SUMIF(JournalsA!D$14:D$920,TrialBalanceA!M201,JournalsA!J$14:J$920)+SUMIF(JournalsA!E$14:E$920,TrialBalanceA!M201,JournalsA!J$14:J$920)</f>
        <v>0</v>
      </c>
      <c r="H201" s="442"/>
      <c r="I201" s="410">
        <f t="shared" si="41"/>
        <v>0</v>
      </c>
      <c r="J201" s="83"/>
      <c r="K201" s="56">
        <f t="shared" si="30"/>
        <v>0</v>
      </c>
      <c r="M201" s="196" t="str">
        <f t="shared" si="31"/>
        <v>5520/000Short term portion of long term loans</v>
      </c>
      <c r="N201" s="78"/>
      <c r="P201" s="79"/>
      <c r="Q201" s="59"/>
      <c r="R201" s="34"/>
    </row>
    <row r="202" spans="1:18" x14ac:dyDescent="0.2">
      <c r="A202" s="393"/>
      <c r="B202" s="62" t="s">
        <v>152</v>
      </c>
      <c r="C202" s="396" t="s">
        <v>153</v>
      </c>
      <c r="D202" s="436"/>
      <c r="E202" s="427"/>
      <c r="F202" s="87">
        <f t="shared" si="42"/>
        <v>0</v>
      </c>
      <c r="G202" s="55">
        <f>SUMIF(JournalsA!D$14:D$920,TrialBalanceA!M202,JournalsA!J$14:J$920)+SUMIF(JournalsA!E$14:E$920,TrialBalanceA!M202,JournalsA!J$14:J$920)</f>
        <v>0</v>
      </c>
      <c r="H202" s="442"/>
      <c r="I202" s="410">
        <f t="shared" si="41"/>
        <v>0</v>
      </c>
      <c r="J202" s="83"/>
      <c r="K202" s="56">
        <f t="shared" si="30"/>
        <v>0</v>
      </c>
      <c r="M202" s="196" t="str">
        <f t="shared" si="31"/>
        <v>5550/000LONG TERM INTEREST FREE LOANS</v>
      </c>
      <c r="N202" s="78"/>
      <c r="P202" s="79"/>
      <c r="Q202" s="59"/>
      <c r="R202" s="34"/>
    </row>
    <row r="203" spans="1:18" x14ac:dyDescent="0.2">
      <c r="A203" s="393"/>
      <c r="B203" s="62" t="s">
        <v>154</v>
      </c>
      <c r="C203" s="429">
        <f>TrialBalance!C203</f>
        <v>0</v>
      </c>
      <c r="D203" s="437"/>
      <c r="E203" s="437"/>
      <c r="F203" s="87">
        <f t="shared" si="42"/>
        <v>0</v>
      </c>
      <c r="G203" s="55">
        <f>SUMIF(JournalsA!D$14:D$920,TrialBalanceA!M203,JournalsA!J$14:J$920)+SUMIF(JournalsA!E$14:E$920,TrialBalanceA!M203,JournalsA!J$14:J$920)</f>
        <v>0</v>
      </c>
      <c r="H203" s="442"/>
      <c r="I203" s="410">
        <f t="shared" si="41"/>
        <v>0</v>
      </c>
      <c r="J203" s="114"/>
      <c r="K203" s="56">
        <f t="shared" si="30"/>
        <v>0</v>
      </c>
      <c r="M203" s="196" t="str">
        <f t="shared" si="31"/>
        <v>5550/0010</v>
      </c>
      <c r="N203" s="78"/>
      <c r="P203" s="79"/>
      <c r="Q203" s="59"/>
      <c r="R203" s="34"/>
    </row>
    <row r="204" spans="1:18" x14ac:dyDescent="0.2">
      <c r="A204" s="393"/>
      <c r="B204" s="62" t="s">
        <v>155</v>
      </c>
      <c r="C204" s="429">
        <f>TrialBalance!C204</f>
        <v>0</v>
      </c>
      <c r="D204" s="437"/>
      <c r="E204" s="435"/>
      <c r="F204" s="87">
        <f t="shared" si="42"/>
        <v>0</v>
      </c>
      <c r="G204" s="55">
        <f>SUMIF(JournalsA!D$14:D$920,TrialBalanceA!M204,JournalsA!J$14:J$920)+SUMIF(JournalsA!E$14:E$920,TrialBalanceA!M204,JournalsA!J$14:J$920)</f>
        <v>0</v>
      </c>
      <c r="H204" s="442"/>
      <c r="I204" s="410">
        <f t="shared" si="41"/>
        <v>0</v>
      </c>
      <c r="J204" s="83"/>
      <c r="K204" s="56">
        <f t="shared" si="30"/>
        <v>0</v>
      </c>
      <c r="M204" s="196" t="str">
        <f t="shared" si="31"/>
        <v>5550/0020</v>
      </c>
      <c r="N204" s="78"/>
      <c r="P204" s="79"/>
      <c r="Q204" s="59"/>
      <c r="R204" s="34"/>
    </row>
    <row r="205" spans="1:18" x14ac:dyDescent="0.2">
      <c r="A205" s="393"/>
      <c r="B205" s="62" t="s">
        <v>156</v>
      </c>
      <c r="C205" s="429">
        <f>TrialBalance!C205</f>
        <v>0</v>
      </c>
      <c r="D205" s="437"/>
      <c r="E205" s="437"/>
      <c r="F205" s="87">
        <f t="shared" si="42"/>
        <v>0</v>
      </c>
      <c r="G205" s="55">
        <f>SUMIF(JournalsA!D$14:D$920,TrialBalanceA!M205,JournalsA!J$14:J$920)+SUMIF(JournalsA!E$14:E$920,TrialBalanceA!M205,JournalsA!J$14:J$920)</f>
        <v>0</v>
      </c>
      <c r="H205" s="442"/>
      <c r="I205" s="410">
        <f t="shared" si="41"/>
        <v>0</v>
      </c>
      <c r="J205" s="114"/>
      <c r="K205" s="56">
        <f t="shared" si="30"/>
        <v>0</v>
      </c>
      <c r="M205" s="196" t="str">
        <f t="shared" si="31"/>
        <v>5550/0030</v>
      </c>
      <c r="N205" s="78"/>
      <c r="P205" s="79"/>
      <c r="Q205" s="59"/>
      <c r="R205" s="34"/>
    </row>
    <row r="206" spans="1:18" x14ac:dyDescent="0.2">
      <c r="A206" s="393"/>
      <c r="B206" s="62" t="s">
        <v>157</v>
      </c>
      <c r="C206" s="429">
        <f>TrialBalance!C206</f>
        <v>0</v>
      </c>
      <c r="D206" s="437"/>
      <c r="E206" s="437"/>
      <c r="F206" s="87">
        <f t="shared" si="42"/>
        <v>0</v>
      </c>
      <c r="G206" s="55">
        <f>SUMIF(JournalsA!D$14:D$920,TrialBalanceA!M206,JournalsA!J$14:J$920)+SUMIF(JournalsA!E$14:E$920,TrialBalanceA!M206,JournalsA!J$14:J$920)</f>
        <v>0</v>
      </c>
      <c r="H206" s="442"/>
      <c r="I206" s="410">
        <f t="shared" ref="I206:I253" si="47">ROUND(D206-E206+G206+F206,0)</f>
        <v>0</v>
      </c>
      <c r="J206" s="114"/>
      <c r="K206" s="56">
        <f t="shared" si="30"/>
        <v>0</v>
      </c>
      <c r="M206" s="196" t="str">
        <f t="shared" si="31"/>
        <v>5550/0040</v>
      </c>
      <c r="N206" s="78"/>
      <c r="P206" s="79"/>
      <c r="Q206" s="59"/>
      <c r="R206" s="34"/>
    </row>
    <row r="207" spans="1:18" x14ac:dyDescent="0.2">
      <c r="A207" s="393"/>
      <c r="B207" s="62" t="s">
        <v>158</v>
      </c>
      <c r="C207" s="429">
        <f>TrialBalance!C207</f>
        <v>0</v>
      </c>
      <c r="D207" s="435"/>
      <c r="E207" s="427"/>
      <c r="F207" s="87">
        <f t="shared" si="42"/>
        <v>0</v>
      </c>
      <c r="G207" s="55">
        <f>SUMIF(JournalsA!D$14:D$920,TrialBalanceA!M207,JournalsA!J$14:J$920)+SUMIF(JournalsA!E$14:E$920,TrialBalanceA!M207,JournalsA!J$14:J$920)</f>
        <v>0</v>
      </c>
      <c r="H207" s="442"/>
      <c r="I207" s="410">
        <f t="shared" si="47"/>
        <v>0</v>
      </c>
      <c r="J207" s="83"/>
      <c r="K207" s="56">
        <f t="shared" si="30"/>
        <v>0</v>
      </c>
      <c r="M207" s="196" t="str">
        <f t="shared" si="31"/>
        <v>5550/0050</v>
      </c>
      <c r="N207" s="78"/>
      <c r="P207" s="79"/>
      <c r="Q207" s="59"/>
      <c r="R207" s="34"/>
    </row>
    <row r="208" spans="1:18" x14ac:dyDescent="0.2">
      <c r="A208" s="393"/>
      <c r="B208" s="113" t="s">
        <v>684</v>
      </c>
      <c r="C208" s="429">
        <f>TrialBalance!C208</f>
        <v>0</v>
      </c>
      <c r="D208" s="435"/>
      <c r="E208" s="427"/>
      <c r="F208" s="87">
        <f t="shared" si="42"/>
        <v>0</v>
      </c>
      <c r="G208" s="55">
        <f>SUMIF(JournalsA!D$14:D$920,TrialBalanceA!M208,JournalsA!J$14:J$920)+SUMIF(JournalsA!E$14:E$920,TrialBalanceA!M208,JournalsA!J$14:J$920)</f>
        <v>0</v>
      </c>
      <c r="H208" s="442"/>
      <c r="I208" s="410">
        <f t="shared" si="47"/>
        <v>0</v>
      </c>
      <c r="J208" s="114"/>
      <c r="K208" s="56">
        <f t="shared" ref="K208:K283" si="48">ROUND(SUM(A208),0)</f>
        <v>0</v>
      </c>
      <c r="M208" s="196" t="str">
        <f t="shared" ref="M208:M283" si="49">CONCATENATE(B208,C208)</f>
        <v>5550/0060</v>
      </c>
      <c r="N208" s="78"/>
      <c r="P208" s="79"/>
      <c r="Q208" s="59"/>
      <c r="R208" s="34"/>
    </row>
    <row r="209" spans="1:18" x14ac:dyDescent="0.2">
      <c r="A209" s="393"/>
      <c r="B209" s="113" t="s">
        <v>685</v>
      </c>
      <c r="C209" s="429">
        <f>TrialBalance!C209</f>
        <v>0</v>
      </c>
      <c r="D209" s="437"/>
      <c r="E209" s="427"/>
      <c r="F209" s="87">
        <f t="shared" si="42"/>
        <v>0</v>
      </c>
      <c r="G209" s="55">
        <f>SUMIF(JournalsA!D$14:D$920,TrialBalanceA!M209,JournalsA!J$14:J$920)+SUMIF(JournalsA!E$14:E$920,TrialBalanceA!M209,JournalsA!J$14:J$920)</f>
        <v>0</v>
      </c>
      <c r="H209" s="442"/>
      <c r="I209" s="410">
        <f t="shared" si="47"/>
        <v>0</v>
      </c>
      <c r="J209" s="114"/>
      <c r="K209" s="56">
        <f t="shared" si="48"/>
        <v>0</v>
      </c>
      <c r="M209" s="196" t="str">
        <f t="shared" si="49"/>
        <v>5550/0070</v>
      </c>
      <c r="N209" s="78"/>
      <c r="P209" s="79"/>
      <c r="Q209" s="59"/>
      <c r="R209" s="34"/>
    </row>
    <row r="210" spans="1:18" x14ac:dyDescent="0.2">
      <c r="A210" s="393"/>
      <c r="B210" s="113" t="s">
        <v>686</v>
      </c>
      <c r="C210" s="429">
        <f>TrialBalance!C210</f>
        <v>0</v>
      </c>
      <c r="D210" s="437"/>
      <c r="E210" s="437"/>
      <c r="F210" s="87">
        <f t="shared" si="42"/>
        <v>0</v>
      </c>
      <c r="G210" s="55">
        <f>SUMIF(JournalsA!D$14:D$920,TrialBalanceA!M210,JournalsA!J$14:J$920)+SUMIF(JournalsA!E$14:E$920,TrialBalanceA!M210,JournalsA!J$14:J$920)</f>
        <v>0</v>
      </c>
      <c r="H210" s="442"/>
      <c r="I210" s="410">
        <f t="shared" si="47"/>
        <v>0</v>
      </c>
      <c r="J210" s="83"/>
      <c r="K210" s="56">
        <f t="shared" si="48"/>
        <v>0</v>
      </c>
      <c r="M210" s="196" t="str">
        <f t="shared" si="49"/>
        <v>5550/0080</v>
      </c>
      <c r="N210" s="78"/>
      <c r="P210" s="79"/>
      <c r="Q210" s="59"/>
      <c r="R210" s="34"/>
    </row>
    <row r="211" spans="1:18" x14ac:dyDescent="0.2">
      <c r="A211" s="393"/>
      <c r="B211" s="113" t="s">
        <v>687</v>
      </c>
      <c r="C211" s="429">
        <f>TrialBalance!C211</f>
        <v>0</v>
      </c>
      <c r="D211" s="437"/>
      <c r="E211" s="437"/>
      <c r="F211" s="87">
        <f t="shared" si="42"/>
        <v>0</v>
      </c>
      <c r="G211" s="55">
        <f>SUMIF(JournalsA!D$14:D$920,TrialBalanceA!M211,JournalsA!J$14:J$920)+SUMIF(JournalsA!E$14:E$920,TrialBalanceA!M211,JournalsA!J$14:J$920)</f>
        <v>0</v>
      </c>
      <c r="H211" s="442"/>
      <c r="I211" s="410">
        <f t="shared" si="47"/>
        <v>0</v>
      </c>
      <c r="J211" s="114"/>
      <c r="K211" s="56">
        <f t="shared" si="48"/>
        <v>0</v>
      </c>
      <c r="M211" s="196" t="str">
        <f t="shared" si="49"/>
        <v>5550/0090</v>
      </c>
      <c r="N211" s="78"/>
      <c r="P211" s="79"/>
      <c r="Q211" s="59"/>
      <c r="R211" s="34"/>
    </row>
    <row r="212" spans="1:18" x14ac:dyDescent="0.2">
      <c r="A212" s="393"/>
      <c r="B212" s="113" t="s">
        <v>709</v>
      </c>
      <c r="C212" s="429">
        <f>TrialBalance!C212</f>
        <v>0</v>
      </c>
      <c r="D212" s="441"/>
      <c r="E212" s="427"/>
      <c r="F212" s="87">
        <f t="shared" si="42"/>
        <v>0</v>
      </c>
      <c r="G212" s="55">
        <f>SUMIF(JournalsA!D$14:D$920,TrialBalanceA!M212,JournalsA!J$14:J$920)+SUMIF(JournalsA!E$14:E$920,TrialBalanceA!M212,JournalsA!J$14:J$920)</f>
        <v>0</v>
      </c>
      <c r="H212" s="442"/>
      <c r="I212" s="410">
        <f t="shared" si="47"/>
        <v>0</v>
      </c>
      <c r="J212" s="83"/>
      <c r="K212" s="56">
        <f t="shared" si="48"/>
        <v>0</v>
      </c>
      <c r="M212" s="196" t="str">
        <f t="shared" si="49"/>
        <v>5550/0100</v>
      </c>
      <c r="N212" s="78"/>
      <c r="P212" s="79"/>
      <c r="Q212" s="59"/>
      <c r="R212" s="34"/>
    </row>
    <row r="213" spans="1:18" x14ac:dyDescent="0.2">
      <c r="A213" s="393"/>
      <c r="B213" s="113" t="s">
        <v>722</v>
      </c>
      <c r="C213" s="429">
        <f>TrialBalance!C213</f>
        <v>0</v>
      </c>
      <c r="D213" s="441"/>
      <c r="E213" s="427"/>
      <c r="F213" s="87">
        <f t="shared" si="42"/>
        <v>0</v>
      </c>
      <c r="G213" s="55">
        <f>SUMIF(JournalsA!D$14:D$920,TrialBalanceA!M213,JournalsA!J$14:J$920)+SUMIF(JournalsA!E$14:E$920,TrialBalanceA!M213,JournalsA!J$14:J$920)</f>
        <v>0</v>
      </c>
      <c r="H213" s="442"/>
      <c r="I213" s="410">
        <f t="shared" si="47"/>
        <v>0</v>
      </c>
      <c r="J213" s="83"/>
      <c r="K213" s="56">
        <f t="shared" si="48"/>
        <v>0</v>
      </c>
      <c r="M213" s="196" t="str">
        <f t="shared" si="49"/>
        <v>5550/0110</v>
      </c>
      <c r="N213" s="78"/>
      <c r="P213" s="79"/>
      <c r="Q213" s="59"/>
      <c r="R213" s="34"/>
    </row>
    <row r="214" spans="1:18" x14ac:dyDescent="0.2">
      <c r="A214" s="393"/>
      <c r="B214" s="113" t="s">
        <v>723</v>
      </c>
      <c r="C214" s="429">
        <f>TrialBalance!C214</f>
        <v>0</v>
      </c>
      <c r="D214" s="441"/>
      <c r="E214" s="427"/>
      <c r="F214" s="87">
        <f t="shared" si="42"/>
        <v>0</v>
      </c>
      <c r="G214" s="55">
        <f>SUMIF(JournalsA!D$14:D$920,TrialBalanceA!M214,JournalsA!J$14:J$920)+SUMIF(JournalsA!E$14:E$920,TrialBalanceA!M214,JournalsA!J$14:J$920)</f>
        <v>0</v>
      </c>
      <c r="H214" s="442"/>
      <c r="I214" s="410">
        <f t="shared" si="47"/>
        <v>0</v>
      </c>
      <c r="J214" s="83"/>
      <c r="K214" s="56">
        <f t="shared" si="48"/>
        <v>0</v>
      </c>
      <c r="M214" s="196" t="str">
        <f t="shared" si="49"/>
        <v>5550/0120</v>
      </c>
      <c r="N214" s="78"/>
      <c r="P214" s="79"/>
      <c r="Q214" s="59"/>
      <c r="R214" s="34"/>
    </row>
    <row r="215" spans="1:18" x14ac:dyDescent="0.2">
      <c r="A215" s="393"/>
      <c r="B215" s="113" t="s">
        <v>724</v>
      </c>
      <c r="C215" s="429">
        <f>TrialBalance!C215</f>
        <v>0</v>
      </c>
      <c r="D215" s="441"/>
      <c r="E215" s="427"/>
      <c r="F215" s="87">
        <f t="shared" si="42"/>
        <v>0</v>
      </c>
      <c r="G215" s="55">
        <f>SUMIF(JournalsA!D$14:D$920,TrialBalanceA!M215,JournalsA!J$14:J$920)+SUMIF(JournalsA!E$14:E$920,TrialBalanceA!M215,JournalsA!J$14:J$920)</f>
        <v>0</v>
      </c>
      <c r="H215" s="442"/>
      <c r="I215" s="410">
        <f t="shared" si="47"/>
        <v>0</v>
      </c>
      <c r="J215" s="83"/>
      <c r="K215" s="56">
        <f t="shared" si="48"/>
        <v>0</v>
      </c>
      <c r="M215" s="196" t="str">
        <f t="shared" si="49"/>
        <v>5550/0130</v>
      </c>
      <c r="N215" s="78"/>
      <c r="P215" s="79"/>
      <c r="Q215" s="59"/>
      <c r="R215" s="34"/>
    </row>
    <row r="216" spans="1:18" x14ac:dyDescent="0.2">
      <c r="A216" s="393"/>
      <c r="B216" s="113" t="s">
        <v>725</v>
      </c>
      <c r="C216" s="429">
        <f>TrialBalance!C216</f>
        <v>0</v>
      </c>
      <c r="D216" s="436"/>
      <c r="E216" s="427"/>
      <c r="F216" s="87">
        <f t="shared" si="42"/>
        <v>0</v>
      </c>
      <c r="G216" s="55">
        <f>SUMIF(JournalsA!D$14:D$920,TrialBalanceA!M216,JournalsA!J$14:J$920)+SUMIF(JournalsA!E$14:E$920,TrialBalanceA!M216,JournalsA!J$14:J$920)</f>
        <v>0</v>
      </c>
      <c r="H216" s="442"/>
      <c r="I216" s="410">
        <f t="shared" si="47"/>
        <v>0</v>
      </c>
      <c r="J216" s="83"/>
      <c r="K216" s="56">
        <f t="shared" si="48"/>
        <v>0</v>
      </c>
      <c r="M216" s="196" t="str">
        <f t="shared" si="49"/>
        <v>5550/0140</v>
      </c>
      <c r="N216" s="78"/>
      <c r="P216" s="79"/>
      <c r="Q216" s="59"/>
      <c r="R216" s="34"/>
    </row>
    <row r="217" spans="1:18" x14ac:dyDescent="0.2">
      <c r="A217" s="393"/>
      <c r="B217" s="113" t="s">
        <v>726</v>
      </c>
      <c r="C217" s="429">
        <f>TrialBalance!C217</f>
        <v>0</v>
      </c>
      <c r="D217" s="435"/>
      <c r="E217" s="427"/>
      <c r="F217" s="87">
        <f>K217</f>
        <v>0</v>
      </c>
      <c r="G217" s="55">
        <f>SUMIF(JournalsA!D$14:D$920,TrialBalanceA!M217,JournalsA!J$14:J$920)+SUMIF(JournalsA!E$14:E$920,TrialBalanceA!M217,JournalsA!J$14:J$920)</f>
        <v>0</v>
      </c>
      <c r="H217" s="442"/>
      <c r="I217" s="410">
        <f t="shared" si="47"/>
        <v>0</v>
      </c>
      <c r="J217" s="83"/>
      <c r="K217" s="56">
        <f t="shared" si="48"/>
        <v>0</v>
      </c>
      <c r="M217" s="196" t="str">
        <f t="shared" si="49"/>
        <v>5550/0150</v>
      </c>
      <c r="N217" s="78"/>
      <c r="P217" s="79"/>
      <c r="Q217" s="59"/>
      <c r="R217" s="34"/>
    </row>
    <row r="218" spans="1:18" x14ac:dyDescent="0.2">
      <c r="A218" s="393"/>
      <c r="B218" s="113" t="s">
        <v>727</v>
      </c>
      <c r="C218" s="429">
        <f>TrialBalance!C218</f>
        <v>0</v>
      </c>
      <c r="D218" s="427"/>
      <c r="E218" s="427"/>
      <c r="F218" s="87">
        <f>K218</f>
        <v>0</v>
      </c>
      <c r="G218" s="55">
        <f>SUMIF(JournalsA!D$14:D$920,TrialBalanceA!M218,JournalsA!J$14:J$920)+SUMIF(JournalsA!E$14:E$920,TrialBalanceA!M218,JournalsA!J$14:J$920)</f>
        <v>0</v>
      </c>
      <c r="H218" s="442"/>
      <c r="I218" s="410">
        <f t="shared" si="47"/>
        <v>0</v>
      </c>
      <c r="J218" s="83"/>
      <c r="K218" s="56">
        <f t="shared" si="48"/>
        <v>0</v>
      </c>
      <c r="M218" s="196" t="str">
        <f t="shared" si="49"/>
        <v>5550/0160</v>
      </c>
      <c r="N218" s="78"/>
      <c r="P218" s="79"/>
      <c r="Q218" s="59"/>
      <c r="R218" s="34"/>
    </row>
    <row r="219" spans="1:18" x14ac:dyDescent="0.2">
      <c r="A219" s="393"/>
      <c r="B219" s="113" t="s">
        <v>728</v>
      </c>
      <c r="C219" s="429">
        <f>TrialBalance!C219</f>
        <v>0</v>
      </c>
      <c r="D219" s="439"/>
      <c r="E219" s="427"/>
      <c r="F219" s="87">
        <f>K219</f>
        <v>0</v>
      </c>
      <c r="G219" s="55">
        <f>SUMIF(JournalsA!D$14:D$920,TrialBalanceA!M219,JournalsA!J$14:J$920)+SUMIF(JournalsA!E$14:E$920,TrialBalanceA!M219,JournalsA!J$14:J$920)</f>
        <v>0</v>
      </c>
      <c r="H219" s="442"/>
      <c r="I219" s="410">
        <f t="shared" si="47"/>
        <v>0</v>
      </c>
      <c r="J219" s="83"/>
      <c r="K219" s="56">
        <f t="shared" si="48"/>
        <v>0</v>
      </c>
      <c r="M219" s="196" t="str">
        <f t="shared" si="49"/>
        <v>5550/0170</v>
      </c>
      <c r="N219" s="78"/>
      <c r="P219" s="79"/>
      <c r="Q219" s="59"/>
      <c r="R219" s="34"/>
    </row>
    <row r="220" spans="1:18" x14ac:dyDescent="0.2">
      <c r="A220" s="393"/>
      <c r="B220" s="62" t="s">
        <v>159</v>
      </c>
      <c r="C220" s="394" t="s">
        <v>212</v>
      </c>
      <c r="D220" s="436"/>
      <c r="E220" s="427"/>
      <c r="F220" s="87"/>
      <c r="G220" s="55">
        <f>SUMIF(JournalsA!D$14:D$920,TrialBalanceA!M220,JournalsA!J$14:J$920)+SUMIF(JournalsA!E$14:E$920,TrialBalanceA!M220,JournalsA!J$14:J$920)</f>
        <v>0</v>
      </c>
      <c r="H220" s="442"/>
      <c r="I220" s="410">
        <f t="shared" si="47"/>
        <v>0</v>
      </c>
      <c r="J220" s="83"/>
      <c r="K220" s="56">
        <f t="shared" si="48"/>
        <v>0</v>
      </c>
      <c r="M220" s="196" t="str">
        <f t="shared" si="49"/>
        <v>5700/000DEFERRED TAX</v>
      </c>
      <c r="N220" s="78"/>
      <c r="P220" s="79"/>
      <c r="Q220" s="59"/>
      <c r="R220" s="34"/>
    </row>
    <row r="221" spans="1:18" x14ac:dyDescent="0.2">
      <c r="A221" s="393"/>
      <c r="B221" s="62" t="s">
        <v>160</v>
      </c>
      <c r="C221" s="397" t="s">
        <v>569</v>
      </c>
      <c r="D221" s="437"/>
      <c r="E221" s="427"/>
      <c r="F221" s="87">
        <f>K221+K223+K225+K227</f>
        <v>0</v>
      </c>
      <c r="G221" s="55">
        <f>SUMIF(JournalsA!D$14:D$920,TrialBalanceA!M221,JournalsA!J$14:J$920)+SUMIF(JournalsA!E$14:E$920,TrialBalanceA!M221,JournalsA!J$14:J$920)</f>
        <v>0</v>
      </c>
      <c r="H221" s="442"/>
      <c r="I221" s="410">
        <f t="shared" si="47"/>
        <v>0</v>
      </c>
      <c r="J221" s="83"/>
      <c r="K221" s="56">
        <f t="shared" si="48"/>
        <v>0</v>
      </c>
      <c r="M221" s="196" t="str">
        <f t="shared" si="49"/>
        <v>5700/010Deferred tax balance  depreciation b/fwd</v>
      </c>
      <c r="N221" s="78"/>
      <c r="P221" s="79"/>
      <c r="Q221" s="59"/>
      <c r="R221" s="34"/>
    </row>
    <row r="222" spans="1:18" x14ac:dyDescent="0.2">
      <c r="A222" s="393"/>
      <c r="B222" s="113" t="s">
        <v>688</v>
      </c>
      <c r="C222" s="397" t="s">
        <v>570</v>
      </c>
      <c r="D222" s="437"/>
      <c r="E222" s="427"/>
      <c r="F222" s="87">
        <f>K222+K224+K226+K228</f>
        <v>0</v>
      </c>
      <c r="G222" s="55">
        <f>SUMIF(JournalsA!D$14:D$920,TrialBalanceA!M222,JournalsA!J$14:J$920)+SUMIF(JournalsA!E$14:E$920,TrialBalanceA!M222,JournalsA!J$14:J$920)</f>
        <v>0</v>
      </c>
      <c r="H222" s="442"/>
      <c r="I222" s="410">
        <f t="shared" si="47"/>
        <v>0</v>
      </c>
      <c r="J222" s="83"/>
      <c r="K222" s="56">
        <f t="shared" si="48"/>
        <v>0</v>
      </c>
      <c r="M222" s="196" t="str">
        <f t="shared" si="49"/>
        <v>5700/020Deferred tax balance  tax loss b/fwd</v>
      </c>
      <c r="N222" s="78"/>
      <c r="P222" s="79"/>
      <c r="Q222" s="59"/>
      <c r="R222" s="34"/>
    </row>
    <row r="223" spans="1:18" x14ac:dyDescent="0.2">
      <c r="A223" s="393"/>
      <c r="B223" s="113" t="s">
        <v>1340</v>
      </c>
      <c r="C223" s="397" t="s">
        <v>1341</v>
      </c>
      <c r="D223" s="437"/>
      <c r="E223" s="427"/>
      <c r="F223" s="87"/>
      <c r="G223" s="55">
        <f>SUMIF(JournalsA!D$14:D$920,TrialBalanceA!M223,JournalsA!J$14:J$920)+SUMIF(JournalsA!E$14:E$920,TrialBalanceA!M223,JournalsA!J$14:J$920)</f>
        <v>0</v>
      </c>
      <c r="H223" s="442"/>
      <c r="I223" s="410">
        <f t="shared" ref="I223:I224" si="50">ROUND(D223-E223+G223+F223,0)</f>
        <v>0</v>
      </c>
      <c r="J223" s="83"/>
      <c r="K223" s="56">
        <f t="shared" ref="K223:K224" si="51">ROUND(SUM(A223),0)</f>
        <v>0</v>
      </c>
      <c r="M223" s="196" t="str">
        <f t="shared" ref="M223:M224" si="52">CONCATENATE(B223,C223)</f>
        <v>5700/021Opening balance depreciation tax rate change</v>
      </c>
      <c r="N223" s="78"/>
      <c r="P223" s="79"/>
      <c r="Q223" s="59"/>
      <c r="R223" s="34"/>
    </row>
    <row r="224" spans="1:18" x14ac:dyDescent="0.2">
      <c r="A224" s="393"/>
      <c r="B224" s="113" t="s">
        <v>1342</v>
      </c>
      <c r="C224" s="397" t="s">
        <v>1343</v>
      </c>
      <c r="D224" s="437"/>
      <c r="E224" s="427"/>
      <c r="F224" s="87"/>
      <c r="G224" s="55">
        <f>SUMIF(JournalsA!D$14:D$920,TrialBalanceA!M224,JournalsA!J$14:J$920)+SUMIF(JournalsA!E$14:E$920,TrialBalanceA!M224,JournalsA!J$14:J$920)</f>
        <v>0</v>
      </c>
      <c r="H224" s="442"/>
      <c r="I224" s="410">
        <f t="shared" si="50"/>
        <v>0</v>
      </c>
      <c r="J224" s="83"/>
      <c r="K224" s="56">
        <f t="shared" si="51"/>
        <v>0</v>
      </c>
      <c r="M224" s="196" t="str">
        <f t="shared" si="52"/>
        <v>5700/022Opening balance tax loss tax rate change</v>
      </c>
      <c r="N224" s="78"/>
      <c r="P224" s="79"/>
      <c r="Q224" s="59"/>
      <c r="R224" s="34"/>
    </row>
    <row r="225" spans="1:18" x14ac:dyDescent="0.2">
      <c r="A225" s="393"/>
      <c r="B225" s="113" t="s">
        <v>689</v>
      </c>
      <c r="C225" s="394" t="s">
        <v>161</v>
      </c>
      <c r="D225" s="435"/>
      <c r="E225" s="427"/>
      <c r="F225" s="87"/>
      <c r="G225" s="55">
        <f>SUMIF(JournalsA!D$14:D$920,TrialBalanceA!M225,JournalsA!J$14:J$920)+SUMIF(JournalsA!E$14:E$920,TrialBalanceA!M225,JournalsA!J$14:J$920)</f>
        <v>0</v>
      </c>
      <c r="H225" s="442"/>
      <c r="I225" s="410">
        <f t="shared" si="47"/>
        <v>0</v>
      </c>
      <c r="J225" s="83"/>
      <c r="K225" s="56">
        <f t="shared" si="48"/>
        <v>0</v>
      </c>
      <c r="M225" s="196" t="str">
        <f t="shared" si="49"/>
        <v>5700/030Deferred tax on depreciation for year</v>
      </c>
      <c r="N225" s="78"/>
      <c r="P225" s="79"/>
      <c r="Q225" s="59"/>
      <c r="R225" s="34"/>
    </row>
    <row r="226" spans="1:18" x14ac:dyDescent="0.2">
      <c r="A226" s="393"/>
      <c r="B226" s="113" t="s">
        <v>690</v>
      </c>
      <c r="C226" s="394" t="s">
        <v>162</v>
      </c>
      <c r="D226" s="435"/>
      <c r="E226" s="427"/>
      <c r="F226" s="87"/>
      <c r="G226" s="55">
        <f>SUMIF(JournalsA!D$14:D$920,TrialBalanceA!M226,JournalsA!J$14:J$920)+SUMIF(JournalsA!E$14:E$920,TrialBalanceA!M226,JournalsA!J$14:J$920)</f>
        <v>0</v>
      </c>
      <c r="H226" s="442"/>
      <c r="I226" s="410">
        <f t="shared" si="47"/>
        <v>0</v>
      </c>
      <c r="J226" s="83"/>
      <c r="K226" s="56">
        <f t="shared" si="48"/>
        <v>0</v>
      </c>
      <c r="M226" s="196" t="str">
        <f t="shared" si="49"/>
        <v>5700/040Deferred tax on tax loss for year</v>
      </c>
      <c r="N226" s="78"/>
      <c r="P226" s="79"/>
      <c r="Q226" s="59"/>
      <c r="R226" s="34"/>
    </row>
    <row r="227" spans="1:18" x14ac:dyDescent="0.2">
      <c r="A227" s="393"/>
      <c r="B227" s="113" t="s">
        <v>691</v>
      </c>
      <c r="C227" s="397" t="s">
        <v>670</v>
      </c>
      <c r="D227" s="437"/>
      <c r="E227" s="427"/>
      <c r="F227" s="87"/>
      <c r="G227" s="55">
        <f>SUMIF(JournalsA!D$14:D$920,TrialBalanceA!M227,JournalsA!J$14:J$920)+SUMIF(JournalsA!E$14:E$920,TrialBalanceA!M227,JournalsA!J$14:J$920)</f>
        <v>0</v>
      </c>
      <c r="H227" s="442"/>
      <c r="I227" s="410">
        <f t="shared" si="47"/>
        <v>0</v>
      </c>
      <c r="J227" s="83"/>
      <c r="K227" s="56">
        <f t="shared" si="48"/>
        <v>0</v>
      </c>
      <c r="M227" s="196" t="str">
        <f t="shared" si="49"/>
        <v>5700/050Def tax adj  depreciation previous year</v>
      </c>
      <c r="N227" s="78"/>
      <c r="P227" s="79"/>
      <c r="Q227" s="59"/>
      <c r="R227" s="34"/>
    </row>
    <row r="228" spans="1:18" x14ac:dyDescent="0.2">
      <c r="A228" s="393"/>
      <c r="B228" s="113" t="s">
        <v>692</v>
      </c>
      <c r="C228" s="397" t="s">
        <v>671</v>
      </c>
      <c r="D228" s="437"/>
      <c r="E228" s="427"/>
      <c r="F228" s="87"/>
      <c r="G228" s="55">
        <f>SUMIF(JournalsA!D$14:D$920,TrialBalanceA!M228,JournalsA!J$14:J$920)+SUMIF(JournalsA!E$14:E$920,TrialBalanceA!M228,JournalsA!J$14:J$920)</f>
        <v>0</v>
      </c>
      <c r="H228" s="442"/>
      <c r="I228" s="410">
        <f t="shared" si="47"/>
        <v>0</v>
      </c>
      <c r="J228" s="83"/>
      <c r="K228" s="56">
        <f t="shared" si="48"/>
        <v>0</v>
      </c>
      <c r="M228" s="196" t="str">
        <f t="shared" si="49"/>
        <v>5700/060Def tax adj tax loss previous year</v>
      </c>
      <c r="N228" s="78"/>
      <c r="P228" s="79"/>
      <c r="Q228" s="59"/>
      <c r="R228" s="34"/>
    </row>
    <row r="229" spans="1:18" x14ac:dyDescent="0.2">
      <c r="A229" s="393"/>
      <c r="B229" s="62" t="s">
        <v>163</v>
      </c>
      <c r="C229" s="396" t="s">
        <v>1367</v>
      </c>
      <c r="D229" s="436"/>
      <c r="E229" s="427"/>
      <c r="F229" s="87"/>
      <c r="G229" s="55">
        <f>SUMIF(JournalsA!D$14:D$920,TrialBalanceA!M229,JournalsA!J$14:J$920)+SUMIF(JournalsA!E$14:E$920,TrialBalanceA!M229,JournalsA!J$14:J$920)</f>
        <v>0</v>
      </c>
      <c r="H229" s="442"/>
      <c r="I229" s="410">
        <f t="shared" si="47"/>
        <v>0</v>
      </c>
      <c r="J229" s="83"/>
      <c r="K229" s="56">
        <f t="shared" si="48"/>
        <v>0</v>
      </c>
      <c r="M229" s="196" t="str">
        <f t="shared" si="49"/>
        <v>6100/000PROPERTY - COST</v>
      </c>
      <c r="N229" s="78"/>
      <c r="P229" s="79"/>
      <c r="Q229" s="59"/>
      <c r="R229" s="34"/>
    </row>
    <row r="230" spans="1:18" x14ac:dyDescent="0.2">
      <c r="A230" s="393"/>
      <c r="B230" s="62" t="s">
        <v>164</v>
      </c>
      <c r="C230" s="397" t="s">
        <v>1368</v>
      </c>
      <c r="D230" s="435"/>
      <c r="E230" s="427"/>
      <c r="F230" s="87">
        <f>SUM(K230:K234)</f>
        <v>0</v>
      </c>
      <c r="G230" s="55">
        <f>SUMIF(JournalsA!D$14:D$920,TrialBalanceA!M230,JournalsA!J$14:J$920)+SUMIF(JournalsA!E$14:E$920,TrialBalanceA!M230,JournalsA!J$14:J$920)</f>
        <v>0</v>
      </c>
      <c r="H230" s="442"/>
      <c r="I230" s="410">
        <f t="shared" si="47"/>
        <v>0</v>
      </c>
      <c r="J230" s="83"/>
      <c r="K230" s="56">
        <f t="shared" si="48"/>
        <v>0</v>
      </c>
      <c r="M230" s="196" t="str">
        <f t="shared" si="49"/>
        <v>6100/001Property - cost b/fwd</v>
      </c>
      <c r="N230" s="78"/>
      <c r="P230" s="79"/>
      <c r="Q230" s="59"/>
      <c r="R230" s="34"/>
    </row>
    <row r="231" spans="1:18" x14ac:dyDescent="0.2">
      <c r="A231" s="393"/>
      <c r="B231" s="62" t="s">
        <v>165</v>
      </c>
      <c r="C231" s="397" t="s">
        <v>1369</v>
      </c>
      <c r="D231" s="435"/>
      <c r="E231" s="427"/>
      <c r="F231" s="87"/>
      <c r="G231" s="55">
        <f>SUMIF(JournalsA!D$14:D$920,TrialBalanceA!M231,JournalsA!J$14:J$920)+SUMIF(JournalsA!E$14:E$920,TrialBalanceA!M231,JournalsA!J$14:J$920)</f>
        <v>0</v>
      </c>
      <c r="H231" s="442"/>
      <c r="I231" s="410">
        <f t="shared" si="47"/>
        <v>0</v>
      </c>
      <c r="J231" s="83"/>
      <c r="K231" s="56">
        <f t="shared" si="48"/>
        <v>0</v>
      </c>
      <c r="M231" s="196" t="str">
        <f t="shared" si="49"/>
        <v>6100/002Property - additions</v>
      </c>
      <c r="N231" s="78"/>
      <c r="P231" s="79"/>
      <c r="Q231" s="59"/>
      <c r="R231" s="34"/>
    </row>
    <row r="232" spans="1:18" x14ac:dyDescent="0.2">
      <c r="A232" s="393"/>
      <c r="B232" s="62" t="s">
        <v>166</v>
      </c>
      <c r="C232" s="397" t="s">
        <v>1370</v>
      </c>
      <c r="D232" s="435"/>
      <c r="E232" s="427"/>
      <c r="F232" s="87"/>
      <c r="G232" s="55">
        <f>SUMIF(JournalsA!D$14:D$920,TrialBalanceA!M232,JournalsA!J$14:J$920)+SUMIF(JournalsA!E$14:E$920,TrialBalanceA!M232,JournalsA!J$14:J$920)</f>
        <v>0</v>
      </c>
      <c r="H232" s="442"/>
      <c r="I232" s="410">
        <f t="shared" si="47"/>
        <v>0</v>
      </c>
      <c r="J232" s="83"/>
      <c r="K232" s="56">
        <f t="shared" si="48"/>
        <v>0</v>
      </c>
      <c r="M232" s="196" t="str">
        <f t="shared" si="49"/>
        <v>6100/003Property - cost of sales</v>
      </c>
      <c r="N232" s="78"/>
      <c r="P232" s="79"/>
      <c r="Q232" s="59"/>
      <c r="R232" s="34"/>
    </row>
    <row r="233" spans="1:18" x14ac:dyDescent="0.2">
      <c r="A233" s="393"/>
      <c r="B233" s="113" t="s">
        <v>1238</v>
      </c>
      <c r="C233" s="397" t="s">
        <v>1371</v>
      </c>
      <c r="D233" s="435"/>
      <c r="E233" s="427"/>
      <c r="F233" s="87"/>
      <c r="G233" s="55">
        <f>SUMIF(JournalsA!D$14:D$920,TrialBalanceA!M233,JournalsA!J$14:J$920)+SUMIF(JournalsA!E$14:E$920,TrialBalanceA!M233,JournalsA!J$14:J$920)</f>
        <v>0</v>
      </c>
      <c r="H233" s="442"/>
      <c r="I233" s="410">
        <f t="shared" ref="I233" si="53">ROUND(D233-E233+G233+F233,0)</f>
        <v>0</v>
      </c>
      <c r="J233" s="83"/>
      <c r="K233" s="56">
        <f t="shared" ref="K233" si="54">ROUND(SUM(A233),0)</f>
        <v>0</v>
      </c>
      <c r="M233" s="196" t="str">
        <f t="shared" ref="M233" si="55">CONCATENATE(B233,C233)</f>
        <v>6100/004Property - transfer to investment property</v>
      </c>
      <c r="N233" s="78"/>
      <c r="P233" s="79"/>
      <c r="Q233" s="59"/>
      <c r="R233" s="34"/>
    </row>
    <row r="234" spans="1:18" x14ac:dyDescent="0.2">
      <c r="A234" s="393"/>
      <c r="B234" s="113" t="s">
        <v>1316</v>
      </c>
      <c r="C234" s="397" t="s">
        <v>1372</v>
      </c>
      <c r="D234" s="435"/>
      <c r="E234" s="427"/>
      <c r="F234" s="87"/>
      <c r="G234" s="55">
        <f>SUMIF(JournalsA!D$14:D$920,TrialBalanceA!M234,JournalsA!J$14:J$920)+SUMIF(JournalsA!E$14:E$920,TrialBalanceA!M234,JournalsA!J$14:J$920)</f>
        <v>0</v>
      </c>
      <c r="H234" s="442"/>
      <c r="I234" s="410">
        <f t="shared" ref="I234" si="56">ROUND(D234-E234+G234+F234,0)</f>
        <v>0</v>
      </c>
      <c r="J234" s="83"/>
      <c r="K234" s="56">
        <f t="shared" ref="K234" si="57">ROUND(SUM(A234),0)</f>
        <v>0</v>
      </c>
      <c r="M234" s="196" t="str">
        <f t="shared" ref="M234" si="58">CONCATENATE(B234,C234)</f>
        <v>6100/005Property - transfer from investment property</v>
      </c>
      <c r="N234" s="78"/>
      <c r="P234" s="79"/>
      <c r="Q234" s="59"/>
      <c r="R234" s="34"/>
    </row>
    <row r="235" spans="1:18" x14ac:dyDescent="0.2">
      <c r="A235" s="393"/>
      <c r="B235" s="62" t="s">
        <v>311</v>
      </c>
      <c r="C235" s="396" t="s">
        <v>1373</v>
      </c>
      <c r="D235" s="436"/>
      <c r="E235" s="427"/>
      <c r="F235" s="87"/>
      <c r="G235" s="55">
        <f>SUMIF(JournalsA!D$14:D$920,TrialBalanceA!M235,JournalsA!J$14:J$920)+SUMIF(JournalsA!E$14:E$920,TrialBalanceA!M235,JournalsA!J$14:J$920)</f>
        <v>0</v>
      </c>
      <c r="H235" s="442"/>
      <c r="I235" s="410">
        <f t="shared" si="47"/>
        <v>0</v>
      </c>
      <c r="J235" s="83"/>
      <c r="K235" s="56">
        <f t="shared" si="48"/>
        <v>0</v>
      </c>
      <c r="M235" s="196" t="str">
        <f t="shared" si="49"/>
        <v>6100/020PROPERTY - ACC DEPR</v>
      </c>
      <c r="N235" s="78"/>
      <c r="P235" s="79"/>
      <c r="Q235" s="59"/>
      <c r="R235" s="34"/>
    </row>
    <row r="236" spans="1:18" x14ac:dyDescent="0.2">
      <c r="A236" s="393"/>
      <c r="B236" s="62" t="s">
        <v>312</v>
      </c>
      <c r="C236" s="397" t="s">
        <v>1374</v>
      </c>
      <c r="D236" s="435"/>
      <c r="E236" s="427"/>
      <c r="F236" s="87">
        <f>SUM(K236:K239)</f>
        <v>0</v>
      </c>
      <c r="G236" s="55">
        <f>SUMIF(JournalsA!D$14:D$920,TrialBalanceA!M236,JournalsA!J$14:J$920)+SUMIF(JournalsA!E$14:E$920,TrialBalanceA!M236,JournalsA!J$14:J$920)</f>
        <v>0</v>
      </c>
      <c r="H236" s="442"/>
      <c r="I236" s="410">
        <f t="shared" si="47"/>
        <v>0</v>
      </c>
      <c r="J236" s="83"/>
      <c r="K236" s="56">
        <f t="shared" si="48"/>
        <v>0</v>
      </c>
      <c r="M236" s="196" t="str">
        <f t="shared" si="49"/>
        <v>6100/021Property - acc depr b/fwd</v>
      </c>
      <c r="N236" s="78"/>
      <c r="P236" s="79"/>
      <c r="Q236" s="59"/>
      <c r="R236" s="34"/>
    </row>
    <row r="237" spans="1:18" x14ac:dyDescent="0.2">
      <c r="A237" s="393"/>
      <c r="B237" s="62" t="s">
        <v>313</v>
      </c>
      <c r="C237" s="397" t="s">
        <v>1375</v>
      </c>
      <c r="D237" s="435"/>
      <c r="E237" s="427"/>
      <c r="F237" s="87"/>
      <c r="G237" s="55">
        <f>SUMIF(JournalsA!D$14:D$920,TrialBalanceA!M237,JournalsA!J$14:J$920)+SUMIF(JournalsA!E$14:E$920,TrialBalanceA!M237,JournalsA!J$14:J$920)</f>
        <v>0</v>
      </c>
      <c r="H237" s="442"/>
      <c r="I237" s="410">
        <f t="shared" si="47"/>
        <v>0</v>
      </c>
      <c r="J237" s="83"/>
      <c r="K237" s="56">
        <f t="shared" si="48"/>
        <v>0</v>
      </c>
      <c r="M237" s="196" t="str">
        <f t="shared" si="49"/>
        <v>6100/022Property - depr this year</v>
      </c>
      <c r="N237" s="78"/>
      <c r="P237" s="79"/>
      <c r="Q237" s="59"/>
      <c r="R237" s="34"/>
    </row>
    <row r="238" spans="1:18" x14ac:dyDescent="0.2">
      <c r="A238" s="393"/>
      <c r="B238" s="62" t="s">
        <v>315</v>
      </c>
      <c r="C238" s="397" t="s">
        <v>1376</v>
      </c>
      <c r="D238" s="435"/>
      <c r="E238" s="427"/>
      <c r="F238" s="87"/>
      <c r="G238" s="55">
        <f>SUMIF(JournalsA!D$14:D$920,TrialBalanceA!M238,JournalsA!J$14:J$920)+SUMIF(JournalsA!E$14:E$920,TrialBalanceA!M238,JournalsA!J$14:J$920)</f>
        <v>0</v>
      </c>
      <c r="H238" s="442"/>
      <c r="I238" s="410">
        <f t="shared" si="47"/>
        <v>0</v>
      </c>
      <c r="J238" s="83"/>
      <c r="K238" s="56">
        <f t="shared" si="48"/>
        <v>0</v>
      </c>
      <c r="M238" s="196" t="str">
        <f t="shared" si="49"/>
        <v>6100/023Property - acc depr on sales</v>
      </c>
      <c r="N238" s="78"/>
      <c r="P238" s="79"/>
      <c r="Q238" s="59"/>
      <c r="R238" s="34"/>
    </row>
    <row r="239" spans="1:18" x14ac:dyDescent="0.2">
      <c r="A239" s="393"/>
      <c r="B239" s="113" t="s">
        <v>1307</v>
      </c>
      <c r="C239" s="397" t="s">
        <v>1377</v>
      </c>
      <c r="D239" s="435"/>
      <c r="E239" s="427"/>
      <c r="F239" s="87"/>
      <c r="G239" s="55">
        <f>SUMIF(JournalsA!D$14:D$920,TrialBalanceA!M239,JournalsA!J$14:J$920)+SUMIF(JournalsA!E$14:E$920,TrialBalanceA!M239,JournalsA!J$14:J$920)</f>
        <v>0</v>
      </c>
      <c r="H239" s="442"/>
      <c r="I239" s="410">
        <f t="shared" ref="I239" si="59">ROUND(D239-E239+G239+F239,0)</f>
        <v>0</v>
      </c>
      <c r="J239" s="83"/>
      <c r="K239" s="56">
        <f t="shared" ref="K239" si="60">ROUND(SUM(A239),0)</f>
        <v>0</v>
      </c>
      <c r="M239" s="196" t="str">
        <f t="shared" ref="M239" si="61">CONCATENATE(B239,C239)</f>
        <v>6100/024Property - recoupment of depr</v>
      </c>
      <c r="N239" s="78"/>
      <c r="P239" s="79"/>
      <c r="Q239" s="59"/>
      <c r="R239" s="34"/>
    </row>
    <row r="240" spans="1:18" x14ac:dyDescent="0.2">
      <c r="A240" s="393"/>
      <c r="B240" s="113" t="s">
        <v>805</v>
      </c>
      <c r="C240" s="396" t="s">
        <v>1233</v>
      </c>
      <c r="D240" s="435"/>
      <c r="E240" s="427"/>
      <c r="F240" s="87"/>
      <c r="G240" s="55">
        <f>SUMIF(JournalsA!D$14:D$920,TrialBalanceA!M240,JournalsA!J$14:J$920)+SUMIF(JournalsA!E$14:E$920,TrialBalanceA!M240,JournalsA!J$14:J$920)</f>
        <v>0</v>
      </c>
      <c r="H240" s="442"/>
      <c r="I240" s="410">
        <f t="shared" ref="I240:I244" si="62">ROUND(D240-E240+G240+F240,0)</f>
        <v>0</v>
      </c>
      <c r="J240" s="83"/>
      <c r="K240" s="56">
        <f t="shared" ref="K240:K244" si="63">ROUND(SUM(A240),0)</f>
        <v>0</v>
      </c>
      <c r="M240" s="196" t="str">
        <f t="shared" ref="M240:M244" si="64">CONCATENATE(B240,C240)</f>
        <v>6100/030INVESTMENT PROPERTY - COST</v>
      </c>
      <c r="N240" s="78"/>
      <c r="P240" s="79"/>
      <c r="Q240" s="59"/>
      <c r="R240" s="34"/>
    </row>
    <row r="241" spans="1:18" x14ac:dyDescent="0.2">
      <c r="A241" s="393"/>
      <c r="B241" s="113" t="s">
        <v>806</v>
      </c>
      <c r="C241" s="397" t="s">
        <v>1234</v>
      </c>
      <c r="D241" s="435"/>
      <c r="E241" s="427"/>
      <c r="F241" s="87">
        <f>SUM(K241:K245)</f>
        <v>0</v>
      </c>
      <c r="G241" s="55">
        <f>SUMIF(JournalsA!D$14:D$920,TrialBalanceA!M241,JournalsA!J$14:J$920)+SUMIF(JournalsA!E$14:E$920,TrialBalanceA!M241,JournalsA!J$14:J$920)</f>
        <v>0</v>
      </c>
      <c r="H241" s="442"/>
      <c r="I241" s="410">
        <f t="shared" si="62"/>
        <v>0</v>
      </c>
      <c r="J241" s="83"/>
      <c r="K241" s="56">
        <f t="shared" si="63"/>
        <v>0</v>
      </c>
      <c r="M241" s="196" t="str">
        <f t="shared" si="64"/>
        <v>6100/031Investment property - cost b/fwd</v>
      </c>
      <c r="N241" s="78"/>
      <c r="P241" s="79"/>
      <c r="Q241" s="59"/>
      <c r="R241" s="34"/>
    </row>
    <row r="242" spans="1:18" x14ac:dyDescent="0.2">
      <c r="A242" s="393"/>
      <c r="B242" s="113" t="s">
        <v>807</v>
      </c>
      <c r="C242" s="397" t="s">
        <v>1235</v>
      </c>
      <c r="D242" s="435"/>
      <c r="E242" s="427"/>
      <c r="F242" s="87"/>
      <c r="G242" s="55">
        <f>SUMIF(JournalsA!D$14:D$920,TrialBalanceA!M242,JournalsA!J$14:J$920)+SUMIF(JournalsA!E$14:E$920,TrialBalanceA!M242,JournalsA!J$14:J$920)</f>
        <v>0</v>
      </c>
      <c r="H242" s="442"/>
      <c r="I242" s="410">
        <f t="shared" si="62"/>
        <v>0</v>
      </c>
      <c r="J242" s="83"/>
      <c r="K242" s="56">
        <f t="shared" si="63"/>
        <v>0</v>
      </c>
      <c r="M242" s="196" t="str">
        <f t="shared" si="64"/>
        <v>6100/032Investment property - additions</v>
      </c>
      <c r="N242" s="78"/>
      <c r="P242" s="79"/>
      <c r="Q242" s="59"/>
      <c r="R242" s="34"/>
    </row>
    <row r="243" spans="1:18" x14ac:dyDescent="0.2">
      <c r="A243" s="393"/>
      <c r="B243" s="113" t="s">
        <v>808</v>
      </c>
      <c r="C243" s="397" t="s">
        <v>1236</v>
      </c>
      <c r="D243" s="435"/>
      <c r="E243" s="427"/>
      <c r="F243" s="87"/>
      <c r="G243" s="55">
        <f>SUMIF(JournalsA!D$14:D$920,TrialBalanceA!M243,JournalsA!J$14:J$920)+SUMIF(JournalsA!E$14:E$920,TrialBalanceA!M243,JournalsA!J$14:J$920)</f>
        <v>0</v>
      </c>
      <c r="H243" s="442"/>
      <c r="I243" s="410">
        <f t="shared" si="62"/>
        <v>0</v>
      </c>
      <c r="J243" s="83"/>
      <c r="K243" s="56">
        <f t="shared" si="63"/>
        <v>0</v>
      </c>
      <c r="M243" s="196" t="str">
        <f t="shared" si="64"/>
        <v>6100/033Investment property - cost of sales</v>
      </c>
      <c r="N243" s="78"/>
      <c r="P243" s="79"/>
      <c r="Q243" s="59"/>
      <c r="R243" s="34"/>
    </row>
    <row r="244" spans="1:18" x14ac:dyDescent="0.2">
      <c r="A244" s="393"/>
      <c r="B244" s="113" t="s">
        <v>1299</v>
      </c>
      <c r="C244" s="397" t="s">
        <v>1237</v>
      </c>
      <c r="D244" s="435"/>
      <c r="E244" s="427"/>
      <c r="F244" s="87"/>
      <c r="G244" s="55">
        <f>SUMIF(JournalsA!D$14:D$920,TrialBalanceA!M244,JournalsA!J$14:J$920)+SUMIF(JournalsA!E$14:E$920,TrialBalanceA!M244,JournalsA!J$14:J$920)</f>
        <v>0</v>
      </c>
      <c r="H244" s="442"/>
      <c r="I244" s="410">
        <f t="shared" si="62"/>
        <v>0</v>
      </c>
      <c r="J244" s="83"/>
      <c r="K244" s="56">
        <f t="shared" si="63"/>
        <v>0</v>
      </c>
      <c r="M244" s="196" t="str">
        <f t="shared" si="64"/>
        <v>6100/034Investment property - transfer from property</v>
      </c>
      <c r="N244" s="78"/>
      <c r="P244" s="79"/>
      <c r="Q244" s="59"/>
      <c r="R244" s="34"/>
    </row>
    <row r="245" spans="1:18" x14ac:dyDescent="0.2">
      <c r="A245" s="393"/>
      <c r="B245" s="113" t="s">
        <v>1317</v>
      </c>
      <c r="C245" s="397" t="s">
        <v>1318</v>
      </c>
      <c r="D245" s="435"/>
      <c r="E245" s="427"/>
      <c r="F245" s="87"/>
      <c r="G245" s="55">
        <f>SUMIF(JournalsA!D$14:D$920,TrialBalanceA!M245,JournalsA!J$14:J$920)+SUMIF(JournalsA!E$14:E$920,TrialBalanceA!M245,JournalsA!J$14:J$920)</f>
        <v>0</v>
      </c>
      <c r="H245" s="442"/>
      <c r="I245" s="410">
        <f t="shared" ref="I245" si="65">ROUND(D245-E245+G245+F245,0)</f>
        <v>0</v>
      </c>
      <c r="J245" s="83"/>
      <c r="K245" s="56">
        <f t="shared" ref="K245" si="66">ROUND(SUM(A245),0)</f>
        <v>0</v>
      </c>
      <c r="M245" s="196" t="str">
        <f t="shared" ref="M245" si="67">CONCATENATE(B245,C245)</f>
        <v>6100/035Investment property - transfer to property</v>
      </c>
      <c r="N245" s="78"/>
      <c r="P245" s="79"/>
      <c r="Q245" s="59"/>
      <c r="R245" s="34"/>
    </row>
    <row r="246" spans="1:18" x14ac:dyDescent="0.2">
      <c r="A246" s="393"/>
      <c r="B246" s="113" t="s">
        <v>1300</v>
      </c>
      <c r="C246" s="396" t="s">
        <v>1304</v>
      </c>
      <c r="D246" s="435"/>
      <c r="E246" s="427"/>
      <c r="F246" s="87"/>
      <c r="G246" s="55">
        <f>SUMIF(JournalsA!D$14:D$920,TrialBalanceA!M246,JournalsA!J$14:J$920)+SUMIF(JournalsA!E$14:E$920,TrialBalanceA!M246,JournalsA!J$14:J$920)</f>
        <v>0</v>
      </c>
      <c r="H246" s="442"/>
      <c r="I246" s="410">
        <f t="shared" ref="I246:I250" si="68">ROUND(D246-E246+G246+F246,0)</f>
        <v>0</v>
      </c>
      <c r="J246" s="83"/>
      <c r="K246" s="56">
        <f t="shared" ref="K246:K250" si="69">ROUND(SUM(A246),0)</f>
        <v>0</v>
      </c>
      <c r="M246" s="196" t="str">
        <f t="shared" ref="M246:M250" si="70">CONCATENATE(B246,C246)</f>
        <v>6100/040INVESTMENT PROPERTY - VALUATION</v>
      </c>
      <c r="N246" s="78"/>
      <c r="P246" s="79"/>
      <c r="Q246" s="59"/>
      <c r="R246" s="34"/>
    </row>
    <row r="247" spans="1:18" x14ac:dyDescent="0.2">
      <c r="A247" s="393"/>
      <c r="B247" s="113" t="s">
        <v>1301</v>
      </c>
      <c r="C247" s="397" t="s">
        <v>1305</v>
      </c>
      <c r="D247" s="435"/>
      <c r="E247" s="427"/>
      <c r="F247" s="87">
        <f>SUM(K247:K250)</f>
        <v>0</v>
      </c>
      <c r="G247" s="55">
        <f>SUMIF(JournalsA!D$14:D$920,TrialBalanceA!M247,JournalsA!J$14:J$920)+SUMIF(JournalsA!E$14:E$920,TrialBalanceA!M247,JournalsA!J$14:J$920)</f>
        <v>0</v>
      </c>
      <c r="H247" s="442"/>
      <c r="I247" s="410">
        <f t="shared" si="68"/>
        <v>0</v>
      </c>
      <c r="J247" s="83"/>
      <c r="K247" s="56">
        <f t="shared" si="69"/>
        <v>0</v>
      </c>
      <c r="M247" s="196" t="str">
        <f t="shared" si="70"/>
        <v>6100/041Investment property - valuation b/fwd</v>
      </c>
      <c r="N247" s="78"/>
      <c r="P247" s="79"/>
      <c r="Q247" s="59"/>
      <c r="R247" s="34"/>
    </row>
    <row r="248" spans="1:18" x14ac:dyDescent="0.2">
      <c r="A248" s="393"/>
      <c r="B248" s="113" t="s">
        <v>1302</v>
      </c>
      <c r="C248" s="397" t="s">
        <v>1306</v>
      </c>
      <c r="D248" s="435"/>
      <c r="E248" s="427"/>
      <c r="F248" s="87"/>
      <c r="G248" s="55">
        <f>SUMIF(JournalsA!D$14:D$920,TrialBalanceA!M248,JournalsA!J$14:J$920)+SUMIF(JournalsA!E$14:E$920,TrialBalanceA!M248,JournalsA!J$14:J$920)</f>
        <v>0</v>
      </c>
      <c r="H248" s="442"/>
      <c r="I248" s="410">
        <f t="shared" si="68"/>
        <v>0</v>
      </c>
      <c r="J248" s="83"/>
      <c r="K248" s="56">
        <f t="shared" si="69"/>
        <v>0</v>
      </c>
      <c r="M248" s="196" t="str">
        <f t="shared" si="70"/>
        <v>6100/042Investment property - valuation additions</v>
      </c>
      <c r="N248" s="78"/>
      <c r="P248" s="79"/>
      <c r="Q248" s="59"/>
      <c r="R248" s="34"/>
    </row>
    <row r="249" spans="1:18" x14ac:dyDescent="0.2">
      <c r="A249" s="393"/>
      <c r="B249" s="113" t="s">
        <v>1303</v>
      </c>
      <c r="C249" s="397" t="s">
        <v>1320</v>
      </c>
      <c r="D249" s="435"/>
      <c r="E249" s="427"/>
      <c r="F249" s="87"/>
      <c r="G249" s="55">
        <f>SUMIF(JournalsA!D$14:D$920,TrialBalanceA!M249,JournalsA!J$14:J$920)+SUMIF(JournalsA!E$14:E$920,TrialBalanceA!M249,JournalsA!J$14:J$920)</f>
        <v>0</v>
      </c>
      <c r="H249" s="442"/>
      <c r="I249" s="410">
        <f t="shared" ref="I249" si="71">ROUND(D249-E249+G249+F249,0)</f>
        <v>0</v>
      </c>
      <c r="J249" s="83"/>
      <c r="K249" s="56">
        <f t="shared" ref="K249" si="72">ROUND(SUM(A249),0)</f>
        <v>0</v>
      </c>
      <c r="M249" s="196" t="str">
        <f t="shared" ref="M249" si="73">CONCATENATE(B249,C249)</f>
        <v>6100/043Investment property - valuation reduction on sales</v>
      </c>
      <c r="N249" s="78"/>
      <c r="P249" s="79"/>
      <c r="Q249" s="59"/>
      <c r="R249" s="34"/>
    </row>
    <row r="250" spans="1:18" x14ac:dyDescent="0.2">
      <c r="A250" s="393"/>
      <c r="B250" s="113" t="s">
        <v>1321</v>
      </c>
      <c r="C250" s="397" t="s">
        <v>1322</v>
      </c>
      <c r="D250" s="435"/>
      <c r="E250" s="427"/>
      <c r="F250" s="87"/>
      <c r="G250" s="55">
        <f>SUMIF(JournalsA!D$14:D$920,TrialBalanceA!M250,JournalsA!J$14:J$920)+SUMIF(JournalsA!E$14:E$920,TrialBalanceA!M250,JournalsA!J$14:J$920)</f>
        <v>0</v>
      </c>
      <c r="H250" s="442"/>
      <c r="I250" s="410">
        <f t="shared" si="68"/>
        <v>0</v>
      </c>
      <c r="J250" s="83"/>
      <c r="K250" s="56">
        <f t="shared" si="69"/>
        <v>0</v>
      </c>
      <c r="M250" s="196" t="str">
        <f t="shared" si="70"/>
        <v>6100/044Investment property - valuation reduction on transfers</v>
      </c>
      <c r="N250" s="78"/>
      <c r="P250" s="79"/>
      <c r="Q250" s="59"/>
      <c r="R250" s="34"/>
    </row>
    <row r="251" spans="1:18" x14ac:dyDescent="0.2">
      <c r="A251" s="393"/>
      <c r="B251" s="62" t="s">
        <v>316</v>
      </c>
      <c r="C251" s="396" t="s">
        <v>943</v>
      </c>
      <c r="D251" s="436"/>
      <c r="E251" s="427"/>
      <c r="F251" s="87"/>
      <c r="G251" s="55">
        <f>SUMIF(JournalsA!D$14:D$920,TrialBalanceA!M251,JournalsA!J$14:J$920)+SUMIF(JournalsA!E$14:E$920,TrialBalanceA!M251,JournalsA!J$14:J$920)</f>
        <v>0</v>
      </c>
      <c r="H251" s="442"/>
      <c r="I251" s="410">
        <f t="shared" si="47"/>
        <v>0</v>
      </c>
      <c r="J251" s="83"/>
      <c r="K251" s="56">
        <f t="shared" si="48"/>
        <v>0</v>
      </c>
      <c r="M251" s="196" t="str">
        <f t="shared" si="49"/>
        <v>6150/000PLANT AND MACHINERY - COST</v>
      </c>
      <c r="N251" s="78"/>
      <c r="P251" s="79"/>
      <c r="Q251" s="59"/>
      <c r="R251" s="34"/>
    </row>
    <row r="252" spans="1:18" x14ac:dyDescent="0.2">
      <c r="A252" s="393"/>
      <c r="B252" s="62" t="s">
        <v>41</v>
      </c>
      <c r="C252" s="397" t="s">
        <v>944</v>
      </c>
      <c r="D252" s="435"/>
      <c r="E252" s="427"/>
      <c r="F252" s="87">
        <f>SUM(K252:K254)</f>
        <v>0</v>
      </c>
      <c r="G252" s="55">
        <f>SUMIF(JournalsA!D$14:D$920,TrialBalanceA!M252,JournalsA!J$14:J$920)+SUMIF(JournalsA!E$14:E$920,TrialBalanceA!M252,JournalsA!J$14:J$920)</f>
        <v>0</v>
      </c>
      <c r="H252" s="442"/>
      <c r="I252" s="410">
        <f t="shared" si="47"/>
        <v>0</v>
      </c>
      <c r="J252" s="83"/>
      <c r="K252" s="56">
        <f t="shared" si="48"/>
        <v>0</v>
      </c>
      <c r="M252" s="196" t="str">
        <f t="shared" si="49"/>
        <v>6150/001Plant and machinery - cost b/fwd</v>
      </c>
      <c r="N252" s="78"/>
      <c r="P252" s="79"/>
      <c r="Q252" s="59"/>
      <c r="R252" s="34"/>
    </row>
    <row r="253" spans="1:18" x14ac:dyDescent="0.2">
      <c r="A253" s="393"/>
      <c r="B253" s="62" t="s">
        <v>42</v>
      </c>
      <c r="C253" s="397" t="s">
        <v>945</v>
      </c>
      <c r="D253" s="435"/>
      <c r="E253" s="427"/>
      <c r="F253" s="87"/>
      <c r="G253" s="55">
        <f>SUMIF(JournalsA!D$14:D$920,TrialBalanceA!M253,JournalsA!J$14:J$920)+SUMIF(JournalsA!E$14:E$920,TrialBalanceA!M253,JournalsA!J$14:J$920)</f>
        <v>0</v>
      </c>
      <c r="H253" s="442"/>
      <c r="I253" s="410">
        <f t="shared" si="47"/>
        <v>0</v>
      </c>
      <c r="J253" s="83"/>
      <c r="K253" s="56">
        <f t="shared" si="48"/>
        <v>0</v>
      </c>
      <c r="M253" s="196" t="str">
        <f t="shared" si="49"/>
        <v>6150/002Plant and machinery - additions</v>
      </c>
      <c r="N253" s="78"/>
      <c r="P253" s="79"/>
      <c r="Q253" s="59"/>
      <c r="R253" s="34"/>
    </row>
    <row r="254" spans="1:18" x14ac:dyDescent="0.2">
      <c r="A254" s="393"/>
      <c r="B254" s="62" t="s">
        <v>43</v>
      </c>
      <c r="C254" s="397" t="s">
        <v>946</v>
      </c>
      <c r="D254" s="435"/>
      <c r="E254" s="427"/>
      <c r="F254" s="87"/>
      <c r="G254" s="55">
        <f>SUMIF(JournalsA!D$14:D$920,TrialBalanceA!M254,JournalsA!J$14:J$920)+SUMIF(JournalsA!E$14:E$920,TrialBalanceA!M254,JournalsA!J$14:J$920)</f>
        <v>0</v>
      </c>
      <c r="H254" s="442"/>
      <c r="I254" s="410">
        <f t="shared" ref="I254:I283" si="74">ROUND(D254-E254+G254+F254,0)</f>
        <v>0</v>
      </c>
      <c r="J254" s="83"/>
      <c r="K254" s="56">
        <f t="shared" si="48"/>
        <v>0</v>
      </c>
      <c r="M254" s="196" t="str">
        <f t="shared" si="49"/>
        <v>6150/003Plant and machinery - cost of sales</v>
      </c>
      <c r="N254" s="78"/>
      <c r="P254" s="79"/>
      <c r="Q254" s="59"/>
      <c r="R254" s="34"/>
    </row>
    <row r="255" spans="1:18" x14ac:dyDescent="0.2">
      <c r="A255" s="393"/>
      <c r="B255" s="62" t="s">
        <v>18</v>
      </c>
      <c r="C255" s="396" t="s">
        <v>947</v>
      </c>
      <c r="D255" s="436"/>
      <c r="E255" s="427"/>
      <c r="F255" s="87"/>
      <c r="G255" s="55">
        <f>SUMIF(JournalsA!D$14:D$920,TrialBalanceA!M255,JournalsA!J$14:J$920)+SUMIF(JournalsA!E$14:E$920,TrialBalanceA!M255,JournalsA!J$14:J$920)</f>
        <v>0</v>
      </c>
      <c r="H255" s="442"/>
      <c r="I255" s="410">
        <f t="shared" si="74"/>
        <v>0</v>
      </c>
      <c r="J255" s="83"/>
      <c r="K255" s="56">
        <f t="shared" si="48"/>
        <v>0</v>
      </c>
      <c r="M255" s="196" t="str">
        <f t="shared" si="49"/>
        <v>6150/020PLANT AND MACHINERY - ACC DEPR</v>
      </c>
      <c r="N255" s="78"/>
      <c r="P255" s="79"/>
      <c r="Q255" s="59"/>
      <c r="R255" s="34"/>
    </row>
    <row r="256" spans="1:18" x14ac:dyDescent="0.2">
      <c r="A256" s="393"/>
      <c r="B256" s="62" t="s">
        <v>19</v>
      </c>
      <c r="C256" s="397" t="s">
        <v>948</v>
      </c>
      <c r="D256" s="435"/>
      <c r="E256" s="427"/>
      <c r="F256" s="87">
        <f>SUM(K256:K258)</f>
        <v>0</v>
      </c>
      <c r="G256" s="55">
        <f>SUMIF(JournalsA!D$14:D$920,TrialBalanceA!M256,JournalsA!J$14:J$920)+SUMIF(JournalsA!E$14:E$920,TrialBalanceA!M256,JournalsA!J$14:J$920)</f>
        <v>0</v>
      </c>
      <c r="H256" s="442"/>
      <c r="I256" s="410">
        <f t="shared" si="74"/>
        <v>0</v>
      </c>
      <c r="J256" s="83"/>
      <c r="K256" s="56">
        <f t="shared" si="48"/>
        <v>0</v>
      </c>
      <c r="M256" s="196" t="str">
        <f t="shared" si="49"/>
        <v>6150/021Plant and machinery - acc depr b/fwd</v>
      </c>
      <c r="N256" s="78"/>
      <c r="P256" s="79"/>
      <c r="Q256" s="59"/>
      <c r="R256" s="34"/>
    </row>
    <row r="257" spans="1:18" x14ac:dyDescent="0.2">
      <c r="A257" s="393"/>
      <c r="B257" s="62" t="s">
        <v>35</v>
      </c>
      <c r="C257" s="397" t="s">
        <v>949</v>
      </c>
      <c r="D257" s="435"/>
      <c r="E257" s="427"/>
      <c r="F257" s="87"/>
      <c r="G257" s="55">
        <f>SUMIF(JournalsA!D$14:D$920,TrialBalanceA!M257,JournalsA!J$14:J$920)+SUMIF(JournalsA!E$14:E$920,TrialBalanceA!M257,JournalsA!J$14:J$920)</f>
        <v>0</v>
      </c>
      <c r="H257" s="442"/>
      <c r="I257" s="410">
        <f t="shared" si="74"/>
        <v>0</v>
      </c>
      <c r="J257" s="83"/>
      <c r="K257" s="56">
        <f t="shared" si="48"/>
        <v>0</v>
      </c>
      <c r="M257" s="196" t="str">
        <f t="shared" si="49"/>
        <v>6150/022Plant and machinery - depr this year</v>
      </c>
      <c r="N257" s="78"/>
      <c r="P257" s="79"/>
      <c r="Q257" s="59"/>
      <c r="R257" s="34"/>
    </row>
    <row r="258" spans="1:18" x14ac:dyDescent="0.2">
      <c r="A258" s="393"/>
      <c r="B258" s="62" t="s">
        <v>36</v>
      </c>
      <c r="C258" s="397" t="s">
        <v>950</v>
      </c>
      <c r="D258" s="435"/>
      <c r="E258" s="427"/>
      <c r="F258" s="87"/>
      <c r="G258" s="55">
        <f>SUMIF(JournalsA!D$14:D$920,TrialBalanceA!M258,JournalsA!J$14:J$920)+SUMIF(JournalsA!E$14:E$920,TrialBalanceA!M258,JournalsA!J$14:J$920)</f>
        <v>0</v>
      </c>
      <c r="H258" s="442"/>
      <c r="I258" s="410">
        <f t="shared" si="74"/>
        <v>0</v>
      </c>
      <c r="J258" s="83"/>
      <c r="K258" s="56">
        <f t="shared" si="48"/>
        <v>0</v>
      </c>
      <c r="M258" s="196" t="str">
        <f t="shared" si="49"/>
        <v>6150/023Plant and machinery - acc depr on sales</v>
      </c>
      <c r="N258" s="78"/>
      <c r="P258" s="79"/>
      <c r="Q258" s="59"/>
      <c r="R258" s="34"/>
    </row>
    <row r="259" spans="1:18" x14ac:dyDescent="0.2">
      <c r="A259" s="393"/>
      <c r="B259" s="62" t="s">
        <v>37</v>
      </c>
      <c r="C259" s="396" t="s">
        <v>38</v>
      </c>
      <c r="D259" s="436"/>
      <c r="E259" s="427"/>
      <c r="F259" s="87"/>
      <c r="G259" s="55">
        <f>SUMIF(JournalsA!D$14:D$920,TrialBalanceA!M259,JournalsA!J$14:J$920)+SUMIF(JournalsA!E$14:E$920,TrialBalanceA!M259,JournalsA!J$14:J$920)</f>
        <v>0</v>
      </c>
      <c r="H259" s="442"/>
      <c r="I259" s="410">
        <f t="shared" si="74"/>
        <v>0</v>
      </c>
      <c r="J259" s="83"/>
      <c r="K259" s="56">
        <f t="shared" si="48"/>
        <v>0</v>
      </c>
      <c r="M259" s="196" t="str">
        <f t="shared" si="49"/>
        <v>6200/000MOTOR VEHICLES - COST</v>
      </c>
      <c r="N259" s="78"/>
      <c r="P259" s="79"/>
      <c r="Q259" s="59"/>
      <c r="R259" s="34"/>
    </row>
    <row r="260" spans="1:18" x14ac:dyDescent="0.2">
      <c r="A260" s="393"/>
      <c r="B260" s="62" t="s">
        <v>39</v>
      </c>
      <c r="C260" s="397" t="s">
        <v>951</v>
      </c>
      <c r="D260" s="435"/>
      <c r="E260" s="427"/>
      <c r="F260" s="87">
        <f>SUM(K260:K262)</f>
        <v>0</v>
      </c>
      <c r="G260" s="55">
        <f>SUMIF(JournalsA!D$14:D$920,TrialBalanceA!M260,JournalsA!J$14:J$920)+SUMIF(JournalsA!E$14:E$920,TrialBalanceA!M260,JournalsA!J$14:J$920)</f>
        <v>0</v>
      </c>
      <c r="H260" s="442"/>
      <c r="I260" s="410">
        <f t="shared" si="74"/>
        <v>0</v>
      </c>
      <c r="J260" s="83"/>
      <c r="K260" s="56">
        <f t="shared" si="48"/>
        <v>0</v>
      </c>
      <c r="M260" s="196" t="str">
        <f t="shared" si="49"/>
        <v>6200/001Motor vehicles - cost b/fwd</v>
      </c>
      <c r="N260" s="78"/>
      <c r="P260" s="79"/>
      <c r="Q260" s="59"/>
      <c r="R260" s="34"/>
    </row>
    <row r="261" spans="1:18" x14ac:dyDescent="0.2">
      <c r="A261" s="393"/>
      <c r="B261" s="62" t="s">
        <v>40</v>
      </c>
      <c r="C261" s="397" t="s">
        <v>952</v>
      </c>
      <c r="D261" s="435"/>
      <c r="E261" s="427"/>
      <c r="F261" s="87"/>
      <c r="G261" s="55">
        <f>SUMIF(JournalsA!D$14:D$920,TrialBalanceA!M261,JournalsA!J$14:J$920)+SUMIF(JournalsA!E$14:E$920,TrialBalanceA!M261,JournalsA!J$14:J$920)</f>
        <v>0</v>
      </c>
      <c r="H261" s="442"/>
      <c r="I261" s="410">
        <f t="shared" si="74"/>
        <v>0</v>
      </c>
      <c r="J261" s="83"/>
      <c r="K261" s="56">
        <f t="shared" si="48"/>
        <v>0</v>
      </c>
      <c r="M261" s="196" t="str">
        <f t="shared" si="49"/>
        <v>6200/002Motor vehicles - additions</v>
      </c>
      <c r="N261" s="78"/>
      <c r="P261" s="79"/>
      <c r="Q261" s="59"/>
      <c r="R261" s="34"/>
    </row>
    <row r="262" spans="1:18" x14ac:dyDescent="0.2">
      <c r="A262" s="393"/>
      <c r="B262" s="62" t="s">
        <v>518</v>
      </c>
      <c r="C262" s="397" t="s">
        <v>953</v>
      </c>
      <c r="D262" s="435"/>
      <c r="E262" s="427"/>
      <c r="F262" s="87"/>
      <c r="G262" s="55">
        <f>SUMIF(JournalsA!D$14:D$920,TrialBalanceA!M262,JournalsA!J$14:J$920)+SUMIF(JournalsA!E$14:E$920,TrialBalanceA!M262,JournalsA!J$14:J$920)</f>
        <v>0</v>
      </c>
      <c r="H262" s="442"/>
      <c r="I262" s="410">
        <f t="shared" si="74"/>
        <v>0</v>
      </c>
      <c r="J262" s="83"/>
      <c r="K262" s="56">
        <f t="shared" si="48"/>
        <v>0</v>
      </c>
      <c r="M262" s="196" t="str">
        <f t="shared" si="49"/>
        <v>6200/003Motor vehicles - cost of sales</v>
      </c>
      <c r="N262" s="78"/>
      <c r="P262" s="79"/>
      <c r="Q262" s="59"/>
      <c r="R262" s="34"/>
    </row>
    <row r="263" spans="1:18" x14ac:dyDescent="0.2">
      <c r="A263" s="393"/>
      <c r="B263" s="62" t="s">
        <v>0</v>
      </c>
      <c r="C263" s="396" t="s">
        <v>1</v>
      </c>
      <c r="D263" s="436"/>
      <c r="E263" s="427"/>
      <c r="F263" s="87"/>
      <c r="G263" s="55">
        <f>SUMIF(JournalsA!D$14:D$920,TrialBalanceA!M263,JournalsA!J$14:J$920)+SUMIF(JournalsA!E$14:E$920,TrialBalanceA!M263,JournalsA!J$14:J$920)</f>
        <v>0</v>
      </c>
      <c r="H263" s="442"/>
      <c r="I263" s="410">
        <f t="shared" si="74"/>
        <v>0</v>
      </c>
      <c r="J263" s="83"/>
      <c r="K263" s="56">
        <f t="shared" si="48"/>
        <v>0</v>
      </c>
      <c r="M263" s="196" t="str">
        <f t="shared" si="49"/>
        <v>6200/020MOTOR VEHICLES - ACC DEPR</v>
      </c>
      <c r="N263" s="78"/>
      <c r="P263" s="79"/>
      <c r="Q263" s="59"/>
      <c r="R263" s="34"/>
    </row>
    <row r="264" spans="1:18" x14ac:dyDescent="0.2">
      <c r="A264" s="393"/>
      <c r="B264" s="62" t="s">
        <v>2</v>
      </c>
      <c r="C264" s="397" t="s">
        <v>954</v>
      </c>
      <c r="D264" s="435"/>
      <c r="E264" s="427"/>
      <c r="F264" s="87">
        <f>SUM(K264:K266)</f>
        <v>0</v>
      </c>
      <c r="G264" s="55">
        <f>SUMIF(JournalsA!D$14:D$920,TrialBalanceA!M264,JournalsA!J$14:J$920)+SUMIF(JournalsA!E$14:E$920,TrialBalanceA!M264,JournalsA!J$14:J$920)</f>
        <v>0</v>
      </c>
      <c r="H264" s="442"/>
      <c r="I264" s="410">
        <f t="shared" si="74"/>
        <v>0</v>
      </c>
      <c r="J264" s="83"/>
      <c r="K264" s="56">
        <f t="shared" si="48"/>
        <v>0</v>
      </c>
      <c r="M264" s="196" t="str">
        <f t="shared" si="49"/>
        <v>6200/021Motor vehicles - acc depr b/fwd</v>
      </c>
      <c r="N264" s="78"/>
      <c r="P264" s="79"/>
      <c r="Q264" s="59"/>
      <c r="R264" s="34"/>
    </row>
    <row r="265" spans="1:18" x14ac:dyDescent="0.2">
      <c r="A265" s="393"/>
      <c r="B265" s="62" t="s">
        <v>3</v>
      </c>
      <c r="C265" s="397" t="s">
        <v>955</v>
      </c>
      <c r="D265" s="435"/>
      <c r="E265" s="427"/>
      <c r="F265" s="87"/>
      <c r="G265" s="55">
        <f>SUMIF(JournalsA!D$14:D$920,TrialBalanceA!M265,JournalsA!J$14:J$920)+SUMIF(JournalsA!E$14:E$920,TrialBalanceA!M265,JournalsA!J$14:J$920)</f>
        <v>0</v>
      </c>
      <c r="H265" s="442"/>
      <c r="I265" s="410">
        <f t="shared" si="74"/>
        <v>0</v>
      </c>
      <c r="J265" s="83"/>
      <c r="K265" s="56">
        <f t="shared" si="48"/>
        <v>0</v>
      </c>
      <c r="M265" s="196" t="str">
        <f t="shared" si="49"/>
        <v>6200/022Motor vehicles - depr this year</v>
      </c>
      <c r="N265" s="78"/>
      <c r="P265" s="79"/>
      <c r="Q265" s="59"/>
      <c r="R265" s="34"/>
    </row>
    <row r="266" spans="1:18" x14ac:dyDescent="0.2">
      <c r="A266" s="393"/>
      <c r="B266" s="62" t="s">
        <v>4</v>
      </c>
      <c r="C266" s="397" t="s">
        <v>956</v>
      </c>
      <c r="D266" s="435"/>
      <c r="E266" s="427"/>
      <c r="F266" s="87"/>
      <c r="G266" s="55">
        <f>SUMIF(JournalsA!D$14:D$920,TrialBalanceA!M266,JournalsA!J$14:J$920)+SUMIF(JournalsA!E$14:E$920,TrialBalanceA!M266,JournalsA!J$14:J$920)</f>
        <v>0</v>
      </c>
      <c r="H266" s="442"/>
      <c r="I266" s="410">
        <f t="shared" si="74"/>
        <v>0</v>
      </c>
      <c r="J266" s="83"/>
      <c r="K266" s="56">
        <f t="shared" si="48"/>
        <v>0</v>
      </c>
      <c r="M266" s="196" t="str">
        <f t="shared" si="49"/>
        <v>6200/023Motor vehicles - acc depr on sales</v>
      </c>
      <c r="N266" s="78"/>
      <c r="P266" s="79"/>
      <c r="Q266" s="59"/>
      <c r="R266" s="34"/>
    </row>
    <row r="267" spans="1:18" x14ac:dyDescent="0.2">
      <c r="A267" s="393"/>
      <c r="B267" s="62" t="s">
        <v>5</v>
      </c>
      <c r="C267" s="396" t="s">
        <v>135</v>
      </c>
      <c r="D267" s="436"/>
      <c r="E267" s="427"/>
      <c r="F267" s="87"/>
      <c r="G267" s="55">
        <f>SUMIF(JournalsA!D$14:D$920,TrialBalanceA!M267,JournalsA!J$14:J$920)+SUMIF(JournalsA!E$14:E$920,TrialBalanceA!M267,JournalsA!J$14:J$920)</f>
        <v>0</v>
      </c>
      <c r="H267" s="442"/>
      <c r="I267" s="410">
        <f t="shared" si="74"/>
        <v>0</v>
      </c>
      <c r="J267" s="83"/>
      <c r="K267" s="56">
        <f t="shared" si="48"/>
        <v>0</v>
      </c>
      <c r="M267" s="196" t="str">
        <f t="shared" si="49"/>
        <v>6250/000ELECTRONIC EQUIPMENT - COST</v>
      </c>
      <c r="N267" s="78"/>
      <c r="P267" s="79"/>
      <c r="Q267" s="59"/>
      <c r="R267" s="34"/>
    </row>
    <row r="268" spans="1:18" x14ac:dyDescent="0.2">
      <c r="A268" s="393"/>
      <c r="B268" s="62" t="s">
        <v>6</v>
      </c>
      <c r="C268" s="397" t="s">
        <v>957</v>
      </c>
      <c r="D268" s="435"/>
      <c r="E268" s="427"/>
      <c r="F268" s="87">
        <f>SUM(K268:K270)</f>
        <v>0</v>
      </c>
      <c r="G268" s="55">
        <f>SUMIF(JournalsA!D$14:D$920,TrialBalanceA!M268,JournalsA!J$14:J$920)+SUMIF(JournalsA!E$14:E$920,TrialBalanceA!M268,JournalsA!J$14:J$920)</f>
        <v>0</v>
      </c>
      <c r="H268" s="442"/>
      <c r="I268" s="410">
        <f t="shared" si="74"/>
        <v>0</v>
      </c>
      <c r="J268" s="83"/>
      <c r="K268" s="56">
        <f t="shared" si="48"/>
        <v>0</v>
      </c>
      <c r="M268" s="196" t="str">
        <f t="shared" si="49"/>
        <v>6250/001Electronic equipment - cost b/fwd</v>
      </c>
      <c r="N268" s="78"/>
      <c r="P268" s="79"/>
      <c r="Q268" s="59"/>
      <c r="R268" s="34"/>
    </row>
    <row r="269" spans="1:18" x14ac:dyDescent="0.2">
      <c r="A269" s="393"/>
      <c r="B269" s="62" t="s">
        <v>7</v>
      </c>
      <c r="C269" s="397" t="s">
        <v>958</v>
      </c>
      <c r="D269" s="435"/>
      <c r="E269" s="427"/>
      <c r="F269" s="87"/>
      <c r="G269" s="55">
        <f>SUMIF(JournalsA!D$14:D$920,TrialBalanceA!M269,JournalsA!J$14:J$920)+SUMIF(JournalsA!E$14:E$920,TrialBalanceA!M269,JournalsA!J$14:J$920)</f>
        <v>0</v>
      </c>
      <c r="H269" s="442"/>
      <c r="I269" s="410">
        <f t="shared" si="74"/>
        <v>0</v>
      </c>
      <c r="J269" s="83"/>
      <c r="K269" s="56">
        <f t="shared" si="48"/>
        <v>0</v>
      </c>
      <c r="M269" s="196" t="str">
        <f t="shared" si="49"/>
        <v>6250/002Electronic equipment - additions</v>
      </c>
      <c r="N269" s="78"/>
      <c r="P269" s="79"/>
      <c r="Q269" s="59"/>
      <c r="R269" s="34"/>
    </row>
    <row r="270" spans="1:18" x14ac:dyDescent="0.2">
      <c r="A270" s="393"/>
      <c r="B270" s="62" t="s">
        <v>8</v>
      </c>
      <c r="C270" s="397" t="s">
        <v>959</v>
      </c>
      <c r="D270" s="435"/>
      <c r="E270" s="427"/>
      <c r="F270" s="87"/>
      <c r="G270" s="55">
        <f>SUMIF(JournalsA!D$14:D$920,TrialBalanceA!M270,JournalsA!J$14:J$920)+SUMIF(JournalsA!E$14:E$920,TrialBalanceA!M270,JournalsA!J$14:J$920)</f>
        <v>0</v>
      </c>
      <c r="H270" s="442"/>
      <c r="I270" s="410">
        <f t="shared" si="74"/>
        <v>0</v>
      </c>
      <c r="J270" s="83"/>
      <c r="K270" s="56">
        <f t="shared" si="48"/>
        <v>0</v>
      </c>
      <c r="M270" s="196" t="str">
        <f t="shared" si="49"/>
        <v>6250/003Electronic equipment - cost of sales</v>
      </c>
      <c r="N270" s="78"/>
      <c r="P270" s="79"/>
      <c r="Q270" s="59"/>
      <c r="R270" s="34"/>
    </row>
    <row r="271" spans="1:18" x14ac:dyDescent="0.2">
      <c r="A271" s="393"/>
      <c r="B271" s="62" t="s">
        <v>9</v>
      </c>
      <c r="C271" s="396" t="s">
        <v>136</v>
      </c>
      <c r="D271" s="436"/>
      <c r="E271" s="427"/>
      <c r="F271" s="87"/>
      <c r="G271" s="55">
        <f>SUMIF(JournalsA!D$14:D$920,TrialBalanceA!M271,JournalsA!J$14:J$920)+SUMIF(JournalsA!E$14:E$920,TrialBalanceA!M271,JournalsA!J$14:J$920)</f>
        <v>0</v>
      </c>
      <c r="H271" s="442"/>
      <c r="I271" s="410">
        <f t="shared" si="74"/>
        <v>0</v>
      </c>
      <c r="J271" s="83"/>
      <c r="K271" s="56">
        <f t="shared" si="48"/>
        <v>0</v>
      </c>
      <c r="M271" s="196" t="str">
        <f t="shared" si="49"/>
        <v>6250/020ELECTRONIC EQUIPMENT - ACC DEPR</v>
      </c>
      <c r="N271" s="78"/>
      <c r="P271" s="79"/>
      <c r="Q271" s="59"/>
      <c r="R271" s="34"/>
    </row>
    <row r="272" spans="1:18" x14ac:dyDescent="0.2">
      <c r="A272" s="393"/>
      <c r="B272" s="62" t="s">
        <v>10</v>
      </c>
      <c r="C272" s="397" t="s">
        <v>960</v>
      </c>
      <c r="D272" s="435"/>
      <c r="E272" s="427"/>
      <c r="F272" s="87">
        <f>SUM(K272:K274)</f>
        <v>0</v>
      </c>
      <c r="G272" s="55">
        <f>SUMIF(JournalsA!D$14:D$920,TrialBalanceA!M272,JournalsA!J$14:J$920)+SUMIF(JournalsA!E$14:E$920,TrialBalanceA!M272,JournalsA!J$14:J$920)</f>
        <v>0</v>
      </c>
      <c r="H272" s="442"/>
      <c r="I272" s="410">
        <f t="shared" si="74"/>
        <v>0</v>
      </c>
      <c r="J272" s="83"/>
      <c r="K272" s="56">
        <f t="shared" si="48"/>
        <v>0</v>
      </c>
      <c r="M272" s="196" t="str">
        <f t="shared" si="49"/>
        <v>6250/021Electronic equipment - acc depr b/fwd</v>
      </c>
      <c r="N272" s="78"/>
      <c r="P272" s="79"/>
      <c r="Q272" s="59"/>
      <c r="R272" s="34"/>
    </row>
    <row r="273" spans="1:18" x14ac:dyDescent="0.2">
      <c r="A273" s="393"/>
      <c r="B273" s="62" t="s">
        <v>11</v>
      </c>
      <c r="C273" s="397" t="s">
        <v>961</v>
      </c>
      <c r="D273" s="435"/>
      <c r="E273" s="427"/>
      <c r="F273" s="87"/>
      <c r="G273" s="55">
        <f>SUMIF(JournalsA!D$14:D$920,TrialBalanceA!M273,JournalsA!J$14:J$920)+SUMIF(JournalsA!E$14:E$920,TrialBalanceA!M273,JournalsA!J$14:J$920)</f>
        <v>0</v>
      </c>
      <c r="H273" s="442"/>
      <c r="I273" s="410">
        <f t="shared" si="74"/>
        <v>0</v>
      </c>
      <c r="J273" s="83"/>
      <c r="K273" s="56">
        <f t="shared" si="48"/>
        <v>0</v>
      </c>
      <c r="M273" s="196" t="str">
        <f t="shared" si="49"/>
        <v>6250/022Electronic equipment - depr this year</v>
      </c>
      <c r="N273" s="78"/>
      <c r="P273" s="79"/>
      <c r="Q273" s="59"/>
      <c r="R273" s="34"/>
    </row>
    <row r="274" spans="1:18" x14ac:dyDescent="0.2">
      <c r="A274" s="393"/>
      <c r="B274" s="62" t="s">
        <v>12</v>
      </c>
      <c r="C274" s="397" t="s">
        <v>962</v>
      </c>
      <c r="D274" s="435"/>
      <c r="E274" s="427"/>
      <c r="F274" s="87"/>
      <c r="G274" s="55">
        <f>SUMIF(JournalsA!D$14:D$920,TrialBalanceA!M274,JournalsA!J$14:J$920)+SUMIF(JournalsA!E$14:E$920,TrialBalanceA!M274,JournalsA!J$14:J$920)</f>
        <v>0</v>
      </c>
      <c r="H274" s="442"/>
      <c r="I274" s="410">
        <f t="shared" si="74"/>
        <v>0</v>
      </c>
      <c r="J274" s="83"/>
      <c r="K274" s="56">
        <f t="shared" si="48"/>
        <v>0</v>
      </c>
      <c r="M274" s="196" t="str">
        <f t="shared" si="49"/>
        <v>6250/023Electronic equipment - acc depr on sales</v>
      </c>
      <c r="N274" s="78"/>
      <c r="P274" s="79"/>
      <c r="Q274" s="59"/>
      <c r="R274" s="34"/>
    </row>
    <row r="275" spans="1:18" x14ac:dyDescent="0.2">
      <c r="A275" s="393"/>
      <c r="B275" s="62" t="s">
        <v>14</v>
      </c>
      <c r="C275" s="396" t="s">
        <v>963</v>
      </c>
      <c r="D275" s="436"/>
      <c r="E275" s="427"/>
      <c r="F275" s="87"/>
      <c r="G275" s="55">
        <f>SUMIF(JournalsA!D$14:D$920,TrialBalanceA!M275,JournalsA!J$14:J$920)+SUMIF(JournalsA!E$14:E$920,TrialBalanceA!M275,JournalsA!J$14:J$920)</f>
        <v>0</v>
      </c>
      <c r="H275" s="442"/>
      <c r="I275" s="410">
        <f t="shared" si="74"/>
        <v>0</v>
      </c>
      <c r="J275" s="83"/>
      <c r="K275" s="56">
        <f t="shared" si="48"/>
        <v>0</v>
      </c>
      <c r="M275" s="196" t="str">
        <f t="shared" si="49"/>
        <v>6350/000FURNITURE AND FITTINGS - COST</v>
      </c>
      <c r="N275" s="78"/>
      <c r="P275" s="79"/>
      <c r="Q275" s="59"/>
      <c r="R275" s="34"/>
    </row>
    <row r="276" spans="1:18" x14ac:dyDescent="0.2">
      <c r="A276" s="393"/>
      <c r="B276" s="62" t="s">
        <v>15</v>
      </c>
      <c r="C276" s="397" t="s">
        <v>964</v>
      </c>
      <c r="D276" s="435"/>
      <c r="E276" s="427"/>
      <c r="F276" s="87">
        <f>SUM(K276:K278)</f>
        <v>0</v>
      </c>
      <c r="G276" s="55">
        <f>SUMIF(JournalsA!D$14:D$920,TrialBalanceA!M276,JournalsA!J$14:J$920)+SUMIF(JournalsA!E$14:E$920,TrialBalanceA!M276,JournalsA!J$14:J$920)</f>
        <v>0</v>
      </c>
      <c r="H276" s="442"/>
      <c r="I276" s="410">
        <f t="shared" si="74"/>
        <v>0</v>
      </c>
      <c r="J276" s="83"/>
      <c r="K276" s="56">
        <f t="shared" si="48"/>
        <v>0</v>
      </c>
      <c r="M276" s="196" t="str">
        <f t="shared" si="49"/>
        <v>6350/001Furniture and fittings - cost b/fwd</v>
      </c>
      <c r="N276" s="78"/>
      <c r="P276" s="79"/>
      <c r="Q276" s="59"/>
      <c r="R276" s="34"/>
    </row>
    <row r="277" spans="1:18" x14ac:dyDescent="0.2">
      <c r="A277" s="393"/>
      <c r="B277" s="62" t="s">
        <v>462</v>
      </c>
      <c r="C277" s="397" t="s">
        <v>965</v>
      </c>
      <c r="D277" s="435"/>
      <c r="E277" s="427"/>
      <c r="F277" s="87"/>
      <c r="G277" s="55">
        <f>SUMIF(JournalsA!D$14:D$920,TrialBalanceA!M277,JournalsA!J$14:J$920)+SUMIF(JournalsA!E$14:E$920,TrialBalanceA!M277,JournalsA!J$14:J$920)</f>
        <v>0</v>
      </c>
      <c r="H277" s="442"/>
      <c r="I277" s="410">
        <f t="shared" si="74"/>
        <v>0</v>
      </c>
      <c r="J277" s="83"/>
      <c r="K277" s="56">
        <f t="shared" si="48"/>
        <v>0</v>
      </c>
      <c r="M277" s="196" t="str">
        <f t="shared" si="49"/>
        <v>6350/002Furniture and fittings - additions</v>
      </c>
      <c r="N277" s="78"/>
      <c r="P277" s="79"/>
      <c r="Q277" s="59"/>
      <c r="R277" s="34"/>
    </row>
    <row r="278" spans="1:18" x14ac:dyDescent="0.2">
      <c r="A278" s="393"/>
      <c r="B278" s="62" t="s">
        <v>478</v>
      </c>
      <c r="C278" s="397" t="s">
        <v>966</v>
      </c>
      <c r="D278" s="435"/>
      <c r="E278" s="427"/>
      <c r="F278" s="87"/>
      <c r="G278" s="55">
        <f>SUMIF(JournalsA!D$14:D$920,TrialBalanceA!M278,JournalsA!J$14:J$920)+SUMIF(JournalsA!E$14:E$920,TrialBalanceA!M278,JournalsA!J$14:J$920)</f>
        <v>0</v>
      </c>
      <c r="H278" s="442"/>
      <c r="I278" s="410">
        <f t="shared" si="74"/>
        <v>0</v>
      </c>
      <c r="J278" s="83"/>
      <c r="K278" s="56">
        <f t="shared" si="48"/>
        <v>0</v>
      </c>
      <c r="M278" s="196" t="str">
        <f t="shared" si="49"/>
        <v>6350/003Furniture and fittings - cost of sales</v>
      </c>
      <c r="N278" s="78"/>
      <c r="P278" s="79"/>
      <c r="Q278" s="59"/>
      <c r="R278" s="34"/>
    </row>
    <row r="279" spans="1:18" x14ac:dyDescent="0.2">
      <c r="A279" s="393"/>
      <c r="B279" s="62" t="s">
        <v>300</v>
      </c>
      <c r="C279" s="396" t="s">
        <v>967</v>
      </c>
      <c r="D279" s="436"/>
      <c r="E279" s="427"/>
      <c r="F279" s="87"/>
      <c r="G279" s="55">
        <f>SUMIF(JournalsA!D$14:D$920,TrialBalanceA!M279,JournalsA!J$14:J$920)+SUMIF(JournalsA!E$14:E$920,TrialBalanceA!M279,JournalsA!J$14:J$920)</f>
        <v>0</v>
      </c>
      <c r="H279" s="442"/>
      <c r="I279" s="410">
        <f t="shared" si="74"/>
        <v>0</v>
      </c>
      <c r="J279" s="83"/>
      <c r="K279" s="56">
        <f t="shared" si="48"/>
        <v>0</v>
      </c>
      <c r="M279" s="196" t="str">
        <f t="shared" si="49"/>
        <v>6350/020FURNITURE AND FITTINGS - ACC DEPR</v>
      </c>
      <c r="N279" s="78"/>
      <c r="P279" s="79"/>
      <c r="Q279" s="59"/>
      <c r="R279" s="34"/>
    </row>
    <row r="280" spans="1:18" x14ac:dyDescent="0.2">
      <c r="A280" s="393"/>
      <c r="B280" s="62" t="s">
        <v>168</v>
      </c>
      <c r="C280" s="397" t="s">
        <v>968</v>
      </c>
      <c r="D280" s="435"/>
      <c r="E280" s="427"/>
      <c r="F280" s="87">
        <f>SUM(K280:K282)</f>
        <v>0</v>
      </c>
      <c r="G280" s="55">
        <f>SUMIF(JournalsA!D$14:D$920,TrialBalanceA!M280,JournalsA!J$14:J$920)+SUMIF(JournalsA!E$14:E$920,TrialBalanceA!M280,JournalsA!J$14:J$920)</f>
        <v>0</v>
      </c>
      <c r="H280" s="442"/>
      <c r="I280" s="410">
        <f t="shared" si="74"/>
        <v>0</v>
      </c>
      <c r="J280" s="83"/>
      <c r="K280" s="56">
        <f t="shared" si="48"/>
        <v>0</v>
      </c>
      <c r="M280" s="196" t="str">
        <f t="shared" si="49"/>
        <v>6350/021Furniture and fittings - acc depr b/fwd</v>
      </c>
      <c r="N280" s="78"/>
      <c r="P280" s="79"/>
      <c r="Q280" s="59"/>
      <c r="R280" s="34"/>
    </row>
    <row r="281" spans="1:18" x14ac:dyDescent="0.2">
      <c r="A281" s="393"/>
      <c r="B281" s="62" t="s">
        <v>169</v>
      </c>
      <c r="C281" s="397" t="s">
        <v>969</v>
      </c>
      <c r="D281" s="435"/>
      <c r="E281" s="427"/>
      <c r="F281" s="87"/>
      <c r="G281" s="55">
        <f>SUMIF(JournalsA!D$14:D$920,TrialBalanceA!M281,JournalsA!J$14:J$920)+SUMIF(JournalsA!E$14:E$920,TrialBalanceA!M281,JournalsA!J$14:J$920)</f>
        <v>0</v>
      </c>
      <c r="H281" s="442"/>
      <c r="I281" s="410">
        <f t="shared" si="74"/>
        <v>0</v>
      </c>
      <c r="J281" s="83"/>
      <c r="K281" s="56">
        <f t="shared" si="48"/>
        <v>0</v>
      </c>
      <c r="M281" s="196" t="str">
        <f t="shared" si="49"/>
        <v>6350/022Furniture and fittings - depr this year</v>
      </c>
      <c r="N281" s="78"/>
      <c r="P281" s="79"/>
      <c r="Q281" s="59"/>
      <c r="R281" s="34"/>
    </row>
    <row r="282" spans="1:18" x14ac:dyDescent="0.2">
      <c r="A282" s="393"/>
      <c r="B282" s="62" t="s">
        <v>279</v>
      </c>
      <c r="C282" s="397" t="s">
        <v>970</v>
      </c>
      <c r="D282" s="435"/>
      <c r="E282" s="427"/>
      <c r="F282" s="87"/>
      <c r="G282" s="55">
        <f>SUMIF(JournalsA!D$14:D$920,TrialBalanceA!M282,JournalsA!J$14:J$920)+SUMIF(JournalsA!E$14:E$920,TrialBalanceA!M282,JournalsA!J$14:J$920)</f>
        <v>0</v>
      </c>
      <c r="H282" s="442"/>
      <c r="I282" s="410">
        <f t="shared" si="74"/>
        <v>0</v>
      </c>
      <c r="J282" s="83"/>
      <c r="K282" s="56">
        <f t="shared" si="48"/>
        <v>0</v>
      </c>
      <c r="M282" s="196" t="str">
        <f t="shared" si="49"/>
        <v>6350/023Furniture and fittings - acc depr on sales</v>
      </c>
      <c r="N282" s="78"/>
      <c r="P282" s="79"/>
      <c r="Q282" s="59"/>
      <c r="R282" s="34"/>
    </row>
    <row r="283" spans="1:18" x14ac:dyDescent="0.2">
      <c r="A283" s="393"/>
      <c r="B283" s="62" t="s">
        <v>500</v>
      </c>
      <c r="C283" s="396" t="s">
        <v>55</v>
      </c>
      <c r="D283" s="436"/>
      <c r="E283" s="427"/>
      <c r="F283" s="87"/>
      <c r="G283" s="55">
        <f>SUMIF(JournalsA!D$14:D$920,TrialBalanceA!M283,JournalsA!J$14:J$920)+SUMIF(JournalsA!E$14:E$920,TrialBalanceA!M283,JournalsA!J$14:J$920)</f>
        <v>0</v>
      </c>
      <c r="H283" s="442"/>
      <c r="I283" s="410">
        <f t="shared" si="74"/>
        <v>0</v>
      </c>
      <c r="J283" s="83"/>
      <c r="K283" s="56">
        <f t="shared" si="48"/>
        <v>0</v>
      </c>
      <c r="M283" s="196" t="str">
        <f t="shared" si="49"/>
        <v>7000/000INTANGIBLE ASSETS</v>
      </c>
      <c r="N283" s="78"/>
      <c r="P283" s="79"/>
      <c r="Q283" s="59"/>
      <c r="R283" s="34"/>
    </row>
    <row r="284" spans="1:18" x14ac:dyDescent="0.2">
      <c r="A284" s="393"/>
      <c r="B284" s="113" t="s">
        <v>1259</v>
      </c>
      <c r="C284" s="396" t="s">
        <v>1260</v>
      </c>
      <c r="D284" s="436"/>
      <c r="E284" s="427"/>
      <c r="F284" s="87"/>
      <c r="G284" s="55">
        <f>SUMIF(JournalsA!D$14:D$920,TrialBalanceA!M284,JournalsA!J$14:J$920)+SUMIF(JournalsA!E$14:E$920,TrialBalanceA!M284,JournalsA!J$14:J$920)</f>
        <v>0</v>
      </c>
      <c r="H284" s="442"/>
      <c r="I284" s="410">
        <f t="shared" ref="I284:I300" si="75">ROUND(D284-E284+G284+F284,0)</f>
        <v>0</v>
      </c>
      <c r="J284" s="83"/>
      <c r="K284" s="56">
        <f t="shared" ref="K284:K301" si="76">ROUND(SUM(A284),0)</f>
        <v>0</v>
      </c>
      <c r="M284" s="196" t="str">
        <f t="shared" ref="M284:M301" si="77">CONCATENATE(B284,C284)</f>
        <v>7000/001GOODWILL - COST</v>
      </c>
      <c r="N284" s="78"/>
      <c r="P284" s="79"/>
      <c r="Q284" s="59"/>
      <c r="R284" s="34"/>
    </row>
    <row r="285" spans="1:18" x14ac:dyDescent="0.2">
      <c r="A285" s="393"/>
      <c r="B285" s="113" t="s">
        <v>1261</v>
      </c>
      <c r="C285" s="397" t="s">
        <v>1262</v>
      </c>
      <c r="D285" s="436"/>
      <c r="E285" s="427"/>
      <c r="F285" s="87">
        <f>SUM(K285:K286)</f>
        <v>0</v>
      </c>
      <c r="G285" s="55">
        <f>SUMIF(JournalsA!D$14:D$920,TrialBalanceA!M285,JournalsA!J$14:J$920)+SUMIF(JournalsA!E$14:E$920,TrialBalanceA!M285,JournalsA!J$14:J$920)</f>
        <v>0</v>
      </c>
      <c r="H285" s="442"/>
      <c r="I285" s="410">
        <f t="shared" si="75"/>
        <v>0</v>
      </c>
      <c r="J285" s="83"/>
      <c r="K285" s="56">
        <f t="shared" si="76"/>
        <v>0</v>
      </c>
      <c r="M285" s="196" t="str">
        <f t="shared" si="77"/>
        <v>7000/002Goodwill - cost b/fwd</v>
      </c>
      <c r="N285" s="78"/>
      <c r="P285" s="79"/>
      <c r="Q285" s="59"/>
      <c r="R285" s="34"/>
    </row>
    <row r="286" spans="1:18" x14ac:dyDescent="0.2">
      <c r="A286" s="393"/>
      <c r="B286" s="113" t="s">
        <v>1263</v>
      </c>
      <c r="C286" s="397" t="s">
        <v>1264</v>
      </c>
      <c r="D286" s="436"/>
      <c r="E286" s="427"/>
      <c r="F286" s="87"/>
      <c r="G286" s="55">
        <f>SUMIF(JournalsA!D$14:D$920,TrialBalanceA!M286,JournalsA!J$14:J$920)+SUMIF(JournalsA!E$14:E$920,TrialBalanceA!M286,JournalsA!J$14:J$920)</f>
        <v>0</v>
      </c>
      <c r="H286" s="442"/>
      <c r="I286" s="410">
        <f t="shared" si="75"/>
        <v>0</v>
      </c>
      <c r="J286" s="83"/>
      <c r="K286" s="56">
        <f t="shared" si="76"/>
        <v>0</v>
      </c>
      <c r="M286" s="196" t="str">
        <f t="shared" si="77"/>
        <v>7000/003Goodwill - additions</v>
      </c>
      <c r="N286" s="78"/>
      <c r="P286" s="79"/>
      <c r="Q286" s="59"/>
      <c r="R286" s="34"/>
    </row>
    <row r="287" spans="1:18" x14ac:dyDescent="0.2">
      <c r="A287" s="393"/>
      <c r="B287" s="113" t="s">
        <v>1265</v>
      </c>
      <c r="C287" s="396" t="s">
        <v>1266</v>
      </c>
      <c r="D287" s="436"/>
      <c r="E287" s="427"/>
      <c r="F287" s="87"/>
      <c r="G287" s="55">
        <f>SUMIF(JournalsA!D$14:D$920,TrialBalanceA!M287,JournalsA!J$14:J$920)+SUMIF(JournalsA!E$14:E$920,TrialBalanceA!M287,JournalsA!J$14:J$920)</f>
        <v>0</v>
      </c>
      <c r="H287" s="442"/>
      <c r="I287" s="410">
        <f t="shared" si="75"/>
        <v>0</v>
      </c>
      <c r="J287" s="83"/>
      <c r="K287" s="56">
        <f t="shared" si="76"/>
        <v>0</v>
      </c>
      <c r="M287" s="196" t="str">
        <f t="shared" si="77"/>
        <v>7000/005GOODWILL - ACC AMORTISATION</v>
      </c>
      <c r="N287" s="78"/>
      <c r="P287" s="79"/>
      <c r="Q287" s="59"/>
      <c r="R287" s="34"/>
    </row>
    <row r="288" spans="1:18" x14ac:dyDescent="0.2">
      <c r="A288" s="393"/>
      <c r="B288" s="113" t="s">
        <v>1267</v>
      </c>
      <c r="C288" s="397" t="s">
        <v>1268</v>
      </c>
      <c r="D288" s="436"/>
      <c r="E288" s="427"/>
      <c r="F288" s="87">
        <f>SUM(K288:K289)</f>
        <v>0</v>
      </c>
      <c r="G288" s="55">
        <f>SUMIF(JournalsA!D$14:D$920,TrialBalanceA!M288,JournalsA!J$14:J$920)+SUMIF(JournalsA!E$14:E$920,TrialBalanceA!M288,JournalsA!J$14:J$920)</f>
        <v>0</v>
      </c>
      <c r="H288" s="442"/>
      <c r="I288" s="410">
        <f t="shared" si="75"/>
        <v>0</v>
      </c>
      <c r="J288" s="83"/>
      <c r="K288" s="56">
        <f t="shared" si="76"/>
        <v>0</v>
      </c>
      <c r="M288" s="196" t="str">
        <f t="shared" si="77"/>
        <v>7000/006Goodwill - acc amortisation b/fwd</v>
      </c>
      <c r="N288" s="78"/>
      <c r="P288" s="79"/>
      <c r="Q288" s="59"/>
      <c r="R288" s="34"/>
    </row>
    <row r="289" spans="1:18" x14ac:dyDescent="0.2">
      <c r="A289" s="393"/>
      <c r="B289" s="113" t="s">
        <v>1269</v>
      </c>
      <c r="C289" s="397" t="s">
        <v>1270</v>
      </c>
      <c r="D289" s="436"/>
      <c r="E289" s="427"/>
      <c r="F289" s="87"/>
      <c r="G289" s="55">
        <f>SUMIF(JournalsA!D$14:D$920,TrialBalanceA!M289,JournalsA!J$14:J$920)+SUMIF(JournalsA!E$14:E$920,TrialBalanceA!M289,JournalsA!J$14:J$920)</f>
        <v>0</v>
      </c>
      <c r="H289" s="442"/>
      <c r="I289" s="410">
        <f t="shared" si="75"/>
        <v>0</v>
      </c>
      <c r="J289" s="83"/>
      <c r="K289" s="56">
        <f t="shared" si="76"/>
        <v>0</v>
      </c>
      <c r="M289" s="196" t="str">
        <f t="shared" si="77"/>
        <v>7000/007Goodwill - amortisation this year</v>
      </c>
      <c r="N289" s="78"/>
      <c r="P289" s="79"/>
      <c r="Q289" s="59"/>
      <c r="R289" s="34"/>
    </row>
    <row r="290" spans="1:18" x14ac:dyDescent="0.2">
      <c r="A290" s="393"/>
      <c r="B290" s="113" t="s">
        <v>501</v>
      </c>
      <c r="C290" s="396" t="s">
        <v>1271</v>
      </c>
      <c r="D290" s="436"/>
      <c r="E290" s="427"/>
      <c r="F290" s="87"/>
      <c r="G290" s="55">
        <f>SUMIF(JournalsA!D$14:D$920,TrialBalanceA!M290,JournalsA!J$14:J$920)+SUMIF(JournalsA!E$14:E$920,TrialBalanceA!M290,JournalsA!J$14:J$920)</f>
        <v>0</v>
      </c>
      <c r="H290" s="442"/>
      <c r="I290" s="410">
        <f t="shared" si="75"/>
        <v>0</v>
      </c>
      <c r="J290" s="83"/>
      <c r="K290" s="56">
        <f t="shared" si="76"/>
        <v>0</v>
      </c>
      <c r="M290" s="196" t="str">
        <f t="shared" si="77"/>
        <v>7000/010GOODWILL - IMPAIRMENT</v>
      </c>
      <c r="N290" s="78"/>
      <c r="P290" s="79"/>
      <c r="Q290" s="59"/>
      <c r="R290" s="34"/>
    </row>
    <row r="291" spans="1:18" x14ac:dyDescent="0.2">
      <c r="A291" s="393"/>
      <c r="B291" s="113" t="s">
        <v>707</v>
      </c>
      <c r="C291" s="397" t="s">
        <v>1272</v>
      </c>
      <c r="D291" s="436"/>
      <c r="E291" s="427"/>
      <c r="F291" s="87">
        <f>SUM(K291:K292)</f>
        <v>0</v>
      </c>
      <c r="G291" s="55">
        <f>SUMIF(JournalsA!D$14:D$920,TrialBalanceA!M291,JournalsA!J$14:J$920)+SUMIF(JournalsA!E$14:E$920,TrialBalanceA!M291,JournalsA!J$14:J$920)</f>
        <v>0</v>
      </c>
      <c r="H291" s="442"/>
      <c r="I291" s="410">
        <f t="shared" si="75"/>
        <v>0</v>
      </c>
      <c r="J291" s="83"/>
      <c r="K291" s="56">
        <f t="shared" si="76"/>
        <v>0</v>
      </c>
      <c r="M291" s="196" t="str">
        <f t="shared" si="77"/>
        <v>7000/011Goodwill - impairment loss b/fwd</v>
      </c>
      <c r="N291" s="78"/>
      <c r="P291" s="79"/>
      <c r="Q291" s="59"/>
      <c r="R291" s="34"/>
    </row>
    <row r="292" spans="1:18" x14ac:dyDescent="0.2">
      <c r="A292" s="393"/>
      <c r="B292" s="113" t="s">
        <v>1273</v>
      </c>
      <c r="C292" s="397" t="s">
        <v>1274</v>
      </c>
      <c r="D292" s="436"/>
      <c r="E292" s="427"/>
      <c r="F292" s="87"/>
      <c r="G292" s="55">
        <f>SUMIF(JournalsA!D$14:D$920,TrialBalanceA!M292,JournalsA!J$14:J$920)+SUMIF(JournalsA!E$14:E$920,TrialBalanceA!M292,JournalsA!J$14:J$920)</f>
        <v>0</v>
      </c>
      <c r="H292" s="442"/>
      <c r="I292" s="410">
        <f t="shared" si="75"/>
        <v>0</v>
      </c>
      <c r="J292" s="83"/>
      <c r="K292" s="56">
        <f t="shared" si="76"/>
        <v>0</v>
      </c>
      <c r="M292" s="196" t="str">
        <f t="shared" si="77"/>
        <v>7000/012Goodwill - impairment loss this year</v>
      </c>
      <c r="N292" s="78"/>
      <c r="P292" s="79"/>
      <c r="Q292" s="59"/>
      <c r="R292" s="34"/>
    </row>
    <row r="293" spans="1:18" x14ac:dyDescent="0.2">
      <c r="A293" s="393"/>
      <c r="B293" s="113" t="s">
        <v>1275</v>
      </c>
      <c r="C293" s="396" t="s">
        <v>1276</v>
      </c>
      <c r="D293" s="436"/>
      <c r="E293" s="427"/>
      <c r="F293" s="87"/>
      <c r="G293" s="55">
        <f>SUMIF(JournalsA!D$14:D$920,TrialBalanceA!M293,JournalsA!J$14:J$920)+SUMIF(JournalsA!E$14:E$920,TrialBalanceA!M293,JournalsA!J$14:J$920)</f>
        <v>0</v>
      </c>
      <c r="H293" s="442"/>
      <c r="I293" s="410">
        <f t="shared" si="75"/>
        <v>0</v>
      </c>
      <c r="J293" s="83"/>
      <c r="K293" s="56">
        <f t="shared" si="76"/>
        <v>0</v>
      </c>
      <c r="M293" s="196" t="str">
        <f t="shared" si="77"/>
        <v>7000/021PREPAID LEASE AGREEMENT - COST</v>
      </c>
      <c r="N293" s="78"/>
      <c r="P293" s="79"/>
      <c r="Q293" s="59"/>
      <c r="R293" s="34"/>
    </row>
    <row r="294" spans="1:18" x14ac:dyDescent="0.2">
      <c r="A294" s="393"/>
      <c r="B294" s="113" t="s">
        <v>1277</v>
      </c>
      <c r="C294" s="397" t="s">
        <v>1278</v>
      </c>
      <c r="D294" s="436"/>
      <c r="E294" s="427"/>
      <c r="F294" s="87">
        <f>SUM(K294:K295)</f>
        <v>0</v>
      </c>
      <c r="G294" s="55">
        <f>SUMIF(JournalsA!D$14:D$920,TrialBalanceA!M294,JournalsA!J$14:J$920)+SUMIF(JournalsA!E$14:E$920,TrialBalanceA!M294,JournalsA!J$14:J$920)</f>
        <v>0</v>
      </c>
      <c r="H294" s="442"/>
      <c r="I294" s="410">
        <f t="shared" si="75"/>
        <v>0</v>
      </c>
      <c r="J294" s="83"/>
      <c r="K294" s="56">
        <f t="shared" si="76"/>
        <v>0</v>
      </c>
      <c r="M294" s="196" t="str">
        <f t="shared" si="77"/>
        <v>7000/022Prepaid lease agreement - cost b/fwd</v>
      </c>
      <c r="N294" s="78"/>
      <c r="P294" s="79"/>
      <c r="Q294" s="59"/>
      <c r="R294" s="34"/>
    </row>
    <row r="295" spans="1:18" x14ac:dyDescent="0.2">
      <c r="A295" s="393"/>
      <c r="B295" s="113" t="s">
        <v>1279</v>
      </c>
      <c r="C295" s="397" t="s">
        <v>1280</v>
      </c>
      <c r="D295" s="436"/>
      <c r="E295" s="427"/>
      <c r="F295" s="87"/>
      <c r="G295" s="55">
        <f>SUMIF(JournalsA!D$14:D$920,TrialBalanceA!M295,JournalsA!J$14:J$920)+SUMIF(JournalsA!E$14:E$920,TrialBalanceA!M295,JournalsA!J$14:J$920)</f>
        <v>0</v>
      </c>
      <c r="H295" s="442"/>
      <c r="I295" s="410">
        <f t="shared" si="75"/>
        <v>0</v>
      </c>
      <c r="J295" s="83"/>
      <c r="K295" s="56">
        <f t="shared" si="76"/>
        <v>0</v>
      </c>
      <c r="M295" s="196" t="str">
        <f t="shared" si="77"/>
        <v>7000/023Prepaid lease agreement - additions</v>
      </c>
      <c r="N295" s="78"/>
      <c r="P295" s="79"/>
      <c r="Q295" s="59"/>
      <c r="R295" s="34"/>
    </row>
    <row r="296" spans="1:18" x14ac:dyDescent="0.2">
      <c r="A296" s="393"/>
      <c r="B296" s="113" t="s">
        <v>502</v>
      </c>
      <c r="C296" s="396" t="s">
        <v>1281</v>
      </c>
      <c r="D296" s="436"/>
      <c r="E296" s="427"/>
      <c r="F296" s="87"/>
      <c r="G296" s="55">
        <f>SUMIF(JournalsA!D$14:D$920,TrialBalanceA!M296,JournalsA!J$14:J$920)+SUMIF(JournalsA!E$14:E$920,TrialBalanceA!M296,JournalsA!J$14:J$920)</f>
        <v>0</v>
      </c>
      <c r="H296" s="442"/>
      <c r="I296" s="410">
        <f t="shared" si="75"/>
        <v>0</v>
      </c>
      <c r="J296" s="83"/>
      <c r="K296" s="56">
        <f t="shared" si="76"/>
        <v>0</v>
      </c>
      <c r="M296" s="196" t="str">
        <f t="shared" si="77"/>
        <v>7000/025PREPAID LEASE AGREEMENT - ACC AMORTISATION</v>
      </c>
      <c r="N296" s="78"/>
      <c r="P296" s="79"/>
      <c r="Q296" s="59"/>
      <c r="R296" s="34"/>
    </row>
    <row r="297" spans="1:18" x14ac:dyDescent="0.2">
      <c r="A297" s="393"/>
      <c r="B297" s="113" t="s">
        <v>1282</v>
      </c>
      <c r="C297" s="397" t="s">
        <v>1283</v>
      </c>
      <c r="D297" s="436"/>
      <c r="E297" s="427"/>
      <c r="F297" s="87">
        <f>SUM(K297:K298)</f>
        <v>0</v>
      </c>
      <c r="G297" s="55">
        <f>SUMIF(JournalsA!D$14:D$920,TrialBalanceA!M297,JournalsA!J$14:J$920)+SUMIF(JournalsA!E$14:E$920,TrialBalanceA!M297,JournalsA!J$14:J$920)</f>
        <v>0</v>
      </c>
      <c r="H297" s="442"/>
      <c r="I297" s="410">
        <f t="shared" si="75"/>
        <v>0</v>
      </c>
      <c r="J297" s="83"/>
      <c r="K297" s="56">
        <f t="shared" si="76"/>
        <v>0</v>
      </c>
      <c r="M297" s="196" t="str">
        <f t="shared" si="77"/>
        <v>7000/026Prepaid lease agreement - acc amortisation b/fwd</v>
      </c>
      <c r="N297" s="78"/>
      <c r="P297" s="79"/>
      <c r="Q297" s="59"/>
      <c r="R297" s="34"/>
    </row>
    <row r="298" spans="1:18" x14ac:dyDescent="0.2">
      <c r="A298" s="393"/>
      <c r="B298" s="113" t="s">
        <v>1284</v>
      </c>
      <c r="C298" s="397" t="s">
        <v>1285</v>
      </c>
      <c r="D298" s="436"/>
      <c r="E298" s="427"/>
      <c r="F298" s="87"/>
      <c r="G298" s="55">
        <f>SUMIF(JournalsA!D$14:D$920,TrialBalanceA!M298,JournalsA!J$14:J$920)+SUMIF(JournalsA!E$14:E$920,TrialBalanceA!M298,JournalsA!J$14:J$920)</f>
        <v>0</v>
      </c>
      <c r="H298" s="442"/>
      <c r="I298" s="410">
        <f t="shared" si="75"/>
        <v>0</v>
      </c>
      <c r="J298" s="83"/>
      <c r="K298" s="56">
        <f t="shared" si="76"/>
        <v>0</v>
      </c>
      <c r="M298" s="196" t="str">
        <f t="shared" si="77"/>
        <v>7000/027Prepaid lease agreement - amortisation this year</v>
      </c>
      <c r="N298" s="78"/>
      <c r="P298" s="79"/>
      <c r="Q298" s="59"/>
      <c r="R298" s="34"/>
    </row>
    <row r="299" spans="1:18" x14ac:dyDescent="0.2">
      <c r="A299" s="393"/>
      <c r="B299" s="113" t="s">
        <v>1286</v>
      </c>
      <c r="C299" s="396" t="s">
        <v>1287</v>
      </c>
      <c r="D299" s="436"/>
      <c r="E299" s="427"/>
      <c r="F299" s="87"/>
      <c r="G299" s="55">
        <f>SUMIF(JournalsA!D$14:D$920,TrialBalanceA!M299,JournalsA!J$14:J$920)+SUMIF(JournalsA!E$14:E$920,TrialBalanceA!M299,JournalsA!J$14:J$920)</f>
        <v>0</v>
      </c>
      <c r="H299" s="442"/>
      <c r="I299" s="410">
        <f t="shared" si="75"/>
        <v>0</v>
      </c>
      <c r="J299" s="83"/>
      <c r="K299" s="56">
        <f t="shared" si="76"/>
        <v>0</v>
      </c>
      <c r="M299" s="196" t="str">
        <f t="shared" si="77"/>
        <v>7000/030PREPAID LEASE AGREEMENT - IMPAIRMENT</v>
      </c>
      <c r="N299" s="78"/>
      <c r="P299" s="79"/>
      <c r="Q299" s="59"/>
      <c r="R299" s="34"/>
    </row>
    <row r="300" spans="1:18" x14ac:dyDescent="0.2">
      <c r="A300" s="393"/>
      <c r="B300" s="113" t="s">
        <v>1288</v>
      </c>
      <c r="C300" s="397" t="s">
        <v>1289</v>
      </c>
      <c r="D300" s="436"/>
      <c r="E300" s="427"/>
      <c r="F300" s="87">
        <f>SUM(K300:K301)</f>
        <v>0</v>
      </c>
      <c r="G300" s="55">
        <f>SUMIF(JournalsA!D$14:D$920,TrialBalanceA!M300,JournalsA!J$14:J$920)+SUMIF(JournalsA!E$14:E$920,TrialBalanceA!M300,JournalsA!J$14:J$920)</f>
        <v>0</v>
      </c>
      <c r="H300" s="442"/>
      <c r="I300" s="410">
        <f t="shared" si="75"/>
        <v>0</v>
      </c>
      <c r="J300" s="83"/>
      <c r="K300" s="56">
        <f t="shared" si="76"/>
        <v>0</v>
      </c>
      <c r="M300" s="196" t="str">
        <f t="shared" si="77"/>
        <v>7000/031Prepaid lease agreement - impairment loss b/fwd</v>
      </c>
      <c r="N300" s="78"/>
      <c r="P300" s="79"/>
      <c r="Q300" s="59"/>
      <c r="R300" s="34"/>
    </row>
    <row r="301" spans="1:18" x14ac:dyDescent="0.2">
      <c r="A301" s="393"/>
      <c r="B301" s="113" t="s">
        <v>1290</v>
      </c>
      <c r="C301" s="397" t="s">
        <v>1291</v>
      </c>
      <c r="D301" s="436"/>
      <c r="E301" s="427"/>
      <c r="F301" s="87"/>
      <c r="G301" s="55">
        <f>SUMIF(JournalsA!D$14:D$920,TrialBalanceA!M301,JournalsA!J$14:J$920)+SUMIF(JournalsA!E$14:E$920,TrialBalanceA!M301,JournalsA!J$14:J$920)</f>
        <v>0</v>
      </c>
      <c r="H301" s="442"/>
      <c r="I301" s="410">
        <f>ROUND(D301-E301+G301+F301,0)</f>
        <v>0</v>
      </c>
      <c r="J301" s="83"/>
      <c r="K301" s="56">
        <f t="shared" si="76"/>
        <v>0</v>
      </c>
      <c r="M301" s="196" t="str">
        <f t="shared" si="77"/>
        <v>7000/032Prepaid lease agreement - impairment loss this year</v>
      </c>
      <c r="N301" s="78"/>
      <c r="P301" s="79"/>
      <c r="Q301" s="59"/>
      <c r="R301" s="34"/>
    </row>
    <row r="302" spans="1:18" x14ac:dyDescent="0.2">
      <c r="A302" s="393"/>
      <c r="B302" s="62" t="s">
        <v>503</v>
      </c>
      <c r="C302" s="396" t="s">
        <v>189</v>
      </c>
      <c r="D302" s="436"/>
      <c r="E302" s="427"/>
      <c r="F302" s="87"/>
      <c r="G302" s="55">
        <f>SUMIF(JournalsA!D$14:D$920,TrialBalanceA!M302,JournalsA!J$14:J$920)+SUMIF(JournalsA!E$14:E$920,TrialBalanceA!M302,JournalsA!J$14:J$920)</f>
        <v>0</v>
      </c>
      <c r="H302" s="442"/>
      <c r="I302" s="410">
        <f t="shared" ref="I302:I316" si="78">ROUND(D302-E302+G302+F302,0)</f>
        <v>0</v>
      </c>
      <c r="J302" s="83"/>
      <c r="K302" s="56">
        <f t="shared" ref="K302:K316" si="79">ROUND(SUM(A302),0)</f>
        <v>0</v>
      </c>
      <c r="M302" s="196" t="str">
        <f t="shared" ref="M302:M369" si="80">CONCATENATE(B302,C302)</f>
        <v>7100/000INVESTMENTS</v>
      </c>
      <c r="N302" s="78"/>
      <c r="P302" s="79"/>
      <c r="Q302" s="59"/>
      <c r="R302" s="34"/>
    </row>
    <row r="303" spans="1:18" x14ac:dyDescent="0.2">
      <c r="A303" s="393"/>
      <c r="B303" s="113" t="s">
        <v>1209</v>
      </c>
      <c r="C303" s="397" t="s">
        <v>1203</v>
      </c>
      <c r="D303" s="436"/>
      <c r="E303" s="427"/>
      <c r="F303" s="87"/>
      <c r="G303" s="55">
        <f>SUMIF(JournalsA!D$14:D$920,TrialBalanceA!M303,JournalsA!J$14:J$920)+SUMIF(JournalsA!E$14:E$920,TrialBalanceA!M303,JournalsA!J$14:J$920)</f>
        <v>0</v>
      </c>
      <c r="H303" s="442"/>
      <c r="I303" s="410">
        <f t="shared" ref="I303:I306" si="81">ROUND(D303-E303+G303+F303,0)</f>
        <v>0</v>
      </c>
      <c r="J303" s="83"/>
      <c r="K303" s="56">
        <f t="shared" ref="K303:K306" si="82">ROUND(SUM(A303),0)</f>
        <v>0</v>
      </c>
      <c r="M303" s="196" t="str">
        <f t="shared" ref="M303:M306" si="83">CONCATENATE(B303,C303)</f>
        <v>7100/050INVESTMENTS IN ASSOCIATES</v>
      </c>
      <c r="N303" s="78"/>
      <c r="P303" s="79"/>
      <c r="Q303" s="59"/>
      <c r="R303" s="34"/>
    </row>
    <row r="304" spans="1:18" x14ac:dyDescent="0.2">
      <c r="A304" s="393"/>
      <c r="B304" s="113" t="s">
        <v>1210</v>
      </c>
      <c r="C304" s="429" t="str">
        <f>TrialBalance!C304</f>
        <v>30 Shares in ABC Company (Pty) Ltd - 30% interest</v>
      </c>
      <c r="D304" s="405"/>
      <c r="E304" s="406"/>
      <c r="F304" s="87">
        <f>K304</f>
        <v>0</v>
      </c>
      <c r="G304" s="55">
        <f>SUMIF(JournalsA!D$14:D$920,TrialBalanceA!M304,JournalsA!J$14:J$920)+SUMIF(JournalsA!E$14:E$920,TrialBalanceA!M304,JournalsA!J$14:J$920)</f>
        <v>0</v>
      </c>
      <c r="H304" s="442"/>
      <c r="I304" s="410">
        <f>ROUND(D304-E304+G304+F304,0)</f>
        <v>0</v>
      </c>
      <c r="J304" s="83"/>
      <c r="K304" s="56">
        <f>ROUND(SUM(A304),0)</f>
        <v>0</v>
      </c>
      <c r="M304" s="196" t="str">
        <f t="shared" si="83"/>
        <v>7100/05130 Shares in ABC Company (Pty) Ltd - 30% interest</v>
      </c>
      <c r="N304" s="78"/>
      <c r="P304" s="79"/>
      <c r="Q304" s="59"/>
      <c r="R304" s="34"/>
    </row>
    <row r="305" spans="1:18" x14ac:dyDescent="0.2">
      <c r="A305" s="393"/>
      <c r="B305" s="113" t="s">
        <v>1211</v>
      </c>
      <c r="C305" s="429">
        <f>TrialBalance!C305</f>
        <v>0</v>
      </c>
      <c r="D305" s="405"/>
      <c r="E305" s="406"/>
      <c r="F305" s="87">
        <f>K305</f>
        <v>0</v>
      </c>
      <c r="G305" s="55">
        <f>SUMIF(JournalsA!D$14:D$920,TrialBalanceA!M305,JournalsA!J$14:J$920)+SUMIF(JournalsA!E$14:E$920,TrialBalanceA!M305,JournalsA!J$14:J$920)</f>
        <v>0</v>
      </c>
      <c r="H305" s="442"/>
      <c r="I305" s="410">
        <f t="shared" si="81"/>
        <v>0</v>
      </c>
      <c r="J305" s="83"/>
      <c r="K305" s="56">
        <f t="shared" si="82"/>
        <v>0</v>
      </c>
      <c r="M305" s="196" t="str">
        <f t="shared" si="83"/>
        <v>7100/0520</v>
      </c>
      <c r="N305" s="78"/>
      <c r="P305" s="79"/>
      <c r="Q305" s="59"/>
      <c r="R305" s="34"/>
    </row>
    <row r="306" spans="1:18" x14ac:dyDescent="0.2">
      <c r="A306" s="393"/>
      <c r="B306" s="113" t="s">
        <v>1212</v>
      </c>
      <c r="C306" s="429">
        <f>TrialBalance!C306</f>
        <v>0</v>
      </c>
      <c r="D306" s="405"/>
      <c r="E306" s="406"/>
      <c r="F306" s="87">
        <f>K306</f>
        <v>0</v>
      </c>
      <c r="G306" s="55">
        <f>SUMIF(JournalsA!D$14:D$920,TrialBalanceA!M306,JournalsA!J$14:J$920)+SUMIF(JournalsA!E$14:E$920,TrialBalanceA!M306,JournalsA!J$14:J$920)</f>
        <v>0</v>
      </c>
      <c r="H306" s="442"/>
      <c r="I306" s="410">
        <f t="shared" si="81"/>
        <v>0</v>
      </c>
      <c r="J306" s="83"/>
      <c r="K306" s="56">
        <f t="shared" si="82"/>
        <v>0</v>
      </c>
      <c r="M306" s="196" t="str">
        <f t="shared" si="83"/>
        <v>7100/0530</v>
      </c>
      <c r="N306" s="78"/>
      <c r="P306" s="79"/>
      <c r="Q306" s="59"/>
      <c r="R306" s="34"/>
    </row>
    <row r="307" spans="1:18" x14ac:dyDescent="0.2">
      <c r="A307" s="393"/>
      <c r="B307" s="62" t="s">
        <v>504</v>
      </c>
      <c r="C307" s="394" t="s">
        <v>505</v>
      </c>
      <c r="D307" s="435"/>
      <c r="E307" s="427"/>
      <c r="F307" s="87"/>
      <c r="G307" s="55">
        <f>SUMIF(JournalsA!D$14:D$920,TrialBalanceA!M307,JournalsA!J$14:J$920)+SUMIF(JournalsA!E$14:E$920,TrialBalanceA!M307,JournalsA!J$14:J$920)</f>
        <v>0</v>
      </c>
      <c r="H307" s="442"/>
      <c r="I307" s="410">
        <f t="shared" si="78"/>
        <v>0</v>
      </c>
      <c r="J307" s="83"/>
      <c r="K307" s="56">
        <f t="shared" si="79"/>
        <v>0</v>
      </c>
      <c r="M307" s="196" t="str">
        <f t="shared" si="80"/>
        <v>7100/100LISTED INVESTMENTS</v>
      </c>
      <c r="N307" s="78"/>
      <c r="P307" s="79"/>
      <c r="Q307" s="59"/>
      <c r="R307" s="34"/>
    </row>
    <row r="308" spans="1:18" x14ac:dyDescent="0.2">
      <c r="A308" s="393"/>
      <c r="B308" s="62" t="s">
        <v>506</v>
      </c>
      <c r="C308" s="429">
        <f>TrialBalance!C308</f>
        <v>0</v>
      </c>
      <c r="D308" s="435"/>
      <c r="E308" s="427"/>
      <c r="F308" s="87">
        <f>K308</f>
        <v>0</v>
      </c>
      <c r="G308" s="55">
        <f>SUMIF(JournalsA!D$14:D$920,TrialBalanceA!M308,JournalsA!J$14:J$920)+SUMIF(JournalsA!E$14:E$920,TrialBalanceA!M308,JournalsA!J$14:J$920)</f>
        <v>0</v>
      </c>
      <c r="H308" s="442"/>
      <c r="I308" s="410">
        <f t="shared" si="78"/>
        <v>0</v>
      </c>
      <c r="J308" s="83"/>
      <c r="K308" s="56">
        <f t="shared" si="79"/>
        <v>0</v>
      </c>
      <c r="M308" s="196" t="str">
        <f t="shared" si="80"/>
        <v>7100/1010</v>
      </c>
      <c r="N308" s="78"/>
      <c r="P308" s="79"/>
      <c r="Q308" s="59"/>
      <c r="R308" s="34"/>
    </row>
    <row r="309" spans="1:18" x14ac:dyDescent="0.2">
      <c r="A309" s="393"/>
      <c r="B309" s="62" t="s">
        <v>507</v>
      </c>
      <c r="C309" s="429">
        <f>TrialBalance!C309</f>
        <v>0</v>
      </c>
      <c r="D309" s="435"/>
      <c r="E309" s="427"/>
      <c r="F309" s="87">
        <f>K309</f>
        <v>0</v>
      </c>
      <c r="G309" s="55">
        <f>SUMIF(JournalsA!D$14:D$920,TrialBalanceA!M309,JournalsA!J$14:J$920)+SUMIF(JournalsA!E$14:E$920,TrialBalanceA!M309,JournalsA!J$14:J$920)</f>
        <v>0</v>
      </c>
      <c r="H309" s="442"/>
      <c r="I309" s="410">
        <f t="shared" si="78"/>
        <v>0</v>
      </c>
      <c r="J309" s="83"/>
      <c r="K309" s="56">
        <f t="shared" si="79"/>
        <v>0</v>
      </c>
      <c r="M309" s="196" t="str">
        <f t="shared" si="80"/>
        <v>7100/1020</v>
      </c>
      <c r="N309" s="78"/>
      <c r="P309" s="79"/>
      <c r="Q309" s="59"/>
      <c r="R309" s="34"/>
    </row>
    <row r="310" spans="1:18" x14ac:dyDescent="0.2">
      <c r="A310" s="393"/>
      <c r="B310" s="62" t="s">
        <v>508</v>
      </c>
      <c r="C310" s="429">
        <f>TrialBalance!C310</f>
        <v>0</v>
      </c>
      <c r="D310" s="435"/>
      <c r="E310" s="427"/>
      <c r="F310" s="87">
        <f t="shared" ref="F310:F377" si="84">K310</f>
        <v>0</v>
      </c>
      <c r="G310" s="55">
        <f>SUMIF(JournalsA!D$14:D$920,TrialBalanceA!M310,JournalsA!J$14:J$920)+SUMIF(JournalsA!E$14:E$920,TrialBalanceA!M310,JournalsA!J$14:J$920)</f>
        <v>0</v>
      </c>
      <c r="H310" s="442"/>
      <c r="I310" s="410">
        <f t="shared" si="78"/>
        <v>0</v>
      </c>
      <c r="J310" s="83"/>
      <c r="K310" s="56">
        <f t="shared" si="79"/>
        <v>0</v>
      </c>
      <c r="M310" s="196" t="str">
        <f t="shared" si="80"/>
        <v>7100/1030</v>
      </c>
      <c r="N310" s="78"/>
      <c r="P310" s="79"/>
      <c r="Q310" s="59"/>
      <c r="R310" s="34"/>
    </row>
    <row r="311" spans="1:18" x14ac:dyDescent="0.2">
      <c r="A311" s="393"/>
      <c r="B311" s="62" t="s">
        <v>509</v>
      </c>
      <c r="C311" s="429">
        <f>TrialBalance!C311</f>
        <v>0</v>
      </c>
      <c r="D311" s="435"/>
      <c r="E311" s="427"/>
      <c r="F311" s="87">
        <f t="shared" si="84"/>
        <v>0</v>
      </c>
      <c r="G311" s="55">
        <f>SUMIF(JournalsA!D$14:D$920,TrialBalanceA!M311,JournalsA!J$14:J$920)+SUMIF(JournalsA!E$14:E$920,TrialBalanceA!M311,JournalsA!J$14:J$920)</f>
        <v>0</v>
      </c>
      <c r="H311" s="442"/>
      <c r="I311" s="410">
        <f t="shared" si="78"/>
        <v>0</v>
      </c>
      <c r="J311" s="83"/>
      <c r="K311" s="56">
        <f t="shared" si="79"/>
        <v>0</v>
      </c>
      <c r="M311" s="196" t="str">
        <f t="shared" si="80"/>
        <v>7100/1040</v>
      </c>
      <c r="N311" s="78"/>
      <c r="P311" s="79"/>
      <c r="Q311" s="59"/>
      <c r="R311" s="34"/>
    </row>
    <row r="312" spans="1:18" x14ac:dyDescent="0.2">
      <c r="A312" s="393"/>
      <c r="B312" s="62" t="s">
        <v>510</v>
      </c>
      <c r="C312" s="429">
        <f>TrialBalance!C312</f>
        <v>0</v>
      </c>
      <c r="D312" s="435"/>
      <c r="E312" s="427"/>
      <c r="F312" s="87">
        <f t="shared" si="84"/>
        <v>0</v>
      </c>
      <c r="G312" s="55">
        <f>SUMIF(JournalsA!D$14:D$920,TrialBalanceA!M312,JournalsA!J$14:J$920)+SUMIF(JournalsA!E$14:E$920,TrialBalanceA!M312,JournalsA!J$14:J$920)</f>
        <v>0</v>
      </c>
      <c r="H312" s="442"/>
      <c r="I312" s="410">
        <f t="shared" si="78"/>
        <v>0</v>
      </c>
      <c r="J312" s="83"/>
      <c r="K312" s="56">
        <f t="shared" si="79"/>
        <v>0</v>
      </c>
      <c r="M312" s="196" t="str">
        <f t="shared" si="80"/>
        <v>7100/1050</v>
      </c>
      <c r="N312" s="78"/>
      <c r="P312" s="79"/>
      <c r="Q312" s="59"/>
      <c r="R312" s="34"/>
    </row>
    <row r="313" spans="1:18" x14ac:dyDescent="0.2">
      <c r="A313" s="393"/>
      <c r="B313" s="62" t="s">
        <v>511</v>
      </c>
      <c r="C313" s="397" t="s">
        <v>411</v>
      </c>
      <c r="D313" s="437"/>
      <c r="E313" s="427"/>
      <c r="F313" s="87"/>
      <c r="G313" s="55">
        <f>SUMIF(JournalsA!D$14:D$920,TrialBalanceA!M313,JournalsA!J$14:J$920)+SUMIF(JournalsA!E$14:E$920,TrialBalanceA!M313,JournalsA!J$14:J$920)</f>
        <v>0</v>
      </c>
      <c r="H313" s="442"/>
      <c r="I313" s="410">
        <f t="shared" si="78"/>
        <v>0</v>
      </c>
      <c r="J313" s="83"/>
      <c r="K313" s="56">
        <f t="shared" si="79"/>
        <v>0</v>
      </c>
      <c r="M313" s="196" t="str">
        <f t="shared" si="80"/>
        <v>7100/200OTHER INVESTMENTS</v>
      </c>
      <c r="N313" s="78"/>
      <c r="P313" s="79"/>
      <c r="Q313" s="59"/>
      <c r="R313" s="34"/>
    </row>
    <row r="314" spans="1:18" x14ac:dyDescent="0.2">
      <c r="A314" s="393"/>
      <c r="B314" s="62" t="s">
        <v>512</v>
      </c>
      <c r="C314" s="429">
        <f>TrialBalance!C314</f>
        <v>0</v>
      </c>
      <c r="D314" s="437"/>
      <c r="E314" s="427"/>
      <c r="F314" s="87">
        <f t="shared" si="84"/>
        <v>0</v>
      </c>
      <c r="G314" s="55">
        <f>SUMIF(JournalsA!D$14:D$920,TrialBalanceA!M314,JournalsA!J$14:J$920)+SUMIF(JournalsA!E$14:E$920,TrialBalanceA!M314,JournalsA!J$14:J$920)</f>
        <v>0</v>
      </c>
      <c r="H314" s="442"/>
      <c r="I314" s="410">
        <f t="shared" si="78"/>
        <v>0</v>
      </c>
      <c r="J314" s="83"/>
      <c r="K314" s="56">
        <f t="shared" si="79"/>
        <v>0</v>
      </c>
      <c r="M314" s="196" t="str">
        <f t="shared" si="80"/>
        <v>7100/2010</v>
      </c>
      <c r="N314" s="78"/>
      <c r="P314" s="79"/>
      <c r="Q314" s="59"/>
      <c r="R314" s="34"/>
    </row>
    <row r="315" spans="1:18" x14ac:dyDescent="0.2">
      <c r="A315" s="393"/>
      <c r="B315" s="62" t="s">
        <v>513</v>
      </c>
      <c r="C315" s="429">
        <f>TrialBalance!C315</f>
        <v>0</v>
      </c>
      <c r="D315" s="437"/>
      <c r="E315" s="427"/>
      <c r="F315" s="87">
        <f t="shared" si="84"/>
        <v>0</v>
      </c>
      <c r="G315" s="55">
        <f>SUMIF(JournalsA!D$14:D$920,TrialBalanceA!M315,JournalsA!J$14:J$920)+SUMIF(JournalsA!E$14:E$920,TrialBalanceA!M315,JournalsA!J$14:J$920)</f>
        <v>0</v>
      </c>
      <c r="H315" s="442"/>
      <c r="I315" s="410">
        <f t="shared" si="78"/>
        <v>0</v>
      </c>
      <c r="J315" s="83"/>
      <c r="K315" s="56">
        <f t="shared" si="79"/>
        <v>0</v>
      </c>
      <c r="M315" s="196" t="str">
        <f t="shared" si="80"/>
        <v>7100/2020</v>
      </c>
      <c r="N315" s="78"/>
      <c r="P315" s="79"/>
      <c r="Q315" s="59"/>
      <c r="R315" s="34"/>
    </row>
    <row r="316" spans="1:18" x14ac:dyDescent="0.2">
      <c r="A316" s="393"/>
      <c r="B316" s="62" t="s">
        <v>514</v>
      </c>
      <c r="C316" s="429">
        <f>TrialBalance!C316</f>
        <v>0</v>
      </c>
      <c r="D316" s="435"/>
      <c r="E316" s="427"/>
      <c r="F316" s="87">
        <f t="shared" si="84"/>
        <v>0</v>
      </c>
      <c r="G316" s="55">
        <f>SUMIF(JournalsA!D$14:D$920,TrialBalanceA!M316,JournalsA!J$14:J$920)+SUMIF(JournalsA!E$14:E$920,TrialBalanceA!M316,JournalsA!J$14:J$920)</f>
        <v>0</v>
      </c>
      <c r="H316" s="442"/>
      <c r="I316" s="410">
        <f t="shared" si="78"/>
        <v>0</v>
      </c>
      <c r="J316" s="83"/>
      <c r="K316" s="56">
        <f t="shared" si="79"/>
        <v>0</v>
      </c>
      <c r="M316" s="196" t="str">
        <f t="shared" si="80"/>
        <v>7100/2030</v>
      </c>
      <c r="N316" s="78"/>
      <c r="P316" s="79"/>
      <c r="Q316" s="59"/>
      <c r="R316" s="34"/>
    </row>
    <row r="317" spans="1:18" x14ac:dyDescent="0.2">
      <c r="A317" s="393"/>
      <c r="B317" s="62" t="s">
        <v>515</v>
      </c>
      <c r="C317" s="429">
        <f>TrialBalance!C317</f>
        <v>0</v>
      </c>
      <c r="D317" s="435"/>
      <c r="E317" s="427"/>
      <c r="F317" s="87">
        <f t="shared" si="84"/>
        <v>0</v>
      </c>
      <c r="G317" s="55">
        <f>SUMIF(JournalsA!D$14:D$920,TrialBalanceA!M317,JournalsA!J$14:J$920)+SUMIF(JournalsA!E$14:E$920,TrialBalanceA!M317,JournalsA!J$14:J$920)</f>
        <v>0</v>
      </c>
      <c r="H317" s="442"/>
      <c r="I317" s="410">
        <f t="shared" ref="I317:I368" si="85">ROUND(D317-E317+G317+F317,0)</f>
        <v>0</v>
      </c>
      <c r="J317" s="83"/>
      <c r="K317" s="56">
        <f t="shared" ref="K317:K368" si="86">ROUND(SUM(A317),0)</f>
        <v>0</v>
      </c>
      <c r="M317" s="196" t="str">
        <f t="shared" si="80"/>
        <v>7100/2040</v>
      </c>
      <c r="N317" s="78"/>
      <c r="P317" s="79"/>
      <c r="Q317" s="59"/>
      <c r="R317" s="34"/>
    </row>
    <row r="318" spans="1:18" x14ac:dyDescent="0.2">
      <c r="A318" s="393"/>
      <c r="B318" s="62" t="s">
        <v>170</v>
      </c>
      <c r="C318" s="429">
        <f>TrialBalance!C318</f>
        <v>0</v>
      </c>
      <c r="D318" s="435"/>
      <c r="E318" s="427"/>
      <c r="F318" s="87">
        <f t="shared" si="84"/>
        <v>0</v>
      </c>
      <c r="G318" s="55">
        <f>SUMIF(JournalsA!D$14:D$920,TrialBalanceA!M318,JournalsA!J$14:J$920)+SUMIF(JournalsA!E$14:E$920,TrialBalanceA!M318,JournalsA!J$14:J$920)</f>
        <v>0</v>
      </c>
      <c r="H318" s="442"/>
      <c r="I318" s="410">
        <f t="shared" si="85"/>
        <v>0</v>
      </c>
      <c r="J318" s="83"/>
      <c r="K318" s="56">
        <f t="shared" si="86"/>
        <v>0</v>
      </c>
      <c r="M318" s="196" t="str">
        <f t="shared" si="80"/>
        <v>7100/2050</v>
      </c>
      <c r="N318" s="78"/>
      <c r="P318" s="79"/>
      <c r="Q318" s="59"/>
      <c r="R318" s="34"/>
    </row>
    <row r="319" spans="1:18" x14ac:dyDescent="0.2">
      <c r="A319" s="393"/>
      <c r="B319" s="62" t="s">
        <v>171</v>
      </c>
      <c r="C319" s="397" t="s">
        <v>882</v>
      </c>
      <c r="D319" s="435"/>
      <c r="E319" s="427"/>
      <c r="F319" s="87"/>
      <c r="G319" s="55">
        <f>SUMIF(JournalsA!D$14:D$920,TrialBalanceA!M319,JournalsA!J$14:J$920)+SUMIF(JournalsA!E$14:E$920,TrialBalanceA!M319,JournalsA!J$14:J$920)</f>
        <v>0</v>
      </c>
      <c r="H319" s="442"/>
      <c r="I319" s="410">
        <f t="shared" si="85"/>
        <v>0</v>
      </c>
      <c r="J319" s="83"/>
      <c r="K319" s="56">
        <f t="shared" si="86"/>
        <v>0</v>
      </c>
      <c r="M319" s="196" t="str">
        <f t="shared" si="80"/>
        <v>7450/000CONNECTED ENTITIES LOANS</v>
      </c>
      <c r="N319" s="78"/>
      <c r="P319" s="79"/>
      <c r="Q319" s="59"/>
      <c r="R319" s="34"/>
    </row>
    <row r="320" spans="1:18" x14ac:dyDescent="0.2">
      <c r="A320" s="393"/>
      <c r="B320" s="62" t="s">
        <v>171</v>
      </c>
      <c r="C320" s="397" t="s">
        <v>733</v>
      </c>
      <c r="D320" s="435"/>
      <c r="E320" s="427"/>
      <c r="F320" s="87"/>
      <c r="G320" s="55">
        <f>SUMIF(JournalsA!D$14:D$920,TrialBalanceA!M320,JournalsA!J$14:J$920)+SUMIF(JournalsA!E$14:E$920,TrialBalanceA!M320,JournalsA!J$14:J$920)</f>
        <v>0</v>
      </c>
      <c r="H320" s="442"/>
      <c r="I320" s="410">
        <f t="shared" ref="I320" si="87">ROUND(D320-E320+G320+F320,0)</f>
        <v>0</v>
      </c>
      <c r="J320" s="83"/>
      <c r="K320" s="56">
        <f t="shared" ref="K320" si="88">ROUND(SUM(A320),0)</f>
        <v>0</v>
      </c>
      <c r="M320" s="196" t="str">
        <f t="shared" ref="M320" si="89">CONCATENATE(B320,C320)</f>
        <v>7450/000Interest bearing</v>
      </c>
      <c r="N320" s="78"/>
      <c r="P320" s="79"/>
      <c r="Q320" s="59"/>
      <c r="R320" s="34"/>
    </row>
    <row r="321" spans="1:18" x14ac:dyDescent="0.2">
      <c r="A321" s="393"/>
      <c r="B321" s="62" t="s">
        <v>172</v>
      </c>
      <c r="C321" s="429">
        <f>TrialBalance!C321</f>
        <v>0</v>
      </c>
      <c r="D321" s="437"/>
      <c r="E321" s="427"/>
      <c r="F321" s="87">
        <f t="shared" si="84"/>
        <v>0</v>
      </c>
      <c r="G321" s="55">
        <f>SUMIF(JournalsA!D$14:D$920,TrialBalanceA!M321,JournalsA!J$14:J$920)+SUMIF(JournalsA!E$14:E$920,TrialBalanceA!M321,JournalsA!J$14:J$920)</f>
        <v>0</v>
      </c>
      <c r="H321" s="442"/>
      <c r="I321" s="410">
        <f t="shared" si="85"/>
        <v>0</v>
      </c>
      <c r="J321" s="83"/>
      <c r="K321" s="56">
        <f t="shared" si="86"/>
        <v>0</v>
      </c>
      <c r="M321" s="196" t="str">
        <f t="shared" si="80"/>
        <v>7450/0010</v>
      </c>
      <c r="N321" s="78"/>
      <c r="P321" s="79"/>
      <c r="Q321" s="59"/>
      <c r="R321" s="34"/>
    </row>
    <row r="322" spans="1:18" x14ac:dyDescent="0.2">
      <c r="A322" s="393"/>
      <c r="B322" s="62" t="s">
        <v>173</v>
      </c>
      <c r="C322" s="429">
        <f>TrialBalance!C322</f>
        <v>0</v>
      </c>
      <c r="D322" s="437"/>
      <c r="E322" s="427"/>
      <c r="F322" s="87">
        <f t="shared" ref="F322:F323" si="90">K322</f>
        <v>0</v>
      </c>
      <c r="G322" s="55">
        <f>SUMIF(JournalsA!D$14:D$920,TrialBalanceA!M322,JournalsA!J$14:J$920)+SUMIF(JournalsA!E$14:E$920,TrialBalanceA!M322,JournalsA!J$14:J$920)</f>
        <v>0</v>
      </c>
      <c r="H322" s="442"/>
      <c r="I322" s="410">
        <f t="shared" ref="I322:I323" si="91">ROUND(D322-E322+G322+F322,0)</f>
        <v>0</v>
      </c>
      <c r="J322" s="83"/>
      <c r="K322" s="56">
        <f t="shared" ref="K322:K323" si="92">ROUND(SUM(A322),0)</f>
        <v>0</v>
      </c>
      <c r="M322" s="196" t="str">
        <f t="shared" ref="M322:M323" si="93">CONCATENATE(B322,C322)</f>
        <v>7450/0020</v>
      </c>
      <c r="N322" s="78"/>
      <c r="P322" s="79"/>
      <c r="Q322" s="59"/>
      <c r="R322" s="34"/>
    </row>
    <row r="323" spans="1:18" x14ac:dyDescent="0.2">
      <c r="A323" s="393"/>
      <c r="B323" s="113" t="s">
        <v>174</v>
      </c>
      <c r="C323" s="429">
        <f>TrialBalance!C323</f>
        <v>0</v>
      </c>
      <c r="D323" s="437"/>
      <c r="E323" s="427"/>
      <c r="F323" s="87">
        <f t="shared" si="90"/>
        <v>0</v>
      </c>
      <c r="G323" s="55">
        <f>SUMIF(JournalsA!D$14:D$920,TrialBalanceA!M323,JournalsA!J$14:J$920)+SUMIF(JournalsA!E$14:E$920,TrialBalanceA!M323,JournalsA!J$14:J$920)</f>
        <v>0</v>
      </c>
      <c r="H323" s="442"/>
      <c r="I323" s="410">
        <f t="shared" si="91"/>
        <v>0</v>
      </c>
      <c r="J323" s="83"/>
      <c r="K323" s="56">
        <f t="shared" si="92"/>
        <v>0</v>
      </c>
      <c r="M323" s="196" t="str">
        <f t="shared" si="93"/>
        <v>7450/0030</v>
      </c>
      <c r="N323" s="78"/>
      <c r="P323" s="79"/>
      <c r="Q323" s="59"/>
      <c r="R323" s="34"/>
    </row>
    <row r="324" spans="1:18" x14ac:dyDescent="0.2">
      <c r="A324" s="393"/>
      <c r="B324" s="113" t="s">
        <v>461</v>
      </c>
      <c r="C324" s="429">
        <f>TrialBalance!C324</f>
        <v>0</v>
      </c>
      <c r="D324" s="437"/>
      <c r="E324" s="427"/>
      <c r="F324" s="87">
        <f t="shared" ref="F324:F329" si="94">K324</f>
        <v>0</v>
      </c>
      <c r="G324" s="55">
        <f>SUMIF(JournalsA!D$14:D$920,TrialBalanceA!M324,JournalsA!J$14:J$920)+SUMIF(JournalsA!E$14:E$920,TrialBalanceA!M324,JournalsA!J$14:J$920)</f>
        <v>0</v>
      </c>
      <c r="H324" s="442"/>
      <c r="I324" s="410">
        <f t="shared" ref="I324:I329" si="95">ROUND(D324-E324+G324+F324,0)</f>
        <v>0</v>
      </c>
      <c r="J324" s="83"/>
      <c r="K324" s="56">
        <f t="shared" ref="K324:K329" si="96">ROUND(SUM(A324),0)</f>
        <v>0</v>
      </c>
      <c r="M324" s="196" t="str">
        <f t="shared" ref="M324:M329" si="97">CONCATENATE(B324,C324)</f>
        <v>7450/0040</v>
      </c>
      <c r="N324" s="78"/>
      <c r="P324" s="79"/>
      <c r="Q324" s="59"/>
      <c r="R324" s="34"/>
    </row>
    <row r="325" spans="1:18" x14ac:dyDescent="0.2">
      <c r="A325" s="393"/>
      <c r="B325" s="113" t="s">
        <v>317</v>
      </c>
      <c r="C325" s="429">
        <f>TrialBalance!C325</f>
        <v>0</v>
      </c>
      <c r="D325" s="437"/>
      <c r="E325" s="427"/>
      <c r="F325" s="87">
        <f t="shared" si="94"/>
        <v>0</v>
      </c>
      <c r="G325" s="55">
        <f>SUMIF(JournalsA!D$14:D$920,TrialBalanceA!M325,JournalsA!J$14:J$920)+SUMIF(JournalsA!E$14:E$920,TrialBalanceA!M325,JournalsA!J$14:J$920)</f>
        <v>0</v>
      </c>
      <c r="H325" s="442"/>
      <c r="I325" s="410">
        <f t="shared" si="95"/>
        <v>0</v>
      </c>
      <c r="J325" s="83"/>
      <c r="K325" s="56">
        <f t="shared" si="96"/>
        <v>0</v>
      </c>
      <c r="M325" s="196" t="str">
        <f t="shared" si="97"/>
        <v>7450/0050</v>
      </c>
      <c r="N325" s="78"/>
      <c r="P325" s="79"/>
      <c r="Q325" s="59"/>
      <c r="R325" s="34"/>
    </row>
    <row r="326" spans="1:18" x14ac:dyDescent="0.2">
      <c r="A326" s="393"/>
      <c r="B326" s="113" t="s">
        <v>923</v>
      </c>
      <c r="C326" s="429">
        <f>TrialBalance!C326</f>
        <v>0</v>
      </c>
      <c r="D326" s="437"/>
      <c r="E326" s="427"/>
      <c r="F326" s="87">
        <f t="shared" si="94"/>
        <v>0</v>
      </c>
      <c r="G326" s="55">
        <f>SUMIF(JournalsA!D$14:D$920,TrialBalanceA!M326,JournalsA!J$14:J$920)+SUMIF(JournalsA!E$14:E$920,TrialBalanceA!M326,JournalsA!J$14:J$920)</f>
        <v>0</v>
      </c>
      <c r="H326" s="442"/>
      <c r="I326" s="410">
        <f t="shared" si="95"/>
        <v>0</v>
      </c>
      <c r="J326" s="83"/>
      <c r="K326" s="56">
        <f t="shared" si="96"/>
        <v>0</v>
      </c>
      <c r="M326" s="196" t="str">
        <f t="shared" si="97"/>
        <v>7450/0060</v>
      </c>
      <c r="N326" s="78"/>
      <c r="P326" s="79"/>
      <c r="Q326" s="59"/>
      <c r="R326" s="34"/>
    </row>
    <row r="327" spans="1:18" x14ac:dyDescent="0.2">
      <c r="A327" s="393"/>
      <c r="B327" s="113" t="s">
        <v>1168</v>
      </c>
      <c r="C327" s="429">
        <f>TrialBalance!C327</f>
        <v>0</v>
      </c>
      <c r="D327" s="437"/>
      <c r="E327" s="427"/>
      <c r="F327" s="87">
        <f t="shared" si="94"/>
        <v>0</v>
      </c>
      <c r="G327" s="55">
        <f>SUMIF(JournalsA!D$14:D$920,TrialBalanceA!M327,JournalsA!J$14:J$920)+SUMIF(JournalsA!E$14:E$920,TrialBalanceA!M327,JournalsA!J$14:J$920)</f>
        <v>0</v>
      </c>
      <c r="H327" s="442"/>
      <c r="I327" s="410">
        <f t="shared" si="95"/>
        <v>0</v>
      </c>
      <c r="J327" s="83"/>
      <c r="K327" s="56">
        <f t="shared" si="96"/>
        <v>0</v>
      </c>
      <c r="M327" s="196" t="str">
        <f t="shared" si="97"/>
        <v>7450/0070</v>
      </c>
      <c r="N327" s="78"/>
      <c r="P327" s="79"/>
      <c r="Q327" s="59"/>
      <c r="R327" s="34"/>
    </row>
    <row r="328" spans="1:18" x14ac:dyDescent="0.2">
      <c r="A328" s="393"/>
      <c r="B328" s="113" t="s">
        <v>1169</v>
      </c>
      <c r="C328" s="429">
        <f>TrialBalance!C328</f>
        <v>0</v>
      </c>
      <c r="D328" s="437"/>
      <c r="E328" s="427"/>
      <c r="F328" s="87">
        <f t="shared" si="94"/>
        <v>0</v>
      </c>
      <c r="G328" s="55">
        <f>SUMIF(JournalsA!D$14:D$920,TrialBalanceA!M328,JournalsA!J$14:J$920)+SUMIF(JournalsA!E$14:E$920,TrialBalanceA!M328,JournalsA!J$14:J$920)</f>
        <v>0</v>
      </c>
      <c r="H328" s="442"/>
      <c r="I328" s="410">
        <f t="shared" si="95"/>
        <v>0</v>
      </c>
      <c r="J328" s="83"/>
      <c r="K328" s="56">
        <f t="shared" si="96"/>
        <v>0</v>
      </c>
      <c r="M328" s="196" t="str">
        <f t="shared" si="97"/>
        <v>7450/0080</v>
      </c>
      <c r="N328" s="78"/>
      <c r="P328" s="79"/>
      <c r="Q328" s="59"/>
      <c r="R328" s="34"/>
    </row>
    <row r="329" spans="1:18" x14ac:dyDescent="0.2">
      <c r="A329" s="393"/>
      <c r="B329" s="113" t="s">
        <v>1170</v>
      </c>
      <c r="C329" s="429">
        <f>TrialBalance!C329</f>
        <v>0</v>
      </c>
      <c r="D329" s="437"/>
      <c r="E329" s="427"/>
      <c r="F329" s="87">
        <f t="shared" si="94"/>
        <v>0</v>
      </c>
      <c r="G329" s="55">
        <f>SUMIF(JournalsA!D$14:D$920,TrialBalanceA!M329,JournalsA!J$14:J$920)+SUMIF(JournalsA!E$14:E$920,TrialBalanceA!M329,JournalsA!J$14:J$920)</f>
        <v>0</v>
      </c>
      <c r="H329" s="442"/>
      <c r="I329" s="410">
        <f t="shared" si="95"/>
        <v>0</v>
      </c>
      <c r="J329" s="83"/>
      <c r="K329" s="56">
        <f t="shared" si="96"/>
        <v>0</v>
      </c>
      <c r="M329" s="196" t="str">
        <f t="shared" si="97"/>
        <v>7450/0090</v>
      </c>
      <c r="N329" s="78"/>
      <c r="P329" s="79"/>
      <c r="Q329" s="59"/>
      <c r="R329" s="34"/>
    </row>
    <row r="330" spans="1:18" x14ac:dyDescent="0.2">
      <c r="A330" s="393"/>
      <c r="B330" s="113" t="s">
        <v>1171</v>
      </c>
      <c r="C330" s="429">
        <f>TrialBalance!C330</f>
        <v>0</v>
      </c>
      <c r="D330" s="435"/>
      <c r="E330" s="427"/>
      <c r="F330" s="87">
        <f t="shared" si="84"/>
        <v>0</v>
      </c>
      <c r="G330" s="55">
        <f>SUMIF(JournalsA!D$14:D$920,TrialBalanceA!M330,JournalsA!J$14:J$920)+SUMIF(JournalsA!E$14:E$920,TrialBalanceA!M330,JournalsA!J$14:J$920)</f>
        <v>0</v>
      </c>
      <c r="H330" s="442"/>
      <c r="I330" s="410">
        <f t="shared" si="85"/>
        <v>0</v>
      </c>
      <c r="J330" s="83"/>
      <c r="K330" s="56">
        <f t="shared" si="86"/>
        <v>0</v>
      </c>
      <c r="M330" s="196" t="str">
        <f t="shared" si="80"/>
        <v>7450/0100</v>
      </c>
      <c r="N330" s="78"/>
      <c r="P330" s="79"/>
      <c r="Q330" s="59"/>
      <c r="R330" s="34"/>
    </row>
    <row r="331" spans="1:18" x14ac:dyDescent="0.2">
      <c r="A331" s="393"/>
      <c r="B331" s="113" t="s">
        <v>1172</v>
      </c>
      <c r="C331" s="397" t="s">
        <v>732</v>
      </c>
      <c r="D331" s="435"/>
      <c r="E331" s="427"/>
      <c r="F331" s="87"/>
      <c r="G331" s="55">
        <f>SUMIF(JournalsA!D$14:D$920,TrialBalanceA!M331,JournalsA!J$14:J$920)+SUMIF(JournalsA!E$14:E$920,TrialBalanceA!M331,JournalsA!J$14:J$920)</f>
        <v>0</v>
      </c>
      <c r="H331" s="442"/>
      <c r="I331" s="410">
        <f t="shared" ref="I331" si="98">ROUND(D331-E331+G331+F331,0)</f>
        <v>0</v>
      </c>
      <c r="J331" s="83"/>
      <c r="K331" s="56">
        <f t="shared" ref="K331" si="99">ROUND(SUM(A331),0)</f>
        <v>0</v>
      </c>
      <c r="M331" s="196" t="str">
        <f t="shared" ref="M331" si="100">CONCATENATE(B331,C331)</f>
        <v>7455/000Interest free</v>
      </c>
      <c r="N331" s="78"/>
      <c r="P331" s="79"/>
      <c r="Q331" s="59"/>
      <c r="R331" s="34"/>
    </row>
    <row r="332" spans="1:18" x14ac:dyDescent="0.2">
      <c r="A332" s="393"/>
      <c r="B332" s="113" t="s">
        <v>1173</v>
      </c>
      <c r="C332" s="429">
        <f>TrialBalance!C332</f>
        <v>0</v>
      </c>
      <c r="D332" s="435"/>
      <c r="E332" s="427"/>
      <c r="F332" s="87">
        <f t="shared" si="84"/>
        <v>0</v>
      </c>
      <c r="G332" s="55">
        <f>SUMIF(JournalsA!D$14:D$920,TrialBalanceA!M332,JournalsA!J$14:J$920)+SUMIF(JournalsA!E$14:E$920,TrialBalanceA!M332,JournalsA!J$14:J$920)</f>
        <v>0</v>
      </c>
      <c r="H332" s="442"/>
      <c r="I332" s="410">
        <f t="shared" si="85"/>
        <v>0</v>
      </c>
      <c r="J332" s="83"/>
      <c r="K332" s="56">
        <f t="shared" si="86"/>
        <v>0</v>
      </c>
      <c r="M332" s="196" t="str">
        <f t="shared" si="80"/>
        <v>7455/0010</v>
      </c>
      <c r="N332" s="78"/>
      <c r="P332" s="79"/>
      <c r="Q332" s="59"/>
      <c r="R332" s="34"/>
    </row>
    <row r="333" spans="1:18" x14ac:dyDescent="0.2">
      <c r="A333" s="393"/>
      <c r="B333" s="113" t="s">
        <v>1174</v>
      </c>
      <c r="C333" s="429">
        <f>TrialBalance!C333</f>
        <v>0</v>
      </c>
      <c r="D333" s="435"/>
      <c r="E333" s="427"/>
      <c r="F333" s="87">
        <f t="shared" ref="F333" si="101">K333</f>
        <v>0</v>
      </c>
      <c r="G333" s="55">
        <f>SUMIF(JournalsA!D$14:D$920,TrialBalanceA!M333,JournalsA!J$14:J$920)+SUMIF(JournalsA!E$14:E$920,TrialBalanceA!M333,JournalsA!J$14:J$920)</f>
        <v>0</v>
      </c>
      <c r="H333" s="442"/>
      <c r="I333" s="410">
        <f t="shared" ref="I333" si="102">ROUND(D333-E333+G333+F333,0)</f>
        <v>0</v>
      </c>
      <c r="J333" s="83"/>
      <c r="K333" s="56">
        <f t="shared" ref="K333" si="103">ROUND(SUM(A333),0)</f>
        <v>0</v>
      </c>
      <c r="M333" s="196" t="str">
        <f t="shared" ref="M333" si="104">CONCATENATE(B333,C333)</f>
        <v>7455/0020</v>
      </c>
      <c r="N333" s="78"/>
      <c r="P333" s="79"/>
      <c r="Q333" s="59"/>
      <c r="R333" s="34"/>
    </row>
    <row r="334" spans="1:18" x14ac:dyDescent="0.2">
      <c r="A334" s="393"/>
      <c r="B334" s="113" t="s">
        <v>1175</v>
      </c>
      <c r="C334" s="429">
        <f>TrialBalance!C334</f>
        <v>0</v>
      </c>
      <c r="D334" s="435"/>
      <c r="E334" s="427"/>
      <c r="F334" s="87">
        <f t="shared" si="84"/>
        <v>0</v>
      </c>
      <c r="G334" s="55">
        <f>SUMIF(JournalsA!D$14:D$920,TrialBalanceA!M334,JournalsA!J$14:J$920)+SUMIF(JournalsA!E$14:E$920,TrialBalanceA!M334,JournalsA!J$14:J$920)</f>
        <v>0</v>
      </c>
      <c r="H334" s="442"/>
      <c r="I334" s="410">
        <f t="shared" si="85"/>
        <v>0</v>
      </c>
      <c r="J334" s="83"/>
      <c r="K334" s="56">
        <f t="shared" si="86"/>
        <v>0</v>
      </c>
      <c r="M334" s="196" t="str">
        <f t="shared" si="80"/>
        <v>7455/0030</v>
      </c>
      <c r="N334" s="78"/>
      <c r="P334" s="79"/>
      <c r="Q334" s="59"/>
      <c r="R334" s="34"/>
    </row>
    <row r="335" spans="1:18" x14ac:dyDescent="0.2">
      <c r="A335" s="393"/>
      <c r="B335" s="113" t="s">
        <v>1176</v>
      </c>
      <c r="C335" s="429">
        <f>TrialBalance!C335</f>
        <v>0</v>
      </c>
      <c r="D335" s="435"/>
      <c r="E335" s="427"/>
      <c r="F335" s="87">
        <f t="shared" ref="F335:F340" si="105">K335</f>
        <v>0</v>
      </c>
      <c r="G335" s="55">
        <f>SUMIF(JournalsA!D$14:D$920,TrialBalanceA!M335,JournalsA!J$14:J$920)+SUMIF(JournalsA!E$14:E$920,TrialBalanceA!M335,JournalsA!J$14:J$920)</f>
        <v>0</v>
      </c>
      <c r="H335" s="442"/>
      <c r="I335" s="410">
        <f t="shared" ref="I335:I340" si="106">ROUND(D335-E335+G335+F335,0)</f>
        <v>0</v>
      </c>
      <c r="J335" s="83"/>
      <c r="K335" s="56">
        <f t="shared" ref="K335:K340" si="107">ROUND(SUM(A335),0)</f>
        <v>0</v>
      </c>
      <c r="M335" s="196" t="str">
        <f t="shared" ref="M335:M340" si="108">CONCATENATE(B335,C335)</f>
        <v>7455/0040</v>
      </c>
      <c r="N335" s="78"/>
      <c r="P335" s="79"/>
      <c r="Q335" s="59"/>
      <c r="R335" s="34"/>
    </row>
    <row r="336" spans="1:18" x14ac:dyDescent="0.2">
      <c r="A336" s="393"/>
      <c r="B336" s="113" t="s">
        <v>1177</v>
      </c>
      <c r="C336" s="429">
        <f>TrialBalance!C336</f>
        <v>0</v>
      </c>
      <c r="D336" s="435"/>
      <c r="E336" s="427"/>
      <c r="F336" s="87">
        <f t="shared" si="105"/>
        <v>0</v>
      </c>
      <c r="G336" s="55">
        <f>SUMIF(JournalsA!D$14:D$920,TrialBalanceA!M336,JournalsA!J$14:J$920)+SUMIF(JournalsA!E$14:E$920,TrialBalanceA!M336,JournalsA!J$14:J$920)</f>
        <v>0</v>
      </c>
      <c r="H336" s="442"/>
      <c r="I336" s="410">
        <f t="shared" si="106"/>
        <v>0</v>
      </c>
      <c r="J336" s="83"/>
      <c r="K336" s="56">
        <f t="shared" si="107"/>
        <v>0</v>
      </c>
      <c r="M336" s="196" t="str">
        <f t="shared" si="108"/>
        <v>7455/0050</v>
      </c>
      <c r="N336" s="78"/>
      <c r="P336" s="79"/>
      <c r="Q336" s="59"/>
      <c r="R336" s="34"/>
    </row>
    <row r="337" spans="1:18" x14ac:dyDescent="0.2">
      <c r="A337" s="393"/>
      <c r="B337" s="113" t="s">
        <v>1178</v>
      </c>
      <c r="C337" s="429">
        <f>TrialBalance!C337</f>
        <v>0</v>
      </c>
      <c r="D337" s="435"/>
      <c r="E337" s="427"/>
      <c r="F337" s="87">
        <f t="shared" si="105"/>
        <v>0</v>
      </c>
      <c r="G337" s="55">
        <f>SUMIF(JournalsA!D$14:D$920,TrialBalanceA!M337,JournalsA!J$14:J$920)+SUMIF(JournalsA!E$14:E$920,TrialBalanceA!M337,JournalsA!J$14:J$920)</f>
        <v>0</v>
      </c>
      <c r="H337" s="442"/>
      <c r="I337" s="410">
        <f t="shared" si="106"/>
        <v>0</v>
      </c>
      <c r="J337" s="83"/>
      <c r="K337" s="56">
        <f t="shared" si="107"/>
        <v>0</v>
      </c>
      <c r="M337" s="196" t="str">
        <f t="shared" si="108"/>
        <v>7455/0060</v>
      </c>
      <c r="N337" s="78"/>
      <c r="P337" s="79"/>
      <c r="Q337" s="59"/>
      <c r="R337" s="34"/>
    </row>
    <row r="338" spans="1:18" x14ac:dyDescent="0.2">
      <c r="A338" s="393"/>
      <c r="B338" s="113" t="s">
        <v>1179</v>
      </c>
      <c r="C338" s="429">
        <f>TrialBalance!C338</f>
        <v>0</v>
      </c>
      <c r="D338" s="435"/>
      <c r="E338" s="427"/>
      <c r="F338" s="87">
        <f t="shared" si="105"/>
        <v>0</v>
      </c>
      <c r="G338" s="55">
        <f>SUMIF(JournalsA!D$14:D$920,TrialBalanceA!M338,JournalsA!J$14:J$920)+SUMIF(JournalsA!E$14:E$920,TrialBalanceA!M338,JournalsA!J$14:J$920)</f>
        <v>0</v>
      </c>
      <c r="H338" s="442"/>
      <c r="I338" s="410">
        <f t="shared" si="106"/>
        <v>0</v>
      </c>
      <c r="J338" s="83"/>
      <c r="K338" s="56">
        <f t="shared" si="107"/>
        <v>0</v>
      </c>
      <c r="M338" s="196" t="str">
        <f t="shared" si="108"/>
        <v>7455/0070</v>
      </c>
      <c r="N338" s="78"/>
      <c r="P338" s="79"/>
      <c r="Q338" s="59"/>
      <c r="R338" s="34"/>
    </row>
    <row r="339" spans="1:18" x14ac:dyDescent="0.2">
      <c r="A339" s="393"/>
      <c r="B339" s="113" t="s">
        <v>1180</v>
      </c>
      <c r="C339" s="429">
        <f>TrialBalance!C339</f>
        <v>0</v>
      </c>
      <c r="D339" s="435"/>
      <c r="E339" s="427"/>
      <c r="F339" s="87">
        <f t="shared" si="105"/>
        <v>0</v>
      </c>
      <c r="G339" s="55">
        <f>SUMIF(JournalsA!D$14:D$920,TrialBalanceA!M339,JournalsA!J$14:J$920)+SUMIF(JournalsA!E$14:E$920,TrialBalanceA!M339,JournalsA!J$14:J$920)</f>
        <v>0</v>
      </c>
      <c r="H339" s="442"/>
      <c r="I339" s="410">
        <f t="shared" si="106"/>
        <v>0</v>
      </c>
      <c r="J339" s="83"/>
      <c r="K339" s="56">
        <f t="shared" si="107"/>
        <v>0</v>
      </c>
      <c r="M339" s="196" t="str">
        <f t="shared" si="108"/>
        <v>7455/0080</v>
      </c>
      <c r="N339" s="78"/>
      <c r="P339" s="79"/>
      <c r="Q339" s="59"/>
      <c r="R339" s="34"/>
    </row>
    <row r="340" spans="1:18" x14ac:dyDescent="0.2">
      <c r="A340" s="393"/>
      <c r="B340" s="113" t="s">
        <v>1181</v>
      </c>
      <c r="C340" s="429">
        <f>TrialBalance!C340</f>
        <v>0</v>
      </c>
      <c r="D340" s="435"/>
      <c r="E340" s="427"/>
      <c r="F340" s="87">
        <f t="shared" si="105"/>
        <v>0</v>
      </c>
      <c r="G340" s="55">
        <f>SUMIF(JournalsA!D$14:D$920,TrialBalanceA!M340,JournalsA!J$14:J$920)+SUMIF(JournalsA!E$14:E$920,TrialBalanceA!M340,JournalsA!J$14:J$920)</f>
        <v>0</v>
      </c>
      <c r="H340" s="442"/>
      <c r="I340" s="410">
        <f t="shared" si="106"/>
        <v>0</v>
      </c>
      <c r="J340" s="83"/>
      <c r="K340" s="56">
        <f t="shared" si="107"/>
        <v>0</v>
      </c>
      <c r="M340" s="196" t="str">
        <f t="shared" si="108"/>
        <v>7455/0090</v>
      </c>
      <c r="N340" s="78"/>
      <c r="P340" s="79"/>
      <c r="Q340" s="59"/>
      <c r="R340" s="34"/>
    </row>
    <row r="341" spans="1:18" x14ac:dyDescent="0.2">
      <c r="A341" s="393"/>
      <c r="B341" s="113" t="s">
        <v>1182</v>
      </c>
      <c r="C341" s="429">
        <f>TrialBalance!C341</f>
        <v>0</v>
      </c>
      <c r="D341" s="435"/>
      <c r="E341" s="427"/>
      <c r="F341" s="87">
        <f t="shared" si="84"/>
        <v>0</v>
      </c>
      <c r="G341" s="55">
        <f>SUMIF(JournalsA!D$14:D$920,TrialBalanceA!M341,JournalsA!J$14:J$920)+SUMIF(JournalsA!E$14:E$920,TrialBalanceA!M341,JournalsA!J$14:J$920)</f>
        <v>0</v>
      </c>
      <c r="H341" s="442"/>
      <c r="I341" s="410">
        <f t="shared" si="85"/>
        <v>0</v>
      </c>
      <c r="J341" s="83"/>
      <c r="K341" s="56">
        <f t="shared" si="86"/>
        <v>0</v>
      </c>
      <c r="M341" s="196" t="str">
        <f t="shared" si="80"/>
        <v>7455/0100</v>
      </c>
      <c r="N341" s="78"/>
      <c r="P341" s="79"/>
      <c r="Q341" s="59"/>
      <c r="R341" s="34"/>
    </row>
    <row r="342" spans="1:18" x14ac:dyDescent="0.2">
      <c r="A342" s="393"/>
      <c r="B342" s="62" t="s">
        <v>318</v>
      </c>
      <c r="C342" s="395" t="s">
        <v>868</v>
      </c>
      <c r="D342" s="427"/>
      <c r="E342" s="427"/>
      <c r="F342" s="87"/>
      <c r="G342" s="55">
        <f>SUMIF(JournalsA!D$14:D$920,TrialBalanceA!M342,JournalsA!J$14:J$920)+SUMIF(JournalsA!E$14:E$920,TrialBalanceA!M342,JournalsA!J$14:J$920)</f>
        <v>0</v>
      </c>
      <c r="H342" s="442"/>
      <c r="I342" s="410">
        <f t="shared" si="85"/>
        <v>0</v>
      </c>
      <c r="J342" s="83"/>
      <c r="K342" s="56">
        <f t="shared" si="86"/>
        <v>0</v>
      </c>
      <c r="M342" s="196" t="str">
        <f t="shared" si="80"/>
        <v>7460/000OTHER NON - CURRENT RECEIVABLES</v>
      </c>
      <c r="N342" s="78"/>
      <c r="P342" s="79"/>
      <c r="Q342" s="59"/>
      <c r="R342" s="34"/>
    </row>
    <row r="343" spans="1:18" x14ac:dyDescent="0.2">
      <c r="A343" s="393"/>
      <c r="B343" s="62" t="s">
        <v>318</v>
      </c>
      <c r="C343" s="395" t="s">
        <v>733</v>
      </c>
      <c r="D343" s="427"/>
      <c r="E343" s="427"/>
      <c r="F343" s="87"/>
      <c r="G343" s="55">
        <f>SUMIF(JournalsA!D$14:D$920,TrialBalanceA!M343,JournalsA!J$14:J$920)+SUMIF(JournalsA!E$14:E$920,TrialBalanceA!M343,JournalsA!J$14:J$920)</f>
        <v>0</v>
      </c>
      <c r="H343" s="442"/>
      <c r="I343" s="410">
        <f t="shared" ref="I343" si="109">ROUND(D343-E343+G343+F343,0)</f>
        <v>0</v>
      </c>
      <c r="J343" s="83"/>
      <c r="K343" s="56">
        <f t="shared" ref="K343" si="110">ROUND(SUM(A343),0)</f>
        <v>0</v>
      </c>
      <c r="M343" s="196" t="str">
        <f t="shared" ref="M343" si="111">CONCATENATE(B343,C343)</f>
        <v>7460/000Interest bearing</v>
      </c>
      <c r="N343" s="78"/>
      <c r="P343" s="79"/>
      <c r="Q343" s="59"/>
      <c r="R343" s="34"/>
    </row>
    <row r="344" spans="1:18" x14ac:dyDescent="0.2">
      <c r="A344" s="393"/>
      <c r="B344" s="62" t="s">
        <v>320</v>
      </c>
      <c r="C344" s="429">
        <f>TrialBalance!C344</f>
        <v>0</v>
      </c>
      <c r="D344" s="437"/>
      <c r="E344" s="437"/>
      <c r="F344" s="87">
        <f t="shared" si="84"/>
        <v>0</v>
      </c>
      <c r="G344" s="55">
        <f>SUMIF(JournalsA!D$14:D$920,TrialBalanceA!M344,JournalsA!J$14:J$920)+SUMIF(JournalsA!E$14:E$920,TrialBalanceA!M344,JournalsA!J$14:J$920)</f>
        <v>0</v>
      </c>
      <c r="H344" s="442"/>
      <c r="I344" s="410">
        <f t="shared" si="85"/>
        <v>0</v>
      </c>
      <c r="J344" s="83"/>
      <c r="K344" s="56">
        <f t="shared" si="86"/>
        <v>0</v>
      </c>
      <c r="M344" s="196" t="str">
        <f t="shared" si="80"/>
        <v>7460/0010</v>
      </c>
      <c r="N344" s="78"/>
      <c r="P344" s="79"/>
      <c r="Q344" s="59"/>
      <c r="R344" s="34"/>
    </row>
    <row r="345" spans="1:18" x14ac:dyDescent="0.2">
      <c r="A345" s="393"/>
      <c r="B345" s="62" t="s">
        <v>321</v>
      </c>
      <c r="C345" s="429">
        <f>TrialBalance!C345</f>
        <v>0</v>
      </c>
      <c r="D345" s="437"/>
      <c r="E345" s="437"/>
      <c r="F345" s="87">
        <f t="shared" ref="F345" si="112">K345</f>
        <v>0</v>
      </c>
      <c r="G345" s="55">
        <f>SUMIF(JournalsA!D$14:D$920,TrialBalanceA!M345,JournalsA!J$14:J$920)+SUMIF(JournalsA!E$14:E$920,TrialBalanceA!M345,JournalsA!J$14:J$920)</f>
        <v>0</v>
      </c>
      <c r="H345" s="442"/>
      <c r="I345" s="410">
        <f t="shared" ref="I345" si="113">ROUND(D345-E345+G345+F345,0)</f>
        <v>0</v>
      </c>
      <c r="J345" s="83"/>
      <c r="K345" s="56">
        <f t="shared" ref="K345" si="114">ROUND(SUM(A345),0)</f>
        <v>0</v>
      </c>
      <c r="M345" s="196" t="str">
        <f t="shared" ref="M345" si="115">CONCATENATE(B345,C345)</f>
        <v>7460/0020</v>
      </c>
      <c r="N345" s="78"/>
      <c r="P345" s="79"/>
      <c r="Q345" s="59"/>
      <c r="R345" s="34"/>
    </row>
    <row r="346" spans="1:18" x14ac:dyDescent="0.2">
      <c r="A346" s="393"/>
      <c r="B346" s="62" t="s">
        <v>322</v>
      </c>
      <c r="C346" s="429">
        <f>TrialBalance!C346</f>
        <v>0</v>
      </c>
      <c r="D346" s="435"/>
      <c r="E346" s="427"/>
      <c r="F346" s="87">
        <f t="shared" si="84"/>
        <v>0</v>
      </c>
      <c r="G346" s="55">
        <f>SUMIF(JournalsA!D$14:D$920,TrialBalanceA!M346,JournalsA!J$14:J$920)+SUMIF(JournalsA!E$14:E$920,TrialBalanceA!M346,JournalsA!J$14:J$920)</f>
        <v>0</v>
      </c>
      <c r="H346" s="442"/>
      <c r="I346" s="410">
        <f t="shared" si="85"/>
        <v>0</v>
      </c>
      <c r="J346" s="83"/>
      <c r="K346" s="56">
        <f t="shared" si="86"/>
        <v>0</v>
      </c>
      <c r="M346" s="196" t="str">
        <f t="shared" si="80"/>
        <v>7460/0030</v>
      </c>
      <c r="N346" s="78"/>
      <c r="P346" s="79"/>
      <c r="Q346" s="59"/>
      <c r="R346" s="34"/>
    </row>
    <row r="347" spans="1:18" x14ac:dyDescent="0.2">
      <c r="A347" s="393"/>
      <c r="B347" s="113" t="s">
        <v>693</v>
      </c>
      <c r="C347" s="429">
        <f>TrialBalance!C347</f>
        <v>0</v>
      </c>
      <c r="D347" s="435"/>
      <c r="E347" s="427"/>
      <c r="F347" s="87">
        <f t="shared" si="84"/>
        <v>0</v>
      </c>
      <c r="G347" s="55">
        <f>SUMIF(JournalsA!D$14:D$920,TrialBalanceA!M347,JournalsA!J$14:J$920)+SUMIF(JournalsA!E$14:E$920,TrialBalanceA!M347,JournalsA!J$14:J$920)</f>
        <v>0</v>
      </c>
      <c r="H347" s="442"/>
      <c r="I347" s="410">
        <f t="shared" si="85"/>
        <v>0</v>
      </c>
      <c r="J347" s="83"/>
      <c r="K347" s="56">
        <f t="shared" si="86"/>
        <v>0</v>
      </c>
      <c r="M347" s="196" t="str">
        <f t="shared" si="80"/>
        <v>7460/0040</v>
      </c>
      <c r="N347" s="78"/>
      <c r="P347" s="79"/>
      <c r="Q347" s="59"/>
      <c r="R347" s="34"/>
    </row>
    <row r="348" spans="1:18" x14ac:dyDescent="0.2">
      <c r="A348" s="393"/>
      <c r="B348" s="62" t="s">
        <v>318</v>
      </c>
      <c r="C348" s="397" t="s">
        <v>732</v>
      </c>
      <c r="D348" s="435"/>
      <c r="E348" s="427"/>
      <c r="F348" s="87"/>
      <c r="G348" s="55">
        <f>SUMIF(JournalsA!D$14:D$920,TrialBalanceA!M348,JournalsA!J$14:J$920)+SUMIF(JournalsA!E$14:E$920,TrialBalanceA!M348,JournalsA!J$14:J$920)</f>
        <v>0</v>
      </c>
      <c r="H348" s="442"/>
      <c r="I348" s="410">
        <f t="shared" ref="I348" si="116">ROUND(D348-E348+G348+F348,0)</f>
        <v>0</v>
      </c>
      <c r="J348" s="83"/>
      <c r="K348" s="56">
        <f t="shared" ref="K348" si="117">ROUND(SUM(A348),0)</f>
        <v>0</v>
      </c>
      <c r="M348" s="196" t="str">
        <f t="shared" ref="M348" si="118">CONCATENATE(B348,C348)</f>
        <v>7460/000Interest free</v>
      </c>
      <c r="N348" s="78"/>
      <c r="P348" s="79"/>
      <c r="Q348" s="59"/>
      <c r="R348" s="34"/>
    </row>
    <row r="349" spans="1:18" x14ac:dyDescent="0.2">
      <c r="A349" s="393"/>
      <c r="B349" s="113" t="s">
        <v>693</v>
      </c>
      <c r="C349" s="429">
        <f>TrialBalance!C349</f>
        <v>0</v>
      </c>
      <c r="D349" s="435"/>
      <c r="E349" s="427"/>
      <c r="F349" s="87">
        <f t="shared" si="84"/>
        <v>0</v>
      </c>
      <c r="G349" s="55">
        <f>SUMIF(JournalsA!D$14:D$920,TrialBalanceA!M349,JournalsA!J$14:J$920)+SUMIF(JournalsA!E$14:E$920,TrialBalanceA!M349,JournalsA!J$14:J$920)</f>
        <v>0</v>
      </c>
      <c r="H349" s="442"/>
      <c r="I349" s="410">
        <f t="shared" si="85"/>
        <v>0</v>
      </c>
      <c r="J349" s="83"/>
      <c r="K349" s="56">
        <f t="shared" si="86"/>
        <v>0</v>
      </c>
      <c r="M349" s="196" t="str">
        <f t="shared" si="80"/>
        <v>7460/0040</v>
      </c>
      <c r="N349" s="78"/>
      <c r="P349" s="79"/>
      <c r="Q349" s="59"/>
      <c r="R349" s="34"/>
    </row>
    <row r="350" spans="1:18" x14ac:dyDescent="0.2">
      <c r="A350" s="393"/>
      <c r="B350" s="113" t="s">
        <v>694</v>
      </c>
      <c r="C350" s="429">
        <f>TrialBalance!C350</f>
        <v>0</v>
      </c>
      <c r="D350" s="435"/>
      <c r="E350" s="427"/>
      <c r="F350" s="87">
        <f t="shared" si="84"/>
        <v>0</v>
      </c>
      <c r="G350" s="55">
        <f>SUMIF(JournalsA!D$14:D$920,TrialBalanceA!M350,JournalsA!J$14:J$920)+SUMIF(JournalsA!E$14:E$920,TrialBalanceA!M350,JournalsA!J$14:J$920)</f>
        <v>0</v>
      </c>
      <c r="H350" s="442"/>
      <c r="I350" s="410">
        <f t="shared" si="85"/>
        <v>0</v>
      </c>
      <c r="J350" s="83"/>
      <c r="K350" s="56">
        <f t="shared" si="86"/>
        <v>0</v>
      </c>
      <c r="M350" s="196" t="str">
        <f t="shared" si="80"/>
        <v>7460/0050</v>
      </c>
      <c r="N350" s="78"/>
      <c r="P350" s="79"/>
      <c r="Q350" s="59"/>
      <c r="R350" s="34"/>
    </row>
    <row r="351" spans="1:18" x14ac:dyDescent="0.2">
      <c r="A351" s="393"/>
      <c r="B351" s="113" t="s">
        <v>323</v>
      </c>
      <c r="C351" s="429">
        <f>TrialBalance!C351</f>
        <v>0</v>
      </c>
      <c r="D351" s="435"/>
      <c r="E351" s="427"/>
      <c r="F351" s="87">
        <f>K351</f>
        <v>0</v>
      </c>
      <c r="G351" s="55">
        <f>SUMIF(JournalsA!D$14:D$920,TrialBalanceA!M351,JournalsA!J$14:J$920)+SUMIF(JournalsA!E$14:E$920,TrialBalanceA!M351,JournalsA!J$14:J$920)</f>
        <v>0</v>
      </c>
      <c r="H351" s="442"/>
      <c r="I351" s="410">
        <f t="shared" si="85"/>
        <v>0</v>
      </c>
      <c r="J351" s="83"/>
      <c r="K351" s="56">
        <f t="shared" si="86"/>
        <v>0</v>
      </c>
      <c r="M351" s="196" t="str">
        <f t="shared" si="80"/>
        <v>7460/0060</v>
      </c>
      <c r="N351" s="78"/>
      <c r="P351" s="79"/>
      <c r="Q351" s="59"/>
      <c r="R351" s="34"/>
    </row>
    <row r="352" spans="1:18" x14ac:dyDescent="0.2">
      <c r="A352" s="393"/>
      <c r="B352" s="113" t="s">
        <v>324</v>
      </c>
      <c r="C352" s="429">
        <f>TrialBalance!C352</f>
        <v>0</v>
      </c>
      <c r="D352" s="435"/>
      <c r="E352" s="427"/>
      <c r="F352" s="87">
        <f>K352</f>
        <v>0</v>
      </c>
      <c r="G352" s="55">
        <f>SUMIF(JournalsA!D$14:D$920,TrialBalanceA!M352,JournalsA!J$14:J$920)+SUMIF(JournalsA!E$14:E$920,TrialBalanceA!M352,JournalsA!J$14:J$920)</f>
        <v>0</v>
      </c>
      <c r="H352" s="442"/>
      <c r="I352" s="410">
        <f t="shared" si="85"/>
        <v>0</v>
      </c>
      <c r="J352" s="83"/>
      <c r="K352" s="56">
        <f t="shared" si="86"/>
        <v>0</v>
      </c>
      <c r="M352" s="196" t="str">
        <f t="shared" si="80"/>
        <v>7460/0070</v>
      </c>
      <c r="N352" s="78"/>
      <c r="P352" s="79"/>
      <c r="Q352" s="59"/>
      <c r="R352" s="34"/>
    </row>
    <row r="353" spans="1:18" x14ac:dyDescent="0.2">
      <c r="A353" s="393"/>
      <c r="B353" s="113" t="s">
        <v>548</v>
      </c>
      <c r="C353" s="429">
        <f>TrialBalance!C353</f>
        <v>0</v>
      </c>
      <c r="D353" s="435"/>
      <c r="E353" s="427"/>
      <c r="F353" s="87">
        <f>K353</f>
        <v>0</v>
      </c>
      <c r="G353" s="55">
        <f>SUMIF(JournalsA!D$14:D$920,TrialBalanceA!M353,JournalsA!J$14:J$920)+SUMIF(JournalsA!E$14:E$920,TrialBalanceA!M353,JournalsA!J$14:J$920)</f>
        <v>0</v>
      </c>
      <c r="H353" s="442"/>
      <c r="I353" s="410">
        <f t="shared" si="85"/>
        <v>0</v>
      </c>
      <c r="J353" s="83"/>
      <c r="K353" s="56">
        <f t="shared" si="86"/>
        <v>0</v>
      </c>
      <c r="M353" s="196" t="str">
        <f t="shared" si="80"/>
        <v>7460/0080</v>
      </c>
      <c r="N353" s="78"/>
      <c r="P353" s="79"/>
      <c r="Q353" s="59"/>
      <c r="R353" s="34"/>
    </row>
    <row r="354" spans="1:18" x14ac:dyDescent="0.2">
      <c r="A354" s="393"/>
      <c r="B354" s="62" t="s">
        <v>456</v>
      </c>
      <c r="C354" s="396" t="s">
        <v>56</v>
      </c>
      <c r="D354" s="436"/>
      <c r="E354" s="427"/>
      <c r="F354" s="87"/>
      <c r="G354" s="55">
        <f>SUMIF(JournalsA!D$14:D$920,TrialBalanceA!M354,JournalsA!J$14:J$920)+SUMIF(JournalsA!E$14:E$920,TrialBalanceA!M354,JournalsA!J$14:J$920)</f>
        <v>0</v>
      </c>
      <c r="H354" s="442"/>
      <c r="I354" s="410">
        <f t="shared" si="85"/>
        <v>0</v>
      </c>
      <c r="J354" s="83"/>
      <c r="K354" s="56">
        <f t="shared" si="86"/>
        <v>0</v>
      </c>
      <c r="M354" s="196" t="str">
        <f t="shared" si="80"/>
        <v>7500/000INVENTORY</v>
      </c>
      <c r="N354" s="78"/>
      <c r="P354" s="79"/>
      <c r="Q354" s="59"/>
      <c r="R354" s="34"/>
    </row>
    <row r="355" spans="1:18" x14ac:dyDescent="0.2">
      <c r="A355" s="393"/>
      <c r="B355" s="62" t="s">
        <v>457</v>
      </c>
      <c r="C355" s="394" t="s">
        <v>458</v>
      </c>
      <c r="D355" s="435"/>
      <c r="E355" s="427"/>
      <c r="F355" s="87">
        <f t="shared" si="84"/>
        <v>0</v>
      </c>
      <c r="G355" s="55">
        <f>SUMIF(JournalsA!D$14:D$920,TrialBalanceA!M355,JournalsA!J$14:J$920)+SUMIF(JournalsA!E$14:E$920,TrialBalanceA!M355,JournalsA!J$14:J$920)</f>
        <v>0</v>
      </c>
      <c r="H355" s="442"/>
      <c r="I355" s="410">
        <f t="shared" si="85"/>
        <v>0</v>
      </c>
      <c r="J355" s="83"/>
      <c r="K355" s="56">
        <f t="shared" si="86"/>
        <v>0</v>
      </c>
      <c r="M355" s="196" t="str">
        <f t="shared" si="80"/>
        <v>7500/001Raw materials</v>
      </c>
      <c r="N355" s="78"/>
      <c r="P355" s="79"/>
      <c r="Q355" s="59"/>
      <c r="R355" s="34"/>
    </row>
    <row r="356" spans="1:18" x14ac:dyDescent="0.2">
      <c r="A356" s="393"/>
      <c r="B356" s="62" t="s">
        <v>21</v>
      </c>
      <c r="C356" s="394" t="s">
        <v>22</v>
      </c>
      <c r="D356" s="435"/>
      <c r="E356" s="427"/>
      <c r="F356" s="87">
        <f t="shared" si="84"/>
        <v>0</v>
      </c>
      <c r="G356" s="55">
        <f>SUMIF(JournalsA!D$14:D$920,TrialBalanceA!M356,JournalsA!J$14:J$920)+SUMIF(JournalsA!E$14:E$920,TrialBalanceA!M356,JournalsA!J$14:J$920)</f>
        <v>0</v>
      </c>
      <c r="H356" s="442"/>
      <c r="I356" s="410">
        <f t="shared" si="85"/>
        <v>0</v>
      </c>
      <c r="J356" s="83"/>
      <c r="K356" s="56">
        <f t="shared" si="86"/>
        <v>0</v>
      </c>
      <c r="M356" s="196" t="str">
        <f t="shared" si="80"/>
        <v>7500/002Work in progress</v>
      </c>
      <c r="N356" s="78"/>
      <c r="P356" s="79"/>
      <c r="Q356" s="59"/>
      <c r="R356" s="34"/>
    </row>
    <row r="357" spans="1:18" x14ac:dyDescent="0.2">
      <c r="A357" s="393"/>
      <c r="B357" s="62" t="s">
        <v>23</v>
      </c>
      <c r="C357" s="394" t="s">
        <v>24</v>
      </c>
      <c r="D357" s="435"/>
      <c r="E357" s="427"/>
      <c r="F357" s="87">
        <f t="shared" si="84"/>
        <v>0</v>
      </c>
      <c r="G357" s="55">
        <f>SUMIF(JournalsA!D$14:D$920,TrialBalanceA!M357,JournalsA!J$14:J$920)+SUMIF(JournalsA!E$14:E$920,TrialBalanceA!M357,JournalsA!J$14:J$920)</f>
        <v>0</v>
      </c>
      <c r="H357" s="442"/>
      <c r="I357" s="410">
        <f t="shared" si="85"/>
        <v>0</v>
      </c>
      <c r="J357" s="83"/>
      <c r="K357" s="56">
        <f t="shared" si="86"/>
        <v>0</v>
      </c>
      <c r="M357" s="196" t="str">
        <f t="shared" si="80"/>
        <v>7500/003Finished goods</v>
      </c>
      <c r="N357" s="78"/>
      <c r="P357" s="79"/>
      <c r="Q357" s="59"/>
      <c r="R357" s="34"/>
    </row>
    <row r="358" spans="1:18" x14ac:dyDescent="0.2">
      <c r="A358" s="393"/>
      <c r="B358" s="62" t="s">
        <v>27</v>
      </c>
      <c r="C358" s="394" t="s">
        <v>28</v>
      </c>
      <c r="D358" s="435"/>
      <c r="E358" s="427"/>
      <c r="F358" s="87">
        <f t="shared" si="84"/>
        <v>0</v>
      </c>
      <c r="G358" s="55">
        <f>SUMIF(JournalsA!D$14:D$920,TrialBalanceA!M358,JournalsA!J$14:J$920)+SUMIF(JournalsA!E$14:E$920,TrialBalanceA!M358,JournalsA!J$14:J$920)</f>
        <v>0</v>
      </c>
      <c r="H358" s="442"/>
      <c r="I358" s="410">
        <f t="shared" si="85"/>
        <v>0</v>
      </c>
      <c r="J358" s="83"/>
      <c r="K358" s="56">
        <f t="shared" si="86"/>
        <v>0</v>
      </c>
      <c r="M358" s="196" t="str">
        <f t="shared" si="80"/>
        <v>7500/004Trading stock</v>
      </c>
      <c r="N358" s="78"/>
      <c r="P358" s="79"/>
      <c r="Q358" s="59"/>
      <c r="R358" s="34"/>
    </row>
    <row r="359" spans="1:18" x14ac:dyDescent="0.2">
      <c r="A359" s="393"/>
      <c r="B359" s="62" t="s">
        <v>30</v>
      </c>
      <c r="C359" s="396" t="s">
        <v>31</v>
      </c>
      <c r="D359" s="436"/>
      <c r="E359" s="427"/>
      <c r="F359" s="87"/>
      <c r="G359" s="55">
        <f>SUMIF(JournalsA!D$14:D$920,TrialBalanceA!M359,JournalsA!J$14:J$920)+SUMIF(JournalsA!E$14:E$920,TrialBalanceA!M359,JournalsA!J$14:J$920)</f>
        <v>0</v>
      </c>
      <c r="H359" s="442"/>
      <c r="I359" s="410">
        <f t="shared" si="85"/>
        <v>0</v>
      </c>
      <c r="J359" s="83"/>
      <c r="K359" s="56">
        <f t="shared" si="86"/>
        <v>0</v>
      </c>
      <c r="M359" s="196" t="str">
        <f t="shared" si="80"/>
        <v>8000/000DEBTORS</v>
      </c>
      <c r="N359" s="78"/>
      <c r="P359" s="79"/>
      <c r="Q359" s="59"/>
      <c r="R359" s="34"/>
    </row>
    <row r="360" spans="1:18" x14ac:dyDescent="0.2">
      <c r="A360" s="393"/>
      <c r="B360" s="62" t="s">
        <v>32</v>
      </c>
      <c r="C360" s="394" t="s">
        <v>33</v>
      </c>
      <c r="D360" s="435"/>
      <c r="E360" s="427"/>
      <c r="F360" s="87">
        <f t="shared" si="84"/>
        <v>0</v>
      </c>
      <c r="G360" s="55">
        <f>SUMIF(JournalsA!D$14:D$920,TrialBalanceA!M360,JournalsA!J$14:J$920)+SUMIF(JournalsA!E$14:E$920,TrialBalanceA!M360,JournalsA!J$14:J$920)</f>
        <v>0</v>
      </c>
      <c r="H360" s="442"/>
      <c r="I360" s="410">
        <f t="shared" si="85"/>
        <v>0</v>
      </c>
      <c r="J360" s="83"/>
      <c r="K360" s="56">
        <f t="shared" si="86"/>
        <v>0</v>
      </c>
      <c r="M360" s="196" t="str">
        <f t="shared" si="80"/>
        <v>8010/000Trade debtors</v>
      </c>
      <c r="N360" s="78"/>
      <c r="P360" s="79"/>
      <c r="Q360" s="59"/>
      <c r="R360" s="34"/>
    </row>
    <row r="361" spans="1:18" x14ac:dyDescent="0.2">
      <c r="A361" s="393"/>
      <c r="B361" s="113" t="s">
        <v>34</v>
      </c>
      <c r="C361" s="397" t="s">
        <v>635</v>
      </c>
      <c r="D361" s="435"/>
      <c r="E361" s="427"/>
      <c r="F361" s="87">
        <f t="shared" si="84"/>
        <v>0</v>
      </c>
      <c r="G361" s="55">
        <f>SUMIF(JournalsA!D$14:D$920,TrialBalanceA!M361,JournalsA!J$14:J$920)+SUMIF(JournalsA!E$14:E$920,TrialBalanceA!M361,JournalsA!J$14:J$920)</f>
        <v>0</v>
      </c>
      <c r="H361" s="442"/>
      <c r="I361" s="410">
        <f t="shared" si="85"/>
        <v>0</v>
      </c>
      <c r="J361" s="83"/>
      <c r="K361" s="56">
        <f t="shared" si="86"/>
        <v>0</v>
      </c>
      <c r="M361" s="196" t="str">
        <f t="shared" si="80"/>
        <v>8020/000Less: Provision for doubtful debts</v>
      </c>
      <c r="N361" s="78"/>
      <c r="P361" s="79"/>
      <c r="Q361" s="59"/>
      <c r="R361" s="34"/>
    </row>
    <row r="362" spans="1:18" x14ac:dyDescent="0.2">
      <c r="A362" s="393"/>
      <c r="B362" s="113" t="s">
        <v>637</v>
      </c>
      <c r="C362" s="394" t="s">
        <v>359</v>
      </c>
      <c r="D362" s="435"/>
      <c r="E362" s="427"/>
      <c r="F362" s="87">
        <f t="shared" si="84"/>
        <v>0</v>
      </c>
      <c r="G362" s="55">
        <f>SUMIF(JournalsA!D$14:D$920,TrialBalanceA!M362,JournalsA!J$14:J$920)+SUMIF(JournalsA!E$14:E$920,TrialBalanceA!M362,JournalsA!J$14:J$920)</f>
        <v>0</v>
      </c>
      <c r="H362" s="442"/>
      <c r="I362" s="410">
        <f t="shared" si="85"/>
        <v>0</v>
      </c>
      <c r="J362" s="83"/>
      <c r="K362" s="56">
        <f t="shared" si="86"/>
        <v>0</v>
      </c>
      <c r="M362" s="196" t="str">
        <f t="shared" si="80"/>
        <v>8030/000Service deposits</v>
      </c>
      <c r="N362" s="78"/>
      <c r="P362" s="79"/>
      <c r="Q362" s="59"/>
      <c r="R362" s="34"/>
    </row>
    <row r="363" spans="1:18" x14ac:dyDescent="0.2">
      <c r="A363" s="393"/>
      <c r="B363" s="62" t="s">
        <v>516</v>
      </c>
      <c r="C363" s="397" t="s">
        <v>971</v>
      </c>
      <c r="D363" s="435"/>
      <c r="E363" s="427"/>
      <c r="F363" s="87">
        <f t="shared" si="84"/>
        <v>0</v>
      </c>
      <c r="G363" s="55">
        <f>SUMIF(JournalsA!D$14:D$920,TrialBalanceA!M363,JournalsA!J$14:J$920)+SUMIF(JournalsA!E$14:E$920,TrialBalanceA!M363,JournalsA!J$14:J$920)</f>
        <v>0</v>
      </c>
      <c r="H363" s="442"/>
      <c r="I363" s="410">
        <f t="shared" si="85"/>
        <v>0</v>
      </c>
      <c r="J363" s="83"/>
      <c r="K363" s="56">
        <f t="shared" si="86"/>
        <v>0</v>
      </c>
      <c r="M363" s="196" t="str">
        <f t="shared" si="80"/>
        <v>8200/000Sundry customers</v>
      </c>
      <c r="N363" s="78"/>
      <c r="P363" s="79"/>
      <c r="Q363" s="59"/>
      <c r="R363" s="34"/>
    </row>
    <row r="364" spans="1:18" x14ac:dyDescent="0.2">
      <c r="A364" s="393"/>
      <c r="B364" s="62" t="s">
        <v>517</v>
      </c>
      <c r="C364" s="394" t="s">
        <v>414</v>
      </c>
      <c r="D364" s="435"/>
      <c r="E364" s="427"/>
      <c r="F364" s="87">
        <f t="shared" si="84"/>
        <v>0</v>
      </c>
      <c r="G364" s="55">
        <f>SUMIF(JournalsA!D$14:D$920,TrialBalanceA!M364,JournalsA!J$14:J$920)+SUMIF(JournalsA!E$14:E$920,TrialBalanceA!M364,JournalsA!J$14:J$920)</f>
        <v>0</v>
      </c>
      <c r="H364" s="442"/>
      <c r="I364" s="410">
        <f t="shared" si="85"/>
        <v>0</v>
      </c>
      <c r="J364" s="83"/>
      <c r="K364" s="56">
        <f t="shared" si="86"/>
        <v>0</v>
      </c>
      <c r="M364" s="196" t="str">
        <f t="shared" si="80"/>
        <v>8200/010Prepayments</v>
      </c>
      <c r="N364" s="78"/>
      <c r="P364" s="79"/>
      <c r="Q364" s="59"/>
      <c r="R364" s="34"/>
    </row>
    <row r="365" spans="1:18" x14ac:dyDescent="0.2">
      <c r="A365" s="393"/>
      <c r="B365" s="62" t="s">
        <v>272</v>
      </c>
      <c r="C365" s="395" t="s">
        <v>606</v>
      </c>
      <c r="D365" s="427"/>
      <c r="E365" s="427"/>
      <c r="F365" s="87">
        <f t="shared" si="84"/>
        <v>0</v>
      </c>
      <c r="G365" s="55">
        <f>SUMIF(JournalsA!D$14:D$920,TrialBalanceA!M365,JournalsA!J$14:J$920)+SUMIF(JournalsA!E$14:E$920,TrialBalanceA!M365,JournalsA!J$14:J$920)</f>
        <v>0</v>
      </c>
      <c r="H365" s="442"/>
      <c r="I365" s="410">
        <f t="shared" si="85"/>
        <v>0</v>
      </c>
      <c r="J365" s="83"/>
      <c r="K365" s="56">
        <f t="shared" si="86"/>
        <v>0</v>
      </c>
      <c r="M365" s="196" t="str">
        <f t="shared" si="80"/>
        <v>8200/020Staff loans</v>
      </c>
      <c r="N365" s="78"/>
      <c r="P365" s="79"/>
      <c r="Q365" s="59"/>
      <c r="R365" s="34"/>
    </row>
    <row r="366" spans="1:18" x14ac:dyDescent="0.2">
      <c r="A366" s="393"/>
      <c r="B366" s="62" t="s">
        <v>273</v>
      </c>
      <c r="C366" s="399" t="s">
        <v>139</v>
      </c>
      <c r="D366" s="425"/>
      <c r="E366" s="427"/>
      <c r="F366" s="87"/>
      <c r="G366" s="55">
        <f>SUMIF(JournalsA!D$14:D$920,TrialBalanceA!M366,JournalsA!J$14:J$920)+SUMIF(JournalsA!E$14:E$920,TrialBalanceA!M366,JournalsA!J$14:J$920)</f>
        <v>0</v>
      </c>
      <c r="H366" s="442"/>
      <c r="I366" s="410">
        <f t="shared" si="85"/>
        <v>0</v>
      </c>
      <c r="J366" s="83"/>
      <c r="K366" s="56">
        <f t="shared" si="86"/>
        <v>0</v>
      </c>
      <c r="M366" s="196" t="str">
        <f t="shared" si="80"/>
        <v>8400/000BANK ACCOUNTS</v>
      </c>
      <c r="N366" s="78"/>
      <c r="P366" s="79"/>
      <c r="Q366" s="59"/>
      <c r="R366" s="34"/>
    </row>
    <row r="367" spans="1:18" x14ac:dyDescent="0.2">
      <c r="A367" s="393"/>
      <c r="B367" s="62" t="s">
        <v>274</v>
      </c>
      <c r="C367" s="429">
        <f>TrialBalance!C367</f>
        <v>0</v>
      </c>
      <c r="D367" s="434"/>
      <c r="E367" s="427"/>
      <c r="F367" s="87">
        <f t="shared" si="84"/>
        <v>0</v>
      </c>
      <c r="G367" s="55">
        <f>SUMIF(JournalsA!D$14:D$920,TrialBalanceA!M367,JournalsA!J$14:J$920)+SUMIF(JournalsA!E$14:E$920,TrialBalanceA!M367,JournalsA!J$14:J$920)</f>
        <v>0</v>
      </c>
      <c r="H367" s="442"/>
      <c r="I367" s="410">
        <f t="shared" si="85"/>
        <v>0</v>
      </c>
      <c r="J367" s="83"/>
      <c r="K367" s="56">
        <f t="shared" si="86"/>
        <v>0</v>
      </c>
      <c r="M367" s="196" t="str">
        <f t="shared" si="80"/>
        <v>8410/0000</v>
      </c>
      <c r="N367" s="78"/>
      <c r="P367" s="79"/>
      <c r="Q367" s="59"/>
      <c r="R367" s="34"/>
    </row>
    <row r="368" spans="1:18" x14ac:dyDescent="0.2">
      <c r="A368" s="393"/>
      <c r="B368" s="62" t="s">
        <v>275</v>
      </c>
      <c r="C368" s="429">
        <f>TrialBalance!C368</f>
        <v>0</v>
      </c>
      <c r="D368" s="434"/>
      <c r="E368" s="434"/>
      <c r="F368" s="87">
        <f t="shared" si="84"/>
        <v>0</v>
      </c>
      <c r="G368" s="55">
        <f>SUMIF(JournalsA!D$14:D$920,TrialBalanceA!M368,JournalsA!J$14:J$920)+SUMIF(JournalsA!E$14:E$920,TrialBalanceA!M368,JournalsA!J$14:J$920)</f>
        <v>0</v>
      </c>
      <c r="H368" s="442"/>
      <c r="I368" s="410">
        <f t="shared" si="85"/>
        <v>0</v>
      </c>
      <c r="J368" s="83"/>
      <c r="K368" s="56">
        <f t="shared" si="86"/>
        <v>0</v>
      </c>
      <c r="M368" s="196" t="str">
        <f t="shared" si="80"/>
        <v>8420/0000</v>
      </c>
      <c r="N368" s="78"/>
      <c r="P368" s="79"/>
      <c r="Q368" s="59"/>
      <c r="R368" s="34"/>
    </row>
    <row r="369" spans="1:18" x14ac:dyDescent="0.2">
      <c r="A369" s="393"/>
      <c r="B369" s="62" t="s">
        <v>276</v>
      </c>
      <c r="C369" s="429">
        <f>TrialBalance!C369</f>
        <v>0</v>
      </c>
      <c r="D369" s="427"/>
      <c r="E369" s="427"/>
      <c r="F369" s="87">
        <f t="shared" si="84"/>
        <v>0</v>
      </c>
      <c r="G369" s="55">
        <f>SUMIF(JournalsA!D$14:D$920,TrialBalanceA!M369,JournalsA!J$14:J$920)+SUMIF(JournalsA!E$14:E$920,TrialBalanceA!M369,JournalsA!J$14:J$920)</f>
        <v>0</v>
      </c>
      <c r="H369" s="442"/>
      <c r="I369" s="410">
        <f t="shared" ref="I369:I401" si="119">ROUND(D369-E369+G369+F369,0)</f>
        <v>0</v>
      </c>
      <c r="J369" s="83"/>
      <c r="K369" s="56">
        <f t="shared" ref="K369:K401" si="120">ROUND(SUM(A369),0)</f>
        <v>0</v>
      </c>
      <c r="M369" s="196" t="str">
        <f t="shared" si="80"/>
        <v>8430/0000</v>
      </c>
      <c r="N369" s="78"/>
      <c r="P369" s="79"/>
      <c r="Q369" s="59"/>
      <c r="R369" s="34"/>
    </row>
    <row r="370" spans="1:18" x14ac:dyDescent="0.2">
      <c r="A370" s="393"/>
      <c r="B370" s="62" t="s">
        <v>277</v>
      </c>
      <c r="C370" s="429">
        <f>TrialBalance!C370</f>
        <v>0</v>
      </c>
      <c r="D370" s="435"/>
      <c r="E370" s="427"/>
      <c r="F370" s="87">
        <f t="shared" si="84"/>
        <v>0</v>
      </c>
      <c r="G370" s="55">
        <f>SUMIF(JournalsA!D$14:D$920,TrialBalanceA!M370,JournalsA!J$14:J$920)+SUMIF(JournalsA!E$14:E$920,TrialBalanceA!M370,JournalsA!J$14:J$920)</f>
        <v>0</v>
      </c>
      <c r="H370" s="442"/>
      <c r="I370" s="410">
        <f t="shared" si="119"/>
        <v>0</v>
      </c>
      <c r="J370" s="83"/>
      <c r="K370" s="56">
        <f t="shared" si="120"/>
        <v>0</v>
      </c>
      <c r="M370" s="196" t="str">
        <f t="shared" ref="M370:M401" si="121">CONCATENATE(B370,C370)</f>
        <v>8440/0000</v>
      </c>
      <c r="N370" s="78"/>
      <c r="P370" s="79"/>
      <c r="Q370" s="59"/>
      <c r="R370" s="34"/>
    </row>
    <row r="371" spans="1:18" x14ac:dyDescent="0.2">
      <c r="A371" s="393"/>
      <c r="B371" s="62" t="s">
        <v>278</v>
      </c>
      <c r="C371" s="429">
        <f>TrialBalance!C371</f>
        <v>0</v>
      </c>
      <c r="D371" s="435"/>
      <c r="E371" s="427"/>
      <c r="F371" s="87">
        <f t="shared" si="84"/>
        <v>0</v>
      </c>
      <c r="G371" s="55">
        <f>SUMIF(JournalsA!D$14:D$920,TrialBalanceA!M371,JournalsA!J$14:J$920)+SUMIF(JournalsA!E$14:E$920,TrialBalanceA!M371,JournalsA!J$14:J$920)</f>
        <v>0</v>
      </c>
      <c r="H371" s="442"/>
      <c r="I371" s="410">
        <f t="shared" si="119"/>
        <v>0</v>
      </c>
      <c r="J371" s="83"/>
      <c r="K371" s="56">
        <f t="shared" si="120"/>
        <v>0</v>
      </c>
      <c r="M371" s="196" t="str">
        <f t="shared" si="121"/>
        <v>8450/0000</v>
      </c>
      <c r="N371" s="78"/>
      <c r="P371" s="79"/>
      <c r="Q371" s="59"/>
      <c r="R371" s="34"/>
    </row>
    <row r="372" spans="1:18" x14ac:dyDescent="0.2">
      <c r="A372" s="393"/>
      <c r="B372" s="62" t="s">
        <v>140</v>
      </c>
      <c r="C372" s="429">
        <f>TrialBalance!C372</f>
        <v>0</v>
      </c>
      <c r="D372" s="435"/>
      <c r="E372" s="427"/>
      <c r="F372" s="87">
        <f t="shared" si="84"/>
        <v>0</v>
      </c>
      <c r="G372" s="55">
        <f>SUMIF(JournalsA!D$14:D$920,TrialBalanceA!M372,JournalsA!J$14:J$920)+SUMIF(JournalsA!E$14:E$920,TrialBalanceA!M372,JournalsA!J$14:J$920)</f>
        <v>0</v>
      </c>
      <c r="H372" s="442"/>
      <c r="I372" s="410">
        <f t="shared" si="119"/>
        <v>0</v>
      </c>
      <c r="J372" s="83"/>
      <c r="K372" s="56">
        <f t="shared" si="120"/>
        <v>0</v>
      </c>
      <c r="M372" s="196" t="str">
        <f t="shared" si="121"/>
        <v>8460/0000</v>
      </c>
      <c r="N372" s="78"/>
      <c r="P372" s="79"/>
      <c r="Q372" s="59"/>
      <c r="R372" s="34"/>
    </row>
    <row r="373" spans="1:18" x14ac:dyDescent="0.2">
      <c r="A373" s="393"/>
      <c r="B373" s="62" t="s">
        <v>463</v>
      </c>
      <c r="C373" s="401" t="s">
        <v>464</v>
      </c>
      <c r="D373" s="427"/>
      <c r="E373" s="427"/>
      <c r="F373" s="87">
        <f t="shared" si="84"/>
        <v>0</v>
      </c>
      <c r="G373" s="55">
        <f>SUMIF(JournalsA!D$14:D$920,TrialBalanceA!M373,JournalsA!J$14:J$920)+SUMIF(JournalsA!E$14:E$920,TrialBalanceA!M373,JournalsA!J$14:J$920)</f>
        <v>0</v>
      </c>
      <c r="H373" s="442"/>
      <c r="I373" s="410">
        <f t="shared" si="119"/>
        <v>0</v>
      </c>
      <c r="J373" s="83"/>
      <c r="K373" s="56">
        <f t="shared" si="120"/>
        <v>0</v>
      </c>
      <c r="M373" s="196" t="str">
        <f t="shared" si="121"/>
        <v>8500/000Cash on hand</v>
      </c>
      <c r="N373" s="78"/>
      <c r="P373" s="79"/>
      <c r="Q373" s="59"/>
      <c r="R373" s="34"/>
    </row>
    <row r="374" spans="1:18" x14ac:dyDescent="0.2">
      <c r="A374" s="393"/>
      <c r="B374" s="62" t="s">
        <v>465</v>
      </c>
      <c r="C374" s="399" t="s">
        <v>314</v>
      </c>
      <c r="D374" s="425"/>
      <c r="E374" s="427"/>
      <c r="F374" s="87"/>
      <c r="G374" s="55">
        <f>SUMIF(JournalsA!D$14:D$920,TrialBalanceA!M374,JournalsA!J$14:J$920)+SUMIF(JournalsA!E$14:E$920,TrialBalanceA!M374,JournalsA!J$14:J$920)</f>
        <v>0</v>
      </c>
      <c r="H374" s="442"/>
      <c r="I374" s="410">
        <f t="shared" si="119"/>
        <v>0</v>
      </c>
      <c r="J374" s="83"/>
      <c r="K374" s="56">
        <f t="shared" si="120"/>
        <v>0</v>
      </c>
      <c r="M374" s="196" t="str">
        <f t="shared" si="121"/>
        <v>8900/000SHORT TERM LOANS</v>
      </c>
      <c r="N374" s="78"/>
      <c r="P374" s="79"/>
      <c r="Q374" s="59"/>
      <c r="R374" s="34"/>
    </row>
    <row r="375" spans="1:18" x14ac:dyDescent="0.2">
      <c r="A375" s="393"/>
      <c r="B375" s="62" t="s">
        <v>466</v>
      </c>
      <c r="C375" s="429">
        <f>TrialBalance!C375</f>
        <v>0</v>
      </c>
      <c r="D375" s="427"/>
      <c r="E375" s="427"/>
      <c r="F375" s="87">
        <f t="shared" si="84"/>
        <v>0</v>
      </c>
      <c r="G375" s="55">
        <f>SUMIF(JournalsA!D$14:D$920,TrialBalanceA!M375,JournalsA!J$14:J$920)+SUMIF(JournalsA!E$14:E$920,TrialBalanceA!M375,JournalsA!J$14:J$920)</f>
        <v>0</v>
      </c>
      <c r="H375" s="442"/>
      <c r="I375" s="410">
        <f t="shared" si="119"/>
        <v>0</v>
      </c>
      <c r="J375" s="83"/>
      <c r="K375" s="56">
        <f t="shared" si="120"/>
        <v>0</v>
      </c>
      <c r="M375" s="196" t="str">
        <f t="shared" si="121"/>
        <v>8900/0010</v>
      </c>
      <c r="N375" s="78"/>
      <c r="P375" s="79"/>
      <c r="Q375" s="59"/>
      <c r="R375" s="34"/>
    </row>
    <row r="376" spans="1:18" x14ac:dyDescent="0.2">
      <c r="A376" s="393"/>
      <c r="B376" s="62" t="s">
        <v>467</v>
      </c>
      <c r="C376" s="429">
        <f>TrialBalance!C376</f>
        <v>0</v>
      </c>
      <c r="D376" s="435"/>
      <c r="E376" s="427"/>
      <c r="F376" s="87">
        <f t="shared" si="84"/>
        <v>0</v>
      </c>
      <c r="G376" s="55">
        <f>SUMIF(JournalsA!D$14:D$920,TrialBalanceA!M376,JournalsA!J$14:J$920)+SUMIF(JournalsA!E$14:E$920,TrialBalanceA!M376,JournalsA!J$14:J$920)</f>
        <v>0</v>
      </c>
      <c r="H376" s="442"/>
      <c r="I376" s="410">
        <f t="shared" si="119"/>
        <v>0</v>
      </c>
      <c r="J376" s="83"/>
      <c r="K376" s="56">
        <f t="shared" si="120"/>
        <v>0</v>
      </c>
      <c r="M376" s="196" t="str">
        <f t="shared" si="121"/>
        <v>8900/0020</v>
      </c>
      <c r="N376" s="78"/>
      <c r="P376" s="79"/>
      <c r="Q376" s="59"/>
      <c r="R376" s="34"/>
    </row>
    <row r="377" spans="1:18" x14ac:dyDescent="0.2">
      <c r="A377" s="393"/>
      <c r="B377" s="62" t="s">
        <v>468</v>
      </c>
      <c r="C377" s="429">
        <f>TrialBalance!C377</f>
        <v>0</v>
      </c>
      <c r="D377" s="435"/>
      <c r="E377" s="427"/>
      <c r="F377" s="87">
        <f t="shared" si="84"/>
        <v>0</v>
      </c>
      <c r="G377" s="55">
        <f>SUMIF(JournalsA!D$14:D$920,TrialBalanceA!M377,JournalsA!J$14:J$920)+SUMIF(JournalsA!E$14:E$920,TrialBalanceA!M377,JournalsA!J$14:J$920)</f>
        <v>0</v>
      </c>
      <c r="H377" s="442"/>
      <c r="I377" s="410">
        <f t="shared" si="119"/>
        <v>0</v>
      </c>
      <c r="J377" s="83"/>
      <c r="K377" s="56">
        <f t="shared" si="120"/>
        <v>0</v>
      </c>
      <c r="M377" s="196" t="str">
        <f t="shared" si="121"/>
        <v>8900/0030</v>
      </c>
      <c r="N377" s="78"/>
      <c r="P377" s="79"/>
      <c r="Q377" s="59"/>
      <c r="R377" s="34"/>
    </row>
    <row r="378" spans="1:18" x14ac:dyDescent="0.2">
      <c r="A378" s="393"/>
      <c r="B378" s="62" t="s">
        <v>469</v>
      </c>
      <c r="C378" s="396" t="s">
        <v>288</v>
      </c>
      <c r="D378" s="436"/>
      <c r="E378" s="427"/>
      <c r="F378" s="87"/>
      <c r="G378" s="55">
        <f>SUMIF(JournalsA!D$14:D$920,TrialBalanceA!M378,JournalsA!J$14:J$920)+SUMIF(JournalsA!E$14:E$920,TrialBalanceA!M378,JournalsA!J$14:J$920)</f>
        <v>0</v>
      </c>
      <c r="H378" s="442"/>
      <c r="I378" s="410">
        <f t="shared" si="119"/>
        <v>0</v>
      </c>
      <c r="J378" s="83"/>
      <c r="K378" s="56">
        <f t="shared" si="120"/>
        <v>0</v>
      </c>
      <c r="M378" s="196" t="str">
        <f t="shared" si="121"/>
        <v>8900/004Short term portion of long term loans</v>
      </c>
      <c r="N378" s="78"/>
      <c r="P378" s="79"/>
      <c r="Q378" s="59"/>
      <c r="R378" s="34"/>
    </row>
    <row r="379" spans="1:18" x14ac:dyDescent="0.2">
      <c r="A379" s="393"/>
      <c r="B379" s="62" t="s">
        <v>470</v>
      </c>
      <c r="C379" s="396" t="s">
        <v>471</v>
      </c>
      <c r="D379" s="436"/>
      <c r="E379" s="427"/>
      <c r="F379" s="87"/>
      <c r="G379" s="55">
        <f>SUMIF(JournalsA!D$14:D$920,TrialBalanceA!M379,JournalsA!J$14:J$920)+SUMIF(JournalsA!E$14:E$920,TrialBalanceA!M379,JournalsA!J$14:J$920)</f>
        <v>0</v>
      </c>
      <c r="H379" s="442"/>
      <c r="I379" s="410">
        <f t="shared" si="119"/>
        <v>0</v>
      </c>
      <c r="J379" s="83"/>
      <c r="K379" s="56">
        <f t="shared" si="120"/>
        <v>0</v>
      </c>
      <c r="M379" s="196" t="str">
        <f t="shared" si="121"/>
        <v>9000/000CREDITORS</v>
      </c>
      <c r="N379" s="78"/>
      <c r="P379" s="79"/>
      <c r="Q379" s="59"/>
      <c r="R379" s="34"/>
    </row>
    <row r="380" spans="1:18" x14ac:dyDescent="0.2">
      <c r="A380" s="393"/>
      <c r="B380" s="62" t="s">
        <v>472</v>
      </c>
      <c r="C380" s="394" t="s">
        <v>473</v>
      </c>
      <c r="D380" s="435"/>
      <c r="E380" s="427"/>
      <c r="F380" s="87">
        <f>K380</f>
        <v>0</v>
      </c>
      <c r="G380" s="55">
        <f>SUMIF(JournalsA!D$14:D$920,TrialBalanceA!M380,JournalsA!J$14:J$920)+SUMIF(JournalsA!E$14:E$920,TrialBalanceA!M380,JournalsA!J$14:J$920)</f>
        <v>0</v>
      </c>
      <c r="H380" s="442"/>
      <c r="I380" s="410">
        <f t="shared" si="119"/>
        <v>0</v>
      </c>
      <c r="J380" s="83"/>
      <c r="K380" s="56">
        <f t="shared" si="120"/>
        <v>0</v>
      </c>
      <c r="M380" s="196" t="str">
        <f t="shared" si="121"/>
        <v>9010/000Trade creditors</v>
      </c>
      <c r="N380" s="78"/>
      <c r="P380" s="79"/>
      <c r="Q380" s="59"/>
      <c r="R380" s="34"/>
    </row>
    <row r="381" spans="1:18" x14ac:dyDescent="0.2">
      <c r="A381" s="393"/>
      <c r="B381" s="62" t="s">
        <v>474</v>
      </c>
      <c r="C381" s="397" t="s">
        <v>622</v>
      </c>
      <c r="D381" s="435"/>
      <c r="E381" s="427"/>
      <c r="F381" s="87">
        <f>K381</f>
        <v>0</v>
      </c>
      <c r="G381" s="55">
        <f>SUMIF(JournalsA!D$14:D$920,TrialBalanceA!M381,JournalsA!J$14:J$920)+SUMIF(JournalsA!E$14:E$920,TrialBalanceA!M381,JournalsA!J$14:J$920)</f>
        <v>0</v>
      </c>
      <c r="H381" s="442"/>
      <c r="I381" s="410">
        <f t="shared" si="119"/>
        <v>0</v>
      </c>
      <c r="J381" s="83"/>
      <c r="K381" s="56">
        <f t="shared" si="120"/>
        <v>0</v>
      </c>
      <c r="M381" s="196" t="str">
        <f t="shared" si="121"/>
        <v>9200/000Sundry suppliers</v>
      </c>
      <c r="N381" s="78"/>
      <c r="P381" s="79"/>
      <c r="Q381" s="59"/>
      <c r="R381" s="34"/>
    </row>
    <row r="382" spans="1:18" x14ac:dyDescent="0.2">
      <c r="A382" s="393"/>
      <c r="B382" s="62" t="s">
        <v>475</v>
      </c>
      <c r="C382" s="397" t="s">
        <v>921</v>
      </c>
      <c r="D382" s="437"/>
      <c r="E382" s="427"/>
      <c r="F382" s="87">
        <f>K382</f>
        <v>0</v>
      </c>
      <c r="G382" s="55">
        <f>SUMIF(JournalsA!D$14:D$920,TrialBalanceA!M382,JournalsA!J$14:J$920)+SUMIF(JournalsA!E$14:E$920,TrialBalanceA!M382,JournalsA!J$14:J$920)</f>
        <v>0</v>
      </c>
      <c r="H382" s="442"/>
      <c r="I382" s="410">
        <f t="shared" si="119"/>
        <v>0</v>
      </c>
      <c r="J382" s="83"/>
      <c r="K382" s="56">
        <f t="shared" si="120"/>
        <v>0</v>
      </c>
      <c r="M382" s="196" t="str">
        <f t="shared" si="121"/>
        <v>9200/010Audit and accounting fee accrual</v>
      </c>
      <c r="N382" s="78"/>
      <c r="P382" s="79"/>
      <c r="Q382" s="59"/>
      <c r="R382" s="34"/>
    </row>
    <row r="383" spans="1:18" x14ac:dyDescent="0.2">
      <c r="A383" s="393"/>
      <c r="B383" s="62" t="s">
        <v>476</v>
      </c>
      <c r="C383" s="397" t="s">
        <v>623</v>
      </c>
      <c r="D383" s="435"/>
      <c r="E383" s="427"/>
      <c r="F383" s="87">
        <f>K383</f>
        <v>0</v>
      </c>
      <c r="G383" s="55">
        <f>SUMIF(JournalsA!D$14:D$920,TrialBalanceA!M383,JournalsA!J$14:J$920)+SUMIF(JournalsA!E$14:E$920,TrialBalanceA!M383,JournalsA!J$14:J$920)</f>
        <v>0</v>
      </c>
      <c r="H383" s="442"/>
      <c r="I383" s="410">
        <f t="shared" si="119"/>
        <v>0</v>
      </c>
      <c r="J383" s="83"/>
      <c r="K383" s="56">
        <f t="shared" si="120"/>
        <v>0</v>
      </c>
      <c r="M383" s="196" t="str">
        <f t="shared" si="121"/>
        <v>9200/020Other accruals</v>
      </c>
      <c r="N383" s="78"/>
      <c r="P383" s="79"/>
      <c r="Q383" s="59"/>
      <c r="R383" s="34"/>
    </row>
    <row r="384" spans="1:18" x14ac:dyDescent="0.2">
      <c r="A384" s="393"/>
      <c r="B384" s="62" t="s">
        <v>477</v>
      </c>
      <c r="C384" s="397" t="s">
        <v>900</v>
      </c>
      <c r="D384" s="435"/>
      <c r="E384" s="427"/>
      <c r="F384" s="87">
        <f>K384</f>
        <v>0</v>
      </c>
      <c r="G384" s="55">
        <f>SUMIF(JournalsA!D$14:D$920,TrialBalanceA!M384,JournalsA!J$14:J$920)+SUMIF(JournalsA!E$14:E$920,TrialBalanceA!M384,JournalsA!J$14:J$920)</f>
        <v>0</v>
      </c>
      <c r="H384" s="442"/>
      <c r="I384" s="410">
        <f t="shared" si="119"/>
        <v>0</v>
      </c>
      <c r="J384" s="83"/>
      <c r="K384" s="56">
        <f t="shared" si="120"/>
        <v>0</v>
      </c>
      <c r="M384" s="196" t="str">
        <f t="shared" si="121"/>
        <v>9250/000Salary and wages control</v>
      </c>
      <c r="N384" s="78"/>
      <c r="P384" s="79"/>
      <c r="Q384" s="59"/>
      <c r="R384" s="34"/>
    </row>
    <row r="385" spans="1:18" x14ac:dyDescent="0.2">
      <c r="A385" s="393"/>
      <c r="B385" s="62" t="s">
        <v>368</v>
      </c>
      <c r="C385" s="396" t="s">
        <v>127</v>
      </c>
      <c r="D385" s="436"/>
      <c r="E385" s="427"/>
      <c r="F385" s="87"/>
      <c r="G385" s="55">
        <f>SUMIF(JournalsA!D$14:D$920,TrialBalanceA!M385,JournalsA!J$14:J$920)+SUMIF(JournalsA!E$14:E$920,TrialBalanceA!M385,JournalsA!J$14:J$920)</f>
        <v>0</v>
      </c>
      <c r="H385" s="442"/>
      <c r="I385" s="410">
        <f t="shared" si="119"/>
        <v>0</v>
      </c>
      <c r="J385" s="83"/>
      <c r="K385" s="56">
        <f t="shared" si="120"/>
        <v>0</v>
      </c>
      <c r="M385" s="196" t="str">
        <f t="shared" si="121"/>
        <v>9300/000TAXATION</v>
      </c>
      <c r="N385" s="78"/>
      <c r="P385" s="79"/>
      <c r="Q385" s="59"/>
      <c r="R385" s="34"/>
    </row>
    <row r="386" spans="1:18" x14ac:dyDescent="0.2">
      <c r="A386" s="393"/>
      <c r="B386" s="62" t="s">
        <v>488</v>
      </c>
      <c r="C386" s="394" t="s">
        <v>98</v>
      </c>
      <c r="D386" s="435"/>
      <c r="E386" s="427"/>
      <c r="F386" s="87">
        <f>SUM(K386:K393)</f>
        <v>0</v>
      </c>
      <c r="G386" s="55">
        <f>SUMIF(JournalsA!D$14:D$920,TrialBalanceA!M386,JournalsA!J$14:J$920)+SUMIF(JournalsA!E$14:E$920,TrialBalanceA!M386,JournalsA!J$14:J$920)</f>
        <v>0</v>
      </c>
      <c r="H386" s="442"/>
      <c r="I386" s="410">
        <f t="shared" si="119"/>
        <v>0</v>
      </c>
      <c r="J386" s="83"/>
      <c r="K386" s="56">
        <f t="shared" si="120"/>
        <v>0</v>
      </c>
      <c r="M386" s="196" t="str">
        <f t="shared" si="121"/>
        <v>9300/010Balance b/fwd</v>
      </c>
      <c r="N386" s="78"/>
      <c r="P386" s="79"/>
      <c r="Q386" s="59"/>
      <c r="R386" s="34"/>
    </row>
    <row r="387" spans="1:18" x14ac:dyDescent="0.2">
      <c r="A387" s="393"/>
      <c r="B387" s="62" t="s">
        <v>489</v>
      </c>
      <c r="C387" s="401" t="s">
        <v>137</v>
      </c>
      <c r="D387" s="427"/>
      <c r="E387" s="427"/>
      <c r="F387" s="87"/>
      <c r="G387" s="55">
        <f>SUMIF(JournalsA!D$14:D$920,TrialBalanceA!M387,JournalsA!J$14:J$920)+SUMIF(JournalsA!E$14:E$920,TrialBalanceA!M387,JournalsA!J$14:J$920)</f>
        <v>0</v>
      </c>
      <c r="H387" s="442"/>
      <c r="I387" s="410">
        <f t="shared" si="119"/>
        <v>0</v>
      </c>
      <c r="J387" s="83"/>
      <c r="K387" s="56">
        <f t="shared" si="120"/>
        <v>0</v>
      </c>
      <c r="M387" s="196" t="str">
        <f t="shared" si="121"/>
        <v>9300/020Tax provision this year</v>
      </c>
      <c r="N387" s="78"/>
      <c r="P387" s="79"/>
      <c r="Q387" s="59"/>
      <c r="R387" s="34"/>
    </row>
    <row r="388" spans="1:18" x14ac:dyDescent="0.2">
      <c r="A388" s="393"/>
      <c r="B388" s="62" t="s">
        <v>490</v>
      </c>
      <c r="C388" s="397" t="s">
        <v>1094</v>
      </c>
      <c r="D388" s="435"/>
      <c r="E388" s="427"/>
      <c r="F388" s="87"/>
      <c r="G388" s="55">
        <f>SUMIF(JournalsA!D$14:D$920,TrialBalanceA!M388,JournalsA!J$14:J$920)+SUMIF(JournalsA!E$14:E$920,TrialBalanceA!M388,JournalsA!J$14:J$920)</f>
        <v>0</v>
      </c>
      <c r="H388" s="442"/>
      <c r="I388" s="410">
        <f t="shared" si="119"/>
        <v>0</v>
      </c>
      <c r="J388" s="83"/>
      <c r="K388" s="56">
        <f t="shared" si="120"/>
        <v>0</v>
      </c>
      <c r="M388" s="196" t="str">
        <f t="shared" si="121"/>
        <v>9300/030Over-/(Under) provision previous year</v>
      </c>
      <c r="N388" s="78"/>
      <c r="P388" s="79"/>
      <c r="Q388" s="59"/>
      <c r="R388" s="34"/>
    </row>
    <row r="389" spans="1:18" x14ac:dyDescent="0.2">
      <c r="A389" s="393"/>
      <c r="B389" s="62" t="s">
        <v>491</v>
      </c>
      <c r="C389" s="397" t="s">
        <v>1095</v>
      </c>
      <c r="D389" s="435"/>
      <c r="E389" s="427"/>
      <c r="F389" s="87"/>
      <c r="G389" s="55">
        <f>SUMIF(JournalsA!D$14:D$920,TrialBalanceA!M389,JournalsA!J$14:J$920)+SUMIF(JournalsA!E$14:E$920,TrialBalanceA!M389,JournalsA!J$14:J$920)</f>
        <v>0</v>
      </c>
      <c r="H389" s="442"/>
      <c r="I389" s="410">
        <f t="shared" si="119"/>
        <v>0</v>
      </c>
      <c r="J389" s="83"/>
      <c r="K389" s="56">
        <f t="shared" si="120"/>
        <v>0</v>
      </c>
      <c r="M389" s="196" t="str">
        <f t="shared" si="121"/>
        <v>9300/040Tax paid/(refund) for previous year provisions</v>
      </c>
      <c r="N389" s="78"/>
      <c r="P389" s="79"/>
      <c r="Q389" s="59"/>
      <c r="R389" s="34"/>
    </row>
    <row r="390" spans="1:18" x14ac:dyDescent="0.2">
      <c r="A390" s="393"/>
      <c r="B390" s="62" t="s">
        <v>492</v>
      </c>
      <c r="C390" s="397" t="s">
        <v>972</v>
      </c>
      <c r="D390" s="435"/>
      <c r="E390" s="427"/>
      <c r="F390" s="87"/>
      <c r="G390" s="55">
        <f>SUMIF(JournalsA!D$14:D$920,TrialBalanceA!M390,JournalsA!J$14:J$920)+SUMIF(JournalsA!E$14:E$920,TrialBalanceA!M390,JournalsA!J$14:J$920)</f>
        <v>0</v>
      </c>
      <c r="H390" s="442"/>
      <c r="I390" s="410">
        <f t="shared" si="119"/>
        <v>0</v>
      </c>
      <c r="J390" s="83"/>
      <c r="K390" s="56">
        <f t="shared" si="120"/>
        <v>0</v>
      </c>
      <c r="M390" s="196" t="str">
        <f t="shared" si="121"/>
        <v>9300/0501st Provisional paid</v>
      </c>
      <c r="N390" s="78"/>
      <c r="P390" s="79"/>
      <c r="Q390" s="59"/>
      <c r="R390" s="34"/>
    </row>
    <row r="391" spans="1:18" x14ac:dyDescent="0.2">
      <c r="A391" s="393"/>
      <c r="B391" s="62" t="s">
        <v>493</v>
      </c>
      <c r="C391" s="397" t="s">
        <v>973</v>
      </c>
      <c r="D391" s="435"/>
      <c r="E391" s="427"/>
      <c r="F391" s="87"/>
      <c r="G391" s="55">
        <f>SUMIF(JournalsA!D$14:D$920,TrialBalanceA!M391,JournalsA!J$14:J$920)+SUMIF(JournalsA!E$14:E$920,TrialBalanceA!M391,JournalsA!J$14:J$920)</f>
        <v>0</v>
      </c>
      <c r="H391" s="442"/>
      <c r="I391" s="410">
        <f t="shared" si="119"/>
        <v>0</v>
      </c>
      <c r="J391" s="83"/>
      <c r="K391" s="56">
        <f t="shared" si="120"/>
        <v>0</v>
      </c>
      <c r="M391" s="196" t="str">
        <f t="shared" si="121"/>
        <v>9300/0602nd Provisional paid</v>
      </c>
      <c r="N391" s="78"/>
      <c r="P391" s="79"/>
      <c r="Q391" s="59"/>
      <c r="R391" s="34"/>
    </row>
    <row r="392" spans="1:18" x14ac:dyDescent="0.2">
      <c r="A392" s="393"/>
      <c r="B392" s="62" t="s">
        <v>494</v>
      </c>
      <c r="C392" s="394" t="s">
        <v>138</v>
      </c>
      <c r="D392" s="435"/>
      <c r="E392" s="427"/>
      <c r="F392" s="87"/>
      <c r="G392" s="55">
        <f>SUMIF(JournalsA!D$14:D$920,TrialBalanceA!M392,JournalsA!J$14:J$920)+SUMIF(JournalsA!E$14:E$920,TrialBalanceA!M392,JournalsA!J$14:J$920)</f>
        <v>0</v>
      </c>
      <c r="H392" s="442"/>
      <c r="I392" s="410">
        <f t="shared" si="119"/>
        <v>0</v>
      </c>
      <c r="J392" s="83"/>
      <c r="K392" s="56">
        <f t="shared" si="120"/>
        <v>0</v>
      </c>
      <c r="M392" s="196" t="str">
        <f t="shared" si="121"/>
        <v>9300/0703rd Provisional paid</v>
      </c>
      <c r="N392" s="78"/>
      <c r="P392" s="79"/>
      <c r="Q392" s="59"/>
      <c r="R392" s="34"/>
    </row>
    <row r="393" spans="1:18" x14ac:dyDescent="0.2">
      <c r="A393" s="393"/>
      <c r="B393" s="62" t="s">
        <v>495</v>
      </c>
      <c r="C393" s="397" t="s">
        <v>1097</v>
      </c>
      <c r="D393" s="435"/>
      <c r="E393" s="427"/>
      <c r="F393" s="87"/>
      <c r="G393" s="55">
        <f>SUMIF(JournalsA!D$14:D$920,TrialBalanceA!M393,JournalsA!J$14:J$920)+SUMIF(JournalsA!E$14:E$920,TrialBalanceA!M393,JournalsA!J$14:J$920)</f>
        <v>0</v>
      </c>
      <c r="H393" s="442"/>
      <c r="I393" s="410">
        <f t="shared" si="119"/>
        <v>0</v>
      </c>
      <c r="J393" s="83"/>
      <c r="K393" s="56">
        <f t="shared" si="120"/>
        <v>0</v>
      </c>
      <c r="M393" s="196" t="str">
        <f t="shared" si="121"/>
        <v>9300/090Dividends tax provision</v>
      </c>
      <c r="N393" s="78"/>
      <c r="P393" s="79"/>
      <c r="Q393" s="59"/>
      <c r="R393" s="34"/>
    </row>
    <row r="394" spans="1:18" x14ac:dyDescent="0.2">
      <c r="A394" s="393"/>
      <c r="B394" s="62" t="s">
        <v>369</v>
      </c>
      <c r="C394" s="397" t="s">
        <v>608</v>
      </c>
      <c r="D394" s="437"/>
      <c r="E394" s="427"/>
      <c r="F394" s="87">
        <f>K394</f>
        <v>0</v>
      </c>
      <c r="G394" s="55">
        <f>SUMIF(JournalsA!D$14:D$920,TrialBalanceA!M394,JournalsA!J$14:J$920)+SUMIF(JournalsA!E$14:E$920,TrialBalanceA!M394,JournalsA!J$14:J$920)</f>
        <v>0</v>
      </c>
      <c r="H394" s="442"/>
      <c r="I394" s="410">
        <f t="shared" si="119"/>
        <v>0</v>
      </c>
      <c r="J394" s="83"/>
      <c r="K394" s="56">
        <f t="shared" si="120"/>
        <v>0</v>
      </c>
      <c r="M394" s="196" t="str">
        <f t="shared" si="121"/>
        <v>9350/000Dividends payable</v>
      </c>
      <c r="N394" s="78"/>
      <c r="P394" s="79"/>
      <c r="Q394" s="59"/>
      <c r="R394" s="34"/>
    </row>
    <row r="395" spans="1:18" x14ac:dyDescent="0.2">
      <c r="A395" s="393"/>
      <c r="B395" s="62" t="s">
        <v>370</v>
      </c>
      <c r="C395" s="397" t="s">
        <v>609</v>
      </c>
      <c r="D395" s="437"/>
      <c r="E395" s="427"/>
      <c r="F395" s="87">
        <f>K395</f>
        <v>0</v>
      </c>
      <c r="G395" s="55">
        <f>SUMIF(JournalsA!D$14:D$920,TrialBalanceA!M395,JournalsA!J$14:J$920)+SUMIF(JournalsA!E$14:E$920,TrialBalanceA!M395,JournalsA!J$14:J$920)</f>
        <v>0</v>
      </c>
      <c r="H395" s="442"/>
      <c r="I395" s="410">
        <f t="shared" si="119"/>
        <v>0</v>
      </c>
      <c r="J395" s="83"/>
      <c r="K395" s="56">
        <f t="shared" si="120"/>
        <v>0</v>
      </c>
      <c r="M395" s="196" t="str">
        <f t="shared" si="121"/>
        <v>9400/000Provision for future expenses</v>
      </c>
      <c r="N395" s="78"/>
      <c r="P395" s="79"/>
      <c r="Q395" s="59"/>
      <c r="R395" s="34"/>
    </row>
    <row r="396" spans="1:18" x14ac:dyDescent="0.2">
      <c r="A396" s="393"/>
      <c r="B396" s="62" t="s">
        <v>371</v>
      </c>
      <c r="C396" s="397" t="s">
        <v>610</v>
      </c>
      <c r="D396" s="437"/>
      <c r="E396" s="427"/>
      <c r="F396" s="87">
        <f>K396</f>
        <v>0</v>
      </c>
      <c r="G396" s="55">
        <f>SUMIF(JournalsA!D$14:D$920,TrialBalanceA!M396,JournalsA!J$14:J$920)+SUMIF(JournalsA!E$14:E$920,TrialBalanceA!M396,JournalsA!J$14:J$920)</f>
        <v>0</v>
      </c>
      <c r="H396" s="442"/>
      <c r="I396" s="410">
        <f t="shared" si="119"/>
        <v>0</v>
      </c>
      <c r="J396" s="83"/>
      <c r="K396" s="56">
        <f t="shared" si="120"/>
        <v>0</v>
      </c>
      <c r="M396" s="196" t="str">
        <f t="shared" si="121"/>
        <v>9400/010Provision for insurance</v>
      </c>
      <c r="N396" s="78"/>
      <c r="P396" s="79"/>
      <c r="Q396" s="59"/>
      <c r="R396" s="34"/>
    </row>
    <row r="397" spans="1:18" x14ac:dyDescent="0.2">
      <c r="A397" s="393"/>
      <c r="B397" s="62" t="s">
        <v>372</v>
      </c>
      <c r="C397" s="397" t="s">
        <v>611</v>
      </c>
      <c r="D397" s="437"/>
      <c r="E397" s="427"/>
      <c r="F397" s="87">
        <f>K397</f>
        <v>0</v>
      </c>
      <c r="G397" s="55">
        <f>SUMIF(JournalsA!D$14:D$920,TrialBalanceA!M397,JournalsA!J$14:J$920)+SUMIF(JournalsA!E$14:E$920,TrialBalanceA!M397,JournalsA!J$14:J$920)</f>
        <v>0</v>
      </c>
      <c r="H397" s="442"/>
      <c r="I397" s="410">
        <f t="shared" si="119"/>
        <v>0</v>
      </c>
      <c r="J397" s="83"/>
      <c r="K397" s="56">
        <f t="shared" si="120"/>
        <v>0</v>
      </c>
      <c r="M397" s="196" t="str">
        <f t="shared" si="121"/>
        <v>9400/020Provision for salary bonus</v>
      </c>
      <c r="N397" s="78"/>
      <c r="P397" s="79"/>
      <c r="Q397" s="59"/>
      <c r="R397" s="34"/>
    </row>
    <row r="398" spans="1:18" x14ac:dyDescent="0.2">
      <c r="A398" s="393"/>
      <c r="B398" s="62" t="s">
        <v>373</v>
      </c>
      <c r="C398" s="396" t="s">
        <v>374</v>
      </c>
      <c r="D398" s="436"/>
      <c r="E398" s="427"/>
      <c r="F398" s="87"/>
      <c r="G398" s="55">
        <f>SUMIF(JournalsA!D$14:D$920,TrialBalanceA!M398,JournalsA!J$14:J$920)+SUMIF(JournalsA!E$14:E$920,TrialBalanceA!M398,JournalsA!J$14:J$920)</f>
        <v>0</v>
      </c>
      <c r="H398" s="442"/>
      <c r="I398" s="410">
        <f t="shared" si="119"/>
        <v>0</v>
      </c>
      <c r="J398" s="83"/>
      <c r="K398" s="56">
        <f t="shared" si="120"/>
        <v>0</v>
      </c>
      <c r="M398" s="196" t="str">
        <f t="shared" si="121"/>
        <v>9500/000VALUE ADDED TAX</v>
      </c>
      <c r="N398" s="78"/>
      <c r="P398" s="79"/>
      <c r="Q398" s="59"/>
      <c r="R398" s="34"/>
    </row>
    <row r="399" spans="1:18" x14ac:dyDescent="0.2">
      <c r="A399" s="393"/>
      <c r="B399" s="62" t="s">
        <v>375</v>
      </c>
      <c r="C399" s="394" t="s">
        <v>376</v>
      </c>
      <c r="D399" s="435"/>
      <c r="E399" s="435"/>
      <c r="F399" s="87">
        <f>K399</f>
        <v>0</v>
      </c>
      <c r="G399" s="55">
        <f>SUMIF(JournalsA!D$14:D$920,TrialBalanceA!M399,JournalsA!J$14:J$920)+SUMIF(JournalsA!E$14:E$920,TrialBalanceA!M399,JournalsA!J$14:J$920)</f>
        <v>0</v>
      </c>
      <c r="H399" s="442"/>
      <c r="I399" s="410">
        <f t="shared" si="119"/>
        <v>0</v>
      </c>
      <c r="J399" s="83"/>
      <c r="K399" s="56">
        <f t="shared" si="120"/>
        <v>0</v>
      </c>
      <c r="M399" s="196" t="str">
        <f t="shared" si="121"/>
        <v>9501/000VAT account</v>
      </c>
      <c r="N399" s="78"/>
      <c r="P399" s="79"/>
      <c r="Q399" s="59"/>
      <c r="R399" s="34"/>
    </row>
    <row r="400" spans="1:18" x14ac:dyDescent="0.2">
      <c r="A400" s="393"/>
      <c r="B400" s="62" t="s">
        <v>377</v>
      </c>
      <c r="C400" s="394" t="s">
        <v>29</v>
      </c>
      <c r="D400" s="437"/>
      <c r="E400" s="427"/>
      <c r="F400" s="87"/>
      <c r="G400" s="55">
        <f>SUMIF(JournalsA!D$14:D$920,TrialBalanceA!M400,JournalsA!J$14:J$920)+SUMIF(JournalsA!E$14:E$920,TrialBalanceA!M400,JournalsA!J$14:J$920)</f>
        <v>0</v>
      </c>
      <c r="H400" s="442"/>
      <c r="I400" s="410">
        <f t="shared" si="119"/>
        <v>0</v>
      </c>
      <c r="J400" s="83"/>
      <c r="K400" s="56">
        <f t="shared" si="120"/>
        <v>0</v>
      </c>
      <c r="M400" s="196" t="str">
        <f t="shared" si="121"/>
        <v>9510/000----------------------------------------</v>
      </c>
      <c r="N400" s="78"/>
      <c r="P400" s="79"/>
      <c r="Q400" s="59"/>
      <c r="R400" s="34"/>
    </row>
    <row r="401" spans="1:18" x14ac:dyDescent="0.2">
      <c r="A401" s="393"/>
      <c r="B401" s="62" t="s">
        <v>378</v>
      </c>
      <c r="C401" s="396" t="s">
        <v>974</v>
      </c>
      <c r="D401" s="436"/>
      <c r="E401" s="427"/>
      <c r="F401" s="87">
        <f>K401</f>
        <v>0</v>
      </c>
      <c r="G401" s="55">
        <f>SUMIF(JournalsA!D$14:D$920,TrialBalanceA!M401,JournalsA!J$14:J$920)+SUMIF(JournalsA!E$14:E$920,TrialBalanceA!M401,JournalsA!J$14:J$920)</f>
        <v>0</v>
      </c>
      <c r="H401" s="442"/>
      <c r="I401" s="410">
        <f t="shared" si="119"/>
        <v>0</v>
      </c>
      <c r="J401" s="83"/>
      <c r="K401" s="56">
        <f t="shared" si="120"/>
        <v>0</v>
      </c>
      <c r="M401" s="196" t="str">
        <f t="shared" si="121"/>
        <v>9990/000Suspense account</v>
      </c>
      <c r="N401" s="78"/>
      <c r="P401" s="79"/>
      <c r="Q401" s="59"/>
      <c r="R401" s="34"/>
    </row>
    <row r="402" spans="1:18" x14ac:dyDescent="0.2">
      <c r="A402" s="393"/>
      <c r="B402" s="62"/>
      <c r="C402" s="62"/>
      <c r="D402" s="435"/>
      <c r="E402" s="427"/>
      <c r="F402" s="87"/>
      <c r="G402" s="55"/>
      <c r="H402" s="442"/>
      <c r="I402" s="410"/>
      <c r="J402" s="83"/>
      <c r="K402" s="56"/>
      <c r="M402" s="196"/>
      <c r="N402" s="78"/>
      <c r="P402" s="79"/>
      <c r="Q402" s="59"/>
      <c r="R402" s="34"/>
    </row>
    <row r="403" spans="1:18" x14ac:dyDescent="0.2">
      <c r="A403" s="393"/>
      <c r="B403" s="62" t="s">
        <v>263</v>
      </c>
      <c r="C403" s="63" t="s">
        <v>263</v>
      </c>
      <c r="D403" s="418"/>
      <c r="E403" s="418"/>
      <c r="F403" s="90"/>
      <c r="G403" s="55"/>
      <c r="H403" s="442"/>
      <c r="I403" s="410"/>
      <c r="J403" s="83"/>
      <c r="K403" s="56"/>
      <c r="M403" s="196">
        <v>0</v>
      </c>
      <c r="N403" s="78"/>
      <c r="P403" s="81"/>
      <c r="Q403" s="81"/>
      <c r="R403" s="34"/>
    </row>
    <row r="404" spans="1:18" ht="13.5" thickBot="1" x14ac:dyDescent="0.25">
      <c r="A404" s="49">
        <f>SUM(A5:A403)</f>
        <v>0</v>
      </c>
      <c r="B404" s="62" t="s">
        <v>263</v>
      </c>
      <c r="C404" s="63" t="s">
        <v>263</v>
      </c>
      <c r="D404" s="49">
        <f>SUM(D5:D403)</f>
        <v>0</v>
      </c>
      <c r="E404" s="49">
        <f>SUM(E5:E403)</f>
        <v>0</v>
      </c>
      <c r="F404" s="49">
        <f>SUM(F5:F403)</f>
        <v>0</v>
      </c>
      <c r="G404" s="49">
        <f>SUM(G5:G403)</f>
        <v>0</v>
      </c>
      <c r="H404" s="49"/>
      <c r="I404" s="166">
        <f>SUM(I5:I403)</f>
        <v>0</v>
      </c>
      <c r="J404" s="49"/>
      <c r="K404" s="49">
        <f>SUM(K5:K403)</f>
        <v>0</v>
      </c>
      <c r="M404" s="196">
        <v>0</v>
      </c>
      <c r="N404" s="82"/>
      <c r="O404" s="82"/>
      <c r="P404" s="82"/>
      <c r="Q404" s="82"/>
      <c r="R404" s="82"/>
    </row>
    <row r="405" spans="1:18" ht="13.5" thickTop="1" x14ac:dyDescent="0.2">
      <c r="A405" s="46"/>
      <c r="B405" s="50"/>
      <c r="C405" s="53"/>
      <c r="D405" s="47"/>
      <c r="E405" s="47"/>
      <c r="F405" s="47"/>
      <c r="G405" s="47"/>
      <c r="H405" s="47"/>
      <c r="I405" s="211"/>
      <c r="J405" s="67"/>
      <c r="K405" s="46"/>
      <c r="P405" s="47"/>
      <c r="Q405" s="47"/>
    </row>
    <row r="406" spans="1:18" x14ac:dyDescent="0.2">
      <c r="A406" s="46"/>
      <c r="B406" s="50"/>
      <c r="C406" s="53"/>
      <c r="D406" s="47"/>
      <c r="E406" s="47"/>
      <c r="F406" s="47"/>
      <c r="G406" s="47"/>
      <c r="H406" s="47"/>
      <c r="K406" s="50"/>
      <c r="P406" s="47"/>
      <c r="Q406" s="47"/>
    </row>
    <row r="407" spans="1:18" x14ac:dyDescent="0.2">
      <c r="A407" s="46"/>
      <c r="B407" s="50"/>
      <c r="C407" s="53"/>
      <c r="D407" s="47"/>
      <c r="E407" s="47"/>
      <c r="F407" s="47"/>
      <c r="G407" s="47"/>
      <c r="H407" s="47"/>
      <c r="K407" s="50"/>
      <c r="P407" s="47"/>
      <c r="Q407" s="47"/>
    </row>
    <row r="408" spans="1:18" x14ac:dyDescent="0.2">
      <c r="A408" s="46"/>
      <c r="B408" s="50"/>
      <c r="C408" s="53"/>
      <c r="D408" s="47"/>
      <c r="E408" s="47"/>
      <c r="F408" s="47"/>
      <c r="G408" s="47"/>
      <c r="H408" s="47"/>
      <c r="K408" s="50"/>
      <c r="P408" s="47"/>
      <c r="Q408" s="47"/>
    </row>
    <row r="409" spans="1:18" x14ac:dyDescent="0.2">
      <c r="A409" s="46"/>
      <c r="B409" s="50"/>
      <c r="C409" s="53"/>
      <c r="D409" s="47"/>
      <c r="E409" s="47"/>
      <c r="F409" s="47"/>
      <c r="G409" s="47"/>
      <c r="H409" s="47"/>
      <c r="K409" s="50"/>
      <c r="P409" s="47"/>
      <c r="Q409" s="47"/>
    </row>
    <row r="410" spans="1:18" x14ac:dyDescent="0.2">
      <c r="A410" s="46"/>
      <c r="B410" s="50"/>
      <c r="C410" s="53"/>
      <c r="D410" s="47"/>
      <c r="E410" s="47"/>
      <c r="F410" s="47"/>
      <c r="G410" s="47"/>
      <c r="H410" s="47"/>
      <c r="K410" s="50"/>
      <c r="P410" s="47"/>
      <c r="Q410" s="47"/>
    </row>
    <row r="411" spans="1:18" x14ac:dyDescent="0.2">
      <c r="A411" s="46"/>
      <c r="B411" s="50"/>
      <c r="C411" s="53"/>
      <c r="D411" s="47"/>
      <c r="E411" s="47"/>
      <c r="F411" s="47"/>
      <c r="G411" s="47"/>
      <c r="H411" s="47"/>
      <c r="K411" s="50"/>
      <c r="P411" s="47"/>
      <c r="Q411" s="47"/>
    </row>
    <row r="412" spans="1:18" x14ac:dyDescent="0.2">
      <c r="A412" s="46"/>
      <c r="B412" s="50"/>
      <c r="C412" s="53"/>
      <c r="D412" s="47"/>
      <c r="E412" s="47"/>
      <c r="F412" s="47"/>
      <c r="G412" s="47"/>
      <c r="H412" s="47"/>
      <c r="K412" s="50"/>
      <c r="P412" s="47" t="s">
        <v>111</v>
      </c>
      <c r="Q412" s="47" t="s">
        <v>111</v>
      </c>
    </row>
    <row r="413" spans="1:18" x14ac:dyDescent="0.2">
      <c r="A413" s="46"/>
      <c r="B413" s="50"/>
      <c r="C413" s="53"/>
      <c r="D413" s="47"/>
      <c r="E413" s="47"/>
      <c r="F413" s="47"/>
      <c r="G413" s="47"/>
      <c r="H413" s="47"/>
      <c r="K413" s="50"/>
      <c r="P413" s="47" t="s">
        <v>111</v>
      </c>
      <c r="Q413" s="47" t="s">
        <v>111</v>
      </c>
    </row>
    <row r="414" spans="1:18" x14ac:dyDescent="0.2">
      <c r="A414" s="46"/>
      <c r="B414" s="50"/>
      <c r="C414" s="53"/>
      <c r="D414" s="47"/>
      <c r="E414" s="47"/>
      <c r="F414" s="47"/>
      <c r="G414" s="47"/>
      <c r="H414" s="47"/>
      <c r="K414" s="50"/>
      <c r="P414" s="47" t="s">
        <v>111</v>
      </c>
      <c r="Q414" s="47" t="s">
        <v>111</v>
      </c>
    </row>
    <row r="415" spans="1:18" x14ac:dyDescent="0.2">
      <c r="A415" s="46"/>
      <c r="B415" s="50"/>
      <c r="C415" s="53"/>
      <c r="D415" s="47"/>
      <c r="E415" s="47"/>
      <c r="F415" s="47"/>
      <c r="G415" s="47"/>
      <c r="H415" s="47"/>
      <c r="K415" s="50"/>
      <c r="P415" s="47" t="s">
        <v>111</v>
      </c>
      <c r="Q415" s="47" t="s">
        <v>111</v>
      </c>
    </row>
    <row r="416" spans="1:18" x14ac:dyDescent="0.2">
      <c r="A416" s="46"/>
      <c r="B416" s="50"/>
      <c r="C416" s="53"/>
      <c r="D416" s="47"/>
      <c r="E416" s="47"/>
      <c r="F416" s="47"/>
      <c r="G416" s="47"/>
      <c r="H416" s="47"/>
      <c r="K416" s="50"/>
      <c r="P416" s="47" t="s">
        <v>111</v>
      </c>
      <c r="Q416" s="47" t="s">
        <v>111</v>
      </c>
    </row>
    <row r="417" spans="1:17" x14ac:dyDescent="0.2">
      <c r="A417" s="46"/>
      <c r="B417" s="50"/>
      <c r="C417" s="53"/>
      <c r="D417" s="47"/>
      <c r="E417" s="47"/>
      <c r="F417" s="47"/>
      <c r="G417" s="47"/>
      <c r="H417" s="47"/>
      <c r="K417" s="50"/>
      <c r="P417" s="47"/>
      <c r="Q417" s="47"/>
    </row>
    <row r="418" spans="1:17" x14ac:dyDescent="0.2">
      <c r="A418" s="46"/>
      <c r="B418" s="50"/>
      <c r="C418" s="53"/>
      <c r="D418" s="47"/>
      <c r="E418" s="47"/>
      <c r="F418" s="47"/>
      <c r="G418" s="47"/>
      <c r="H418" s="47"/>
      <c r="K418" s="50"/>
      <c r="P418" s="47"/>
      <c r="Q418" s="47"/>
    </row>
    <row r="419" spans="1:17" x14ac:dyDescent="0.2">
      <c r="A419" s="46"/>
      <c r="B419" s="50"/>
      <c r="C419" s="53"/>
      <c r="D419" s="47"/>
      <c r="E419" s="47"/>
      <c r="F419" s="47"/>
      <c r="G419" s="47"/>
      <c r="H419" s="47"/>
      <c r="K419" s="50"/>
      <c r="P419" s="47"/>
      <c r="Q419" s="47"/>
    </row>
    <row r="420" spans="1:17" x14ac:dyDescent="0.2">
      <c r="A420" s="46"/>
      <c r="B420" s="50"/>
      <c r="C420" s="53"/>
      <c r="D420" s="47"/>
      <c r="E420" s="47"/>
      <c r="F420" s="47"/>
      <c r="G420" s="47"/>
      <c r="H420" s="47"/>
      <c r="K420" s="50"/>
      <c r="P420" s="47"/>
      <c r="Q420" s="47"/>
    </row>
    <row r="421" spans="1:17" x14ac:dyDescent="0.2">
      <c r="A421" s="46"/>
      <c r="B421" s="50"/>
      <c r="C421" s="53"/>
      <c r="D421" s="47"/>
      <c r="E421" s="47"/>
      <c r="F421" s="47"/>
      <c r="G421" s="47"/>
      <c r="H421" s="47"/>
      <c r="K421" s="50"/>
      <c r="P421" s="47"/>
      <c r="Q421" s="47"/>
    </row>
    <row r="422" spans="1:17" x14ac:dyDescent="0.2">
      <c r="A422" s="46"/>
      <c r="B422" s="50"/>
      <c r="C422" s="53"/>
      <c r="D422" s="47"/>
      <c r="E422" s="47"/>
      <c r="F422" s="47"/>
      <c r="G422" s="47"/>
      <c r="H422" s="47"/>
      <c r="K422" s="50"/>
      <c r="P422" s="47"/>
      <c r="Q422" s="47"/>
    </row>
    <row r="423" spans="1:17" x14ac:dyDescent="0.2">
      <c r="A423" s="46"/>
      <c r="B423" s="50"/>
      <c r="C423" s="53"/>
      <c r="D423" s="47"/>
      <c r="E423" s="47"/>
      <c r="F423" s="47"/>
      <c r="G423" s="47"/>
      <c r="H423" s="47"/>
      <c r="K423" s="50"/>
      <c r="P423" s="47"/>
      <c r="Q423" s="47"/>
    </row>
    <row r="424" spans="1:17" x14ac:dyDescent="0.2">
      <c r="A424" s="46"/>
      <c r="B424" s="50"/>
      <c r="C424" s="53"/>
      <c r="D424" s="47"/>
      <c r="E424" s="47"/>
      <c r="F424" s="47"/>
      <c r="G424" s="47"/>
      <c r="H424" s="47"/>
      <c r="K424" s="50"/>
      <c r="P424" s="47"/>
      <c r="Q424" s="47"/>
    </row>
    <row r="425" spans="1:17" x14ac:dyDescent="0.2">
      <c r="A425" s="46"/>
      <c r="B425" s="50"/>
      <c r="C425" s="53"/>
      <c r="D425" s="47"/>
      <c r="E425" s="47"/>
      <c r="F425" s="47"/>
      <c r="G425" s="47"/>
      <c r="H425" s="47"/>
      <c r="K425" s="50"/>
      <c r="P425" s="47"/>
      <c r="Q425" s="47"/>
    </row>
    <row r="426" spans="1:17" x14ac:dyDescent="0.2">
      <c r="A426" s="46"/>
      <c r="B426" s="50"/>
      <c r="C426" s="53"/>
      <c r="D426" s="47"/>
      <c r="E426" s="47"/>
      <c r="F426" s="47"/>
      <c r="G426" s="47"/>
      <c r="H426" s="47"/>
      <c r="K426" s="50"/>
      <c r="P426" s="47"/>
      <c r="Q426" s="47"/>
    </row>
    <row r="427" spans="1:17" x14ac:dyDescent="0.2">
      <c r="A427" s="46"/>
      <c r="B427" s="50"/>
      <c r="C427" s="53"/>
      <c r="D427" s="47"/>
      <c r="E427" s="47"/>
      <c r="F427" s="47"/>
      <c r="G427" s="47"/>
      <c r="H427" s="47"/>
      <c r="K427" s="50"/>
      <c r="P427" s="47"/>
      <c r="Q427" s="47"/>
    </row>
    <row r="428" spans="1:17" x14ac:dyDescent="0.2">
      <c r="A428" s="46"/>
      <c r="B428" s="50"/>
      <c r="C428" s="53"/>
      <c r="D428" s="47"/>
      <c r="E428" s="47"/>
      <c r="F428" s="47"/>
      <c r="G428" s="47"/>
      <c r="H428" s="47"/>
      <c r="K428" s="50"/>
      <c r="P428" s="47"/>
      <c r="Q428" s="47"/>
    </row>
    <row r="429" spans="1:17" x14ac:dyDescent="0.2">
      <c r="A429" s="46"/>
      <c r="B429" s="50"/>
      <c r="C429" s="53"/>
      <c r="D429" s="47"/>
      <c r="E429" s="47"/>
      <c r="F429" s="47"/>
      <c r="G429" s="47"/>
      <c r="H429" s="47"/>
      <c r="K429" s="50"/>
      <c r="P429" s="47"/>
      <c r="Q429" s="47"/>
    </row>
    <row r="430" spans="1:17" x14ac:dyDescent="0.2">
      <c r="A430" s="46"/>
      <c r="B430" s="50"/>
      <c r="C430" s="53"/>
      <c r="D430" s="47"/>
      <c r="E430" s="47"/>
      <c r="F430" s="47"/>
      <c r="G430" s="47"/>
      <c r="H430" s="47"/>
      <c r="K430" s="50"/>
      <c r="P430" s="47"/>
      <c r="Q430" s="47"/>
    </row>
    <row r="431" spans="1:17" x14ac:dyDescent="0.2">
      <c r="A431" s="46"/>
      <c r="B431" s="50"/>
      <c r="C431" s="53"/>
      <c r="G431" s="47"/>
      <c r="H431" s="47"/>
      <c r="K431" s="50"/>
      <c r="P431" s="47"/>
      <c r="Q431" s="47"/>
    </row>
    <row r="432" spans="1:17" x14ac:dyDescent="0.2">
      <c r="P432" s="16"/>
      <c r="Q432" s="16"/>
    </row>
  </sheetData>
  <sheetProtection algorithmName="SHA-512" hashValue="cjNMP7DerTPbTHFVl9Vxd6inm6pW3NEDoBtfBhs6HItCmmG0NGOBRkPtooJd55IaTtJ6cxYcK3BcM6Qy9BA7Fw==" saltValue="7ygyVZV61dt5BqzeUkokGQ==" spinCount="100000" sheet="1" objects="1" scenarios="1" formatColumns="0" selectLockedCells="1"/>
  <mergeCells count="1">
    <mergeCell ref="D2:E2"/>
  </mergeCells>
  <hyperlinks>
    <hyperlink ref="B17" location="bank2!A1" display="2000/010" xr:uid="{7EB4243E-DE9B-4826-A021-9D4CA612247E}"/>
    <hyperlink ref="B18" location="bank2!A1" display="2000/011" xr:uid="{79391743-9494-4631-850F-537D2BEF2173}"/>
    <hyperlink ref="C1" location="TrialBalance!A1" display="TrialBalance!A1" xr:uid="{379A1FED-5D69-48C4-8690-D0443BF52FA5}"/>
    <hyperlink ref="B5" location="bank2!A1" display="1000/001" xr:uid="{31B42A9B-C1A4-44A7-BEF7-F9747CCBC854}"/>
  </hyperlinks>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3E002-9AEC-4D61-BAD3-4B83DD557B57}">
  <dimension ref="A1:M486"/>
  <sheetViews>
    <sheetView view="pageBreakPreview" zoomScale="85" zoomScaleNormal="85" zoomScaleSheetLayoutView="85" workbookViewId="0">
      <pane ySplit="13" topLeftCell="A14" activePane="bottomLeft" state="frozen"/>
      <selection pane="bottomLeft" activeCell="D15" sqref="D15"/>
    </sheetView>
  </sheetViews>
  <sheetFormatPr defaultColWidth="11.28515625" defaultRowHeight="15.75" x14ac:dyDescent="0.25"/>
  <cols>
    <col min="1" max="1" width="12.28515625" style="2" bestFit="1" customWidth="1"/>
    <col min="2" max="2" width="5.85546875" style="5" customWidth="1"/>
    <col min="3" max="3" width="38.42578125" style="2" customWidth="1"/>
    <col min="4" max="4" width="30" style="2" customWidth="1"/>
    <col min="5" max="5" width="35.42578125" style="2" customWidth="1"/>
    <col min="6" max="6" width="16.85546875" style="4" customWidth="1"/>
    <col min="7" max="7" width="16.140625" style="4" bestFit="1" customWidth="1"/>
    <col min="8" max="8" width="15.7109375" style="4" bestFit="1" customWidth="1"/>
    <col min="9" max="9" width="16.140625" style="4" bestFit="1" customWidth="1"/>
    <col min="10" max="10" width="15.7109375" style="2" bestFit="1" customWidth="1"/>
    <col min="11" max="13" width="11.28515625" style="2" bestFit="1" customWidth="1"/>
    <col min="14" max="255" width="11.28515625" bestFit="1" customWidth="1"/>
  </cols>
  <sheetData>
    <row r="1" spans="1:13" x14ac:dyDescent="0.25">
      <c r="H1" s="43"/>
      <c r="I1" s="43"/>
    </row>
    <row r="2" spans="1:13" x14ac:dyDescent="0.25">
      <c r="C2" s="3" t="str">
        <f>Criteria!E9</f>
        <v>ABC COMPANY (PROPRIETARY) LIMITED</v>
      </c>
    </row>
    <row r="3" spans="1:13" x14ac:dyDescent="0.25">
      <c r="H3" s="85" t="s">
        <v>96</v>
      </c>
      <c r="I3" s="85"/>
    </row>
    <row r="4" spans="1:13" x14ac:dyDescent="0.25">
      <c r="C4" s="3" t="s">
        <v>95</v>
      </c>
      <c r="D4" s="43" t="str">
        <f>Criteria!E20</f>
        <v>28 FEBRUARY 2026</v>
      </c>
    </row>
    <row r="5" spans="1:13" x14ac:dyDescent="0.25">
      <c r="H5" s="85" t="s">
        <v>97</v>
      </c>
      <c r="I5" s="85"/>
    </row>
    <row r="6" spans="1:13" x14ac:dyDescent="0.25">
      <c r="C6" s="3" t="s">
        <v>184</v>
      </c>
      <c r="H6" s="43"/>
      <c r="I6" s="43"/>
    </row>
    <row r="7" spans="1:13" x14ac:dyDescent="0.25">
      <c r="C7" s="7"/>
      <c r="D7" s="7"/>
      <c r="E7" s="7"/>
      <c r="F7" s="86"/>
      <c r="G7" s="86"/>
      <c r="H7" s="86"/>
      <c r="I7" s="86"/>
    </row>
    <row r="8" spans="1:13" x14ac:dyDescent="0.25">
      <c r="D8" s="9" t="str">
        <f>IF(F8=0," ","OUT OF BALANCE")</f>
        <v xml:space="preserve"> </v>
      </c>
      <c r="E8" s="9"/>
      <c r="F8" s="4">
        <f>ROUND(F484-G484+H484-I484,2)</f>
        <v>0</v>
      </c>
    </row>
    <row r="9" spans="1:13" x14ac:dyDescent="0.25">
      <c r="D9" s="9" t="s">
        <v>319</v>
      </c>
      <c r="E9" s="9"/>
      <c r="F9" s="4">
        <f>F486</f>
        <v>0</v>
      </c>
    </row>
    <row r="10" spans="1:13" x14ac:dyDescent="0.25">
      <c r="D10" s="9"/>
      <c r="E10" s="9"/>
    </row>
    <row r="11" spans="1:13" x14ac:dyDescent="0.25">
      <c r="A11" s="42" t="s">
        <v>297</v>
      </c>
      <c r="F11" s="684"/>
      <c r="G11" s="684"/>
      <c r="H11" s="684"/>
      <c r="I11" s="684"/>
    </row>
    <row r="12" spans="1:13" x14ac:dyDescent="0.25">
      <c r="A12" s="42" t="s">
        <v>717</v>
      </c>
      <c r="F12" s="684" t="s">
        <v>382</v>
      </c>
      <c r="G12" s="684"/>
      <c r="H12" s="684" t="s">
        <v>110</v>
      </c>
      <c r="I12" s="684"/>
    </row>
    <row r="13" spans="1:13" x14ac:dyDescent="0.25">
      <c r="A13" s="42" t="s">
        <v>298</v>
      </c>
      <c r="B13" s="35" t="s">
        <v>825</v>
      </c>
      <c r="C13" s="35" t="s">
        <v>261</v>
      </c>
      <c r="D13" s="35" t="s">
        <v>280</v>
      </c>
      <c r="E13" s="35" t="s">
        <v>454</v>
      </c>
      <c r="F13" s="25" t="s">
        <v>264</v>
      </c>
      <c r="G13" s="25" t="s">
        <v>265</v>
      </c>
      <c r="H13" s="25" t="s">
        <v>264</v>
      </c>
      <c r="I13" s="25" t="s">
        <v>265</v>
      </c>
    </row>
    <row r="14" spans="1:13" x14ac:dyDescent="0.25">
      <c r="A14" s="42"/>
    </row>
    <row r="15" spans="1:13" x14ac:dyDescent="0.25">
      <c r="A15" s="42" t="str">
        <f t="shared" ref="A15:A78" si="0">IF(COUNTIF(K15:M15,"ERROR")&gt;0,"ERROR"," ")</f>
        <v xml:space="preserve"> </v>
      </c>
      <c r="B15" s="5">
        <v>1</v>
      </c>
      <c r="D15" s="41"/>
      <c r="E15" s="41"/>
      <c r="J15" s="17">
        <f>F15-G15+H15-I15</f>
        <v>0</v>
      </c>
      <c r="K15" s="2" t="str">
        <f>IF(COUNTA(D15:E15)=2,"ERROR"," ")</f>
        <v xml:space="preserve"> </v>
      </c>
      <c r="L15" s="2" t="str">
        <f t="shared" ref="L15:L78" si="1">IF(D15=0," ",IF(COUNTIF(ProfitLoss2,D15)&gt;0," ","ERROR"))</f>
        <v xml:space="preserve"> </v>
      </c>
      <c r="M15" s="2" t="str">
        <f t="shared" ref="M15:M78" si="2">IF(E15=0," ",IF(COUNTIF(BalanceSheetA,E15)&gt;0," ","ERROR"))</f>
        <v xml:space="preserve"> </v>
      </c>
    </row>
    <row r="16" spans="1:13" x14ac:dyDescent="0.25">
      <c r="A16" s="42" t="str">
        <f t="shared" si="0"/>
        <v xml:space="preserve"> </v>
      </c>
      <c r="B16" s="28"/>
      <c r="D16" s="41"/>
      <c r="E16" s="41"/>
      <c r="J16" s="17">
        <f t="shared" ref="J16:J79" si="3">F16-G16+H16-I16</f>
        <v>0</v>
      </c>
      <c r="K16" s="2" t="str">
        <f t="shared" ref="K16:K79" si="4">IF(COUNTA(D16:E16)=2,"ERROR"," ")</f>
        <v xml:space="preserve"> </v>
      </c>
      <c r="L16" s="2" t="str">
        <f t="shared" si="1"/>
        <v xml:space="preserve"> </v>
      </c>
      <c r="M16" s="2" t="str">
        <f t="shared" si="2"/>
        <v xml:space="preserve"> </v>
      </c>
    </row>
    <row r="17" spans="1:13" x14ac:dyDescent="0.25">
      <c r="A17" s="42" t="str">
        <f t="shared" si="0"/>
        <v xml:space="preserve"> </v>
      </c>
      <c r="D17" s="41"/>
      <c r="E17" s="41"/>
      <c r="J17" s="17">
        <f t="shared" si="3"/>
        <v>0</v>
      </c>
      <c r="K17" s="2" t="str">
        <f t="shared" si="4"/>
        <v xml:space="preserve"> </v>
      </c>
      <c r="L17" s="2" t="str">
        <f t="shared" si="1"/>
        <v xml:space="preserve"> </v>
      </c>
      <c r="M17" s="2" t="str">
        <f t="shared" si="2"/>
        <v xml:space="preserve"> </v>
      </c>
    </row>
    <row r="18" spans="1:13" x14ac:dyDescent="0.25">
      <c r="A18" s="42" t="str">
        <f t="shared" si="0"/>
        <v xml:space="preserve"> </v>
      </c>
      <c r="D18" s="41"/>
      <c r="E18" s="41"/>
      <c r="J18" s="17">
        <f t="shared" si="3"/>
        <v>0</v>
      </c>
      <c r="K18" s="2" t="str">
        <f t="shared" si="4"/>
        <v xml:space="preserve"> </v>
      </c>
      <c r="L18" s="2" t="str">
        <f t="shared" si="1"/>
        <v xml:space="preserve"> </v>
      </c>
      <c r="M18" s="2" t="str">
        <f t="shared" si="2"/>
        <v xml:space="preserve"> </v>
      </c>
    </row>
    <row r="19" spans="1:13" x14ac:dyDescent="0.25">
      <c r="A19" s="42" t="str">
        <f t="shared" si="0"/>
        <v xml:space="preserve"> </v>
      </c>
      <c r="D19" s="41"/>
      <c r="E19" s="41"/>
      <c r="J19" s="17">
        <f t="shared" si="3"/>
        <v>0</v>
      </c>
      <c r="K19" s="2" t="str">
        <f t="shared" si="4"/>
        <v xml:space="preserve"> </v>
      </c>
      <c r="L19" s="2" t="str">
        <f t="shared" si="1"/>
        <v xml:space="preserve"> </v>
      </c>
      <c r="M19" s="2" t="str">
        <f t="shared" si="2"/>
        <v xml:space="preserve"> </v>
      </c>
    </row>
    <row r="20" spans="1:13" x14ac:dyDescent="0.25">
      <c r="A20" s="42" t="str">
        <f t="shared" si="0"/>
        <v xml:space="preserve"> </v>
      </c>
      <c r="D20" s="41"/>
      <c r="E20" s="41"/>
      <c r="J20" s="17">
        <f t="shared" si="3"/>
        <v>0</v>
      </c>
      <c r="K20" s="2" t="str">
        <f t="shared" si="4"/>
        <v xml:space="preserve"> </v>
      </c>
      <c r="L20" s="2" t="str">
        <f t="shared" si="1"/>
        <v xml:space="preserve"> </v>
      </c>
      <c r="M20" s="2" t="str">
        <f t="shared" si="2"/>
        <v xml:space="preserve"> </v>
      </c>
    </row>
    <row r="21" spans="1:13" x14ac:dyDescent="0.25">
      <c r="A21" s="42" t="str">
        <f t="shared" si="0"/>
        <v xml:space="preserve"> </v>
      </c>
      <c r="D21" s="41"/>
      <c r="E21" s="41"/>
      <c r="J21" s="17">
        <f t="shared" si="3"/>
        <v>0</v>
      </c>
      <c r="K21" s="2" t="str">
        <f t="shared" si="4"/>
        <v xml:space="preserve"> </v>
      </c>
      <c r="L21" s="2" t="str">
        <f t="shared" si="1"/>
        <v xml:space="preserve"> </v>
      </c>
      <c r="M21" s="2" t="str">
        <f t="shared" si="2"/>
        <v xml:space="preserve"> </v>
      </c>
    </row>
    <row r="22" spans="1:13" x14ac:dyDescent="0.25">
      <c r="A22" s="42" t="str">
        <f t="shared" si="0"/>
        <v xml:space="preserve"> </v>
      </c>
      <c r="D22" s="41"/>
      <c r="E22" s="41"/>
      <c r="J22" s="17">
        <f t="shared" si="3"/>
        <v>0</v>
      </c>
      <c r="K22" s="2" t="str">
        <f t="shared" si="4"/>
        <v xml:space="preserve"> </v>
      </c>
      <c r="L22" s="2" t="str">
        <f t="shared" si="1"/>
        <v xml:space="preserve"> </v>
      </c>
      <c r="M22" s="2" t="str">
        <f t="shared" si="2"/>
        <v xml:space="preserve"> </v>
      </c>
    </row>
    <row r="23" spans="1:13" x14ac:dyDescent="0.25">
      <c r="A23" s="42" t="str">
        <f t="shared" si="0"/>
        <v xml:space="preserve"> </v>
      </c>
      <c r="D23" s="41"/>
      <c r="E23" s="41"/>
      <c r="J23" s="17">
        <f t="shared" si="3"/>
        <v>0</v>
      </c>
      <c r="K23" s="2" t="str">
        <f t="shared" si="4"/>
        <v xml:space="preserve"> </v>
      </c>
      <c r="L23" s="2" t="str">
        <f t="shared" si="1"/>
        <v xml:space="preserve"> </v>
      </c>
      <c r="M23" s="2" t="str">
        <f t="shared" si="2"/>
        <v xml:space="preserve"> </v>
      </c>
    </row>
    <row r="24" spans="1:13" x14ac:dyDescent="0.25">
      <c r="A24" s="42" t="str">
        <f t="shared" si="0"/>
        <v xml:space="preserve"> </v>
      </c>
      <c r="D24" s="41"/>
      <c r="E24" s="41"/>
      <c r="J24" s="17">
        <f t="shared" si="3"/>
        <v>0</v>
      </c>
      <c r="K24" s="2" t="str">
        <f t="shared" si="4"/>
        <v xml:space="preserve"> </v>
      </c>
      <c r="L24" s="2" t="str">
        <f t="shared" si="1"/>
        <v xml:space="preserve"> </v>
      </c>
      <c r="M24" s="2" t="str">
        <f t="shared" si="2"/>
        <v xml:space="preserve"> </v>
      </c>
    </row>
    <row r="25" spans="1:13" x14ac:dyDescent="0.25">
      <c r="A25" s="42" t="str">
        <f t="shared" si="0"/>
        <v xml:space="preserve"> </v>
      </c>
      <c r="C25" s="60"/>
      <c r="D25" s="41"/>
      <c r="E25" s="41"/>
      <c r="J25" s="17">
        <f t="shared" si="3"/>
        <v>0</v>
      </c>
      <c r="K25" s="2" t="str">
        <f t="shared" si="4"/>
        <v xml:space="preserve"> </v>
      </c>
      <c r="L25" s="2" t="str">
        <f t="shared" si="1"/>
        <v xml:space="preserve"> </v>
      </c>
      <c r="M25" s="2" t="str">
        <f t="shared" si="2"/>
        <v xml:space="preserve"> </v>
      </c>
    </row>
    <row r="26" spans="1:13" x14ac:dyDescent="0.25">
      <c r="A26" s="42" t="str">
        <f t="shared" si="0"/>
        <v xml:space="preserve"> </v>
      </c>
      <c r="D26" s="41"/>
      <c r="E26" s="41"/>
      <c r="J26" s="17">
        <f t="shared" si="3"/>
        <v>0</v>
      </c>
      <c r="K26" s="2" t="str">
        <f t="shared" si="4"/>
        <v xml:space="preserve"> </v>
      </c>
      <c r="L26" s="2" t="str">
        <f t="shared" si="1"/>
        <v xml:space="preserve"> </v>
      </c>
      <c r="M26" s="2" t="str">
        <f t="shared" si="2"/>
        <v xml:space="preserve"> </v>
      </c>
    </row>
    <row r="27" spans="1:13" x14ac:dyDescent="0.25">
      <c r="A27" s="42" t="str">
        <f t="shared" si="0"/>
        <v xml:space="preserve"> </v>
      </c>
      <c r="D27" s="41"/>
      <c r="E27" s="41"/>
      <c r="J27" s="17">
        <f t="shared" si="3"/>
        <v>0</v>
      </c>
      <c r="K27" s="2" t="str">
        <f t="shared" si="4"/>
        <v xml:space="preserve"> </v>
      </c>
      <c r="L27" s="2" t="str">
        <f t="shared" si="1"/>
        <v xml:space="preserve"> </v>
      </c>
      <c r="M27" s="2" t="str">
        <f t="shared" si="2"/>
        <v xml:space="preserve"> </v>
      </c>
    </row>
    <row r="28" spans="1:13" x14ac:dyDescent="0.25">
      <c r="A28" s="42" t="str">
        <f t="shared" si="0"/>
        <v xml:space="preserve"> </v>
      </c>
      <c r="D28" s="41"/>
      <c r="E28" s="41"/>
      <c r="J28" s="17">
        <f t="shared" si="3"/>
        <v>0</v>
      </c>
      <c r="K28" s="2" t="str">
        <f t="shared" si="4"/>
        <v xml:space="preserve"> </v>
      </c>
      <c r="L28" s="2" t="str">
        <f t="shared" si="1"/>
        <v xml:space="preserve"> </v>
      </c>
      <c r="M28" s="2" t="str">
        <f t="shared" si="2"/>
        <v xml:space="preserve"> </v>
      </c>
    </row>
    <row r="29" spans="1:13" x14ac:dyDescent="0.25">
      <c r="A29" s="42" t="str">
        <f t="shared" si="0"/>
        <v xml:space="preserve"> </v>
      </c>
      <c r="D29" s="41"/>
      <c r="E29" s="41"/>
      <c r="J29" s="17">
        <f t="shared" si="3"/>
        <v>0</v>
      </c>
      <c r="K29" s="2" t="str">
        <f t="shared" si="4"/>
        <v xml:space="preserve"> </v>
      </c>
      <c r="L29" s="2" t="str">
        <f t="shared" si="1"/>
        <v xml:space="preserve"> </v>
      </c>
      <c r="M29" s="2" t="str">
        <f t="shared" si="2"/>
        <v xml:space="preserve"> </v>
      </c>
    </row>
    <row r="30" spans="1:13" x14ac:dyDescent="0.25">
      <c r="A30" s="42" t="str">
        <f t="shared" si="0"/>
        <v xml:space="preserve"> </v>
      </c>
      <c r="D30" s="41"/>
      <c r="E30" s="41"/>
      <c r="J30" s="17">
        <f t="shared" si="3"/>
        <v>0</v>
      </c>
      <c r="K30" s="2" t="str">
        <f t="shared" si="4"/>
        <v xml:space="preserve"> </v>
      </c>
      <c r="L30" s="2" t="str">
        <f t="shared" si="1"/>
        <v xml:space="preserve"> </v>
      </c>
      <c r="M30" s="2" t="str">
        <f t="shared" si="2"/>
        <v xml:space="preserve"> </v>
      </c>
    </row>
    <row r="31" spans="1:13" x14ac:dyDescent="0.25">
      <c r="A31" s="42" t="str">
        <f t="shared" si="0"/>
        <v xml:space="preserve"> </v>
      </c>
      <c r="D31" s="41"/>
      <c r="E31" s="41"/>
      <c r="J31" s="17">
        <f t="shared" si="3"/>
        <v>0</v>
      </c>
      <c r="K31" s="2" t="str">
        <f t="shared" si="4"/>
        <v xml:space="preserve"> </v>
      </c>
      <c r="L31" s="2" t="str">
        <f t="shared" si="1"/>
        <v xml:space="preserve"> </v>
      </c>
      <c r="M31" s="2" t="str">
        <f t="shared" si="2"/>
        <v xml:space="preserve"> </v>
      </c>
    </row>
    <row r="32" spans="1:13" x14ac:dyDescent="0.25">
      <c r="A32" s="42" t="str">
        <f t="shared" si="0"/>
        <v xml:space="preserve"> </v>
      </c>
      <c r="D32" s="41"/>
      <c r="E32" s="41"/>
      <c r="J32" s="17">
        <f t="shared" si="3"/>
        <v>0</v>
      </c>
      <c r="K32" s="2" t="str">
        <f t="shared" si="4"/>
        <v xml:space="preserve"> </v>
      </c>
      <c r="L32" s="2" t="str">
        <f t="shared" si="1"/>
        <v xml:space="preserve"> </v>
      </c>
      <c r="M32" s="2" t="str">
        <f t="shared" si="2"/>
        <v xml:space="preserve"> </v>
      </c>
    </row>
    <row r="33" spans="1:13" x14ac:dyDescent="0.25">
      <c r="A33" s="42" t="str">
        <f t="shared" si="0"/>
        <v xml:space="preserve"> </v>
      </c>
      <c r="D33" s="41"/>
      <c r="E33" s="41"/>
      <c r="J33" s="17">
        <f t="shared" si="3"/>
        <v>0</v>
      </c>
      <c r="K33" s="2" t="str">
        <f t="shared" si="4"/>
        <v xml:space="preserve"> </v>
      </c>
      <c r="L33" s="2" t="str">
        <f t="shared" si="1"/>
        <v xml:space="preserve"> </v>
      </c>
      <c r="M33" s="2" t="str">
        <f t="shared" si="2"/>
        <v xml:space="preserve"> </v>
      </c>
    </row>
    <row r="34" spans="1:13" x14ac:dyDescent="0.25">
      <c r="A34" s="42" t="str">
        <f t="shared" si="0"/>
        <v xml:space="preserve"> </v>
      </c>
      <c r="D34" s="41"/>
      <c r="E34" s="41"/>
      <c r="J34" s="17">
        <f t="shared" si="3"/>
        <v>0</v>
      </c>
      <c r="K34" s="2" t="str">
        <f t="shared" si="4"/>
        <v xml:space="preserve"> </v>
      </c>
      <c r="L34" s="2" t="str">
        <f t="shared" si="1"/>
        <v xml:space="preserve"> </v>
      </c>
      <c r="M34" s="2" t="str">
        <f t="shared" si="2"/>
        <v xml:space="preserve"> </v>
      </c>
    </row>
    <row r="35" spans="1:13" x14ac:dyDescent="0.25">
      <c r="A35" s="42" t="str">
        <f t="shared" si="0"/>
        <v xml:space="preserve"> </v>
      </c>
      <c r="D35" s="41"/>
      <c r="E35" s="41"/>
      <c r="J35" s="17">
        <f t="shared" si="3"/>
        <v>0</v>
      </c>
      <c r="K35" s="2" t="str">
        <f t="shared" si="4"/>
        <v xml:space="preserve"> </v>
      </c>
      <c r="L35" s="2" t="str">
        <f t="shared" si="1"/>
        <v xml:space="preserve"> </v>
      </c>
      <c r="M35" s="2" t="str">
        <f t="shared" si="2"/>
        <v xml:space="preserve"> </v>
      </c>
    </row>
    <row r="36" spans="1:13" x14ac:dyDescent="0.25">
      <c r="A36" s="42" t="str">
        <f t="shared" si="0"/>
        <v xml:space="preserve"> </v>
      </c>
      <c r="D36" s="41"/>
      <c r="E36" s="41"/>
      <c r="J36" s="17">
        <f t="shared" si="3"/>
        <v>0</v>
      </c>
      <c r="K36" s="2" t="str">
        <f t="shared" si="4"/>
        <v xml:space="preserve"> </v>
      </c>
      <c r="L36" s="2" t="str">
        <f t="shared" si="1"/>
        <v xml:space="preserve"> </v>
      </c>
      <c r="M36" s="2" t="str">
        <f t="shared" si="2"/>
        <v xml:space="preserve"> </v>
      </c>
    </row>
    <row r="37" spans="1:13" x14ac:dyDescent="0.25">
      <c r="A37" s="42" t="str">
        <f t="shared" si="0"/>
        <v xml:space="preserve"> </v>
      </c>
      <c r="D37" s="41"/>
      <c r="E37" s="41"/>
      <c r="J37" s="17">
        <f t="shared" si="3"/>
        <v>0</v>
      </c>
      <c r="K37" s="2" t="str">
        <f t="shared" si="4"/>
        <v xml:space="preserve"> </v>
      </c>
      <c r="L37" s="2" t="str">
        <f t="shared" si="1"/>
        <v xml:space="preserve"> </v>
      </c>
      <c r="M37" s="2" t="str">
        <f t="shared" si="2"/>
        <v xml:space="preserve"> </v>
      </c>
    </row>
    <row r="38" spans="1:13" x14ac:dyDescent="0.25">
      <c r="A38" s="42" t="str">
        <f t="shared" si="0"/>
        <v xml:space="preserve"> </v>
      </c>
      <c r="D38" s="41"/>
      <c r="E38" s="41"/>
      <c r="J38" s="17">
        <f t="shared" si="3"/>
        <v>0</v>
      </c>
      <c r="K38" s="2" t="str">
        <f t="shared" si="4"/>
        <v xml:space="preserve"> </v>
      </c>
      <c r="L38" s="2" t="str">
        <f t="shared" si="1"/>
        <v xml:space="preserve"> </v>
      </c>
      <c r="M38" s="2" t="str">
        <f t="shared" si="2"/>
        <v xml:space="preserve"> </v>
      </c>
    </row>
    <row r="39" spans="1:13" x14ac:dyDescent="0.25">
      <c r="A39" s="42" t="str">
        <f t="shared" si="0"/>
        <v xml:space="preserve"> </v>
      </c>
      <c r="D39" s="41"/>
      <c r="E39" s="41"/>
      <c r="J39" s="17">
        <f t="shared" si="3"/>
        <v>0</v>
      </c>
      <c r="K39" s="2" t="str">
        <f t="shared" si="4"/>
        <v xml:space="preserve"> </v>
      </c>
      <c r="L39" s="2" t="str">
        <f t="shared" si="1"/>
        <v xml:space="preserve"> </v>
      </c>
      <c r="M39" s="2" t="str">
        <f t="shared" si="2"/>
        <v xml:space="preserve"> </v>
      </c>
    </row>
    <row r="40" spans="1:13" x14ac:dyDescent="0.25">
      <c r="A40" s="42" t="str">
        <f t="shared" si="0"/>
        <v xml:space="preserve"> </v>
      </c>
      <c r="D40" s="41"/>
      <c r="E40" s="41"/>
      <c r="J40" s="17">
        <f t="shared" si="3"/>
        <v>0</v>
      </c>
      <c r="K40" s="2" t="str">
        <f t="shared" si="4"/>
        <v xml:space="preserve"> </v>
      </c>
      <c r="L40" s="2" t="str">
        <f t="shared" si="1"/>
        <v xml:space="preserve"> </v>
      </c>
      <c r="M40" s="2" t="str">
        <f t="shared" si="2"/>
        <v xml:space="preserve"> </v>
      </c>
    </row>
    <row r="41" spans="1:13" x14ac:dyDescent="0.25">
      <c r="A41" s="42" t="str">
        <f t="shared" si="0"/>
        <v xml:space="preserve"> </v>
      </c>
      <c r="D41" s="41"/>
      <c r="E41" s="41"/>
      <c r="J41" s="17">
        <f t="shared" si="3"/>
        <v>0</v>
      </c>
      <c r="K41" s="2" t="str">
        <f t="shared" si="4"/>
        <v xml:space="preserve"> </v>
      </c>
      <c r="L41" s="2" t="str">
        <f t="shared" si="1"/>
        <v xml:space="preserve"> </v>
      </c>
      <c r="M41" s="2" t="str">
        <f t="shared" si="2"/>
        <v xml:space="preserve"> </v>
      </c>
    </row>
    <row r="42" spans="1:13" x14ac:dyDescent="0.25">
      <c r="A42" s="42" t="str">
        <f t="shared" si="0"/>
        <v xml:space="preserve"> </v>
      </c>
      <c r="D42" s="41"/>
      <c r="E42" s="41"/>
      <c r="J42" s="17">
        <f t="shared" si="3"/>
        <v>0</v>
      </c>
      <c r="K42" s="2" t="str">
        <f t="shared" si="4"/>
        <v xml:space="preserve"> </v>
      </c>
      <c r="L42" s="2" t="str">
        <f t="shared" si="1"/>
        <v xml:space="preserve"> </v>
      </c>
      <c r="M42" s="2" t="str">
        <f t="shared" si="2"/>
        <v xml:space="preserve"> </v>
      </c>
    </row>
    <row r="43" spans="1:13" x14ac:dyDescent="0.25">
      <c r="A43" s="42" t="str">
        <f t="shared" si="0"/>
        <v xml:space="preserve"> </v>
      </c>
      <c r="D43" s="41"/>
      <c r="E43" s="41"/>
      <c r="J43" s="17">
        <f t="shared" si="3"/>
        <v>0</v>
      </c>
      <c r="K43" s="2" t="str">
        <f t="shared" si="4"/>
        <v xml:space="preserve"> </v>
      </c>
      <c r="L43" s="2" t="str">
        <f t="shared" si="1"/>
        <v xml:space="preserve"> </v>
      </c>
      <c r="M43" s="2" t="str">
        <f t="shared" si="2"/>
        <v xml:space="preserve"> </v>
      </c>
    </row>
    <row r="44" spans="1:13" x14ac:dyDescent="0.25">
      <c r="A44" s="42" t="str">
        <f t="shared" si="0"/>
        <v xml:space="preserve"> </v>
      </c>
      <c r="D44" s="41"/>
      <c r="E44" s="41"/>
      <c r="J44" s="17">
        <f t="shared" si="3"/>
        <v>0</v>
      </c>
      <c r="K44" s="2" t="str">
        <f t="shared" si="4"/>
        <v xml:space="preserve"> </v>
      </c>
      <c r="L44" s="2" t="str">
        <f t="shared" si="1"/>
        <v xml:space="preserve"> </v>
      </c>
      <c r="M44" s="2" t="str">
        <f t="shared" si="2"/>
        <v xml:space="preserve"> </v>
      </c>
    </row>
    <row r="45" spans="1:13" x14ac:dyDescent="0.25">
      <c r="A45" s="42" t="str">
        <f t="shared" si="0"/>
        <v xml:space="preserve"> </v>
      </c>
      <c r="D45" s="41"/>
      <c r="E45" s="41"/>
      <c r="J45" s="17">
        <f t="shared" si="3"/>
        <v>0</v>
      </c>
      <c r="K45" s="2" t="str">
        <f t="shared" si="4"/>
        <v xml:space="preserve"> </v>
      </c>
      <c r="L45" s="2" t="str">
        <f t="shared" si="1"/>
        <v xml:space="preserve"> </v>
      </c>
      <c r="M45" s="2" t="str">
        <f t="shared" si="2"/>
        <v xml:space="preserve"> </v>
      </c>
    </row>
    <row r="46" spans="1:13" x14ac:dyDescent="0.25">
      <c r="A46" s="42" t="str">
        <f t="shared" si="0"/>
        <v xml:space="preserve"> </v>
      </c>
      <c r="D46" s="41"/>
      <c r="E46" s="41"/>
      <c r="J46" s="17">
        <f t="shared" si="3"/>
        <v>0</v>
      </c>
      <c r="K46" s="2" t="str">
        <f t="shared" si="4"/>
        <v xml:space="preserve"> </v>
      </c>
      <c r="L46" s="2" t="str">
        <f t="shared" si="1"/>
        <v xml:space="preserve"> </v>
      </c>
      <c r="M46" s="2" t="str">
        <f t="shared" si="2"/>
        <v xml:space="preserve"> </v>
      </c>
    </row>
    <row r="47" spans="1:13" x14ac:dyDescent="0.25">
      <c r="A47" s="42" t="str">
        <f t="shared" si="0"/>
        <v xml:space="preserve"> </v>
      </c>
      <c r="D47" s="41"/>
      <c r="E47" s="41"/>
      <c r="J47" s="17">
        <f t="shared" si="3"/>
        <v>0</v>
      </c>
      <c r="K47" s="2" t="str">
        <f t="shared" si="4"/>
        <v xml:space="preserve"> </v>
      </c>
      <c r="L47" s="2" t="str">
        <f t="shared" si="1"/>
        <v xml:space="preserve"> </v>
      </c>
      <c r="M47" s="2" t="str">
        <f t="shared" si="2"/>
        <v xml:space="preserve"> </v>
      </c>
    </row>
    <row r="48" spans="1:13" x14ac:dyDescent="0.25">
      <c r="A48" s="42" t="str">
        <f t="shared" si="0"/>
        <v xml:space="preserve"> </v>
      </c>
      <c r="D48" s="41"/>
      <c r="E48" s="41"/>
      <c r="J48" s="17">
        <f t="shared" si="3"/>
        <v>0</v>
      </c>
      <c r="K48" s="2" t="str">
        <f t="shared" si="4"/>
        <v xml:space="preserve"> </v>
      </c>
      <c r="L48" s="2" t="str">
        <f t="shared" si="1"/>
        <v xml:space="preserve"> </v>
      </c>
      <c r="M48" s="2" t="str">
        <f t="shared" si="2"/>
        <v xml:space="preserve"> </v>
      </c>
    </row>
    <row r="49" spans="1:13" x14ac:dyDescent="0.25">
      <c r="A49" s="42" t="str">
        <f t="shared" si="0"/>
        <v xml:space="preserve"> </v>
      </c>
      <c r="D49" s="41"/>
      <c r="E49" s="41"/>
      <c r="J49" s="17">
        <f t="shared" si="3"/>
        <v>0</v>
      </c>
      <c r="K49" s="2" t="str">
        <f t="shared" si="4"/>
        <v xml:space="preserve"> </v>
      </c>
      <c r="L49" s="2" t="str">
        <f t="shared" si="1"/>
        <v xml:space="preserve"> </v>
      </c>
      <c r="M49" s="2" t="str">
        <f t="shared" si="2"/>
        <v xml:space="preserve"> </v>
      </c>
    </row>
    <row r="50" spans="1:13" x14ac:dyDescent="0.25">
      <c r="A50" s="42" t="str">
        <f t="shared" si="0"/>
        <v xml:space="preserve"> </v>
      </c>
      <c r="D50" s="41"/>
      <c r="E50" s="41"/>
      <c r="J50" s="17">
        <f t="shared" si="3"/>
        <v>0</v>
      </c>
      <c r="K50" s="2" t="str">
        <f t="shared" si="4"/>
        <v xml:space="preserve"> </v>
      </c>
      <c r="L50" s="2" t="str">
        <f t="shared" si="1"/>
        <v xml:space="preserve"> </v>
      </c>
      <c r="M50" s="2" t="str">
        <f t="shared" si="2"/>
        <v xml:space="preserve"> </v>
      </c>
    </row>
    <row r="51" spans="1:13" x14ac:dyDescent="0.25">
      <c r="A51" s="42" t="str">
        <f t="shared" si="0"/>
        <v xml:space="preserve"> </v>
      </c>
      <c r="D51" s="41"/>
      <c r="E51" s="41"/>
      <c r="J51" s="17">
        <f t="shared" si="3"/>
        <v>0</v>
      </c>
      <c r="K51" s="2" t="str">
        <f t="shared" si="4"/>
        <v xml:space="preserve"> </v>
      </c>
      <c r="L51" s="2" t="str">
        <f t="shared" si="1"/>
        <v xml:space="preserve"> </v>
      </c>
      <c r="M51" s="2" t="str">
        <f t="shared" si="2"/>
        <v xml:space="preserve"> </v>
      </c>
    </row>
    <row r="52" spans="1:13" x14ac:dyDescent="0.25">
      <c r="A52" s="42" t="str">
        <f t="shared" si="0"/>
        <v xml:space="preserve"> </v>
      </c>
      <c r="D52" s="41"/>
      <c r="E52" s="41"/>
      <c r="J52" s="17">
        <f t="shared" si="3"/>
        <v>0</v>
      </c>
      <c r="K52" s="2" t="str">
        <f t="shared" si="4"/>
        <v xml:space="preserve"> </v>
      </c>
      <c r="L52" s="2" t="str">
        <f t="shared" si="1"/>
        <v xml:space="preserve"> </v>
      </c>
      <c r="M52" s="2" t="str">
        <f t="shared" si="2"/>
        <v xml:space="preserve"> </v>
      </c>
    </row>
    <row r="53" spans="1:13" x14ac:dyDescent="0.25">
      <c r="A53" s="42" t="str">
        <f t="shared" si="0"/>
        <v xml:space="preserve"> </v>
      </c>
      <c r="D53" s="41"/>
      <c r="E53" s="41"/>
      <c r="J53" s="17">
        <f t="shared" si="3"/>
        <v>0</v>
      </c>
      <c r="K53" s="2" t="str">
        <f t="shared" si="4"/>
        <v xml:space="preserve"> </v>
      </c>
      <c r="L53" s="2" t="str">
        <f t="shared" si="1"/>
        <v xml:space="preserve"> </v>
      </c>
      <c r="M53" s="2" t="str">
        <f t="shared" si="2"/>
        <v xml:space="preserve"> </v>
      </c>
    </row>
    <row r="54" spans="1:13" x14ac:dyDescent="0.25">
      <c r="A54" s="42" t="str">
        <f t="shared" si="0"/>
        <v xml:space="preserve"> </v>
      </c>
      <c r="D54" s="41"/>
      <c r="E54" s="41"/>
      <c r="J54" s="17">
        <f t="shared" si="3"/>
        <v>0</v>
      </c>
      <c r="K54" s="2" t="str">
        <f t="shared" si="4"/>
        <v xml:space="preserve"> </v>
      </c>
      <c r="L54" s="2" t="str">
        <f t="shared" si="1"/>
        <v xml:space="preserve"> </v>
      </c>
      <c r="M54" s="2" t="str">
        <f t="shared" si="2"/>
        <v xml:space="preserve"> </v>
      </c>
    </row>
    <row r="55" spans="1:13" x14ac:dyDescent="0.25">
      <c r="A55" s="42" t="str">
        <f t="shared" si="0"/>
        <v xml:space="preserve"> </v>
      </c>
      <c r="D55" s="41"/>
      <c r="E55" s="41"/>
      <c r="J55" s="17">
        <f t="shared" si="3"/>
        <v>0</v>
      </c>
      <c r="K55" s="2" t="str">
        <f t="shared" si="4"/>
        <v xml:space="preserve"> </v>
      </c>
      <c r="L55" s="2" t="str">
        <f t="shared" si="1"/>
        <v xml:space="preserve"> </v>
      </c>
      <c r="M55" s="2" t="str">
        <f t="shared" si="2"/>
        <v xml:space="preserve"> </v>
      </c>
    </row>
    <row r="56" spans="1:13" x14ac:dyDescent="0.25">
      <c r="A56" s="42" t="str">
        <f t="shared" si="0"/>
        <v xml:space="preserve"> </v>
      </c>
      <c r="D56" s="41"/>
      <c r="E56" s="41"/>
      <c r="J56" s="17">
        <f t="shared" si="3"/>
        <v>0</v>
      </c>
      <c r="K56" s="2" t="str">
        <f t="shared" si="4"/>
        <v xml:space="preserve"> </v>
      </c>
      <c r="L56" s="2" t="str">
        <f t="shared" si="1"/>
        <v xml:space="preserve"> </v>
      </c>
      <c r="M56" s="2" t="str">
        <f t="shared" si="2"/>
        <v xml:space="preserve"> </v>
      </c>
    </row>
    <row r="57" spans="1:13" x14ac:dyDescent="0.25">
      <c r="A57" s="42" t="str">
        <f t="shared" si="0"/>
        <v xml:space="preserve"> </v>
      </c>
      <c r="D57" s="41"/>
      <c r="E57" s="41"/>
      <c r="J57" s="17">
        <f t="shared" si="3"/>
        <v>0</v>
      </c>
      <c r="K57" s="2" t="str">
        <f t="shared" si="4"/>
        <v xml:space="preserve"> </v>
      </c>
      <c r="L57" s="2" t="str">
        <f t="shared" si="1"/>
        <v xml:space="preserve"> </v>
      </c>
      <c r="M57" s="2" t="str">
        <f t="shared" si="2"/>
        <v xml:space="preserve"> </v>
      </c>
    </row>
    <row r="58" spans="1:13" x14ac:dyDescent="0.25">
      <c r="A58" s="42" t="str">
        <f t="shared" si="0"/>
        <v xml:space="preserve"> </v>
      </c>
      <c r="D58" s="41"/>
      <c r="E58" s="41"/>
      <c r="J58" s="17">
        <f t="shared" si="3"/>
        <v>0</v>
      </c>
      <c r="K58" s="2" t="str">
        <f t="shared" si="4"/>
        <v xml:space="preserve"> </v>
      </c>
      <c r="L58" s="2" t="str">
        <f t="shared" si="1"/>
        <v xml:space="preserve"> </v>
      </c>
      <c r="M58" s="2" t="str">
        <f t="shared" si="2"/>
        <v xml:space="preserve"> </v>
      </c>
    </row>
    <row r="59" spans="1:13" x14ac:dyDescent="0.25">
      <c r="A59" s="42" t="str">
        <f t="shared" si="0"/>
        <v xml:space="preserve"> </v>
      </c>
      <c r="D59" s="41"/>
      <c r="E59" s="41"/>
      <c r="J59" s="17">
        <f t="shared" si="3"/>
        <v>0</v>
      </c>
      <c r="K59" s="2" t="str">
        <f t="shared" si="4"/>
        <v xml:space="preserve"> </v>
      </c>
      <c r="L59" s="2" t="str">
        <f t="shared" si="1"/>
        <v xml:space="preserve"> </v>
      </c>
      <c r="M59" s="2" t="str">
        <f t="shared" si="2"/>
        <v xml:space="preserve"> </v>
      </c>
    </row>
    <row r="60" spans="1:13" x14ac:dyDescent="0.25">
      <c r="A60" s="42" t="str">
        <f t="shared" si="0"/>
        <v xml:space="preserve"> </v>
      </c>
      <c r="D60" s="41"/>
      <c r="E60" s="41"/>
      <c r="J60" s="17">
        <f t="shared" si="3"/>
        <v>0</v>
      </c>
      <c r="K60" s="2" t="str">
        <f t="shared" si="4"/>
        <v xml:space="preserve"> </v>
      </c>
      <c r="L60" s="2" t="str">
        <f t="shared" si="1"/>
        <v xml:space="preserve"> </v>
      </c>
      <c r="M60" s="2" t="str">
        <f t="shared" si="2"/>
        <v xml:space="preserve"> </v>
      </c>
    </row>
    <row r="61" spans="1:13" x14ac:dyDescent="0.25">
      <c r="A61" s="42" t="str">
        <f t="shared" si="0"/>
        <v xml:space="preserve"> </v>
      </c>
      <c r="D61" s="41"/>
      <c r="E61" s="41"/>
      <c r="J61" s="17">
        <f t="shared" si="3"/>
        <v>0</v>
      </c>
      <c r="K61" s="2" t="str">
        <f t="shared" si="4"/>
        <v xml:space="preserve"> </v>
      </c>
      <c r="L61" s="2" t="str">
        <f t="shared" si="1"/>
        <v xml:space="preserve"> </v>
      </c>
      <c r="M61" s="2" t="str">
        <f t="shared" si="2"/>
        <v xml:space="preserve"> </v>
      </c>
    </row>
    <row r="62" spans="1:13" x14ac:dyDescent="0.25">
      <c r="A62" s="42" t="str">
        <f t="shared" si="0"/>
        <v xml:space="preserve"> </v>
      </c>
      <c r="D62" s="41"/>
      <c r="E62" s="41"/>
      <c r="J62" s="17">
        <f t="shared" si="3"/>
        <v>0</v>
      </c>
      <c r="K62" s="2" t="str">
        <f t="shared" si="4"/>
        <v xml:space="preserve"> </v>
      </c>
      <c r="L62" s="2" t="str">
        <f t="shared" si="1"/>
        <v xml:space="preserve"> </v>
      </c>
      <c r="M62" s="2" t="str">
        <f t="shared" si="2"/>
        <v xml:space="preserve"> </v>
      </c>
    </row>
    <row r="63" spans="1:13" x14ac:dyDescent="0.25">
      <c r="A63" s="42" t="str">
        <f t="shared" si="0"/>
        <v xml:space="preserve"> </v>
      </c>
      <c r="D63" s="41"/>
      <c r="E63" s="41"/>
      <c r="J63" s="17">
        <f t="shared" si="3"/>
        <v>0</v>
      </c>
      <c r="K63" s="2" t="str">
        <f t="shared" si="4"/>
        <v xml:space="preserve"> </v>
      </c>
      <c r="L63" s="2" t="str">
        <f t="shared" si="1"/>
        <v xml:space="preserve"> </v>
      </c>
      <c r="M63" s="2" t="str">
        <f t="shared" si="2"/>
        <v xml:space="preserve"> </v>
      </c>
    </row>
    <row r="64" spans="1:13" x14ac:dyDescent="0.25">
      <c r="A64" s="42" t="str">
        <f t="shared" si="0"/>
        <v xml:space="preserve"> </v>
      </c>
      <c r="D64" s="41"/>
      <c r="E64" s="41"/>
      <c r="J64" s="17">
        <f t="shared" si="3"/>
        <v>0</v>
      </c>
      <c r="K64" s="2" t="str">
        <f t="shared" si="4"/>
        <v xml:space="preserve"> </v>
      </c>
      <c r="L64" s="2" t="str">
        <f t="shared" si="1"/>
        <v xml:space="preserve"> </v>
      </c>
      <c r="M64" s="2" t="str">
        <f t="shared" si="2"/>
        <v xml:space="preserve"> </v>
      </c>
    </row>
    <row r="65" spans="1:13" x14ac:dyDescent="0.25">
      <c r="A65" s="42" t="str">
        <f t="shared" si="0"/>
        <v xml:space="preserve"> </v>
      </c>
      <c r="D65" s="41"/>
      <c r="E65" s="41"/>
      <c r="J65" s="17">
        <f t="shared" si="3"/>
        <v>0</v>
      </c>
      <c r="K65" s="2" t="str">
        <f t="shared" si="4"/>
        <v xml:space="preserve"> </v>
      </c>
      <c r="L65" s="2" t="str">
        <f t="shared" si="1"/>
        <v xml:space="preserve"> </v>
      </c>
      <c r="M65" s="2" t="str">
        <f t="shared" si="2"/>
        <v xml:space="preserve"> </v>
      </c>
    </row>
    <row r="66" spans="1:13" x14ac:dyDescent="0.25">
      <c r="A66" s="42" t="str">
        <f t="shared" si="0"/>
        <v xml:space="preserve"> </v>
      </c>
      <c r="D66" s="41"/>
      <c r="E66" s="41"/>
      <c r="J66" s="17">
        <f t="shared" si="3"/>
        <v>0</v>
      </c>
      <c r="K66" s="2" t="str">
        <f t="shared" si="4"/>
        <v xml:space="preserve"> </v>
      </c>
      <c r="L66" s="2" t="str">
        <f t="shared" si="1"/>
        <v xml:space="preserve"> </v>
      </c>
      <c r="M66" s="2" t="str">
        <f t="shared" si="2"/>
        <v xml:space="preserve"> </v>
      </c>
    </row>
    <row r="67" spans="1:13" x14ac:dyDescent="0.25">
      <c r="A67" s="42" t="str">
        <f t="shared" si="0"/>
        <v xml:space="preserve"> </v>
      </c>
      <c r="D67" s="41"/>
      <c r="E67" s="41"/>
      <c r="J67" s="17">
        <f t="shared" si="3"/>
        <v>0</v>
      </c>
      <c r="K67" s="2" t="str">
        <f t="shared" si="4"/>
        <v xml:space="preserve"> </v>
      </c>
      <c r="L67" s="2" t="str">
        <f t="shared" si="1"/>
        <v xml:space="preserve"> </v>
      </c>
      <c r="M67" s="2" t="str">
        <f t="shared" si="2"/>
        <v xml:space="preserve"> </v>
      </c>
    </row>
    <row r="68" spans="1:13" x14ac:dyDescent="0.25">
      <c r="A68" s="42" t="str">
        <f t="shared" si="0"/>
        <v xml:space="preserve"> </v>
      </c>
      <c r="D68" s="41"/>
      <c r="E68" s="41"/>
      <c r="J68" s="17">
        <f t="shared" si="3"/>
        <v>0</v>
      </c>
      <c r="K68" s="2" t="str">
        <f t="shared" si="4"/>
        <v xml:space="preserve"> </v>
      </c>
      <c r="L68" s="2" t="str">
        <f t="shared" si="1"/>
        <v xml:space="preserve"> </v>
      </c>
      <c r="M68" s="2" t="str">
        <f t="shared" si="2"/>
        <v xml:space="preserve"> </v>
      </c>
    </row>
    <row r="69" spans="1:13" x14ac:dyDescent="0.25">
      <c r="A69" s="42" t="str">
        <f t="shared" si="0"/>
        <v xml:space="preserve"> </v>
      </c>
      <c r="D69" s="41"/>
      <c r="E69" s="41"/>
      <c r="J69" s="17">
        <f t="shared" si="3"/>
        <v>0</v>
      </c>
      <c r="K69" s="2" t="str">
        <f t="shared" si="4"/>
        <v xml:space="preserve"> </v>
      </c>
      <c r="L69" s="2" t="str">
        <f t="shared" si="1"/>
        <v xml:space="preserve"> </v>
      </c>
      <c r="M69" s="2" t="str">
        <f t="shared" si="2"/>
        <v xml:space="preserve"> </v>
      </c>
    </row>
    <row r="70" spans="1:13" x14ac:dyDescent="0.25">
      <c r="A70" s="42" t="str">
        <f t="shared" si="0"/>
        <v xml:space="preserve"> </v>
      </c>
      <c r="D70" s="41"/>
      <c r="E70" s="41"/>
      <c r="J70" s="17">
        <f t="shared" si="3"/>
        <v>0</v>
      </c>
      <c r="K70" s="2" t="str">
        <f t="shared" si="4"/>
        <v xml:space="preserve"> </v>
      </c>
      <c r="L70" s="2" t="str">
        <f t="shared" si="1"/>
        <v xml:space="preserve"> </v>
      </c>
      <c r="M70" s="2" t="str">
        <f t="shared" si="2"/>
        <v xml:space="preserve"> </v>
      </c>
    </row>
    <row r="71" spans="1:13" x14ac:dyDescent="0.25">
      <c r="A71" s="42" t="str">
        <f t="shared" si="0"/>
        <v xml:space="preserve"> </v>
      </c>
      <c r="D71" s="41"/>
      <c r="E71" s="41"/>
      <c r="J71" s="17">
        <f t="shared" si="3"/>
        <v>0</v>
      </c>
      <c r="K71" s="2" t="str">
        <f t="shared" si="4"/>
        <v xml:space="preserve"> </v>
      </c>
      <c r="L71" s="2" t="str">
        <f t="shared" si="1"/>
        <v xml:space="preserve"> </v>
      </c>
      <c r="M71" s="2" t="str">
        <f t="shared" si="2"/>
        <v xml:space="preserve"> </v>
      </c>
    </row>
    <row r="72" spans="1:13" x14ac:dyDescent="0.25">
      <c r="A72" s="42" t="str">
        <f t="shared" si="0"/>
        <v xml:space="preserve"> </v>
      </c>
      <c r="D72" s="41"/>
      <c r="E72" s="41"/>
      <c r="J72" s="17">
        <f t="shared" si="3"/>
        <v>0</v>
      </c>
      <c r="K72" s="2" t="str">
        <f t="shared" si="4"/>
        <v xml:space="preserve"> </v>
      </c>
      <c r="L72" s="2" t="str">
        <f t="shared" si="1"/>
        <v xml:space="preserve"> </v>
      </c>
      <c r="M72" s="2" t="str">
        <f t="shared" si="2"/>
        <v xml:space="preserve"> </v>
      </c>
    </row>
    <row r="73" spans="1:13" x14ac:dyDescent="0.25">
      <c r="A73" s="42" t="str">
        <f t="shared" si="0"/>
        <v xml:space="preserve"> </v>
      </c>
      <c r="D73" s="41"/>
      <c r="E73" s="41"/>
      <c r="J73" s="17">
        <f t="shared" si="3"/>
        <v>0</v>
      </c>
      <c r="K73" s="2" t="str">
        <f t="shared" si="4"/>
        <v xml:space="preserve"> </v>
      </c>
      <c r="L73" s="2" t="str">
        <f t="shared" si="1"/>
        <v xml:space="preserve"> </v>
      </c>
      <c r="M73" s="2" t="str">
        <f t="shared" si="2"/>
        <v xml:space="preserve"> </v>
      </c>
    </row>
    <row r="74" spans="1:13" x14ac:dyDescent="0.25">
      <c r="A74" s="42" t="str">
        <f t="shared" si="0"/>
        <v xml:space="preserve"> </v>
      </c>
      <c r="D74" s="41"/>
      <c r="E74" s="41"/>
      <c r="J74" s="17">
        <f t="shared" si="3"/>
        <v>0</v>
      </c>
      <c r="K74" s="2" t="str">
        <f t="shared" si="4"/>
        <v xml:space="preserve"> </v>
      </c>
      <c r="L74" s="2" t="str">
        <f t="shared" si="1"/>
        <v xml:space="preserve"> </v>
      </c>
      <c r="M74" s="2" t="str">
        <f t="shared" si="2"/>
        <v xml:space="preserve"> </v>
      </c>
    </row>
    <row r="75" spans="1:13" x14ac:dyDescent="0.25">
      <c r="A75" s="42" t="str">
        <f t="shared" si="0"/>
        <v xml:space="preserve"> </v>
      </c>
      <c r="D75" s="41"/>
      <c r="E75" s="41"/>
      <c r="J75" s="17">
        <f t="shared" si="3"/>
        <v>0</v>
      </c>
      <c r="K75" s="2" t="str">
        <f t="shared" si="4"/>
        <v xml:space="preserve"> </v>
      </c>
      <c r="L75" s="2" t="str">
        <f t="shared" si="1"/>
        <v xml:space="preserve"> </v>
      </c>
      <c r="M75" s="2" t="str">
        <f t="shared" si="2"/>
        <v xml:space="preserve"> </v>
      </c>
    </row>
    <row r="76" spans="1:13" x14ac:dyDescent="0.25">
      <c r="A76" s="42" t="str">
        <f t="shared" si="0"/>
        <v xml:space="preserve"> </v>
      </c>
      <c r="D76" s="41"/>
      <c r="E76" s="41"/>
      <c r="J76" s="17">
        <f t="shared" si="3"/>
        <v>0</v>
      </c>
      <c r="K76" s="2" t="str">
        <f t="shared" si="4"/>
        <v xml:space="preserve"> </v>
      </c>
      <c r="L76" s="2" t="str">
        <f t="shared" si="1"/>
        <v xml:space="preserve"> </v>
      </c>
      <c r="M76" s="2" t="str">
        <f t="shared" si="2"/>
        <v xml:space="preserve"> </v>
      </c>
    </row>
    <row r="77" spans="1:13" x14ac:dyDescent="0.25">
      <c r="A77" s="42" t="str">
        <f t="shared" si="0"/>
        <v xml:space="preserve"> </v>
      </c>
      <c r="D77" s="41"/>
      <c r="E77" s="41"/>
      <c r="J77" s="17">
        <f t="shared" si="3"/>
        <v>0</v>
      </c>
      <c r="K77" s="2" t="str">
        <f t="shared" si="4"/>
        <v xml:space="preserve"> </v>
      </c>
      <c r="L77" s="2" t="str">
        <f t="shared" si="1"/>
        <v xml:space="preserve"> </v>
      </c>
      <c r="M77" s="2" t="str">
        <f t="shared" si="2"/>
        <v xml:space="preserve"> </v>
      </c>
    </row>
    <row r="78" spans="1:13" x14ac:dyDescent="0.25">
      <c r="A78" s="42" t="str">
        <f t="shared" si="0"/>
        <v xml:space="preserve"> </v>
      </c>
      <c r="D78" s="41"/>
      <c r="E78" s="41"/>
      <c r="J78" s="17">
        <f t="shared" si="3"/>
        <v>0</v>
      </c>
      <c r="K78" s="2" t="str">
        <f t="shared" si="4"/>
        <v xml:space="preserve"> </v>
      </c>
      <c r="L78" s="2" t="str">
        <f t="shared" si="1"/>
        <v xml:space="preserve"> </v>
      </c>
      <c r="M78" s="2" t="str">
        <f t="shared" si="2"/>
        <v xml:space="preserve"> </v>
      </c>
    </row>
    <row r="79" spans="1:13" x14ac:dyDescent="0.25">
      <c r="A79" s="42" t="str">
        <f t="shared" ref="A79:A142" si="5">IF(COUNTIF(K79:M79,"ERROR")&gt;0,"ERROR"," ")</f>
        <v xml:space="preserve"> </v>
      </c>
      <c r="D79" s="41"/>
      <c r="E79" s="41"/>
      <c r="J79" s="17">
        <f t="shared" si="3"/>
        <v>0</v>
      </c>
      <c r="K79" s="2" t="str">
        <f t="shared" si="4"/>
        <v xml:space="preserve"> </v>
      </c>
      <c r="L79" s="2" t="str">
        <f t="shared" ref="L79:L142" si="6">IF(D79=0," ",IF(COUNTIF(ProfitLoss2,D79)&gt;0," ","ERROR"))</f>
        <v xml:space="preserve"> </v>
      </c>
      <c r="M79" s="2" t="str">
        <f t="shared" ref="M79:M142" si="7">IF(E79=0," ",IF(COUNTIF(BalanceSheetA,E79)&gt;0," ","ERROR"))</f>
        <v xml:space="preserve"> </v>
      </c>
    </row>
    <row r="80" spans="1:13" x14ac:dyDescent="0.25">
      <c r="A80" s="42" t="str">
        <f t="shared" si="5"/>
        <v xml:space="preserve"> </v>
      </c>
      <c r="D80" s="41"/>
      <c r="E80" s="41"/>
      <c r="J80" s="17">
        <f t="shared" ref="J80:J143" si="8">F80-G80+H80-I80</f>
        <v>0</v>
      </c>
      <c r="K80" s="2" t="str">
        <f t="shared" ref="K80:K143" si="9">IF(COUNTA(D80:E80)=2,"ERROR"," ")</f>
        <v xml:space="preserve"> </v>
      </c>
      <c r="L80" s="2" t="str">
        <f t="shared" si="6"/>
        <v xml:space="preserve"> </v>
      </c>
      <c r="M80" s="2" t="str">
        <f t="shared" si="7"/>
        <v xml:space="preserve"> </v>
      </c>
    </row>
    <row r="81" spans="1:13" x14ac:dyDescent="0.25">
      <c r="A81" s="42" t="str">
        <f t="shared" si="5"/>
        <v xml:space="preserve"> </v>
      </c>
      <c r="D81" s="41"/>
      <c r="E81" s="41"/>
      <c r="J81" s="17">
        <f t="shared" si="8"/>
        <v>0</v>
      </c>
      <c r="K81" s="2" t="str">
        <f t="shared" si="9"/>
        <v xml:space="preserve"> </v>
      </c>
      <c r="L81" s="2" t="str">
        <f t="shared" si="6"/>
        <v xml:space="preserve"> </v>
      </c>
      <c r="M81" s="2" t="str">
        <f t="shared" si="7"/>
        <v xml:space="preserve"> </v>
      </c>
    </row>
    <row r="82" spans="1:13" x14ac:dyDescent="0.25">
      <c r="A82" s="42" t="str">
        <f t="shared" si="5"/>
        <v xml:space="preserve"> </v>
      </c>
      <c r="D82" s="41"/>
      <c r="E82" s="41"/>
      <c r="J82" s="17">
        <f t="shared" si="8"/>
        <v>0</v>
      </c>
      <c r="K82" s="2" t="str">
        <f t="shared" si="9"/>
        <v xml:space="preserve"> </v>
      </c>
      <c r="L82" s="2" t="str">
        <f t="shared" si="6"/>
        <v xml:space="preserve"> </v>
      </c>
      <c r="M82" s="2" t="str">
        <f t="shared" si="7"/>
        <v xml:space="preserve"> </v>
      </c>
    </row>
    <row r="83" spans="1:13" x14ac:dyDescent="0.25">
      <c r="A83" s="42" t="str">
        <f t="shared" si="5"/>
        <v xml:space="preserve"> </v>
      </c>
      <c r="D83" s="41"/>
      <c r="E83" s="41"/>
      <c r="J83" s="17">
        <f t="shared" si="8"/>
        <v>0</v>
      </c>
      <c r="K83" s="2" t="str">
        <f t="shared" si="9"/>
        <v xml:space="preserve"> </v>
      </c>
      <c r="L83" s="2" t="str">
        <f t="shared" si="6"/>
        <v xml:space="preserve"> </v>
      </c>
      <c r="M83" s="2" t="str">
        <f t="shared" si="7"/>
        <v xml:space="preserve"> </v>
      </c>
    </row>
    <row r="84" spans="1:13" x14ac:dyDescent="0.25">
      <c r="A84" s="42" t="str">
        <f t="shared" si="5"/>
        <v xml:space="preserve"> </v>
      </c>
      <c r="D84" s="41"/>
      <c r="E84" s="41"/>
      <c r="J84" s="17">
        <f t="shared" si="8"/>
        <v>0</v>
      </c>
      <c r="K84" s="2" t="str">
        <f t="shared" si="9"/>
        <v xml:space="preserve"> </v>
      </c>
      <c r="L84" s="2" t="str">
        <f t="shared" si="6"/>
        <v xml:space="preserve"> </v>
      </c>
      <c r="M84" s="2" t="str">
        <f t="shared" si="7"/>
        <v xml:space="preserve"> </v>
      </c>
    </row>
    <row r="85" spans="1:13" x14ac:dyDescent="0.25">
      <c r="A85" s="42" t="str">
        <f t="shared" si="5"/>
        <v xml:space="preserve"> </v>
      </c>
      <c r="D85" s="41"/>
      <c r="E85" s="41"/>
      <c r="J85" s="17">
        <f t="shared" si="8"/>
        <v>0</v>
      </c>
      <c r="K85" s="2" t="str">
        <f t="shared" si="9"/>
        <v xml:space="preserve"> </v>
      </c>
      <c r="L85" s="2" t="str">
        <f t="shared" si="6"/>
        <v xml:space="preserve"> </v>
      </c>
      <c r="M85" s="2" t="str">
        <f t="shared" si="7"/>
        <v xml:space="preserve"> </v>
      </c>
    </row>
    <row r="86" spans="1:13" x14ac:dyDescent="0.25">
      <c r="A86" s="42" t="str">
        <f t="shared" si="5"/>
        <v xml:space="preserve"> </v>
      </c>
      <c r="D86" s="41"/>
      <c r="E86" s="41"/>
      <c r="J86" s="17">
        <f t="shared" si="8"/>
        <v>0</v>
      </c>
      <c r="K86" s="2" t="str">
        <f t="shared" si="9"/>
        <v xml:space="preserve"> </v>
      </c>
      <c r="L86" s="2" t="str">
        <f t="shared" si="6"/>
        <v xml:space="preserve"> </v>
      </c>
      <c r="M86" s="2" t="str">
        <f t="shared" si="7"/>
        <v xml:space="preserve"> </v>
      </c>
    </row>
    <row r="87" spans="1:13" x14ac:dyDescent="0.25">
      <c r="A87" s="42" t="str">
        <f t="shared" si="5"/>
        <v xml:space="preserve"> </v>
      </c>
      <c r="D87" s="41"/>
      <c r="E87" s="41"/>
      <c r="J87" s="17">
        <f t="shared" si="8"/>
        <v>0</v>
      </c>
      <c r="K87" s="2" t="str">
        <f t="shared" si="9"/>
        <v xml:space="preserve"> </v>
      </c>
      <c r="L87" s="2" t="str">
        <f t="shared" si="6"/>
        <v xml:space="preserve"> </v>
      </c>
      <c r="M87" s="2" t="str">
        <f t="shared" si="7"/>
        <v xml:space="preserve"> </v>
      </c>
    </row>
    <row r="88" spans="1:13" x14ac:dyDescent="0.25">
      <c r="A88" s="42" t="str">
        <f t="shared" si="5"/>
        <v xml:space="preserve"> </v>
      </c>
      <c r="D88" s="41"/>
      <c r="E88" s="41"/>
      <c r="J88" s="17">
        <f t="shared" si="8"/>
        <v>0</v>
      </c>
      <c r="K88" s="2" t="str">
        <f t="shared" si="9"/>
        <v xml:space="preserve"> </v>
      </c>
      <c r="L88" s="2" t="str">
        <f t="shared" si="6"/>
        <v xml:space="preserve"> </v>
      </c>
      <c r="M88" s="2" t="str">
        <f t="shared" si="7"/>
        <v xml:space="preserve"> </v>
      </c>
    </row>
    <row r="89" spans="1:13" x14ac:dyDescent="0.25">
      <c r="A89" s="42" t="str">
        <f t="shared" si="5"/>
        <v xml:space="preserve"> </v>
      </c>
      <c r="D89" s="41"/>
      <c r="E89" s="41"/>
      <c r="J89" s="17">
        <f t="shared" si="8"/>
        <v>0</v>
      </c>
      <c r="K89" s="2" t="str">
        <f t="shared" si="9"/>
        <v xml:space="preserve"> </v>
      </c>
      <c r="L89" s="2" t="str">
        <f t="shared" si="6"/>
        <v xml:space="preserve"> </v>
      </c>
      <c r="M89" s="2" t="str">
        <f t="shared" si="7"/>
        <v xml:space="preserve"> </v>
      </c>
    </row>
    <row r="90" spans="1:13" x14ac:dyDescent="0.25">
      <c r="A90" s="42" t="str">
        <f t="shared" si="5"/>
        <v xml:space="preserve"> </v>
      </c>
      <c r="D90" s="41"/>
      <c r="E90" s="41"/>
      <c r="J90" s="17">
        <f t="shared" si="8"/>
        <v>0</v>
      </c>
      <c r="K90" s="2" t="str">
        <f t="shared" si="9"/>
        <v xml:space="preserve"> </v>
      </c>
      <c r="L90" s="2" t="str">
        <f t="shared" si="6"/>
        <v xml:space="preserve"> </v>
      </c>
      <c r="M90" s="2" t="str">
        <f t="shared" si="7"/>
        <v xml:space="preserve"> </v>
      </c>
    </row>
    <row r="91" spans="1:13" x14ac:dyDescent="0.25">
      <c r="A91" s="42" t="str">
        <f t="shared" si="5"/>
        <v xml:space="preserve"> </v>
      </c>
      <c r="D91" s="41"/>
      <c r="E91" s="41"/>
      <c r="J91" s="17">
        <f t="shared" si="8"/>
        <v>0</v>
      </c>
      <c r="K91" s="2" t="str">
        <f t="shared" si="9"/>
        <v xml:space="preserve"> </v>
      </c>
      <c r="L91" s="2" t="str">
        <f t="shared" si="6"/>
        <v xml:space="preserve"> </v>
      </c>
      <c r="M91" s="2" t="str">
        <f t="shared" si="7"/>
        <v xml:space="preserve"> </v>
      </c>
    </row>
    <row r="92" spans="1:13" x14ac:dyDescent="0.25">
      <c r="A92" s="42" t="str">
        <f t="shared" si="5"/>
        <v xml:space="preserve"> </v>
      </c>
      <c r="D92" s="41"/>
      <c r="E92" s="41"/>
      <c r="J92" s="17">
        <f t="shared" si="8"/>
        <v>0</v>
      </c>
      <c r="K92" s="2" t="str">
        <f t="shared" si="9"/>
        <v xml:space="preserve"> </v>
      </c>
      <c r="L92" s="2" t="str">
        <f t="shared" si="6"/>
        <v xml:space="preserve"> </v>
      </c>
      <c r="M92" s="2" t="str">
        <f t="shared" si="7"/>
        <v xml:space="preserve"> </v>
      </c>
    </row>
    <row r="93" spans="1:13" x14ac:dyDescent="0.25">
      <c r="A93" s="42" t="str">
        <f t="shared" si="5"/>
        <v xml:space="preserve"> </v>
      </c>
      <c r="D93" s="41"/>
      <c r="E93" s="41"/>
      <c r="J93" s="17">
        <f t="shared" si="8"/>
        <v>0</v>
      </c>
      <c r="K93" s="2" t="str">
        <f t="shared" si="9"/>
        <v xml:space="preserve"> </v>
      </c>
      <c r="L93" s="2" t="str">
        <f t="shared" si="6"/>
        <v xml:space="preserve"> </v>
      </c>
      <c r="M93" s="2" t="str">
        <f t="shared" si="7"/>
        <v xml:space="preserve"> </v>
      </c>
    </row>
    <row r="94" spans="1:13" x14ac:dyDescent="0.25">
      <c r="A94" s="42" t="str">
        <f t="shared" si="5"/>
        <v xml:space="preserve"> </v>
      </c>
      <c r="D94" s="41"/>
      <c r="E94" s="41"/>
      <c r="J94" s="17">
        <f t="shared" si="8"/>
        <v>0</v>
      </c>
      <c r="K94" s="2" t="str">
        <f t="shared" si="9"/>
        <v xml:space="preserve"> </v>
      </c>
      <c r="L94" s="2" t="str">
        <f t="shared" si="6"/>
        <v xml:space="preserve"> </v>
      </c>
      <c r="M94" s="2" t="str">
        <f t="shared" si="7"/>
        <v xml:space="preserve"> </v>
      </c>
    </row>
    <row r="95" spans="1:13" x14ac:dyDescent="0.25">
      <c r="A95" s="42" t="str">
        <f t="shared" si="5"/>
        <v xml:space="preserve"> </v>
      </c>
      <c r="D95" s="41"/>
      <c r="E95" s="41"/>
      <c r="J95" s="17">
        <f t="shared" si="8"/>
        <v>0</v>
      </c>
      <c r="K95" s="2" t="str">
        <f t="shared" si="9"/>
        <v xml:space="preserve"> </v>
      </c>
      <c r="L95" s="2" t="str">
        <f t="shared" si="6"/>
        <v xml:space="preserve"> </v>
      </c>
      <c r="M95" s="2" t="str">
        <f t="shared" si="7"/>
        <v xml:space="preserve"> </v>
      </c>
    </row>
    <row r="96" spans="1:13" x14ac:dyDescent="0.25">
      <c r="A96" s="42" t="str">
        <f t="shared" si="5"/>
        <v xml:space="preserve"> </v>
      </c>
      <c r="D96" s="41"/>
      <c r="E96" s="41"/>
      <c r="J96" s="17">
        <f t="shared" si="8"/>
        <v>0</v>
      </c>
      <c r="K96" s="2" t="str">
        <f t="shared" si="9"/>
        <v xml:space="preserve"> </v>
      </c>
      <c r="L96" s="2" t="str">
        <f t="shared" si="6"/>
        <v xml:space="preserve"> </v>
      </c>
      <c r="M96" s="2" t="str">
        <f t="shared" si="7"/>
        <v xml:space="preserve"> </v>
      </c>
    </row>
    <row r="97" spans="1:13" x14ac:dyDescent="0.25">
      <c r="A97" s="42" t="str">
        <f t="shared" si="5"/>
        <v xml:space="preserve"> </v>
      </c>
      <c r="D97" s="41"/>
      <c r="E97" s="41"/>
      <c r="J97" s="17">
        <f t="shared" si="8"/>
        <v>0</v>
      </c>
      <c r="K97" s="2" t="str">
        <f t="shared" si="9"/>
        <v xml:space="preserve"> </v>
      </c>
      <c r="L97" s="2" t="str">
        <f t="shared" si="6"/>
        <v xml:space="preserve"> </v>
      </c>
      <c r="M97" s="2" t="str">
        <f t="shared" si="7"/>
        <v xml:space="preserve"> </v>
      </c>
    </row>
    <row r="98" spans="1:13" x14ac:dyDescent="0.25">
      <c r="A98" s="42" t="str">
        <f t="shared" si="5"/>
        <v xml:space="preserve"> </v>
      </c>
      <c r="D98" s="41"/>
      <c r="E98" s="41"/>
      <c r="J98" s="17">
        <f t="shared" si="8"/>
        <v>0</v>
      </c>
      <c r="K98" s="2" t="str">
        <f t="shared" si="9"/>
        <v xml:space="preserve"> </v>
      </c>
      <c r="L98" s="2" t="str">
        <f t="shared" si="6"/>
        <v xml:space="preserve"> </v>
      </c>
      <c r="M98" s="2" t="str">
        <f t="shared" si="7"/>
        <v xml:space="preserve"> </v>
      </c>
    </row>
    <row r="99" spans="1:13" x14ac:dyDescent="0.25">
      <c r="A99" s="42" t="str">
        <f t="shared" si="5"/>
        <v xml:space="preserve"> </v>
      </c>
      <c r="D99" s="41"/>
      <c r="E99" s="41"/>
      <c r="J99" s="17">
        <f t="shared" si="8"/>
        <v>0</v>
      </c>
      <c r="K99" s="2" t="str">
        <f t="shared" si="9"/>
        <v xml:space="preserve"> </v>
      </c>
      <c r="L99" s="2" t="str">
        <f t="shared" si="6"/>
        <v xml:space="preserve"> </v>
      </c>
      <c r="M99" s="2" t="str">
        <f t="shared" si="7"/>
        <v xml:space="preserve"> </v>
      </c>
    </row>
    <row r="100" spans="1:13" x14ac:dyDescent="0.25">
      <c r="A100" s="42" t="str">
        <f t="shared" si="5"/>
        <v xml:space="preserve"> </v>
      </c>
      <c r="D100" s="41"/>
      <c r="E100" s="41"/>
      <c r="J100" s="17">
        <f t="shared" si="8"/>
        <v>0</v>
      </c>
      <c r="K100" s="2" t="str">
        <f t="shared" si="9"/>
        <v xml:space="preserve"> </v>
      </c>
      <c r="L100" s="2" t="str">
        <f t="shared" si="6"/>
        <v xml:space="preserve"> </v>
      </c>
      <c r="M100" s="2" t="str">
        <f t="shared" si="7"/>
        <v xml:space="preserve"> </v>
      </c>
    </row>
    <row r="101" spans="1:13" x14ac:dyDescent="0.25">
      <c r="A101" s="42" t="str">
        <f t="shared" si="5"/>
        <v xml:space="preserve"> </v>
      </c>
      <c r="D101" s="41"/>
      <c r="E101" s="41"/>
      <c r="J101" s="17">
        <f t="shared" si="8"/>
        <v>0</v>
      </c>
      <c r="K101" s="2" t="str">
        <f t="shared" si="9"/>
        <v xml:space="preserve"> </v>
      </c>
      <c r="L101" s="2" t="str">
        <f t="shared" si="6"/>
        <v xml:space="preserve"> </v>
      </c>
      <c r="M101" s="2" t="str">
        <f t="shared" si="7"/>
        <v xml:space="preserve"> </v>
      </c>
    </row>
    <row r="102" spans="1:13" x14ac:dyDescent="0.25">
      <c r="A102" s="42" t="str">
        <f t="shared" si="5"/>
        <v xml:space="preserve"> </v>
      </c>
      <c r="D102" s="41"/>
      <c r="E102" s="41"/>
      <c r="J102" s="17">
        <f t="shared" si="8"/>
        <v>0</v>
      </c>
      <c r="K102" s="2" t="str">
        <f t="shared" si="9"/>
        <v xml:space="preserve"> </v>
      </c>
      <c r="L102" s="2" t="str">
        <f t="shared" si="6"/>
        <v xml:space="preserve"> </v>
      </c>
      <c r="M102" s="2" t="str">
        <f t="shared" si="7"/>
        <v xml:space="preserve"> </v>
      </c>
    </row>
    <row r="103" spans="1:13" x14ac:dyDescent="0.25">
      <c r="A103" s="42" t="str">
        <f t="shared" si="5"/>
        <v xml:space="preserve"> </v>
      </c>
      <c r="D103" s="41"/>
      <c r="E103" s="41"/>
      <c r="J103" s="17">
        <f t="shared" si="8"/>
        <v>0</v>
      </c>
      <c r="K103" s="2" t="str">
        <f t="shared" si="9"/>
        <v xml:space="preserve"> </v>
      </c>
      <c r="L103" s="2" t="str">
        <f t="shared" si="6"/>
        <v xml:space="preserve"> </v>
      </c>
      <c r="M103" s="2" t="str">
        <f t="shared" si="7"/>
        <v xml:space="preserve"> </v>
      </c>
    </row>
    <row r="104" spans="1:13" x14ac:dyDescent="0.25">
      <c r="A104" s="42" t="str">
        <f t="shared" si="5"/>
        <v xml:space="preserve"> </v>
      </c>
      <c r="D104" s="41"/>
      <c r="E104" s="41"/>
      <c r="J104" s="17">
        <f t="shared" si="8"/>
        <v>0</v>
      </c>
      <c r="K104" s="2" t="str">
        <f t="shared" si="9"/>
        <v xml:space="preserve"> </v>
      </c>
      <c r="L104" s="2" t="str">
        <f t="shared" si="6"/>
        <v xml:space="preserve"> </v>
      </c>
      <c r="M104" s="2" t="str">
        <f t="shared" si="7"/>
        <v xml:space="preserve"> </v>
      </c>
    </row>
    <row r="105" spans="1:13" x14ac:dyDescent="0.25">
      <c r="A105" s="42" t="str">
        <f t="shared" si="5"/>
        <v xml:space="preserve"> </v>
      </c>
      <c r="D105" s="41"/>
      <c r="E105" s="41"/>
      <c r="J105" s="17">
        <f t="shared" si="8"/>
        <v>0</v>
      </c>
      <c r="K105" s="2" t="str">
        <f t="shared" si="9"/>
        <v xml:space="preserve"> </v>
      </c>
      <c r="L105" s="2" t="str">
        <f t="shared" si="6"/>
        <v xml:space="preserve"> </v>
      </c>
      <c r="M105" s="2" t="str">
        <f t="shared" si="7"/>
        <v xml:space="preserve"> </v>
      </c>
    </row>
    <row r="106" spans="1:13" x14ac:dyDescent="0.25">
      <c r="A106" s="42" t="str">
        <f t="shared" si="5"/>
        <v xml:space="preserve"> </v>
      </c>
      <c r="D106" s="41"/>
      <c r="E106" s="41"/>
      <c r="J106" s="17">
        <f t="shared" si="8"/>
        <v>0</v>
      </c>
      <c r="K106" s="2" t="str">
        <f t="shared" si="9"/>
        <v xml:space="preserve"> </v>
      </c>
      <c r="L106" s="2" t="str">
        <f t="shared" si="6"/>
        <v xml:space="preserve"> </v>
      </c>
      <c r="M106" s="2" t="str">
        <f t="shared" si="7"/>
        <v xml:space="preserve"> </v>
      </c>
    </row>
    <row r="107" spans="1:13" x14ac:dyDescent="0.25">
      <c r="A107" s="42" t="str">
        <f t="shared" si="5"/>
        <v xml:space="preserve"> </v>
      </c>
      <c r="D107" s="41"/>
      <c r="E107" s="41"/>
      <c r="J107" s="17">
        <f t="shared" si="8"/>
        <v>0</v>
      </c>
      <c r="K107" s="2" t="str">
        <f t="shared" si="9"/>
        <v xml:space="preserve"> </v>
      </c>
      <c r="L107" s="2" t="str">
        <f t="shared" si="6"/>
        <v xml:space="preserve"> </v>
      </c>
      <c r="M107" s="2" t="str">
        <f t="shared" si="7"/>
        <v xml:space="preserve"> </v>
      </c>
    </row>
    <row r="108" spans="1:13" x14ac:dyDescent="0.25">
      <c r="A108" s="42" t="str">
        <f t="shared" si="5"/>
        <v xml:space="preserve"> </v>
      </c>
      <c r="D108" s="41"/>
      <c r="E108" s="41"/>
      <c r="J108" s="17">
        <f t="shared" si="8"/>
        <v>0</v>
      </c>
      <c r="K108" s="2" t="str">
        <f t="shared" si="9"/>
        <v xml:space="preserve"> </v>
      </c>
      <c r="L108" s="2" t="str">
        <f t="shared" si="6"/>
        <v xml:space="preserve"> </v>
      </c>
      <c r="M108" s="2" t="str">
        <f t="shared" si="7"/>
        <v xml:space="preserve"> </v>
      </c>
    </row>
    <row r="109" spans="1:13" x14ac:dyDescent="0.25">
      <c r="A109" s="42" t="str">
        <f t="shared" si="5"/>
        <v xml:space="preserve"> </v>
      </c>
      <c r="D109" s="41"/>
      <c r="E109" s="41"/>
      <c r="J109" s="17">
        <f t="shared" si="8"/>
        <v>0</v>
      </c>
      <c r="K109" s="2" t="str">
        <f t="shared" si="9"/>
        <v xml:space="preserve"> </v>
      </c>
      <c r="L109" s="2" t="str">
        <f t="shared" si="6"/>
        <v xml:space="preserve"> </v>
      </c>
      <c r="M109" s="2" t="str">
        <f t="shared" si="7"/>
        <v xml:space="preserve"> </v>
      </c>
    </row>
    <row r="110" spans="1:13" x14ac:dyDescent="0.25">
      <c r="A110" s="42" t="str">
        <f t="shared" si="5"/>
        <v xml:space="preserve"> </v>
      </c>
      <c r="B110" s="20"/>
      <c r="D110" s="41"/>
      <c r="E110" s="41"/>
      <c r="J110" s="17">
        <f t="shared" si="8"/>
        <v>0</v>
      </c>
      <c r="K110" s="2" t="str">
        <f t="shared" si="9"/>
        <v xml:space="preserve"> </v>
      </c>
      <c r="L110" s="2" t="str">
        <f t="shared" si="6"/>
        <v xml:space="preserve"> </v>
      </c>
      <c r="M110" s="2" t="str">
        <f t="shared" si="7"/>
        <v xml:space="preserve"> </v>
      </c>
    </row>
    <row r="111" spans="1:13" x14ac:dyDescent="0.25">
      <c r="A111" s="42" t="str">
        <f t="shared" si="5"/>
        <v xml:space="preserve"> </v>
      </c>
      <c r="D111" s="41"/>
      <c r="E111" s="41"/>
      <c r="J111" s="17">
        <f t="shared" si="8"/>
        <v>0</v>
      </c>
      <c r="K111" s="2" t="str">
        <f t="shared" si="9"/>
        <v xml:space="preserve"> </v>
      </c>
      <c r="L111" s="2" t="str">
        <f t="shared" si="6"/>
        <v xml:space="preserve"> </v>
      </c>
      <c r="M111" s="2" t="str">
        <f t="shared" si="7"/>
        <v xml:space="preserve"> </v>
      </c>
    </row>
    <row r="112" spans="1:13" x14ac:dyDescent="0.25">
      <c r="A112" s="42" t="str">
        <f t="shared" si="5"/>
        <v xml:space="preserve"> </v>
      </c>
      <c r="D112" s="41"/>
      <c r="E112" s="41"/>
      <c r="J112" s="17">
        <f t="shared" si="8"/>
        <v>0</v>
      </c>
      <c r="K112" s="2" t="str">
        <f t="shared" si="9"/>
        <v xml:space="preserve"> </v>
      </c>
      <c r="L112" s="2" t="str">
        <f t="shared" si="6"/>
        <v xml:space="preserve"> </v>
      </c>
      <c r="M112" s="2" t="str">
        <f t="shared" si="7"/>
        <v xml:space="preserve"> </v>
      </c>
    </row>
    <row r="113" spans="1:13" x14ac:dyDescent="0.25">
      <c r="A113" s="42" t="str">
        <f t="shared" si="5"/>
        <v xml:space="preserve"> </v>
      </c>
      <c r="D113" s="41"/>
      <c r="E113" s="41"/>
      <c r="J113" s="17">
        <f t="shared" si="8"/>
        <v>0</v>
      </c>
      <c r="K113" s="2" t="str">
        <f t="shared" si="9"/>
        <v xml:space="preserve"> </v>
      </c>
      <c r="L113" s="2" t="str">
        <f t="shared" si="6"/>
        <v xml:space="preserve"> </v>
      </c>
      <c r="M113" s="2" t="str">
        <f t="shared" si="7"/>
        <v xml:space="preserve"> </v>
      </c>
    </row>
    <row r="114" spans="1:13" x14ac:dyDescent="0.25">
      <c r="A114" s="42" t="str">
        <f t="shared" si="5"/>
        <v xml:space="preserve"> </v>
      </c>
      <c r="D114" s="41"/>
      <c r="E114" s="41"/>
      <c r="J114" s="17">
        <f t="shared" si="8"/>
        <v>0</v>
      </c>
      <c r="K114" s="2" t="str">
        <f t="shared" si="9"/>
        <v xml:space="preserve"> </v>
      </c>
      <c r="L114" s="2" t="str">
        <f t="shared" si="6"/>
        <v xml:space="preserve"> </v>
      </c>
      <c r="M114" s="2" t="str">
        <f t="shared" si="7"/>
        <v xml:space="preserve"> </v>
      </c>
    </row>
    <row r="115" spans="1:13" x14ac:dyDescent="0.25">
      <c r="A115" s="42" t="str">
        <f t="shared" si="5"/>
        <v xml:space="preserve"> </v>
      </c>
      <c r="D115" s="41"/>
      <c r="E115" s="41"/>
      <c r="J115" s="17">
        <f t="shared" si="8"/>
        <v>0</v>
      </c>
      <c r="K115" s="2" t="str">
        <f t="shared" si="9"/>
        <v xml:space="preserve"> </v>
      </c>
      <c r="L115" s="2" t="str">
        <f t="shared" si="6"/>
        <v xml:space="preserve"> </v>
      </c>
      <c r="M115" s="2" t="str">
        <f t="shared" si="7"/>
        <v xml:space="preserve"> </v>
      </c>
    </row>
    <row r="116" spans="1:13" x14ac:dyDescent="0.25">
      <c r="A116" s="42" t="str">
        <f t="shared" si="5"/>
        <v xml:space="preserve"> </v>
      </c>
      <c r="D116" s="41"/>
      <c r="E116" s="41"/>
      <c r="J116" s="17">
        <f t="shared" si="8"/>
        <v>0</v>
      </c>
      <c r="K116" s="2" t="str">
        <f t="shared" si="9"/>
        <v xml:space="preserve"> </v>
      </c>
      <c r="L116" s="2" t="str">
        <f t="shared" si="6"/>
        <v xml:space="preserve"> </v>
      </c>
      <c r="M116" s="2" t="str">
        <f t="shared" si="7"/>
        <v xml:space="preserve"> </v>
      </c>
    </row>
    <row r="117" spans="1:13" x14ac:dyDescent="0.25">
      <c r="A117" s="42" t="str">
        <f t="shared" si="5"/>
        <v xml:space="preserve"> </v>
      </c>
      <c r="D117" s="41"/>
      <c r="E117" s="41"/>
      <c r="J117" s="17">
        <f t="shared" si="8"/>
        <v>0</v>
      </c>
      <c r="K117" s="2" t="str">
        <f t="shared" si="9"/>
        <v xml:space="preserve"> </v>
      </c>
      <c r="L117" s="2" t="str">
        <f t="shared" si="6"/>
        <v xml:space="preserve"> </v>
      </c>
      <c r="M117" s="2" t="str">
        <f t="shared" si="7"/>
        <v xml:space="preserve"> </v>
      </c>
    </row>
    <row r="118" spans="1:13" x14ac:dyDescent="0.25">
      <c r="A118" s="42" t="str">
        <f t="shared" si="5"/>
        <v xml:space="preserve"> </v>
      </c>
      <c r="D118" s="41"/>
      <c r="E118" s="41"/>
      <c r="J118" s="17">
        <f t="shared" si="8"/>
        <v>0</v>
      </c>
      <c r="K118" s="2" t="str">
        <f t="shared" si="9"/>
        <v xml:space="preserve"> </v>
      </c>
      <c r="L118" s="2" t="str">
        <f t="shared" si="6"/>
        <v xml:space="preserve"> </v>
      </c>
      <c r="M118" s="2" t="str">
        <f t="shared" si="7"/>
        <v xml:space="preserve"> </v>
      </c>
    </row>
    <row r="119" spans="1:13" x14ac:dyDescent="0.25">
      <c r="A119" s="42" t="str">
        <f t="shared" si="5"/>
        <v xml:space="preserve"> </v>
      </c>
      <c r="D119" s="41"/>
      <c r="E119" s="41"/>
      <c r="J119" s="17">
        <f t="shared" si="8"/>
        <v>0</v>
      </c>
      <c r="K119" s="2" t="str">
        <f t="shared" si="9"/>
        <v xml:space="preserve"> </v>
      </c>
      <c r="L119" s="2" t="str">
        <f t="shared" si="6"/>
        <v xml:space="preserve"> </v>
      </c>
      <c r="M119" s="2" t="str">
        <f t="shared" si="7"/>
        <v xml:space="preserve"> </v>
      </c>
    </row>
    <row r="120" spans="1:13" x14ac:dyDescent="0.25">
      <c r="A120" s="42" t="str">
        <f t="shared" si="5"/>
        <v xml:space="preserve"> </v>
      </c>
      <c r="D120" s="41"/>
      <c r="E120" s="41"/>
      <c r="J120" s="17">
        <f t="shared" si="8"/>
        <v>0</v>
      </c>
      <c r="K120" s="2" t="str">
        <f t="shared" si="9"/>
        <v xml:space="preserve"> </v>
      </c>
      <c r="L120" s="2" t="str">
        <f t="shared" si="6"/>
        <v xml:space="preserve"> </v>
      </c>
      <c r="M120" s="2" t="str">
        <f t="shared" si="7"/>
        <v xml:space="preserve"> </v>
      </c>
    </row>
    <row r="121" spans="1:13" x14ac:dyDescent="0.25">
      <c r="A121" s="42" t="str">
        <f t="shared" si="5"/>
        <v xml:space="preserve"> </v>
      </c>
      <c r="D121" s="41"/>
      <c r="E121" s="41"/>
      <c r="J121" s="17">
        <f t="shared" si="8"/>
        <v>0</v>
      </c>
      <c r="K121" s="2" t="str">
        <f t="shared" si="9"/>
        <v xml:space="preserve"> </v>
      </c>
      <c r="L121" s="2" t="str">
        <f t="shared" si="6"/>
        <v xml:space="preserve"> </v>
      </c>
      <c r="M121" s="2" t="str">
        <f t="shared" si="7"/>
        <v xml:space="preserve"> </v>
      </c>
    </row>
    <row r="122" spans="1:13" x14ac:dyDescent="0.25">
      <c r="A122" s="42" t="str">
        <f t="shared" si="5"/>
        <v xml:space="preserve"> </v>
      </c>
      <c r="D122" s="41"/>
      <c r="E122" s="41"/>
      <c r="J122" s="17">
        <f t="shared" si="8"/>
        <v>0</v>
      </c>
      <c r="K122" s="2" t="str">
        <f t="shared" si="9"/>
        <v xml:space="preserve"> </v>
      </c>
      <c r="L122" s="2" t="str">
        <f t="shared" si="6"/>
        <v xml:space="preserve"> </v>
      </c>
      <c r="M122" s="2" t="str">
        <f t="shared" si="7"/>
        <v xml:space="preserve"> </v>
      </c>
    </row>
    <row r="123" spans="1:13" x14ac:dyDescent="0.25">
      <c r="A123" s="42" t="str">
        <f t="shared" si="5"/>
        <v xml:space="preserve"> </v>
      </c>
      <c r="D123" s="41"/>
      <c r="E123" s="41"/>
      <c r="J123" s="17">
        <f t="shared" si="8"/>
        <v>0</v>
      </c>
      <c r="K123" s="2" t="str">
        <f t="shared" si="9"/>
        <v xml:space="preserve"> </v>
      </c>
      <c r="L123" s="2" t="str">
        <f t="shared" si="6"/>
        <v xml:space="preserve"> </v>
      </c>
      <c r="M123" s="2" t="str">
        <f t="shared" si="7"/>
        <v xml:space="preserve"> </v>
      </c>
    </row>
    <row r="124" spans="1:13" x14ac:dyDescent="0.25">
      <c r="A124" s="42" t="str">
        <f t="shared" si="5"/>
        <v xml:space="preserve"> </v>
      </c>
      <c r="C124" s="48"/>
      <c r="D124" s="41"/>
      <c r="E124" s="41"/>
      <c r="J124" s="17">
        <f t="shared" si="8"/>
        <v>0</v>
      </c>
      <c r="K124" s="2" t="str">
        <f t="shared" si="9"/>
        <v xml:space="preserve"> </v>
      </c>
      <c r="L124" s="2" t="str">
        <f t="shared" si="6"/>
        <v xml:space="preserve"> </v>
      </c>
      <c r="M124" s="2" t="str">
        <f t="shared" si="7"/>
        <v xml:space="preserve"> </v>
      </c>
    </row>
    <row r="125" spans="1:13" x14ac:dyDescent="0.25">
      <c r="A125" s="42" t="str">
        <f t="shared" si="5"/>
        <v xml:space="preserve"> </v>
      </c>
      <c r="D125" s="41"/>
      <c r="E125" s="41"/>
      <c r="J125" s="17">
        <f t="shared" si="8"/>
        <v>0</v>
      </c>
      <c r="K125" s="2" t="str">
        <f t="shared" si="9"/>
        <v xml:space="preserve"> </v>
      </c>
      <c r="L125" s="2" t="str">
        <f t="shared" si="6"/>
        <v xml:space="preserve"> </v>
      </c>
      <c r="M125" s="2" t="str">
        <f t="shared" si="7"/>
        <v xml:space="preserve"> </v>
      </c>
    </row>
    <row r="126" spans="1:13" x14ac:dyDescent="0.25">
      <c r="A126" s="42" t="str">
        <f t="shared" si="5"/>
        <v xml:space="preserve"> </v>
      </c>
      <c r="D126" s="41"/>
      <c r="E126" s="41"/>
      <c r="J126" s="17">
        <f t="shared" si="8"/>
        <v>0</v>
      </c>
      <c r="K126" s="2" t="str">
        <f t="shared" si="9"/>
        <v xml:space="preserve"> </v>
      </c>
      <c r="L126" s="2" t="str">
        <f t="shared" si="6"/>
        <v xml:space="preserve"> </v>
      </c>
      <c r="M126" s="2" t="str">
        <f t="shared" si="7"/>
        <v xml:space="preserve"> </v>
      </c>
    </row>
    <row r="127" spans="1:13" x14ac:dyDescent="0.25">
      <c r="A127" s="42" t="str">
        <f t="shared" si="5"/>
        <v xml:space="preserve"> </v>
      </c>
      <c r="D127" s="41"/>
      <c r="E127" s="41"/>
      <c r="J127" s="17">
        <f t="shared" si="8"/>
        <v>0</v>
      </c>
      <c r="K127" s="2" t="str">
        <f t="shared" si="9"/>
        <v xml:space="preserve"> </v>
      </c>
      <c r="L127" s="2" t="str">
        <f t="shared" si="6"/>
        <v xml:space="preserve"> </v>
      </c>
      <c r="M127" s="2" t="str">
        <f t="shared" si="7"/>
        <v xml:space="preserve"> </v>
      </c>
    </row>
    <row r="128" spans="1:13" x14ac:dyDescent="0.25">
      <c r="A128" s="42" t="str">
        <f t="shared" si="5"/>
        <v xml:space="preserve"> </v>
      </c>
      <c r="D128" s="41"/>
      <c r="E128" s="41"/>
      <c r="J128" s="17">
        <f t="shared" si="8"/>
        <v>0</v>
      </c>
      <c r="K128" s="2" t="str">
        <f t="shared" si="9"/>
        <v xml:space="preserve"> </v>
      </c>
      <c r="L128" s="2" t="str">
        <f t="shared" si="6"/>
        <v xml:space="preserve"> </v>
      </c>
      <c r="M128" s="2" t="str">
        <f t="shared" si="7"/>
        <v xml:space="preserve"> </v>
      </c>
    </row>
    <row r="129" spans="1:13" x14ac:dyDescent="0.25">
      <c r="A129" s="42" t="str">
        <f t="shared" si="5"/>
        <v xml:space="preserve"> </v>
      </c>
      <c r="D129" s="41"/>
      <c r="E129" s="41"/>
      <c r="J129" s="17">
        <f t="shared" si="8"/>
        <v>0</v>
      </c>
      <c r="K129" s="2" t="str">
        <f t="shared" si="9"/>
        <v xml:space="preserve"> </v>
      </c>
      <c r="L129" s="2" t="str">
        <f t="shared" si="6"/>
        <v xml:space="preserve"> </v>
      </c>
      <c r="M129" s="2" t="str">
        <f t="shared" si="7"/>
        <v xml:space="preserve"> </v>
      </c>
    </row>
    <row r="130" spans="1:13" x14ac:dyDescent="0.25">
      <c r="A130" s="42" t="str">
        <f t="shared" si="5"/>
        <v xml:space="preserve"> </v>
      </c>
      <c r="D130" s="41"/>
      <c r="E130" s="41"/>
      <c r="J130" s="17">
        <f t="shared" si="8"/>
        <v>0</v>
      </c>
      <c r="K130" s="2" t="str">
        <f t="shared" si="9"/>
        <v xml:space="preserve"> </v>
      </c>
      <c r="L130" s="2" t="str">
        <f t="shared" si="6"/>
        <v xml:space="preserve"> </v>
      </c>
      <c r="M130" s="2" t="str">
        <f t="shared" si="7"/>
        <v xml:space="preserve"> </v>
      </c>
    </row>
    <row r="131" spans="1:13" x14ac:dyDescent="0.25">
      <c r="A131" s="42" t="str">
        <f t="shared" si="5"/>
        <v xml:space="preserve"> </v>
      </c>
      <c r="D131" s="41"/>
      <c r="E131" s="41"/>
      <c r="J131" s="17">
        <f t="shared" si="8"/>
        <v>0</v>
      </c>
      <c r="K131" s="2" t="str">
        <f t="shared" si="9"/>
        <v xml:space="preserve"> </v>
      </c>
      <c r="L131" s="2" t="str">
        <f t="shared" si="6"/>
        <v xml:space="preserve"> </v>
      </c>
      <c r="M131" s="2" t="str">
        <f t="shared" si="7"/>
        <v xml:space="preserve"> </v>
      </c>
    </row>
    <row r="132" spans="1:13" x14ac:dyDescent="0.25">
      <c r="A132" s="42" t="str">
        <f t="shared" si="5"/>
        <v xml:space="preserve"> </v>
      </c>
      <c r="D132" s="41"/>
      <c r="E132" s="41"/>
      <c r="J132" s="17">
        <f t="shared" si="8"/>
        <v>0</v>
      </c>
      <c r="K132" s="2" t="str">
        <f t="shared" si="9"/>
        <v xml:space="preserve"> </v>
      </c>
      <c r="L132" s="2" t="str">
        <f t="shared" si="6"/>
        <v xml:space="preserve"> </v>
      </c>
      <c r="M132" s="2" t="str">
        <f t="shared" si="7"/>
        <v xml:space="preserve"> </v>
      </c>
    </row>
    <row r="133" spans="1:13" x14ac:dyDescent="0.25">
      <c r="A133" s="42" t="str">
        <f t="shared" si="5"/>
        <v xml:space="preserve"> </v>
      </c>
      <c r="D133" s="41"/>
      <c r="E133" s="41"/>
      <c r="J133" s="17">
        <f t="shared" si="8"/>
        <v>0</v>
      </c>
      <c r="K133" s="2" t="str">
        <f t="shared" si="9"/>
        <v xml:space="preserve"> </v>
      </c>
      <c r="L133" s="2" t="str">
        <f t="shared" si="6"/>
        <v xml:space="preserve"> </v>
      </c>
      <c r="M133" s="2" t="str">
        <f t="shared" si="7"/>
        <v xml:space="preserve"> </v>
      </c>
    </row>
    <row r="134" spans="1:13" x14ac:dyDescent="0.25">
      <c r="A134" s="42" t="str">
        <f t="shared" si="5"/>
        <v xml:space="preserve"> </v>
      </c>
      <c r="D134" s="41"/>
      <c r="E134" s="41"/>
      <c r="J134" s="17">
        <f t="shared" si="8"/>
        <v>0</v>
      </c>
      <c r="K134" s="2" t="str">
        <f t="shared" si="9"/>
        <v xml:space="preserve"> </v>
      </c>
      <c r="L134" s="2" t="str">
        <f t="shared" si="6"/>
        <v xml:space="preserve"> </v>
      </c>
      <c r="M134" s="2" t="str">
        <f t="shared" si="7"/>
        <v xml:space="preserve"> </v>
      </c>
    </row>
    <row r="135" spans="1:13" x14ac:dyDescent="0.25">
      <c r="A135" s="42" t="str">
        <f t="shared" si="5"/>
        <v xml:space="preserve"> </v>
      </c>
      <c r="D135" s="41"/>
      <c r="E135" s="41"/>
      <c r="J135" s="17">
        <f t="shared" si="8"/>
        <v>0</v>
      </c>
      <c r="K135" s="2" t="str">
        <f t="shared" si="9"/>
        <v xml:space="preserve"> </v>
      </c>
      <c r="L135" s="2" t="str">
        <f t="shared" si="6"/>
        <v xml:space="preserve"> </v>
      </c>
      <c r="M135" s="2" t="str">
        <f t="shared" si="7"/>
        <v xml:space="preserve"> </v>
      </c>
    </row>
    <row r="136" spans="1:13" x14ac:dyDescent="0.25">
      <c r="A136" s="42" t="str">
        <f t="shared" si="5"/>
        <v xml:space="preserve"> </v>
      </c>
      <c r="D136" s="41"/>
      <c r="E136" s="41"/>
      <c r="J136" s="17">
        <f t="shared" si="8"/>
        <v>0</v>
      </c>
      <c r="K136" s="2" t="str">
        <f t="shared" si="9"/>
        <v xml:space="preserve"> </v>
      </c>
      <c r="L136" s="2" t="str">
        <f t="shared" si="6"/>
        <v xml:space="preserve"> </v>
      </c>
      <c r="M136" s="2" t="str">
        <f t="shared" si="7"/>
        <v xml:space="preserve"> </v>
      </c>
    </row>
    <row r="137" spans="1:13" x14ac:dyDescent="0.25">
      <c r="A137" s="42" t="str">
        <f t="shared" si="5"/>
        <v xml:space="preserve"> </v>
      </c>
      <c r="D137" s="41"/>
      <c r="E137" s="41"/>
      <c r="J137" s="17">
        <f t="shared" si="8"/>
        <v>0</v>
      </c>
      <c r="K137" s="2" t="str">
        <f t="shared" si="9"/>
        <v xml:space="preserve"> </v>
      </c>
      <c r="L137" s="2" t="str">
        <f t="shared" si="6"/>
        <v xml:space="preserve"> </v>
      </c>
      <c r="M137" s="2" t="str">
        <f t="shared" si="7"/>
        <v xml:space="preserve"> </v>
      </c>
    </row>
    <row r="138" spans="1:13" x14ac:dyDescent="0.25">
      <c r="A138" s="42" t="str">
        <f t="shared" si="5"/>
        <v xml:space="preserve"> </v>
      </c>
      <c r="D138" s="41"/>
      <c r="E138" s="41"/>
      <c r="J138" s="17">
        <f t="shared" si="8"/>
        <v>0</v>
      </c>
      <c r="K138" s="2" t="str">
        <f t="shared" si="9"/>
        <v xml:space="preserve"> </v>
      </c>
      <c r="L138" s="2" t="str">
        <f t="shared" si="6"/>
        <v xml:space="preserve"> </v>
      </c>
      <c r="M138" s="2" t="str">
        <f t="shared" si="7"/>
        <v xml:space="preserve"> </v>
      </c>
    </row>
    <row r="139" spans="1:13" x14ac:dyDescent="0.25">
      <c r="A139" s="42" t="str">
        <f t="shared" si="5"/>
        <v xml:space="preserve"> </v>
      </c>
      <c r="D139" s="41"/>
      <c r="E139" s="41"/>
      <c r="J139" s="17">
        <f t="shared" si="8"/>
        <v>0</v>
      </c>
      <c r="K139" s="2" t="str">
        <f t="shared" si="9"/>
        <v xml:space="preserve"> </v>
      </c>
      <c r="L139" s="2" t="str">
        <f t="shared" si="6"/>
        <v xml:space="preserve"> </v>
      </c>
      <c r="M139" s="2" t="str">
        <f t="shared" si="7"/>
        <v xml:space="preserve"> </v>
      </c>
    </row>
    <row r="140" spans="1:13" x14ac:dyDescent="0.25">
      <c r="A140" s="42" t="str">
        <f t="shared" si="5"/>
        <v xml:space="preserve"> </v>
      </c>
      <c r="D140" s="41"/>
      <c r="E140" s="41"/>
      <c r="J140" s="17">
        <f t="shared" si="8"/>
        <v>0</v>
      </c>
      <c r="K140" s="2" t="str">
        <f t="shared" si="9"/>
        <v xml:space="preserve"> </v>
      </c>
      <c r="L140" s="2" t="str">
        <f t="shared" si="6"/>
        <v xml:space="preserve"> </v>
      </c>
      <c r="M140" s="2" t="str">
        <f t="shared" si="7"/>
        <v xml:space="preserve"> </v>
      </c>
    </row>
    <row r="141" spans="1:13" x14ac:dyDescent="0.25">
      <c r="A141" s="42" t="str">
        <f t="shared" si="5"/>
        <v xml:space="preserve"> </v>
      </c>
      <c r="D141" s="41"/>
      <c r="E141" s="41"/>
      <c r="J141" s="17">
        <f t="shared" si="8"/>
        <v>0</v>
      </c>
      <c r="K141" s="2" t="str">
        <f t="shared" si="9"/>
        <v xml:space="preserve"> </v>
      </c>
      <c r="L141" s="2" t="str">
        <f t="shared" si="6"/>
        <v xml:space="preserve"> </v>
      </c>
      <c r="M141" s="2" t="str">
        <f t="shared" si="7"/>
        <v xml:space="preserve"> </v>
      </c>
    </row>
    <row r="142" spans="1:13" x14ac:dyDescent="0.25">
      <c r="A142" s="42" t="str">
        <f t="shared" si="5"/>
        <v xml:space="preserve"> </v>
      </c>
      <c r="D142" s="41"/>
      <c r="E142" s="41"/>
      <c r="J142" s="17">
        <f t="shared" si="8"/>
        <v>0</v>
      </c>
      <c r="K142" s="2" t="str">
        <f t="shared" si="9"/>
        <v xml:space="preserve"> </v>
      </c>
      <c r="L142" s="2" t="str">
        <f t="shared" si="6"/>
        <v xml:space="preserve"> </v>
      </c>
      <c r="M142" s="2" t="str">
        <f t="shared" si="7"/>
        <v xml:space="preserve"> </v>
      </c>
    </row>
    <row r="143" spans="1:13" x14ac:dyDescent="0.25">
      <c r="A143" s="42" t="str">
        <f t="shared" ref="A143:A206" si="10">IF(COUNTIF(K143:M143,"ERROR")&gt;0,"ERROR"," ")</f>
        <v xml:space="preserve"> </v>
      </c>
      <c r="D143" s="41"/>
      <c r="E143" s="41"/>
      <c r="J143" s="17">
        <f t="shared" si="8"/>
        <v>0</v>
      </c>
      <c r="K143" s="2" t="str">
        <f t="shared" si="9"/>
        <v xml:space="preserve"> </v>
      </c>
      <c r="L143" s="2" t="str">
        <f t="shared" ref="L143:L206" si="11">IF(D143=0," ",IF(COUNTIF(ProfitLoss2,D143)&gt;0," ","ERROR"))</f>
        <v xml:space="preserve"> </v>
      </c>
      <c r="M143" s="2" t="str">
        <f t="shared" ref="M143:M206" si="12">IF(E143=0," ",IF(COUNTIF(BalanceSheetA,E143)&gt;0," ","ERROR"))</f>
        <v xml:space="preserve"> </v>
      </c>
    </row>
    <row r="144" spans="1:13" x14ac:dyDescent="0.25">
      <c r="A144" s="42" t="str">
        <f t="shared" si="10"/>
        <v xml:space="preserve"> </v>
      </c>
      <c r="D144" s="41"/>
      <c r="E144" s="41"/>
      <c r="J144" s="17">
        <f t="shared" ref="J144:J207" si="13">F144-G144+H144-I144</f>
        <v>0</v>
      </c>
      <c r="K144" s="2" t="str">
        <f t="shared" ref="K144:K207" si="14">IF(COUNTA(D144:E144)=2,"ERROR"," ")</f>
        <v xml:space="preserve"> </v>
      </c>
      <c r="L144" s="2" t="str">
        <f t="shared" si="11"/>
        <v xml:space="preserve"> </v>
      </c>
      <c r="M144" s="2" t="str">
        <f t="shared" si="12"/>
        <v xml:space="preserve"> </v>
      </c>
    </row>
    <row r="145" spans="1:13" x14ac:dyDescent="0.25">
      <c r="A145" s="42" t="str">
        <f t="shared" si="10"/>
        <v xml:space="preserve"> </v>
      </c>
      <c r="D145" s="41"/>
      <c r="E145" s="41"/>
      <c r="J145" s="17">
        <f t="shared" si="13"/>
        <v>0</v>
      </c>
      <c r="K145" s="2" t="str">
        <f t="shared" si="14"/>
        <v xml:space="preserve"> </v>
      </c>
      <c r="L145" s="2" t="str">
        <f t="shared" si="11"/>
        <v xml:space="preserve"> </v>
      </c>
      <c r="M145" s="2" t="str">
        <f t="shared" si="12"/>
        <v xml:space="preserve"> </v>
      </c>
    </row>
    <row r="146" spans="1:13" x14ac:dyDescent="0.25">
      <c r="A146" s="42" t="str">
        <f t="shared" si="10"/>
        <v xml:space="preserve"> </v>
      </c>
      <c r="D146" s="41"/>
      <c r="E146" s="41"/>
      <c r="J146" s="17">
        <f t="shared" si="13"/>
        <v>0</v>
      </c>
      <c r="K146" s="2" t="str">
        <f t="shared" si="14"/>
        <v xml:space="preserve"> </v>
      </c>
      <c r="L146" s="2" t="str">
        <f t="shared" si="11"/>
        <v xml:space="preserve"> </v>
      </c>
      <c r="M146" s="2" t="str">
        <f t="shared" si="12"/>
        <v xml:space="preserve"> </v>
      </c>
    </row>
    <row r="147" spans="1:13" x14ac:dyDescent="0.25">
      <c r="A147" s="42" t="str">
        <f t="shared" si="10"/>
        <v xml:space="preserve"> </v>
      </c>
      <c r="D147" s="41"/>
      <c r="E147" s="41"/>
      <c r="J147" s="17">
        <f t="shared" si="13"/>
        <v>0</v>
      </c>
      <c r="K147" s="2" t="str">
        <f t="shared" si="14"/>
        <v xml:space="preserve"> </v>
      </c>
      <c r="L147" s="2" t="str">
        <f t="shared" si="11"/>
        <v xml:space="preserve"> </v>
      </c>
      <c r="M147" s="2" t="str">
        <f t="shared" si="12"/>
        <v xml:space="preserve"> </v>
      </c>
    </row>
    <row r="148" spans="1:13" x14ac:dyDescent="0.25">
      <c r="A148" s="42" t="str">
        <f t="shared" si="10"/>
        <v xml:space="preserve"> </v>
      </c>
      <c r="D148" s="41"/>
      <c r="E148" s="41"/>
      <c r="J148" s="17">
        <f t="shared" si="13"/>
        <v>0</v>
      </c>
      <c r="K148" s="2" t="str">
        <f t="shared" si="14"/>
        <v xml:space="preserve"> </v>
      </c>
      <c r="L148" s="2" t="str">
        <f t="shared" si="11"/>
        <v xml:space="preserve"> </v>
      </c>
      <c r="M148" s="2" t="str">
        <f t="shared" si="12"/>
        <v xml:space="preserve"> </v>
      </c>
    </row>
    <row r="149" spans="1:13" x14ac:dyDescent="0.25">
      <c r="A149" s="42" t="str">
        <f t="shared" si="10"/>
        <v xml:space="preserve"> </v>
      </c>
      <c r="D149" s="41"/>
      <c r="E149" s="41"/>
      <c r="J149" s="17">
        <f t="shared" si="13"/>
        <v>0</v>
      </c>
      <c r="K149" s="2" t="str">
        <f t="shared" si="14"/>
        <v xml:space="preserve"> </v>
      </c>
      <c r="L149" s="2" t="str">
        <f t="shared" si="11"/>
        <v xml:space="preserve"> </v>
      </c>
      <c r="M149" s="2" t="str">
        <f t="shared" si="12"/>
        <v xml:space="preserve"> </v>
      </c>
    </row>
    <row r="150" spans="1:13" x14ac:dyDescent="0.25">
      <c r="A150" s="42" t="str">
        <f t="shared" si="10"/>
        <v xml:space="preserve"> </v>
      </c>
      <c r="D150" s="41"/>
      <c r="E150" s="41"/>
      <c r="J150" s="17">
        <f t="shared" si="13"/>
        <v>0</v>
      </c>
      <c r="K150" s="2" t="str">
        <f t="shared" si="14"/>
        <v xml:space="preserve"> </v>
      </c>
      <c r="L150" s="2" t="str">
        <f t="shared" si="11"/>
        <v xml:space="preserve"> </v>
      </c>
      <c r="M150" s="2" t="str">
        <f t="shared" si="12"/>
        <v xml:space="preserve"> </v>
      </c>
    </row>
    <row r="151" spans="1:13" x14ac:dyDescent="0.25">
      <c r="A151" s="42" t="str">
        <f t="shared" si="10"/>
        <v xml:space="preserve"> </v>
      </c>
      <c r="D151" s="41"/>
      <c r="E151" s="41"/>
      <c r="J151" s="17">
        <f t="shared" si="13"/>
        <v>0</v>
      </c>
      <c r="K151" s="2" t="str">
        <f t="shared" si="14"/>
        <v xml:space="preserve"> </v>
      </c>
      <c r="L151" s="2" t="str">
        <f t="shared" si="11"/>
        <v xml:space="preserve"> </v>
      </c>
      <c r="M151" s="2" t="str">
        <f t="shared" si="12"/>
        <v xml:space="preserve"> </v>
      </c>
    </row>
    <row r="152" spans="1:13" x14ac:dyDescent="0.25">
      <c r="A152" s="42" t="str">
        <f t="shared" si="10"/>
        <v xml:space="preserve"> </v>
      </c>
      <c r="D152" s="41"/>
      <c r="E152" s="41"/>
      <c r="J152" s="17">
        <f t="shared" si="13"/>
        <v>0</v>
      </c>
      <c r="K152" s="2" t="str">
        <f t="shared" si="14"/>
        <v xml:space="preserve"> </v>
      </c>
      <c r="L152" s="2" t="str">
        <f t="shared" si="11"/>
        <v xml:space="preserve"> </v>
      </c>
      <c r="M152" s="2" t="str">
        <f t="shared" si="12"/>
        <v xml:space="preserve"> </v>
      </c>
    </row>
    <row r="153" spans="1:13" x14ac:dyDescent="0.25">
      <c r="A153" s="42" t="str">
        <f t="shared" si="10"/>
        <v xml:space="preserve"> </v>
      </c>
      <c r="D153" s="41"/>
      <c r="E153" s="41"/>
      <c r="J153" s="17">
        <f t="shared" si="13"/>
        <v>0</v>
      </c>
      <c r="K153" s="2" t="str">
        <f t="shared" si="14"/>
        <v xml:space="preserve"> </v>
      </c>
      <c r="L153" s="2" t="str">
        <f t="shared" si="11"/>
        <v xml:space="preserve"> </v>
      </c>
      <c r="M153" s="2" t="str">
        <f t="shared" si="12"/>
        <v xml:space="preserve"> </v>
      </c>
    </row>
    <row r="154" spans="1:13" x14ac:dyDescent="0.25">
      <c r="A154" s="42" t="str">
        <f t="shared" si="10"/>
        <v xml:space="preserve"> </v>
      </c>
      <c r="D154" s="41"/>
      <c r="E154" s="41"/>
      <c r="J154" s="17">
        <f t="shared" si="13"/>
        <v>0</v>
      </c>
      <c r="K154" s="2" t="str">
        <f t="shared" si="14"/>
        <v xml:space="preserve"> </v>
      </c>
      <c r="L154" s="2" t="str">
        <f t="shared" si="11"/>
        <v xml:space="preserve"> </v>
      </c>
      <c r="M154" s="2" t="str">
        <f t="shared" si="12"/>
        <v xml:space="preserve"> </v>
      </c>
    </row>
    <row r="155" spans="1:13" x14ac:dyDescent="0.25">
      <c r="A155" s="42" t="str">
        <f t="shared" si="10"/>
        <v xml:space="preserve"> </v>
      </c>
      <c r="D155" s="41"/>
      <c r="E155" s="41"/>
      <c r="J155" s="17">
        <f t="shared" si="13"/>
        <v>0</v>
      </c>
      <c r="K155" s="2" t="str">
        <f t="shared" si="14"/>
        <v xml:space="preserve"> </v>
      </c>
      <c r="L155" s="2" t="str">
        <f t="shared" si="11"/>
        <v xml:space="preserve"> </v>
      </c>
      <c r="M155" s="2" t="str">
        <f t="shared" si="12"/>
        <v xml:space="preserve"> </v>
      </c>
    </row>
    <row r="156" spans="1:13" x14ac:dyDescent="0.25">
      <c r="A156" s="42" t="str">
        <f t="shared" si="10"/>
        <v xml:space="preserve"> </v>
      </c>
      <c r="D156" s="41"/>
      <c r="E156" s="41"/>
      <c r="J156" s="17">
        <f t="shared" si="13"/>
        <v>0</v>
      </c>
      <c r="K156" s="2" t="str">
        <f t="shared" si="14"/>
        <v xml:space="preserve"> </v>
      </c>
      <c r="L156" s="2" t="str">
        <f t="shared" si="11"/>
        <v xml:space="preserve"> </v>
      </c>
      <c r="M156" s="2" t="str">
        <f t="shared" si="12"/>
        <v xml:space="preserve"> </v>
      </c>
    </row>
    <row r="157" spans="1:13" x14ac:dyDescent="0.25">
      <c r="A157" s="42" t="str">
        <f t="shared" si="10"/>
        <v xml:space="preserve"> </v>
      </c>
      <c r="D157" s="41"/>
      <c r="E157" s="41"/>
      <c r="J157" s="17">
        <f t="shared" si="13"/>
        <v>0</v>
      </c>
      <c r="K157" s="2" t="str">
        <f t="shared" si="14"/>
        <v xml:space="preserve"> </v>
      </c>
      <c r="L157" s="2" t="str">
        <f t="shared" si="11"/>
        <v xml:space="preserve"> </v>
      </c>
      <c r="M157" s="2" t="str">
        <f t="shared" si="12"/>
        <v xml:space="preserve"> </v>
      </c>
    </row>
    <row r="158" spans="1:13" x14ac:dyDescent="0.25">
      <c r="A158" s="42" t="str">
        <f t="shared" si="10"/>
        <v xml:space="preserve"> </v>
      </c>
      <c r="D158" s="41"/>
      <c r="E158" s="41"/>
      <c r="J158" s="17">
        <f t="shared" si="13"/>
        <v>0</v>
      </c>
      <c r="K158" s="2" t="str">
        <f t="shared" si="14"/>
        <v xml:space="preserve"> </v>
      </c>
      <c r="L158" s="2" t="str">
        <f t="shared" si="11"/>
        <v xml:space="preserve"> </v>
      </c>
      <c r="M158" s="2" t="str">
        <f t="shared" si="12"/>
        <v xml:space="preserve"> </v>
      </c>
    </row>
    <row r="159" spans="1:13" x14ac:dyDescent="0.25">
      <c r="A159" s="42" t="str">
        <f t="shared" si="10"/>
        <v xml:space="preserve"> </v>
      </c>
      <c r="D159" s="41"/>
      <c r="E159" s="41"/>
      <c r="J159" s="17">
        <f t="shared" si="13"/>
        <v>0</v>
      </c>
      <c r="K159" s="2" t="str">
        <f t="shared" si="14"/>
        <v xml:space="preserve"> </v>
      </c>
      <c r="L159" s="2" t="str">
        <f t="shared" si="11"/>
        <v xml:space="preserve"> </v>
      </c>
      <c r="M159" s="2" t="str">
        <f t="shared" si="12"/>
        <v xml:space="preserve"> </v>
      </c>
    </row>
    <row r="160" spans="1:13" x14ac:dyDescent="0.25">
      <c r="A160" s="42" t="str">
        <f t="shared" si="10"/>
        <v xml:space="preserve"> </v>
      </c>
      <c r="D160" s="41"/>
      <c r="E160" s="41"/>
      <c r="J160" s="17">
        <f t="shared" si="13"/>
        <v>0</v>
      </c>
      <c r="K160" s="2" t="str">
        <f t="shared" si="14"/>
        <v xml:space="preserve"> </v>
      </c>
      <c r="L160" s="2" t="str">
        <f t="shared" si="11"/>
        <v xml:space="preserve"> </v>
      </c>
      <c r="M160" s="2" t="str">
        <f t="shared" si="12"/>
        <v xml:space="preserve"> </v>
      </c>
    </row>
    <row r="161" spans="1:13" x14ac:dyDescent="0.25">
      <c r="A161" s="42" t="str">
        <f t="shared" si="10"/>
        <v xml:space="preserve"> </v>
      </c>
      <c r="D161" s="41"/>
      <c r="E161" s="41"/>
      <c r="J161" s="17">
        <f t="shared" si="13"/>
        <v>0</v>
      </c>
      <c r="K161" s="2" t="str">
        <f t="shared" si="14"/>
        <v xml:space="preserve"> </v>
      </c>
      <c r="L161" s="2" t="str">
        <f t="shared" si="11"/>
        <v xml:space="preserve"> </v>
      </c>
      <c r="M161" s="2" t="str">
        <f t="shared" si="12"/>
        <v xml:space="preserve"> </v>
      </c>
    </row>
    <row r="162" spans="1:13" x14ac:dyDescent="0.25">
      <c r="A162" s="42" t="str">
        <f t="shared" si="10"/>
        <v xml:space="preserve"> </v>
      </c>
      <c r="D162" s="41"/>
      <c r="E162" s="41"/>
      <c r="J162" s="17">
        <f t="shared" si="13"/>
        <v>0</v>
      </c>
      <c r="K162" s="2" t="str">
        <f t="shared" si="14"/>
        <v xml:space="preserve"> </v>
      </c>
      <c r="L162" s="2" t="str">
        <f t="shared" si="11"/>
        <v xml:space="preserve"> </v>
      </c>
      <c r="M162" s="2" t="str">
        <f t="shared" si="12"/>
        <v xml:space="preserve"> </v>
      </c>
    </row>
    <row r="163" spans="1:13" x14ac:dyDescent="0.25">
      <c r="A163" s="42" t="str">
        <f t="shared" si="10"/>
        <v xml:space="preserve"> </v>
      </c>
      <c r="D163" s="41"/>
      <c r="E163" s="41"/>
      <c r="J163" s="17">
        <f t="shared" si="13"/>
        <v>0</v>
      </c>
      <c r="K163" s="2" t="str">
        <f t="shared" si="14"/>
        <v xml:space="preserve"> </v>
      </c>
      <c r="L163" s="2" t="str">
        <f t="shared" si="11"/>
        <v xml:space="preserve"> </v>
      </c>
      <c r="M163" s="2" t="str">
        <f t="shared" si="12"/>
        <v xml:space="preserve"> </v>
      </c>
    </row>
    <row r="164" spans="1:13" x14ac:dyDescent="0.25">
      <c r="A164" s="42" t="str">
        <f t="shared" si="10"/>
        <v xml:space="preserve"> </v>
      </c>
      <c r="D164" s="41"/>
      <c r="E164" s="41"/>
      <c r="J164" s="17">
        <f t="shared" si="13"/>
        <v>0</v>
      </c>
      <c r="K164" s="2" t="str">
        <f t="shared" si="14"/>
        <v xml:space="preserve"> </v>
      </c>
      <c r="L164" s="2" t="str">
        <f t="shared" si="11"/>
        <v xml:space="preserve"> </v>
      </c>
      <c r="M164" s="2" t="str">
        <f t="shared" si="12"/>
        <v xml:space="preserve"> </v>
      </c>
    </row>
    <row r="165" spans="1:13" x14ac:dyDescent="0.25">
      <c r="A165" s="42" t="str">
        <f t="shared" si="10"/>
        <v xml:space="preserve"> </v>
      </c>
      <c r="D165" s="41"/>
      <c r="E165" s="41"/>
      <c r="J165" s="17">
        <f t="shared" si="13"/>
        <v>0</v>
      </c>
      <c r="K165" s="2" t="str">
        <f t="shared" si="14"/>
        <v xml:space="preserve"> </v>
      </c>
      <c r="L165" s="2" t="str">
        <f t="shared" si="11"/>
        <v xml:space="preserve"> </v>
      </c>
      <c r="M165" s="2" t="str">
        <f t="shared" si="12"/>
        <v xml:space="preserve"> </v>
      </c>
    </row>
    <row r="166" spans="1:13" x14ac:dyDescent="0.25">
      <c r="A166" s="42" t="str">
        <f t="shared" si="10"/>
        <v xml:space="preserve"> </v>
      </c>
      <c r="D166" s="41"/>
      <c r="E166" s="41"/>
      <c r="J166" s="17">
        <f t="shared" si="13"/>
        <v>0</v>
      </c>
      <c r="K166" s="2" t="str">
        <f t="shared" si="14"/>
        <v xml:space="preserve"> </v>
      </c>
      <c r="L166" s="2" t="str">
        <f t="shared" si="11"/>
        <v xml:space="preserve"> </v>
      </c>
      <c r="M166" s="2" t="str">
        <f t="shared" si="12"/>
        <v xml:space="preserve"> </v>
      </c>
    </row>
    <row r="167" spans="1:13" x14ac:dyDescent="0.25">
      <c r="A167" s="42" t="str">
        <f t="shared" si="10"/>
        <v xml:space="preserve"> </v>
      </c>
      <c r="D167" s="41"/>
      <c r="E167" s="41"/>
      <c r="J167" s="17">
        <f t="shared" si="13"/>
        <v>0</v>
      </c>
      <c r="K167" s="2" t="str">
        <f t="shared" si="14"/>
        <v xml:space="preserve"> </v>
      </c>
      <c r="L167" s="2" t="str">
        <f t="shared" si="11"/>
        <v xml:space="preserve"> </v>
      </c>
      <c r="M167" s="2" t="str">
        <f t="shared" si="12"/>
        <v xml:space="preserve"> </v>
      </c>
    </row>
    <row r="168" spans="1:13" x14ac:dyDescent="0.25">
      <c r="A168" s="42" t="str">
        <f t="shared" si="10"/>
        <v xml:space="preserve"> </v>
      </c>
      <c r="D168" s="41"/>
      <c r="E168" s="41"/>
      <c r="J168" s="17">
        <f t="shared" si="13"/>
        <v>0</v>
      </c>
      <c r="K168" s="2" t="str">
        <f t="shared" si="14"/>
        <v xml:space="preserve"> </v>
      </c>
      <c r="L168" s="2" t="str">
        <f t="shared" si="11"/>
        <v xml:space="preserve"> </v>
      </c>
      <c r="M168" s="2" t="str">
        <f t="shared" si="12"/>
        <v xml:space="preserve"> </v>
      </c>
    </row>
    <row r="169" spans="1:13" x14ac:dyDescent="0.25">
      <c r="A169" s="42" t="str">
        <f t="shared" si="10"/>
        <v xml:space="preserve"> </v>
      </c>
      <c r="D169" s="41"/>
      <c r="E169" s="41"/>
      <c r="J169" s="17">
        <f t="shared" si="13"/>
        <v>0</v>
      </c>
      <c r="K169" s="2" t="str">
        <f t="shared" si="14"/>
        <v xml:space="preserve"> </v>
      </c>
      <c r="L169" s="2" t="str">
        <f t="shared" si="11"/>
        <v xml:space="preserve"> </v>
      </c>
      <c r="M169" s="2" t="str">
        <f t="shared" si="12"/>
        <v xml:space="preserve"> </v>
      </c>
    </row>
    <row r="170" spans="1:13" x14ac:dyDescent="0.25">
      <c r="A170" s="42" t="str">
        <f t="shared" si="10"/>
        <v xml:space="preserve"> </v>
      </c>
      <c r="D170" s="41"/>
      <c r="E170" s="41"/>
      <c r="J170" s="17">
        <f t="shared" si="13"/>
        <v>0</v>
      </c>
      <c r="K170" s="2" t="str">
        <f t="shared" si="14"/>
        <v xml:space="preserve"> </v>
      </c>
      <c r="L170" s="2" t="str">
        <f t="shared" si="11"/>
        <v xml:space="preserve"> </v>
      </c>
      <c r="M170" s="2" t="str">
        <f t="shared" si="12"/>
        <v xml:space="preserve"> </v>
      </c>
    </row>
    <row r="171" spans="1:13" x14ac:dyDescent="0.25">
      <c r="A171" s="42" t="str">
        <f t="shared" si="10"/>
        <v xml:space="preserve"> </v>
      </c>
      <c r="D171" s="41"/>
      <c r="E171" s="41"/>
      <c r="J171" s="17">
        <f t="shared" si="13"/>
        <v>0</v>
      </c>
      <c r="K171" s="2" t="str">
        <f t="shared" si="14"/>
        <v xml:space="preserve"> </v>
      </c>
      <c r="L171" s="2" t="str">
        <f t="shared" si="11"/>
        <v xml:space="preserve"> </v>
      </c>
      <c r="M171" s="2" t="str">
        <f t="shared" si="12"/>
        <v xml:space="preserve"> </v>
      </c>
    </row>
    <row r="172" spans="1:13" x14ac:dyDescent="0.25">
      <c r="A172" s="42" t="str">
        <f t="shared" si="10"/>
        <v xml:space="preserve"> </v>
      </c>
      <c r="D172" s="41"/>
      <c r="E172" s="41"/>
      <c r="J172" s="17">
        <f t="shared" si="13"/>
        <v>0</v>
      </c>
      <c r="K172" s="2" t="str">
        <f t="shared" si="14"/>
        <v xml:space="preserve"> </v>
      </c>
      <c r="L172" s="2" t="str">
        <f t="shared" si="11"/>
        <v xml:space="preserve"> </v>
      </c>
      <c r="M172" s="2" t="str">
        <f t="shared" si="12"/>
        <v xml:space="preserve"> </v>
      </c>
    </row>
    <row r="173" spans="1:13" x14ac:dyDescent="0.25">
      <c r="A173" s="42" t="str">
        <f t="shared" si="10"/>
        <v xml:space="preserve"> </v>
      </c>
      <c r="D173" s="41"/>
      <c r="E173" s="41"/>
      <c r="J173" s="17">
        <f t="shared" si="13"/>
        <v>0</v>
      </c>
      <c r="K173" s="2" t="str">
        <f t="shared" si="14"/>
        <v xml:space="preserve"> </v>
      </c>
      <c r="L173" s="2" t="str">
        <f t="shared" si="11"/>
        <v xml:space="preserve"> </v>
      </c>
      <c r="M173" s="2" t="str">
        <f t="shared" si="12"/>
        <v xml:space="preserve"> </v>
      </c>
    </row>
    <row r="174" spans="1:13" x14ac:dyDescent="0.25">
      <c r="A174" s="42" t="str">
        <f t="shared" si="10"/>
        <v xml:space="preserve"> </v>
      </c>
      <c r="D174" s="41"/>
      <c r="E174" s="41"/>
      <c r="J174" s="17">
        <f t="shared" si="13"/>
        <v>0</v>
      </c>
      <c r="K174" s="2" t="str">
        <f t="shared" si="14"/>
        <v xml:space="preserve"> </v>
      </c>
      <c r="L174" s="2" t="str">
        <f t="shared" si="11"/>
        <v xml:space="preserve"> </v>
      </c>
      <c r="M174" s="2" t="str">
        <f t="shared" si="12"/>
        <v xml:space="preserve"> </v>
      </c>
    </row>
    <row r="175" spans="1:13" x14ac:dyDescent="0.25">
      <c r="A175" s="42" t="str">
        <f t="shared" si="10"/>
        <v xml:space="preserve"> </v>
      </c>
      <c r="D175" s="41"/>
      <c r="E175" s="41"/>
      <c r="J175" s="17">
        <f t="shared" si="13"/>
        <v>0</v>
      </c>
      <c r="K175" s="2" t="str">
        <f t="shared" si="14"/>
        <v xml:space="preserve"> </v>
      </c>
      <c r="L175" s="2" t="str">
        <f t="shared" si="11"/>
        <v xml:space="preserve"> </v>
      </c>
      <c r="M175" s="2" t="str">
        <f t="shared" si="12"/>
        <v xml:space="preserve"> </v>
      </c>
    </row>
    <row r="176" spans="1:13" x14ac:dyDescent="0.25">
      <c r="A176" s="42" t="str">
        <f t="shared" si="10"/>
        <v xml:space="preserve"> </v>
      </c>
      <c r="D176" s="41"/>
      <c r="E176" s="41"/>
      <c r="J176" s="17">
        <f t="shared" si="13"/>
        <v>0</v>
      </c>
      <c r="K176" s="2" t="str">
        <f t="shared" si="14"/>
        <v xml:space="preserve"> </v>
      </c>
      <c r="L176" s="2" t="str">
        <f t="shared" si="11"/>
        <v xml:space="preserve"> </v>
      </c>
      <c r="M176" s="2" t="str">
        <f t="shared" si="12"/>
        <v xml:space="preserve"> </v>
      </c>
    </row>
    <row r="177" spans="1:13" x14ac:dyDescent="0.25">
      <c r="A177" s="42" t="str">
        <f t="shared" si="10"/>
        <v xml:space="preserve"> </v>
      </c>
      <c r="D177" s="41"/>
      <c r="E177" s="41"/>
      <c r="J177" s="17">
        <f t="shared" si="13"/>
        <v>0</v>
      </c>
      <c r="K177" s="2" t="str">
        <f t="shared" si="14"/>
        <v xml:space="preserve"> </v>
      </c>
      <c r="L177" s="2" t="str">
        <f t="shared" si="11"/>
        <v xml:space="preserve"> </v>
      </c>
      <c r="M177" s="2" t="str">
        <f t="shared" si="12"/>
        <v xml:space="preserve"> </v>
      </c>
    </row>
    <row r="178" spans="1:13" x14ac:dyDescent="0.25">
      <c r="A178" s="42" t="str">
        <f t="shared" si="10"/>
        <v xml:space="preserve"> </v>
      </c>
      <c r="D178" s="41"/>
      <c r="E178" s="41"/>
      <c r="J178" s="17">
        <f t="shared" si="13"/>
        <v>0</v>
      </c>
      <c r="K178" s="2" t="str">
        <f t="shared" si="14"/>
        <v xml:space="preserve"> </v>
      </c>
      <c r="L178" s="2" t="str">
        <f t="shared" si="11"/>
        <v xml:space="preserve"> </v>
      </c>
      <c r="M178" s="2" t="str">
        <f t="shared" si="12"/>
        <v xml:space="preserve"> </v>
      </c>
    </row>
    <row r="179" spans="1:13" x14ac:dyDescent="0.25">
      <c r="A179" s="42" t="str">
        <f t="shared" si="10"/>
        <v xml:space="preserve"> </v>
      </c>
      <c r="D179" s="41"/>
      <c r="E179" s="41"/>
      <c r="J179" s="17">
        <f t="shared" si="13"/>
        <v>0</v>
      </c>
      <c r="K179" s="2" t="str">
        <f t="shared" si="14"/>
        <v xml:space="preserve"> </v>
      </c>
      <c r="L179" s="2" t="str">
        <f t="shared" si="11"/>
        <v xml:space="preserve"> </v>
      </c>
      <c r="M179" s="2" t="str">
        <f t="shared" si="12"/>
        <v xml:space="preserve"> </v>
      </c>
    </row>
    <row r="180" spans="1:13" x14ac:dyDescent="0.25">
      <c r="A180" s="42" t="str">
        <f t="shared" si="10"/>
        <v xml:space="preserve"> </v>
      </c>
      <c r="D180" s="41"/>
      <c r="E180" s="41"/>
      <c r="J180" s="17">
        <f t="shared" si="13"/>
        <v>0</v>
      </c>
      <c r="K180" s="2" t="str">
        <f t="shared" si="14"/>
        <v xml:space="preserve"> </v>
      </c>
      <c r="L180" s="2" t="str">
        <f t="shared" si="11"/>
        <v xml:space="preserve"> </v>
      </c>
      <c r="M180" s="2" t="str">
        <f t="shared" si="12"/>
        <v xml:space="preserve"> </v>
      </c>
    </row>
    <row r="181" spans="1:13" x14ac:dyDescent="0.25">
      <c r="A181" s="42" t="str">
        <f t="shared" si="10"/>
        <v xml:space="preserve"> </v>
      </c>
      <c r="D181" s="41"/>
      <c r="E181" s="41"/>
      <c r="J181" s="17">
        <f t="shared" si="13"/>
        <v>0</v>
      </c>
      <c r="K181" s="2" t="str">
        <f t="shared" si="14"/>
        <v xml:space="preserve"> </v>
      </c>
      <c r="L181" s="2" t="str">
        <f t="shared" si="11"/>
        <v xml:space="preserve"> </v>
      </c>
      <c r="M181" s="2" t="str">
        <f t="shared" si="12"/>
        <v xml:space="preserve"> </v>
      </c>
    </row>
    <row r="182" spans="1:13" x14ac:dyDescent="0.25">
      <c r="A182" s="42" t="str">
        <f t="shared" si="10"/>
        <v xml:space="preserve"> </v>
      </c>
      <c r="D182" s="41"/>
      <c r="E182" s="41"/>
      <c r="J182" s="17">
        <f t="shared" si="13"/>
        <v>0</v>
      </c>
      <c r="K182" s="2" t="str">
        <f t="shared" si="14"/>
        <v xml:space="preserve"> </v>
      </c>
      <c r="L182" s="2" t="str">
        <f t="shared" si="11"/>
        <v xml:space="preserve"> </v>
      </c>
      <c r="M182" s="2" t="str">
        <f t="shared" si="12"/>
        <v xml:space="preserve"> </v>
      </c>
    </row>
    <row r="183" spans="1:13" x14ac:dyDescent="0.25">
      <c r="A183" s="42" t="str">
        <f t="shared" si="10"/>
        <v xml:space="preserve"> </v>
      </c>
      <c r="D183" s="41"/>
      <c r="E183" s="41"/>
      <c r="J183" s="17">
        <f t="shared" si="13"/>
        <v>0</v>
      </c>
      <c r="K183" s="2" t="str">
        <f t="shared" si="14"/>
        <v xml:space="preserve"> </v>
      </c>
      <c r="L183" s="2" t="str">
        <f t="shared" si="11"/>
        <v xml:space="preserve"> </v>
      </c>
      <c r="M183" s="2" t="str">
        <f t="shared" si="12"/>
        <v xml:space="preserve"> </v>
      </c>
    </row>
    <row r="184" spans="1:13" x14ac:dyDescent="0.25">
      <c r="A184" s="42" t="str">
        <f t="shared" si="10"/>
        <v xml:space="preserve"> </v>
      </c>
      <c r="D184" s="41"/>
      <c r="E184" s="41"/>
      <c r="J184" s="17">
        <f t="shared" si="13"/>
        <v>0</v>
      </c>
      <c r="K184" s="2" t="str">
        <f t="shared" si="14"/>
        <v xml:space="preserve"> </v>
      </c>
      <c r="L184" s="2" t="str">
        <f t="shared" si="11"/>
        <v xml:space="preserve"> </v>
      </c>
      <c r="M184" s="2" t="str">
        <f t="shared" si="12"/>
        <v xml:space="preserve"> </v>
      </c>
    </row>
    <row r="185" spans="1:13" x14ac:dyDescent="0.25">
      <c r="A185" s="42" t="str">
        <f t="shared" si="10"/>
        <v xml:space="preserve"> </v>
      </c>
      <c r="D185" s="41"/>
      <c r="E185" s="41"/>
      <c r="J185" s="17">
        <f t="shared" si="13"/>
        <v>0</v>
      </c>
      <c r="K185" s="2" t="str">
        <f t="shared" si="14"/>
        <v xml:space="preserve"> </v>
      </c>
      <c r="L185" s="2" t="str">
        <f t="shared" si="11"/>
        <v xml:space="preserve"> </v>
      </c>
      <c r="M185" s="2" t="str">
        <f t="shared" si="12"/>
        <v xml:space="preserve"> </v>
      </c>
    </row>
    <row r="186" spans="1:13" x14ac:dyDescent="0.25">
      <c r="A186" s="42" t="str">
        <f t="shared" si="10"/>
        <v xml:space="preserve"> </v>
      </c>
      <c r="D186" s="41"/>
      <c r="E186" s="41"/>
      <c r="J186" s="17">
        <f t="shared" si="13"/>
        <v>0</v>
      </c>
      <c r="K186" s="2" t="str">
        <f t="shared" si="14"/>
        <v xml:space="preserve"> </v>
      </c>
      <c r="L186" s="2" t="str">
        <f t="shared" si="11"/>
        <v xml:space="preserve"> </v>
      </c>
      <c r="M186" s="2" t="str">
        <f t="shared" si="12"/>
        <v xml:space="preserve"> </v>
      </c>
    </row>
    <row r="187" spans="1:13" x14ac:dyDescent="0.25">
      <c r="A187" s="42" t="str">
        <f t="shared" si="10"/>
        <v xml:space="preserve"> </v>
      </c>
      <c r="D187" s="41"/>
      <c r="E187" s="41"/>
      <c r="J187" s="17">
        <f t="shared" si="13"/>
        <v>0</v>
      </c>
      <c r="K187" s="2" t="str">
        <f t="shared" si="14"/>
        <v xml:space="preserve"> </v>
      </c>
      <c r="L187" s="2" t="str">
        <f t="shared" si="11"/>
        <v xml:space="preserve"> </v>
      </c>
      <c r="M187" s="2" t="str">
        <f t="shared" si="12"/>
        <v xml:space="preserve"> </v>
      </c>
    </row>
    <row r="188" spans="1:13" x14ac:dyDescent="0.25">
      <c r="A188" s="42" t="str">
        <f t="shared" si="10"/>
        <v xml:space="preserve"> </v>
      </c>
      <c r="D188" s="41"/>
      <c r="E188" s="41"/>
      <c r="J188" s="17">
        <f t="shared" si="13"/>
        <v>0</v>
      </c>
      <c r="K188" s="2" t="str">
        <f t="shared" si="14"/>
        <v xml:space="preserve"> </v>
      </c>
      <c r="L188" s="2" t="str">
        <f t="shared" si="11"/>
        <v xml:space="preserve"> </v>
      </c>
      <c r="M188" s="2" t="str">
        <f t="shared" si="12"/>
        <v xml:space="preserve"> </v>
      </c>
    </row>
    <row r="189" spans="1:13" x14ac:dyDescent="0.25">
      <c r="A189" s="42" t="str">
        <f t="shared" si="10"/>
        <v xml:space="preserve"> </v>
      </c>
      <c r="D189" s="41"/>
      <c r="E189" s="41"/>
      <c r="J189" s="17">
        <f t="shared" si="13"/>
        <v>0</v>
      </c>
      <c r="K189" s="2" t="str">
        <f t="shared" si="14"/>
        <v xml:space="preserve"> </v>
      </c>
      <c r="L189" s="2" t="str">
        <f t="shared" si="11"/>
        <v xml:space="preserve"> </v>
      </c>
      <c r="M189" s="2" t="str">
        <f t="shared" si="12"/>
        <v xml:space="preserve"> </v>
      </c>
    </row>
    <row r="190" spans="1:13" x14ac:dyDescent="0.25">
      <c r="A190" s="42" t="str">
        <f t="shared" si="10"/>
        <v xml:space="preserve"> </v>
      </c>
      <c r="D190" s="41"/>
      <c r="E190" s="41"/>
      <c r="J190" s="17">
        <f t="shared" si="13"/>
        <v>0</v>
      </c>
      <c r="K190" s="2" t="str">
        <f t="shared" si="14"/>
        <v xml:space="preserve"> </v>
      </c>
      <c r="L190" s="2" t="str">
        <f t="shared" si="11"/>
        <v xml:space="preserve"> </v>
      </c>
      <c r="M190" s="2" t="str">
        <f t="shared" si="12"/>
        <v xml:space="preserve"> </v>
      </c>
    </row>
    <row r="191" spans="1:13" x14ac:dyDescent="0.25">
      <c r="A191" s="42" t="str">
        <f t="shared" si="10"/>
        <v xml:space="preserve"> </v>
      </c>
      <c r="D191" s="41"/>
      <c r="E191" s="41"/>
      <c r="J191" s="17">
        <f t="shared" si="13"/>
        <v>0</v>
      </c>
      <c r="K191" s="2" t="str">
        <f t="shared" si="14"/>
        <v xml:space="preserve"> </v>
      </c>
      <c r="L191" s="2" t="str">
        <f t="shared" si="11"/>
        <v xml:space="preserve"> </v>
      </c>
      <c r="M191" s="2" t="str">
        <f t="shared" si="12"/>
        <v xml:space="preserve"> </v>
      </c>
    </row>
    <row r="192" spans="1:13" x14ac:dyDescent="0.25">
      <c r="A192" s="42" t="str">
        <f t="shared" si="10"/>
        <v xml:space="preserve"> </v>
      </c>
      <c r="D192" s="41"/>
      <c r="E192" s="41"/>
      <c r="J192" s="17">
        <f t="shared" si="13"/>
        <v>0</v>
      </c>
      <c r="K192" s="2" t="str">
        <f t="shared" si="14"/>
        <v xml:space="preserve"> </v>
      </c>
      <c r="L192" s="2" t="str">
        <f t="shared" si="11"/>
        <v xml:space="preserve"> </v>
      </c>
      <c r="M192" s="2" t="str">
        <f t="shared" si="12"/>
        <v xml:space="preserve"> </v>
      </c>
    </row>
    <row r="193" spans="1:13" x14ac:dyDescent="0.25">
      <c r="A193" s="42" t="str">
        <f t="shared" si="10"/>
        <v xml:space="preserve"> </v>
      </c>
      <c r="D193" s="41"/>
      <c r="E193" s="41"/>
      <c r="J193" s="17">
        <f t="shared" si="13"/>
        <v>0</v>
      </c>
      <c r="K193" s="2" t="str">
        <f t="shared" si="14"/>
        <v xml:space="preserve"> </v>
      </c>
      <c r="L193" s="2" t="str">
        <f t="shared" si="11"/>
        <v xml:space="preserve"> </v>
      </c>
      <c r="M193" s="2" t="str">
        <f t="shared" si="12"/>
        <v xml:space="preserve"> </v>
      </c>
    </row>
    <row r="194" spans="1:13" x14ac:dyDescent="0.25">
      <c r="A194" s="42" t="str">
        <f t="shared" si="10"/>
        <v xml:space="preserve"> </v>
      </c>
      <c r="D194" s="41"/>
      <c r="E194" s="41"/>
      <c r="J194" s="17">
        <f t="shared" si="13"/>
        <v>0</v>
      </c>
      <c r="K194" s="2" t="str">
        <f t="shared" si="14"/>
        <v xml:space="preserve"> </v>
      </c>
      <c r="L194" s="2" t="str">
        <f t="shared" si="11"/>
        <v xml:space="preserve"> </v>
      </c>
      <c r="M194" s="2" t="str">
        <f t="shared" si="12"/>
        <v xml:space="preserve"> </v>
      </c>
    </row>
    <row r="195" spans="1:13" x14ac:dyDescent="0.25">
      <c r="A195" s="42" t="str">
        <f t="shared" si="10"/>
        <v xml:space="preserve"> </v>
      </c>
      <c r="D195" s="41"/>
      <c r="E195" s="41"/>
      <c r="J195" s="17">
        <f t="shared" si="13"/>
        <v>0</v>
      </c>
      <c r="K195" s="2" t="str">
        <f t="shared" si="14"/>
        <v xml:space="preserve"> </v>
      </c>
      <c r="L195" s="2" t="str">
        <f t="shared" si="11"/>
        <v xml:space="preserve"> </v>
      </c>
      <c r="M195" s="2" t="str">
        <f t="shared" si="12"/>
        <v xml:space="preserve"> </v>
      </c>
    </row>
    <row r="196" spans="1:13" x14ac:dyDescent="0.25">
      <c r="A196" s="42" t="str">
        <f t="shared" si="10"/>
        <v xml:space="preserve"> </v>
      </c>
      <c r="D196" s="41"/>
      <c r="E196" s="41"/>
      <c r="J196" s="17">
        <f t="shared" si="13"/>
        <v>0</v>
      </c>
      <c r="K196" s="2" t="str">
        <f t="shared" si="14"/>
        <v xml:space="preserve"> </v>
      </c>
      <c r="L196" s="2" t="str">
        <f t="shared" si="11"/>
        <v xml:space="preserve"> </v>
      </c>
      <c r="M196" s="2" t="str">
        <f t="shared" si="12"/>
        <v xml:space="preserve"> </v>
      </c>
    </row>
    <row r="197" spans="1:13" x14ac:dyDescent="0.25">
      <c r="A197" s="42" t="str">
        <f t="shared" si="10"/>
        <v xml:space="preserve"> </v>
      </c>
      <c r="D197" s="41"/>
      <c r="E197" s="41"/>
      <c r="J197" s="17">
        <f t="shared" si="13"/>
        <v>0</v>
      </c>
      <c r="K197" s="2" t="str">
        <f t="shared" si="14"/>
        <v xml:space="preserve"> </v>
      </c>
      <c r="L197" s="2" t="str">
        <f t="shared" si="11"/>
        <v xml:space="preserve"> </v>
      </c>
      <c r="M197" s="2" t="str">
        <f t="shared" si="12"/>
        <v xml:space="preserve"> </v>
      </c>
    </row>
    <row r="198" spans="1:13" x14ac:dyDescent="0.25">
      <c r="A198" s="42" t="str">
        <f t="shared" si="10"/>
        <v xml:space="preserve"> </v>
      </c>
      <c r="D198" s="41"/>
      <c r="E198" s="41"/>
      <c r="J198" s="17">
        <f t="shared" si="13"/>
        <v>0</v>
      </c>
      <c r="K198" s="2" t="str">
        <f t="shared" si="14"/>
        <v xml:space="preserve"> </v>
      </c>
      <c r="L198" s="2" t="str">
        <f t="shared" si="11"/>
        <v xml:space="preserve"> </v>
      </c>
      <c r="M198" s="2" t="str">
        <f t="shared" si="12"/>
        <v xml:space="preserve"> </v>
      </c>
    </row>
    <row r="199" spans="1:13" x14ac:dyDescent="0.25">
      <c r="A199" s="42" t="str">
        <f t="shared" si="10"/>
        <v xml:space="preserve"> </v>
      </c>
      <c r="D199" s="41"/>
      <c r="E199" s="41"/>
      <c r="J199" s="17">
        <f t="shared" si="13"/>
        <v>0</v>
      </c>
      <c r="K199" s="2" t="str">
        <f t="shared" si="14"/>
        <v xml:space="preserve"> </v>
      </c>
      <c r="L199" s="2" t="str">
        <f t="shared" si="11"/>
        <v xml:space="preserve"> </v>
      </c>
      <c r="M199" s="2" t="str">
        <f t="shared" si="12"/>
        <v xml:space="preserve"> </v>
      </c>
    </row>
    <row r="200" spans="1:13" x14ac:dyDescent="0.25">
      <c r="A200" s="42" t="str">
        <f t="shared" si="10"/>
        <v xml:space="preserve"> </v>
      </c>
      <c r="D200" s="41"/>
      <c r="E200" s="41"/>
      <c r="J200" s="17">
        <f t="shared" si="13"/>
        <v>0</v>
      </c>
      <c r="K200" s="2" t="str">
        <f t="shared" si="14"/>
        <v xml:space="preserve"> </v>
      </c>
      <c r="L200" s="2" t="str">
        <f t="shared" si="11"/>
        <v xml:space="preserve"> </v>
      </c>
      <c r="M200" s="2" t="str">
        <f t="shared" si="12"/>
        <v xml:space="preserve"> </v>
      </c>
    </row>
    <row r="201" spans="1:13" x14ac:dyDescent="0.25">
      <c r="A201" s="42" t="str">
        <f t="shared" si="10"/>
        <v xml:space="preserve"> </v>
      </c>
      <c r="D201" s="41"/>
      <c r="E201" s="41"/>
      <c r="J201" s="17">
        <f t="shared" si="13"/>
        <v>0</v>
      </c>
      <c r="K201" s="2" t="str">
        <f t="shared" si="14"/>
        <v xml:space="preserve"> </v>
      </c>
      <c r="L201" s="2" t="str">
        <f t="shared" si="11"/>
        <v xml:space="preserve"> </v>
      </c>
      <c r="M201" s="2" t="str">
        <f t="shared" si="12"/>
        <v xml:space="preserve"> </v>
      </c>
    </row>
    <row r="202" spans="1:13" x14ac:dyDescent="0.25">
      <c r="A202" s="42" t="str">
        <f t="shared" si="10"/>
        <v xml:space="preserve"> </v>
      </c>
      <c r="D202" s="41"/>
      <c r="E202" s="41"/>
      <c r="J202" s="17">
        <f t="shared" si="13"/>
        <v>0</v>
      </c>
      <c r="K202" s="2" t="str">
        <f t="shared" si="14"/>
        <v xml:space="preserve"> </v>
      </c>
      <c r="L202" s="2" t="str">
        <f t="shared" si="11"/>
        <v xml:space="preserve"> </v>
      </c>
      <c r="M202" s="2" t="str">
        <f t="shared" si="12"/>
        <v xml:space="preserve"> </v>
      </c>
    </row>
    <row r="203" spans="1:13" x14ac:dyDescent="0.25">
      <c r="A203" s="42" t="str">
        <f t="shared" si="10"/>
        <v xml:space="preserve"> </v>
      </c>
      <c r="D203" s="41"/>
      <c r="E203" s="41"/>
      <c r="J203" s="17">
        <f t="shared" si="13"/>
        <v>0</v>
      </c>
      <c r="K203" s="2" t="str">
        <f t="shared" si="14"/>
        <v xml:space="preserve"> </v>
      </c>
      <c r="L203" s="2" t="str">
        <f t="shared" si="11"/>
        <v xml:space="preserve"> </v>
      </c>
      <c r="M203" s="2" t="str">
        <f t="shared" si="12"/>
        <v xml:space="preserve"> </v>
      </c>
    </row>
    <row r="204" spans="1:13" x14ac:dyDescent="0.25">
      <c r="A204" s="42" t="str">
        <f t="shared" si="10"/>
        <v xml:space="preserve"> </v>
      </c>
      <c r="D204" s="41"/>
      <c r="E204" s="41"/>
      <c r="J204" s="17">
        <f t="shared" si="13"/>
        <v>0</v>
      </c>
      <c r="K204" s="2" t="str">
        <f t="shared" si="14"/>
        <v xml:space="preserve"> </v>
      </c>
      <c r="L204" s="2" t="str">
        <f t="shared" si="11"/>
        <v xml:space="preserve"> </v>
      </c>
      <c r="M204" s="2" t="str">
        <f t="shared" si="12"/>
        <v xml:space="preserve"> </v>
      </c>
    </row>
    <row r="205" spans="1:13" x14ac:dyDescent="0.25">
      <c r="A205" s="42" t="str">
        <f t="shared" si="10"/>
        <v xml:space="preserve"> </v>
      </c>
      <c r="D205" s="41"/>
      <c r="E205" s="41"/>
      <c r="J205" s="17">
        <f t="shared" si="13"/>
        <v>0</v>
      </c>
      <c r="K205" s="2" t="str">
        <f t="shared" si="14"/>
        <v xml:space="preserve"> </v>
      </c>
      <c r="L205" s="2" t="str">
        <f t="shared" si="11"/>
        <v xml:space="preserve"> </v>
      </c>
      <c r="M205" s="2" t="str">
        <f t="shared" si="12"/>
        <v xml:space="preserve"> </v>
      </c>
    </row>
    <row r="206" spans="1:13" x14ac:dyDescent="0.25">
      <c r="A206" s="42" t="str">
        <f t="shared" si="10"/>
        <v xml:space="preserve"> </v>
      </c>
      <c r="D206" s="41"/>
      <c r="E206" s="41"/>
      <c r="J206" s="17">
        <f t="shared" si="13"/>
        <v>0</v>
      </c>
      <c r="K206" s="2" t="str">
        <f t="shared" si="14"/>
        <v xml:space="preserve"> </v>
      </c>
      <c r="L206" s="2" t="str">
        <f t="shared" si="11"/>
        <v xml:space="preserve"> </v>
      </c>
      <c r="M206" s="2" t="str">
        <f t="shared" si="12"/>
        <v xml:space="preserve"> </v>
      </c>
    </row>
    <row r="207" spans="1:13" x14ac:dyDescent="0.25">
      <c r="A207" s="42" t="str">
        <f t="shared" ref="A207:A270" si="15">IF(COUNTIF(K207:M207,"ERROR")&gt;0,"ERROR"," ")</f>
        <v xml:space="preserve"> </v>
      </c>
      <c r="D207" s="41"/>
      <c r="E207" s="41"/>
      <c r="J207" s="17">
        <f t="shared" si="13"/>
        <v>0</v>
      </c>
      <c r="K207" s="2" t="str">
        <f t="shared" si="14"/>
        <v xml:space="preserve"> </v>
      </c>
      <c r="L207" s="2" t="str">
        <f t="shared" ref="L207:L270" si="16">IF(D207=0," ",IF(COUNTIF(ProfitLoss2,D207)&gt;0," ","ERROR"))</f>
        <v xml:space="preserve"> </v>
      </c>
      <c r="M207" s="2" t="str">
        <f t="shared" ref="M207:M270" si="17">IF(E207=0," ",IF(COUNTIF(BalanceSheetA,E207)&gt;0," ","ERROR"))</f>
        <v xml:space="preserve"> </v>
      </c>
    </row>
    <row r="208" spans="1:13" x14ac:dyDescent="0.25">
      <c r="A208" s="42" t="str">
        <f t="shared" si="15"/>
        <v xml:space="preserve"> </v>
      </c>
      <c r="D208" s="41"/>
      <c r="E208" s="41"/>
      <c r="J208" s="17">
        <f t="shared" ref="J208:J271" si="18">F208-G208+H208-I208</f>
        <v>0</v>
      </c>
      <c r="K208" s="2" t="str">
        <f t="shared" ref="K208:K271" si="19">IF(COUNTA(D208:E208)=2,"ERROR"," ")</f>
        <v xml:space="preserve"> </v>
      </c>
      <c r="L208" s="2" t="str">
        <f t="shared" si="16"/>
        <v xml:space="preserve"> </v>
      </c>
      <c r="M208" s="2" t="str">
        <f t="shared" si="17"/>
        <v xml:space="preserve"> </v>
      </c>
    </row>
    <row r="209" spans="1:13" x14ac:dyDescent="0.25">
      <c r="A209" s="42" t="str">
        <f t="shared" si="15"/>
        <v xml:space="preserve"> </v>
      </c>
      <c r="D209" s="41"/>
      <c r="E209" s="41"/>
      <c r="J209" s="17">
        <f t="shared" si="18"/>
        <v>0</v>
      </c>
      <c r="K209" s="2" t="str">
        <f t="shared" si="19"/>
        <v xml:space="preserve"> </v>
      </c>
      <c r="L209" s="2" t="str">
        <f t="shared" si="16"/>
        <v xml:space="preserve"> </v>
      </c>
      <c r="M209" s="2" t="str">
        <f t="shared" si="17"/>
        <v xml:space="preserve"> </v>
      </c>
    </row>
    <row r="210" spans="1:13" x14ac:dyDescent="0.25">
      <c r="A210" s="42" t="str">
        <f t="shared" si="15"/>
        <v xml:space="preserve"> </v>
      </c>
      <c r="D210" s="41"/>
      <c r="E210" s="41"/>
      <c r="J210" s="17">
        <f t="shared" si="18"/>
        <v>0</v>
      </c>
      <c r="K210" s="2" t="str">
        <f t="shared" si="19"/>
        <v xml:space="preserve"> </v>
      </c>
      <c r="L210" s="2" t="str">
        <f t="shared" si="16"/>
        <v xml:space="preserve"> </v>
      </c>
      <c r="M210" s="2" t="str">
        <f t="shared" si="17"/>
        <v xml:space="preserve"> </v>
      </c>
    </row>
    <row r="211" spans="1:13" x14ac:dyDescent="0.25">
      <c r="A211" s="42" t="str">
        <f t="shared" si="15"/>
        <v xml:space="preserve"> </v>
      </c>
      <c r="D211" s="41"/>
      <c r="E211" s="41"/>
      <c r="J211" s="17">
        <f t="shared" si="18"/>
        <v>0</v>
      </c>
      <c r="K211" s="2" t="str">
        <f t="shared" si="19"/>
        <v xml:space="preserve"> </v>
      </c>
      <c r="L211" s="2" t="str">
        <f t="shared" si="16"/>
        <v xml:space="preserve"> </v>
      </c>
      <c r="M211" s="2" t="str">
        <f t="shared" si="17"/>
        <v xml:space="preserve"> </v>
      </c>
    </row>
    <row r="212" spans="1:13" x14ac:dyDescent="0.25">
      <c r="A212" s="42" t="str">
        <f t="shared" si="15"/>
        <v xml:space="preserve"> </v>
      </c>
      <c r="D212" s="41"/>
      <c r="E212" s="41"/>
      <c r="J212" s="17">
        <f t="shared" si="18"/>
        <v>0</v>
      </c>
      <c r="K212" s="2" t="str">
        <f t="shared" si="19"/>
        <v xml:space="preserve"> </v>
      </c>
      <c r="L212" s="2" t="str">
        <f t="shared" si="16"/>
        <v xml:space="preserve"> </v>
      </c>
      <c r="M212" s="2" t="str">
        <f t="shared" si="17"/>
        <v xml:space="preserve"> </v>
      </c>
    </row>
    <row r="213" spans="1:13" x14ac:dyDescent="0.25">
      <c r="A213" s="42" t="str">
        <f t="shared" si="15"/>
        <v xml:space="preserve"> </v>
      </c>
      <c r="D213" s="41"/>
      <c r="E213" s="41"/>
      <c r="J213" s="17">
        <f t="shared" si="18"/>
        <v>0</v>
      </c>
      <c r="K213" s="2" t="str">
        <f t="shared" si="19"/>
        <v xml:space="preserve"> </v>
      </c>
      <c r="L213" s="2" t="str">
        <f t="shared" si="16"/>
        <v xml:space="preserve"> </v>
      </c>
      <c r="M213" s="2" t="str">
        <f t="shared" si="17"/>
        <v xml:space="preserve"> </v>
      </c>
    </row>
    <row r="214" spans="1:13" x14ac:dyDescent="0.25">
      <c r="A214" s="42" t="str">
        <f t="shared" si="15"/>
        <v xml:space="preserve"> </v>
      </c>
      <c r="D214" s="41"/>
      <c r="E214" s="41"/>
      <c r="J214" s="17">
        <f t="shared" si="18"/>
        <v>0</v>
      </c>
      <c r="K214" s="2" t="str">
        <f t="shared" si="19"/>
        <v xml:space="preserve"> </v>
      </c>
      <c r="L214" s="2" t="str">
        <f t="shared" si="16"/>
        <v xml:space="preserve"> </v>
      </c>
      <c r="M214" s="2" t="str">
        <f t="shared" si="17"/>
        <v xml:space="preserve"> </v>
      </c>
    </row>
    <row r="215" spans="1:13" x14ac:dyDescent="0.25">
      <c r="A215" s="42" t="str">
        <f t="shared" si="15"/>
        <v xml:space="preserve"> </v>
      </c>
      <c r="D215" s="41"/>
      <c r="E215" s="41"/>
      <c r="J215" s="17">
        <f t="shared" si="18"/>
        <v>0</v>
      </c>
      <c r="K215" s="2" t="str">
        <f t="shared" si="19"/>
        <v xml:space="preserve"> </v>
      </c>
      <c r="L215" s="2" t="str">
        <f t="shared" si="16"/>
        <v xml:space="preserve"> </v>
      </c>
      <c r="M215" s="2" t="str">
        <f t="shared" si="17"/>
        <v xml:space="preserve"> </v>
      </c>
    </row>
    <row r="216" spans="1:13" x14ac:dyDescent="0.25">
      <c r="A216" s="42" t="str">
        <f t="shared" si="15"/>
        <v xml:space="preserve"> </v>
      </c>
      <c r="D216" s="41"/>
      <c r="E216" s="41"/>
      <c r="J216" s="17">
        <f t="shared" si="18"/>
        <v>0</v>
      </c>
      <c r="K216" s="2" t="str">
        <f t="shared" si="19"/>
        <v xml:space="preserve"> </v>
      </c>
      <c r="L216" s="2" t="str">
        <f t="shared" si="16"/>
        <v xml:space="preserve"> </v>
      </c>
      <c r="M216" s="2" t="str">
        <f t="shared" si="17"/>
        <v xml:space="preserve"> </v>
      </c>
    </row>
    <row r="217" spans="1:13" x14ac:dyDescent="0.25">
      <c r="A217" s="42" t="str">
        <f t="shared" si="15"/>
        <v xml:space="preserve"> </v>
      </c>
      <c r="D217" s="41"/>
      <c r="E217" s="41"/>
      <c r="J217" s="17">
        <f t="shared" si="18"/>
        <v>0</v>
      </c>
      <c r="K217" s="2" t="str">
        <f t="shared" si="19"/>
        <v xml:space="preserve"> </v>
      </c>
      <c r="L217" s="2" t="str">
        <f t="shared" si="16"/>
        <v xml:space="preserve"> </v>
      </c>
      <c r="M217" s="2" t="str">
        <f t="shared" si="17"/>
        <v xml:space="preserve"> </v>
      </c>
    </row>
    <row r="218" spans="1:13" x14ac:dyDescent="0.25">
      <c r="A218" s="42" t="str">
        <f t="shared" si="15"/>
        <v xml:space="preserve"> </v>
      </c>
      <c r="D218" s="41"/>
      <c r="E218" s="41"/>
      <c r="J218" s="17">
        <f t="shared" si="18"/>
        <v>0</v>
      </c>
      <c r="K218" s="2" t="str">
        <f t="shared" si="19"/>
        <v xml:space="preserve"> </v>
      </c>
      <c r="L218" s="2" t="str">
        <f t="shared" si="16"/>
        <v xml:space="preserve"> </v>
      </c>
      <c r="M218" s="2" t="str">
        <f t="shared" si="17"/>
        <v xml:space="preserve"> </v>
      </c>
    </row>
    <row r="219" spans="1:13" x14ac:dyDescent="0.25">
      <c r="A219" s="42" t="str">
        <f t="shared" si="15"/>
        <v xml:space="preserve"> </v>
      </c>
      <c r="D219" s="41"/>
      <c r="E219" s="41"/>
      <c r="J219" s="17">
        <f t="shared" si="18"/>
        <v>0</v>
      </c>
      <c r="K219" s="2" t="str">
        <f t="shared" si="19"/>
        <v xml:space="preserve"> </v>
      </c>
      <c r="L219" s="2" t="str">
        <f t="shared" si="16"/>
        <v xml:space="preserve"> </v>
      </c>
      <c r="M219" s="2" t="str">
        <f t="shared" si="17"/>
        <v xml:space="preserve"> </v>
      </c>
    </row>
    <row r="220" spans="1:13" x14ac:dyDescent="0.25">
      <c r="A220" s="42" t="str">
        <f t="shared" si="15"/>
        <v xml:space="preserve"> </v>
      </c>
      <c r="D220" s="41"/>
      <c r="E220" s="41"/>
      <c r="J220" s="17">
        <f t="shared" si="18"/>
        <v>0</v>
      </c>
      <c r="K220" s="2" t="str">
        <f t="shared" si="19"/>
        <v xml:space="preserve"> </v>
      </c>
      <c r="L220" s="2" t="str">
        <f t="shared" si="16"/>
        <v xml:space="preserve"> </v>
      </c>
      <c r="M220" s="2" t="str">
        <f t="shared" si="17"/>
        <v xml:space="preserve"> </v>
      </c>
    </row>
    <row r="221" spans="1:13" x14ac:dyDescent="0.25">
      <c r="A221" s="42" t="str">
        <f t="shared" si="15"/>
        <v xml:space="preserve"> </v>
      </c>
      <c r="D221" s="41"/>
      <c r="E221" s="41"/>
      <c r="J221" s="17">
        <f t="shared" si="18"/>
        <v>0</v>
      </c>
      <c r="K221" s="2" t="str">
        <f t="shared" si="19"/>
        <v xml:space="preserve"> </v>
      </c>
      <c r="L221" s="2" t="str">
        <f t="shared" si="16"/>
        <v xml:space="preserve"> </v>
      </c>
      <c r="M221" s="2" t="str">
        <f t="shared" si="17"/>
        <v xml:space="preserve"> </v>
      </c>
    </row>
    <row r="222" spans="1:13" x14ac:dyDescent="0.25">
      <c r="A222" s="42" t="str">
        <f t="shared" si="15"/>
        <v xml:space="preserve"> </v>
      </c>
      <c r="D222" s="41"/>
      <c r="E222" s="41"/>
      <c r="J222" s="17">
        <f t="shared" si="18"/>
        <v>0</v>
      </c>
      <c r="K222" s="2" t="str">
        <f t="shared" si="19"/>
        <v xml:space="preserve"> </v>
      </c>
      <c r="L222" s="2" t="str">
        <f t="shared" si="16"/>
        <v xml:space="preserve"> </v>
      </c>
      <c r="M222" s="2" t="str">
        <f t="shared" si="17"/>
        <v xml:space="preserve"> </v>
      </c>
    </row>
    <row r="223" spans="1:13" x14ac:dyDescent="0.25">
      <c r="A223" s="42" t="str">
        <f t="shared" si="15"/>
        <v xml:space="preserve"> </v>
      </c>
      <c r="D223" s="41"/>
      <c r="E223" s="41"/>
      <c r="J223" s="17">
        <f t="shared" si="18"/>
        <v>0</v>
      </c>
      <c r="K223" s="2" t="str">
        <f t="shared" si="19"/>
        <v xml:space="preserve"> </v>
      </c>
      <c r="L223" s="2" t="str">
        <f t="shared" si="16"/>
        <v xml:space="preserve"> </v>
      </c>
      <c r="M223" s="2" t="str">
        <f t="shared" si="17"/>
        <v xml:space="preserve"> </v>
      </c>
    </row>
    <row r="224" spans="1:13" x14ac:dyDescent="0.25">
      <c r="A224" s="42" t="str">
        <f t="shared" si="15"/>
        <v xml:space="preserve"> </v>
      </c>
      <c r="D224" s="41"/>
      <c r="E224" s="41"/>
      <c r="J224" s="17">
        <f t="shared" si="18"/>
        <v>0</v>
      </c>
      <c r="K224" s="2" t="str">
        <f t="shared" si="19"/>
        <v xml:space="preserve"> </v>
      </c>
      <c r="L224" s="2" t="str">
        <f t="shared" si="16"/>
        <v xml:space="preserve"> </v>
      </c>
      <c r="M224" s="2" t="str">
        <f t="shared" si="17"/>
        <v xml:space="preserve"> </v>
      </c>
    </row>
    <row r="225" spans="1:13" x14ac:dyDescent="0.25">
      <c r="A225" s="42" t="str">
        <f t="shared" si="15"/>
        <v xml:space="preserve"> </v>
      </c>
      <c r="D225" s="41"/>
      <c r="E225" s="41"/>
      <c r="J225" s="17">
        <f t="shared" si="18"/>
        <v>0</v>
      </c>
      <c r="K225" s="2" t="str">
        <f t="shared" si="19"/>
        <v xml:space="preserve"> </v>
      </c>
      <c r="L225" s="2" t="str">
        <f t="shared" si="16"/>
        <v xml:space="preserve"> </v>
      </c>
      <c r="M225" s="2" t="str">
        <f t="shared" si="17"/>
        <v xml:space="preserve"> </v>
      </c>
    </row>
    <row r="226" spans="1:13" x14ac:dyDescent="0.25">
      <c r="A226" s="42" t="str">
        <f t="shared" si="15"/>
        <v xml:space="preserve"> </v>
      </c>
      <c r="D226" s="41"/>
      <c r="E226" s="41"/>
      <c r="J226" s="17">
        <f t="shared" si="18"/>
        <v>0</v>
      </c>
      <c r="K226" s="2" t="str">
        <f t="shared" si="19"/>
        <v xml:space="preserve"> </v>
      </c>
      <c r="L226" s="2" t="str">
        <f t="shared" si="16"/>
        <v xml:space="preserve"> </v>
      </c>
      <c r="M226" s="2" t="str">
        <f t="shared" si="17"/>
        <v xml:space="preserve"> </v>
      </c>
    </row>
    <row r="227" spans="1:13" x14ac:dyDescent="0.25">
      <c r="A227" s="42" t="str">
        <f t="shared" si="15"/>
        <v xml:space="preserve"> </v>
      </c>
      <c r="D227" s="41"/>
      <c r="E227" s="41"/>
      <c r="J227" s="17">
        <f t="shared" si="18"/>
        <v>0</v>
      </c>
      <c r="K227" s="2" t="str">
        <f t="shared" si="19"/>
        <v xml:space="preserve"> </v>
      </c>
      <c r="L227" s="2" t="str">
        <f t="shared" si="16"/>
        <v xml:space="preserve"> </v>
      </c>
      <c r="M227" s="2" t="str">
        <f t="shared" si="17"/>
        <v xml:space="preserve"> </v>
      </c>
    </row>
    <row r="228" spans="1:13" x14ac:dyDescent="0.25">
      <c r="A228" s="42" t="str">
        <f t="shared" si="15"/>
        <v xml:space="preserve"> </v>
      </c>
      <c r="D228" s="41"/>
      <c r="E228" s="41"/>
      <c r="J228" s="17">
        <f t="shared" si="18"/>
        <v>0</v>
      </c>
      <c r="K228" s="2" t="str">
        <f t="shared" si="19"/>
        <v xml:space="preserve"> </v>
      </c>
      <c r="L228" s="2" t="str">
        <f t="shared" si="16"/>
        <v xml:space="preserve"> </v>
      </c>
      <c r="M228" s="2" t="str">
        <f t="shared" si="17"/>
        <v xml:space="preserve"> </v>
      </c>
    </row>
    <row r="229" spans="1:13" x14ac:dyDescent="0.25">
      <c r="A229" s="42" t="str">
        <f t="shared" si="15"/>
        <v xml:space="preserve"> </v>
      </c>
      <c r="D229" s="41"/>
      <c r="E229" s="41"/>
      <c r="J229" s="17">
        <f t="shared" si="18"/>
        <v>0</v>
      </c>
      <c r="K229" s="2" t="str">
        <f t="shared" si="19"/>
        <v xml:space="preserve"> </v>
      </c>
      <c r="L229" s="2" t="str">
        <f t="shared" si="16"/>
        <v xml:space="preserve"> </v>
      </c>
      <c r="M229" s="2" t="str">
        <f t="shared" si="17"/>
        <v xml:space="preserve"> </v>
      </c>
    </row>
    <row r="230" spans="1:13" x14ac:dyDescent="0.25">
      <c r="A230" s="42" t="str">
        <f t="shared" si="15"/>
        <v xml:space="preserve"> </v>
      </c>
      <c r="D230" s="41"/>
      <c r="E230" s="41"/>
      <c r="J230" s="17">
        <f t="shared" si="18"/>
        <v>0</v>
      </c>
      <c r="K230" s="2" t="str">
        <f t="shared" si="19"/>
        <v xml:space="preserve"> </v>
      </c>
      <c r="L230" s="2" t="str">
        <f t="shared" si="16"/>
        <v xml:space="preserve"> </v>
      </c>
      <c r="M230" s="2" t="str">
        <f t="shared" si="17"/>
        <v xml:space="preserve"> </v>
      </c>
    </row>
    <row r="231" spans="1:13" x14ac:dyDescent="0.25">
      <c r="A231" s="42" t="str">
        <f t="shared" si="15"/>
        <v xml:space="preserve"> </v>
      </c>
      <c r="D231" s="41"/>
      <c r="E231" s="41"/>
      <c r="J231" s="17">
        <f t="shared" si="18"/>
        <v>0</v>
      </c>
      <c r="K231" s="2" t="str">
        <f t="shared" si="19"/>
        <v xml:space="preserve"> </v>
      </c>
      <c r="L231" s="2" t="str">
        <f t="shared" si="16"/>
        <v xml:space="preserve"> </v>
      </c>
      <c r="M231" s="2" t="str">
        <f t="shared" si="17"/>
        <v xml:space="preserve"> </v>
      </c>
    </row>
    <row r="232" spans="1:13" x14ac:dyDescent="0.25">
      <c r="A232" s="42" t="str">
        <f t="shared" si="15"/>
        <v xml:space="preserve"> </v>
      </c>
      <c r="D232" s="41"/>
      <c r="E232" s="41"/>
      <c r="J232" s="17">
        <f t="shared" si="18"/>
        <v>0</v>
      </c>
      <c r="K232" s="2" t="str">
        <f t="shared" si="19"/>
        <v xml:space="preserve"> </v>
      </c>
      <c r="L232" s="2" t="str">
        <f t="shared" si="16"/>
        <v xml:space="preserve"> </v>
      </c>
      <c r="M232" s="2" t="str">
        <f t="shared" si="17"/>
        <v xml:space="preserve"> </v>
      </c>
    </row>
    <row r="233" spans="1:13" x14ac:dyDescent="0.25">
      <c r="A233" s="42" t="str">
        <f t="shared" si="15"/>
        <v xml:space="preserve"> </v>
      </c>
      <c r="D233" s="41"/>
      <c r="E233" s="41"/>
      <c r="J233" s="17">
        <f t="shared" si="18"/>
        <v>0</v>
      </c>
      <c r="K233" s="2" t="str">
        <f t="shared" si="19"/>
        <v xml:space="preserve"> </v>
      </c>
      <c r="L233" s="2" t="str">
        <f t="shared" si="16"/>
        <v xml:space="preserve"> </v>
      </c>
      <c r="M233" s="2" t="str">
        <f t="shared" si="17"/>
        <v xml:space="preserve"> </v>
      </c>
    </row>
    <row r="234" spans="1:13" x14ac:dyDescent="0.25">
      <c r="A234" s="42" t="str">
        <f t="shared" si="15"/>
        <v xml:space="preserve"> </v>
      </c>
      <c r="D234" s="41"/>
      <c r="E234" s="41"/>
      <c r="J234" s="17">
        <f t="shared" si="18"/>
        <v>0</v>
      </c>
      <c r="K234" s="2" t="str">
        <f t="shared" si="19"/>
        <v xml:space="preserve"> </v>
      </c>
      <c r="L234" s="2" t="str">
        <f t="shared" si="16"/>
        <v xml:space="preserve"> </v>
      </c>
      <c r="M234" s="2" t="str">
        <f t="shared" si="17"/>
        <v xml:space="preserve"> </v>
      </c>
    </row>
    <row r="235" spans="1:13" x14ac:dyDescent="0.25">
      <c r="A235" s="42" t="str">
        <f t="shared" si="15"/>
        <v xml:space="preserve"> </v>
      </c>
      <c r="D235" s="41"/>
      <c r="E235" s="41"/>
      <c r="J235" s="17">
        <f t="shared" si="18"/>
        <v>0</v>
      </c>
      <c r="K235" s="2" t="str">
        <f t="shared" si="19"/>
        <v xml:space="preserve"> </v>
      </c>
      <c r="L235" s="2" t="str">
        <f t="shared" si="16"/>
        <v xml:space="preserve"> </v>
      </c>
      <c r="M235" s="2" t="str">
        <f t="shared" si="17"/>
        <v xml:space="preserve"> </v>
      </c>
    </row>
    <row r="236" spans="1:13" x14ac:dyDescent="0.25">
      <c r="A236" s="42" t="str">
        <f t="shared" si="15"/>
        <v xml:space="preserve"> </v>
      </c>
      <c r="D236" s="41"/>
      <c r="E236" s="41"/>
      <c r="J236" s="17">
        <f t="shared" si="18"/>
        <v>0</v>
      </c>
      <c r="K236" s="2" t="str">
        <f t="shared" si="19"/>
        <v xml:space="preserve"> </v>
      </c>
      <c r="L236" s="2" t="str">
        <f t="shared" si="16"/>
        <v xml:space="preserve"> </v>
      </c>
      <c r="M236" s="2" t="str">
        <f t="shared" si="17"/>
        <v xml:space="preserve"> </v>
      </c>
    </row>
    <row r="237" spans="1:13" x14ac:dyDescent="0.25">
      <c r="A237" s="42" t="str">
        <f t="shared" si="15"/>
        <v xml:space="preserve"> </v>
      </c>
      <c r="D237" s="41"/>
      <c r="E237" s="41"/>
      <c r="J237" s="17">
        <f t="shared" si="18"/>
        <v>0</v>
      </c>
      <c r="K237" s="2" t="str">
        <f t="shared" si="19"/>
        <v xml:space="preserve"> </v>
      </c>
      <c r="L237" s="2" t="str">
        <f t="shared" si="16"/>
        <v xml:space="preserve"> </v>
      </c>
      <c r="M237" s="2" t="str">
        <f t="shared" si="17"/>
        <v xml:space="preserve"> </v>
      </c>
    </row>
    <row r="238" spans="1:13" x14ac:dyDescent="0.25">
      <c r="A238" s="42" t="str">
        <f t="shared" si="15"/>
        <v xml:space="preserve"> </v>
      </c>
      <c r="D238" s="41"/>
      <c r="E238" s="41"/>
      <c r="J238" s="17">
        <f t="shared" si="18"/>
        <v>0</v>
      </c>
      <c r="K238" s="2" t="str">
        <f t="shared" si="19"/>
        <v xml:space="preserve"> </v>
      </c>
      <c r="L238" s="2" t="str">
        <f t="shared" si="16"/>
        <v xml:space="preserve"> </v>
      </c>
      <c r="M238" s="2" t="str">
        <f t="shared" si="17"/>
        <v xml:space="preserve"> </v>
      </c>
    </row>
    <row r="239" spans="1:13" x14ac:dyDescent="0.25">
      <c r="A239" s="42" t="str">
        <f t="shared" si="15"/>
        <v xml:space="preserve"> </v>
      </c>
      <c r="D239" s="41"/>
      <c r="E239" s="41"/>
      <c r="J239" s="17">
        <f t="shared" si="18"/>
        <v>0</v>
      </c>
      <c r="K239" s="2" t="str">
        <f t="shared" si="19"/>
        <v xml:space="preserve"> </v>
      </c>
      <c r="L239" s="2" t="str">
        <f t="shared" si="16"/>
        <v xml:space="preserve"> </v>
      </c>
      <c r="M239" s="2" t="str">
        <f t="shared" si="17"/>
        <v xml:space="preserve"> </v>
      </c>
    </row>
    <row r="240" spans="1:13" x14ac:dyDescent="0.25">
      <c r="A240" s="42" t="str">
        <f t="shared" si="15"/>
        <v xml:space="preserve"> </v>
      </c>
      <c r="D240" s="41"/>
      <c r="E240" s="41"/>
      <c r="J240" s="17">
        <f t="shared" si="18"/>
        <v>0</v>
      </c>
      <c r="K240" s="2" t="str">
        <f t="shared" si="19"/>
        <v xml:space="preserve"> </v>
      </c>
      <c r="L240" s="2" t="str">
        <f t="shared" si="16"/>
        <v xml:space="preserve"> </v>
      </c>
      <c r="M240" s="2" t="str">
        <f t="shared" si="17"/>
        <v xml:space="preserve"> </v>
      </c>
    </row>
    <row r="241" spans="1:13" x14ac:dyDescent="0.25">
      <c r="A241" s="42" t="str">
        <f t="shared" si="15"/>
        <v xml:space="preserve"> </v>
      </c>
      <c r="D241" s="41"/>
      <c r="E241" s="41"/>
      <c r="J241" s="17">
        <f t="shared" si="18"/>
        <v>0</v>
      </c>
      <c r="K241" s="2" t="str">
        <f t="shared" si="19"/>
        <v xml:space="preserve"> </v>
      </c>
      <c r="L241" s="2" t="str">
        <f t="shared" si="16"/>
        <v xml:space="preserve"> </v>
      </c>
      <c r="M241" s="2" t="str">
        <f t="shared" si="17"/>
        <v xml:space="preserve"> </v>
      </c>
    </row>
    <row r="242" spans="1:13" x14ac:dyDescent="0.25">
      <c r="A242" s="42" t="str">
        <f t="shared" si="15"/>
        <v xml:space="preserve"> </v>
      </c>
      <c r="D242" s="41"/>
      <c r="E242" s="41"/>
      <c r="J242" s="17">
        <f t="shared" si="18"/>
        <v>0</v>
      </c>
      <c r="K242" s="2" t="str">
        <f t="shared" si="19"/>
        <v xml:space="preserve"> </v>
      </c>
      <c r="L242" s="2" t="str">
        <f t="shared" si="16"/>
        <v xml:space="preserve"> </v>
      </c>
      <c r="M242" s="2" t="str">
        <f t="shared" si="17"/>
        <v xml:space="preserve"> </v>
      </c>
    </row>
    <row r="243" spans="1:13" x14ac:dyDescent="0.25">
      <c r="A243" s="42" t="str">
        <f t="shared" si="15"/>
        <v xml:space="preserve"> </v>
      </c>
      <c r="D243" s="41"/>
      <c r="E243" s="41"/>
      <c r="J243" s="17">
        <f t="shared" si="18"/>
        <v>0</v>
      </c>
      <c r="K243" s="2" t="str">
        <f t="shared" si="19"/>
        <v xml:space="preserve"> </v>
      </c>
      <c r="L243" s="2" t="str">
        <f t="shared" si="16"/>
        <v xml:space="preserve"> </v>
      </c>
      <c r="M243" s="2" t="str">
        <f t="shared" si="17"/>
        <v xml:space="preserve"> </v>
      </c>
    </row>
    <row r="244" spans="1:13" x14ac:dyDescent="0.25">
      <c r="A244" s="42" t="str">
        <f t="shared" si="15"/>
        <v xml:space="preserve"> </v>
      </c>
      <c r="D244" s="41"/>
      <c r="E244" s="41"/>
      <c r="J244" s="17">
        <f t="shared" si="18"/>
        <v>0</v>
      </c>
      <c r="K244" s="2" t="str">
        <f t="shared" si="19"/>
        <v xml:space="preserve"> </v>
      </c>
      <c r="L244" s="2" t="str">
        <f t="shared" si="16"/>
        <v xml:space="preserve"> </v>
      </c>
      <c r="M244" s="2" t="str">
        <f t="shared" si="17"/>
        <v xml:space="preserve"> </v>
      </c>
    </row>
    <row r="245" spans="1:13" x14ac:dyDescent="0.25">
      <c r="A245" s="42" t="str">
        <f t="shared" si="15"/>
        <v xml:space="preserve"> </v>
      </c>
      <c r="D245" s="41"/>
      <c r="E245" s="41"/>
      <c r="J245" s="17">
        <f t="shared" si="18"/>
        <v>0</v>
      </c>
      <c r="K245" s="2" t="str">
        <f t="shared" si="19"/>
        <v xml:space="preserve"> </v>
      </c>
      <c r="L245" s="2" t="str">
        <f t="shared" si="16"/>
        <v xml:space="preserve"> </v>
      </c>
      <c r="M245" s="2" t="str">
        <f t="shared" si="17"/>
        <v xml:space="preserve"> </v>
      </c>
    </row>
    <row r="246" spans="1:13" x14ac:dyDescent="0.25">
      <c r="A246" s="42" t="str">
        <f t="shared" si="15"/>
        <v xml:space="preserve"> </v>
      </c>
      <c r="D246" s="41"/>
      <c r="E246" s="41"/>
      <c r="J246" s="17">
        <f t="shared" si="18"/>
        <v>0</v>
      </c>
      <c r="K246" s="2" t="str">
        <f t="shared" si="19"/>
        <v xml:space="preserve"> </v>
      </c>
      <c r="L246" s="2" t="str">
        <f t="shared" si="16"/>
        <v xml:space="preserve"> </v>
      </c>
      <c r="M246" s="2" t="str">
        <f t="shared" si="17"/>
        <v xml:space="preserve"> </v>
      </c>
    </row>
    <row r="247" spans="1:13" x14ac:dyDescent="0.25">
      <c r="A247" s="42" t="str">
        <f t="shared" si="15"/>
        <v xml:space="preserve"> </v>
      </c>
      <c r="D247" s="41"/>
      <c r="E247" s="41"/>
      <c r="J247" s="17">
        <f t="shared" si="18"/>
        <v>0</v>
      </c>
      <c r="K247" s="2" t="str">
        <f t="shared" si="19"/>
        <v xml:space="preserve"> </v>
      </c>
      <c r="L247" s="2" t="str">
        <f t="shared" si="16"/>
        <v xml:space="preserve"> </v>
      </c>
      <c r="M247" s="2" t="str">
        <f t="shared" si="17"/>
        <v xml:space="preserve"> </v>
      </c>
    </row>
    <row r="248" spans="1:13" x14ac:dyDescent="0.25">
      <c r="A248" s="42" t="str">
        <f t="shared" si="15"/>
        <v xml:space="preserve"> </v>
      </c>
      <c r="D248" s="41"/>
      <c r="E248" s="41"/>
      <c r="J248" s="17">
        <f t="shared" si="18"/>
        <v>0</v>
      </c>
      <c r="K248" s="2" t="str">
        <f t="shared" si="19"/>
        <v xml:space="preserve"> </v>
      </c>
      <c r="L248" s="2" t="str">
        <f t="shared" si="16"/>
        <v xml:space="preserve"> </v>
      </c>
      <c r="M248" s="2" t="str">
        <f t="shared" si="17"/>
        <v xml:space="preserve"> </v>
      </c>
    </row>
    <row r="249" spans="1:13" x14ac:dyDescent="0.25">
      <c r="A249" s="42" t="str">
        <f t="shared" si="15"/>
        <v xml:space="preserve"> </v>
      </c>
      <c r="D249" s="41"/>
      <c r="E249" s="41"/>
      <c r="J249" s="17">
        <f t="shared" si="18"/>
        <v>0</v>
      </c>
      <c r="K249" s="2" t="str">
        <f t="shared" si="19"/>
        <v xml:space="preserve"> </v>
      </c>
      <c r="L249" s="2" t="str">
        <f t="shared" si="16"/>
        <v xml:space="preserve"> </v>
      </c>
      <c r="M249" s="2" t="str">
        <f t="shared" si="17"/>
        <v xml:space="preserve"> </v>
      </c>
    </row>
    <row r="250" spans="1:13" x14ac:dyDescent="0.25">
      <c r="A250" s="42" t="str">
        <f t="shared" si="15"/>
        <v xml:space="preserve"> </v>
      </c>
      <c r="D250" s="41"/>
      <c r="E250" s="41"/>
      <c r="J250" s="17">
        <f t="shared" si="18"/>
        <v>0</v>
      </c>
      <c r="K250" s="2" t="str">
        <f t="shared" si="19"/>
        <v xml:space="preserve"> </v>
      </c>
      <c r="L250" s="2" t="str">
        <f t="shared" si="16"/>
        <v xml:space="preserve"> </v>
      </c>
      <c r="M250" s="2" t="str">
        <f t="shared" si="17"/>
        <v xml:space="preserve"> </v>
      </c>
    </row>
    <row r="251" spans="1:13" x14ac:dyDescent="0.25">
      <c r="A251" s="42" t="str">
        <f t="shared" si="15"/>
        <v xml:space="preserve"> </v>
      </c>
      <c r="D251" s="41"/>
      <c r="E251" s="41"/>
      <c r="J251" s="17">
        <f t="shared" si="18"/>
        <v>0</v>
      </c>
      <c r="K251" s="2" t="str">
        <f t="shared" si="19"/>
        <v xml:space="preserve"> </v>
      </c>
      <c r="L251" s="2" t="str">
        <f t="shared" si="16"/>
        <v xml:space="preserve"> </v>
      </c>
      <c r="M251" s="2" t="str">
        <f t="shared" si="17"/>
        <v xml:space="preserve"> </v>
      </c>
    </row>
    <row r="252" spans="1:13" x14ac:dyDescent="0.25">
      <c r="A252" s="42" t="str">
        <f t="shared" si="15"/>
        <v xml:space="preserve"> </v>
      </c>
      <c r="D252" s="41"/>
      <c r="E252" s="41"/>
      <c r="J252" s="17">
        <f t="shared" si="18"/>
        <v>0</v>
      </c>
      <c r="K252" s="2" t="str">
        <f t="shared" si="19"/>
        <v xml:space="preserve"> </v>
      </c>
      <c r="L252" s="2" t="str">
        <f t="shared" si="16"/>
        <v xml:space="preserve"> </v>
      </c>
      <c r="M252" s="2" t="str">
        <f t="shared" si="17"/>
        <v xml:space="preserve"> </v>
      </c>
    </row>
    <row r="253" spans="1:13" x14ac:dyDescent="0.25">
      <c r="A253" s="42" t="str">
        <f t="shared" si="15"/>
        <v xml:space="preserve"> </v>
      </c>
      <c r="D253" s="41"/>
      <c r="E253" s="41"/>
      <c r="J253" s="17">
        <f t="shared" si="18"/>
        <v>0</v>
      </c>
      <c r="K253" s="2" t="str">
        <f t="shared" si="19"/>
        <v xml:space="preserve"> </v>
      </c>
      <c r="L253" s="2" t="str">
        <f t="shared" si="16"/>
        <v xml:space="preserve"> </v>
      </c>
      <c r="M253" s="2" t="str">
        <f t="shared" si="17"/>
        <v xml:space="preserve"> </v>
      </c>
    </row>
    <row r="254" spans="1:13" x14ac:dyDescent="0.25">
      <c r="A254" s="42" t="str">
        <f t="shared" si="15"/>
        <v xml:space="preserve"> </v>
      </c>
      <c r="D254" s="41"/>
      <c r="E254" s="41"/>
      <c r="J254" s="17">
        <f t="shared" si="18"/>
        <v>0</v>
      </c>
      <c r="K254" s="2" t="str">
        <f t="shared" si="19"/>
        <v xml:space="preserve"> </v>
      </c>
      <c r="L254" s="2" t="str">
        <f t="shared" si="16"/>
        <v xml:space="preserve"> </v>
      </c>
      <c r="M254" s="2" t="str">
        <f t="shared" si="17"/>
        <v xml:space="preserve"> </v>
      </c>
    </row>
    <row r="255" spans="1:13" x14ac:dyDescent="0.25">
      <c r="A255" s="42" t="str">
        <f t="shared" si="15"/>
        <v xml:space="preserve"> </v>
      </c>
      <c r="D255" s="41"/>
      <c r="E255" s="41"/>
      <c r="J255" s="17">
        <f t="shared" si="18"/>
        <v>0</v>
      </c>
      <c r="K255" s="2" t="str">
        <f t="shared" si="19"/>
        <v xml:space="preserve"> </v>
      </c>
      <c r="L255" s="2" t="str">
        <f t="shared" si="16"/>
        <v xml:space="preserve"> </v>
      </c>
      <c r="M255" s="2" t="str">
        <f t="shared" si="17"/>
        <v xml:space="preserve"> </v>
      </c>
    </row>
    <row r="256" spans="1:13" x14ac:dyDescent="0.25">
      <c r="A256" s="42" t="str">
        <f t="shared" si="15"/>
        <v xml:space="preserve"> </v>
      </c>
      <c r="D256" s="41"/>
      <c r="E256" s="41"/>
      <c r="J256" s="17">
        <f t="shared" si="18"/>
        <v>0</v>
      </c>
      <c r="K256" s="2" t="str">
        <f t="shared" si="19"/>
        <v xml:space="preserve"> </v>
      </c>
      <c r="L256" s="2" t="str">
        <f t="shared" si="16"/>
        <v xml:space="preserve"> </v>
      </c>
      <c r="M256" s="2" t="str">
        <f t="shared" si="17"/>
        <v xml:space="preserve"> </v>
      </c>
    </row>
    <row r="257" spans="1:13" x14ac:dyDescent="0.25">
      <c r="A257" s="42" t="str">
        <f t="shared" si="15"/>
        <v xml:space="preserve"> </v>
      </c>
      <c r="D257" s="41"/>
      <c r="E257" s="41"/>
      <c r="J257" s="17">
        <f t="shared" si="18"/>
        <v>0</v>
      </c>
      <c r="K257" s="2" t="str">
        <f t="shared" si="19"/>
        <v xml:space="preserve"> </v>
      </c>
      <c r="L257" s="2" t="str">
        <f t="shared" si="16"/>
        <v xml:space="preserve"> </v>
      </c>
      <c r="M257" s="2" t="str">
        <f t="shared" si="17"/>
        <v xml:space="preserve"> </v>
      </c>
    </row>
    <row r="258" spans="1:13" x14ac:dyDescent="0.25">
      <c r="A258" s="42" t="str">
        <f t="shared" si="15"/>
        <v xml:space="preserve"> </v>
      </c>
      <c r="D258" s="41"/>
      <c r="E258" s="41"/>
      <c r="J258" s="17">
        <f t="shared" si="18"/>
        <v>0</v>
      </c>
      <c r="K258" s="2" t="str">
        <f t="shared" si="19"/>
        <v xml:space="preserve"> </v>
      </c>
      <c r="L258" s="2" t="str">
        <f t="shared" si="16"/>
        <v xml:space="preserve"> </v>
      </c>
      <c r="M258" s="2" t="str">
        <f t="shared" si="17"/>
        <v xml:space="preserve"> </v>
      </c>
    </row>
    <row r="259" spans="1:13" x14ac:dyDescent="0.25">
      <c r="A259" s="42" t="str">
        <f t="shared" si="15"/>
        <v xml:space="preserve"> </v>
      </c>
      <c r="D259" s="41"/>
      <c r="E259" s="41"/>
      <c r="J259" s="17">
        <f t="shared" si="18"/>
        <v>0</v>
      </c>
      <c r="K259" s="2" t="str">
        <f t="shared" si="19"/>
        <v xml:space="preserve"> </v>
      </c>
      <c r="L259" s="2" t="str">
        <f t="shared" si="16"/>
        <v xml:space="preserve"> </v>
      </c>
      <c r="M259" s="2" t="str">
        <f t="shared" si="17"/>
        <v xml:space="preserve"> </v>
      </c>
    </row>
    <row r="260" spans="1:13" x14ac:dyDescent="0.25">
      <c r="A260" s="42" t="str">
        <f t="shared" si="15"/>
        <v xml:space="preserve"> </v>
      </c>
      <c r="D260" s="41"/>
      <c r="E260" s="41"/>
      <c r="J260" s="17">
        <f t="shared" si="18"/>
        <v>0</v>
      </c>
      <c r="K260" s="2" t="str">
        <f t="shared" si="19"/>
        <v xml:space="preserve"> </v>
      </c>
      <c r="L260" s="2" t="str">
        <f t="shared" si="16"/>
        <v xml:space="preserve"> </v>
      </c>
      <c r="M260" s="2" t="str">
        <f t="shared" si="17"/>
        <v xml:space="preserve"> </v>
      </c>
    </row>
    <row r="261" spans="1:13" x14ac:dyDescent="0.25">
      <c r="A261" s="42" t="str">
        <f t="shared" si="15"/>
        <v xml:space="preserve"> </v>
      </c>
      <c r="D261" s="41"/>
      <c r="E261" s="41"/>
      <c r="J261" s="17">
        <f t="shared" si="18"/>
        <v>0</v>
      </c>
      <c r="K261" s="2" t="str">
        <f t="shared" si="19"/>
        <v xml:space="preserve"> </v>
      </c>
      <c r="L261" s="2" t="str">
        <f t="shared" si="16"/>
        <v xml:space="preserve"> </v>
      </c>
      <c r="M261" s="2" t="str">
        <f t="shared" si="17"/>
        <v xml:space="preserve"> </v>
      </c>
    </row>
    <row r="262" spans="1:13" x14ac:dyDescent="0.25">
      <c r="A262" s="42" t="str">
        <f t="shared" si="15"/>
        <v xml:space="preserve"> </v>
      </c>
      <c r="D262" s="41"/>
      <c r="E262" s="41"/>
      <c r="J262" s="17">
        <f t="shared" si="18"/>
        <v>0</v>
      </c>
      <c r="K262" s="2" t="str">
        <f t="shared" si="19"/>
        <v xml:space="preserve"> </v>
      </c>
      <c r="L262" s="2" t="str">
        <f t="shared" si="16"/>
        <v xml:space="preserve"> </v>
      </c>
      <c r="M262" s="2" t="str">
        <f t="shared" si="17"/>
        <v xml:space="preserve"> </v>
      </c>
    </row>
    <row r="263" spans="1:13" x14ac:dyDescent="0.25">
      <c r="A263" s="42" t="str">
        <f t="shared" si="15"/>
        <v xml:space="preserve"> </v>
      </c>
      <c r="D263" s="41"/>
      <c r="E263" s="41"/>
      <c r="J263" s="17">
        <f t="shared" si="18"/>
        <v>0</v>
      </c>
      <c r="K263" s="2" t="str">
        <f t="shared" si="19"/>
        <v xml:space="preserve"> </v>
      </c>
      <c r="L263" s="2" t="str">
        <f t="shared" si="16"/>
        <v xml:space="preserve"> </v>
      </c>
      <c r="M263" s="2" t="str">
        <f t="shared" si="17"/>
        <v xml:space="preserve"> </v>
      </c>
    </row>
    <row r="264" spans="1:13" x14ac:dyDescent="0.25">
      <c r="A264" s="42" t="str">
        <f t="shared" si="15"/>
        <v xml:space="preserve"> </v>
      </c>
      <c r="D264" s="41"/>
      <c r="E264" s="41"/>
      <c r="J264" s="17">
        <f t="shared" si="18"/>
        <v>0</v>
      </c>
      <c r="K264" s="2" t="str">
        <f t="shared" si="19"/>
        <v xml:space="preserve"> </v>
      </c>
      <c r="L264" s="2" t="str">
        <f t="shared" si="16"/>
        <v xml:space="preserve"> </v>
      </c>
      <c r="M264" s="2" t="str">
        <f t="shared" si="17"/>
        <v xml:space="preserve"> </v>
      </c>
    </row>
    <row r="265" spans="1:13" x14ac:dyDescent="0.25">
      <c r="A265" s="42" t="str">
        <f t="shared" si="15"/>
        <v xml:space="preserve"> </v>
      </c>
      <c r="D265" s="41"/>
      <c r="E265" s="41"/>
      <c r="J265" s="17">
        <f t="shared" si="18"/>
        <v>0</v>
      </c>
      <c r="K265" s="2" t="str">
        <f t="shared" si="19"/>
        <v xml:space="preserve"> </v>
      </c>
      <c r="L265" s="2" t="str">
        <f t="shared" si="16"/>
        <v xml:space="preserve"> </v>
      </c>
      <c r="M265" s="2" t="str">
        <f t="shared" si="17"/>
        <v xml:space="preserve"> </v>
      </c>
    </row>
    <row r="266" spans="1:13" x14ac:dyDescent="0.25">
      <c r="A266" s="42" t="str">
        <f t="shared" si="15"/>
        <v xml:space="preserve"> </v>
      </c>
      <c r="D266" s="41"/>
      <c r="E266" s="41"/>
      <c r="J266" s="17">
        <f t="shared" si="18"/>
        <v>0</v>
      </c>
      <c r="K266" s="2" t="str">
        <f t="shared" si="19"/>
        <v xml:space="preserve"> </v>
      </c>
      <c r="L266" s="2" t="str">
        <f t="shared" si="16"/>
        <v xml:space="preserve"> </v>
      </c>
      <c r="M266" s="2" t="str">
        <f t="shared" si="17"/>
        <v xml:space="preserve"> </v>
      </c>
    </row>
    <row r="267" spans="1:13" x14ac:dyDescent="0.25">
      <c r="A267" s="42" t="str">
        <f t="shared" si="15"/>
        <v xml:space="preserve"> </v>
      </c>
      <c r="D267" s="41"/>
      <c r="E267" s="41"/>
      <c r="J267" s="17">
        <f t="shared" si="18"/>
        <v>0</v>
      </c>
      <c r="K267" s="2" t="str">
        <f t="shared" si="19"/>
        <v xml:space="preserve"> </v>
      </c>
      <c r="L267" s="2" t="str">
        <f t="shared" si="16"/>
        <v xml:space="preserve"> </v>
      </c>
      <c r="M267" s="2" t="str">
        <f t="shared" si="17"/>
        <v xml:space="preserve"> </v>
      </c>
    </row>
    <row r="268" spans="1:13" x14ac:dyDescent="0.25">
      <c r="A268" s="42" t="str">
        <f t="shared" si="15"/>
        <v xml:space="preserve"> </v>
      </c>
      <c r="D268" s="41"/>
      <c r="E268" s="41"/>
      <c r="J268" s="17">
        <f t="shared" si="18"/>
        <v>0</v>
      </c>
      <c r="K268" s="2" t="str">
        <f t="shared" si="19"/>
        <v xml:space="preserve"> </v>
      </c>
      <c r="L268" s="2" t="str">
        <f t="shared" si="16"/>
        <v xml:space="preserve"> </v>
      </c>
      <c r="M268" s="2" t="str">
        <f t="shared" si="17"/>
        <v xml:space="preserve"> </v>
      </c>
    </row>
    <row r="269" spans="1:13" x14ac:dyDescent="0.25">
      <c r="A269" s="42" t="str">
        <f t="shared" si="15"/>
        <v xml:space="preserve"> </v>
      </c>
      <c r="D269" s="41"/>
      <c r="E269" s="41"/>
      <c r="J269" s="17">
        <f t="shared" si="18"/>
        <v>0</v>
      </c>
      <c r="K269" s="2" t="str">
        <f t="shared" si="19"/>
        <v xml:space="preserve"> </v>
      </c>
      <c r="L269" s="2" t="str">
        <f t="shared" si="16"/>
        <v xml:space="preserve"> </v>
      </c>
      <c r="M269" s="2" t="str">
        <f t="shared" si="17"/>
        <v xml:space="preserve"> </v>
      </c>
    </row>
    <row r="270" spans="1:13" x14ac:dyDescent="0.25">
      <c r="A270" s="42" t="str">
        <f t="shared" si="15"/>
        <v xml:space="preserve"> </v>
      </c>
      <c r="D270" s="41"/>
      <c r="E270" s="41"/>
      <c r="J270" s="17">
        <f t="shared" si="18"/>
        <v>0</v>
      </c>
      <c r="K270" s="2" t="str">
        <f t="shared" si="19"/>
        <v xml:space="preserve"> </v>
      </c>
      <c r="L270" s="2" t="str">
        <f t="shared" si="16"/>
        <v xml:space="preserve"> </v>
      </c>
      <c r="M270" s="2" t="str">
        <f t="shared" si="17"/>
        <v xml:space="preserve"> </v>
      </c>
    </row>
    <row r="271" spans="1:13" x14ac:dyDescent="0.25">
      <c r="A271" s="42" t="str">
        <f t="shared" ref="A271:A334" si="20">IF(COUNTIF(K271:M271,"ERROR")&gt;0,"ERROR"," ")</f>
        <v xml:space="preserve"> </v>
      </c>
      <c r="D271" s="41"/>
      <c r="E271" s="41"/>
      <c r="J271" s="17">
        <f t="shared" si="18"/>
        <v>0</v>
      </c>
      <c r="K271" s="2" t="str">
        <f t="shared" si="19"/>
        <v xml:space="preserve"> </v>
      </c>
      <c r="L271" s="2" t="str">
        <f t="shared" ref="L271:L334" si="21">IF(D271=0," ",IF(COUNTIF(ProfitLoss2,D271)&gt;0," ","ERROR"))</f>
        <v xml:space="preserve"> </v>
      </c>
      <c r="M271" s="2" t="str">
        <f t="shared" ref="M271:M334" si="22">IF(E271=0," ",IF(COUNTIF(BalanceSheetA,E271)&gt;0," ","ERROR"))</f>
        <v xml:space="preserve"> </v>
      </c>
    </row>
    <row r="272" spans="1:13" x14ac:dyDescent="0.25">
      <c r="A272" s="42" t="str">
        <f t="shared" si="20"/>
        <v xml:space="preserve"> </v>
      </c>
      <c r="D272" s="41"/>
      <c r="E272" s="41"/>
      <c r="J272" s="17">
        <f t="shared" ref="J272:J335" si="23">F272-G272+H272-I272</f>
        <v>0</v>
      </c>
      <c r="K272" s="2" t="str">
        <f t="shared" ref="K272:K335" si="24">IF(COUNTA(D272:E272)=2,"ERROR"," ")</f>
        <v xml:space="preserve"> </v>
      </c>
      <c r="L272" s="2" t="str">
        <f t="shared" si="21"/>
        <v xml:space="preserve"> </v>
      </c>
      <c r="M272" s="2" t="str">
        <f t="shared" si="22"/>
        <v xml:space="preserve"> </v>
      </c>
    </row>
    <row r="273" spans="1:13" x14ac:dyDescent="0.25">
      <c r="A273" s="42" t="str">
        <f t="shared" si="20"/>
        <v xml:space="preserve"> </v>
      </c>
      <c r="D273" s="41"/>
      <c r="E273" s="41"/>
      <c r="J273" s="17">
        <f t="shared" si="23"/>
        <v>0</v>
      </c>
      <c r="K273" s="2" t="str">
        <f t="shared" si="24"/>
        <v xml:space="preserve"> </v>
      </c>
      <c r="L273" s="2" t="str">
        <f t="shared" si="21"/>
        <v xml:space="preserve"> </v>
      </c>
      <c r="M273" s="2" t="str">
        <f t="shared" si="22"/>
        <v xml:space="preserve"> </v>
      </c>
    </row>
    <row r="274" spans="1:13" x14ac:dyDescent="0.25">
      <c r="A274" s="42" t="str">
        <f t="shared" si="20"/>
        <v xml:space="preserve"> </v>
      </c>
      <c r="D274" s="41"/>
      <c r="E274" s="41"/>
      <c r="J274" s="17">
        <f t="shared" si="23"/>
        <v>0</v>
      </c>
      <c r="K274" s="2" t="str">
        <f t="shared" si="24"/>
        <v xml:space="preserve"> </v>
      </c>
      <c r="L274" s="2" t="str">
        <f t="shared" si="21"/>
        <v xml:space="preserve"> </v>
      </c>
      <c r="M274" s="2" t="str">
        <f t="shared" si="22"/>
        <v xml:space="preserve"> </v>
      </c>
    </row>
    <row r="275" spans="1:13" x14ac:dyDescent="0.25">
      <c r="A275" s="42" t="str">
        <f t="shared" si="20"/>
        <v xml:space="preserve"> </v>
      </c>
      <c r="D275" s="41"/>
      <c r="E275" s="41"/>
      <c r="J275" s="17">
        <f t="shared" si="23"/>
        <v>0</v>
      </c>
      <c r="K275" s="2" t="str">
        <f t="shared" si="24"/>
        <v xml:space="preserve"> </v>
      </c>
      <c r="L275" s="2" t="str">
        <f t="shared" si="21"/>
        <v xml:space="preserve"> </v>
      </c>
      <c r="M275" s="2" t="str">
        <f t="shared" si="22"/>
        <v xml:space="preserve"> </v>
      </c>
    </row>
    <row r="276" spans="1:13" x14ac:dyDescent="0.25">
      <c r="A276" s="42" t="str">
        <f t="shared" si="20"/>
        <v xml:space="preserve"> </v>
      </c>
      <c r="D276" s="41"/>
      <c r="E276" s="41"/>
      <c r="J276" s="17">
        <f t="shared" si="23"/>
        <v>0</v>
      </c>
      <c r="K276" s="2" t="str">
        <f t="shared" si="24"/>
        <v xml:space="preserve"> </v>
      </c>
      <c r="L276" s="2" t="str">
        <f t="shared" si="21"/>
        <v xml:space="preserve"> </v>
      </c>
      <c r="M276" s="2" t="str">
        <f t="shared" si="22"/>
        <v xml:space="preserve"> </v>
      </c>
    </row>
    <row r="277" spans="1:13" x14ac:dyDescent="0.25">
      <c r="A277" s="42" t="str">
        <f t="shared" si="20"/>
        <v xml:space="preserve"> </v>
      </c>
      <c r="D277" s="41"/>
      <c r="E277" s="41"/>
      <c r="J277" s="17">
        <f t="shared" si="23"/>
        <v>0</v>
      </c>
      <c r="K277" s="2" t="str">
        <f t="shared" si="24"/>
        <v xml:space="preserve"> </v>
      </c>
      <c r="L277" s="2" t="str">
        <f t="shared" si="21"/>
        <v xml:space="preserve"> </v>
      </c>
      <c r="M277" s="2" t="str">
        <f t="shared" si="22"/>
        <v xml:space="preserve"> </v>
      </c>
    </row>
    <row r="278" spans="1:13" x14ac:dyDescent="0.25">
      <c r="A278" s="42" t="str">
        <f t="shared" si="20"/>
        <v xml:space="preserve"> </v>
      </c>
      <c r="D278" s="41"/>
      <c r="E278" s="41"/>
      <c r="J278" s="17">
        <f t="shared" si="23"/>
        <v>0</v>
      </c>
      <c r="K278" s="2" t="str">
        <f t="shared" si="24"/>
        <v xml:space="preserve"> </v>
      </c>
      <c r="L278" s="2" t="str">
        <f t="shared" si="21"/>
        <v xml:space="preserve"> </v>
      </c>
      <c r="M278" s="2" t="str">
        <f t="shared" si="22"/>
        <v xml:space="preserve"> </v>
      </c>
    </row>
    <row r="279" spans="1:13" x14ac:dyDescent="0.25">
      <c r="A279" s="42" t="str">
        <f t="shared" si="20"/>
        <v xml:space="preserve"> </v>
      </c>
      <c r="D279" s="41"/>
      <c r="E279" s="41"/>
      <c r="J279" s="17">
        <f t="shared" si="23"/>
        <v>0</v>
      </c>
      <c r="K279" s="2" t="str">
        <f t="shared" si="24"/>
        <v xml:space="preserve"> </v>
      </c>
      <c r="L279" s="2" t="str">
        <f t="shared" si="21"/>
        <v xml:space="preserve"> </v>
      </c>
      <c r="M279" s="2" t="str">
        <f t="shared" si="22"/>
        <v xml:space="preserve"> </v>
      </c>
    </row>
    <row r="280" spans="1:13" x14ac:dyDescent="0.25">
      <c r="A280" s="42" t="str">
        <f t="shared" si="20"/>
        <v xml:space="preserve"> </v>
      </c>
      <c r="D280" s="41"/>
      <c r="E280" s="41"/>
      <c r="J280" s="17">
        <f t="shared" si="23"/>
        <v>0</v>
      </c>
      <c r="K280" s="2" t="str">
        <f t="shared" si="24"/>
        <v xml:space="preserve"> </v>
      </c>
      <c r="L280" s="2" t="str">
        <f t="shared" si="21"/>
        <v xml:space="preserve"> </v>
      </c>
      <c r="M280" s="2" t="str">
        <f t="shared" si="22"/>
        <v xml:space="preserve"> </v>
      </c>
    </row>
    <row r="281" spans="1:13" x14ac:dyDescent="0.25">
      <c r="A281" s="42" t="str">
        <f t="shared" si="20"/>
        <v xml:space="preserve"> </v>
      </c>
      <c r="D281" s="41"/>
      <c r="E281" s="41"/>
      <c r="J281" s="17">
        <f t="shared" si="23"/>
        <v>0</v>
      </c>
      <c r="K281" s="2" t="str">
        <f t="shared" si="24"/>
        <v xml:space="preserve"> </v>
      </c>
      <c r="L281" s="2" t="str">
        <f t="shared" si="21"/>
        <v xml:space="preserve"> </v>
      </c>
      <c r="M281" s="2" t="str">
        <f t="shared" si="22"/>
        <v xml:space="preserve"> </v>
      </c>
    </row>
    <row r="282" spans="1:13" x14ac:dyDescent="0.25">
      <c r="A282" s="42" t="str">
        <f t="shared" si="20"/>
        <v xml:space="preserve"> </v>
      </c>
      <c r="D282" s="41"/>
      <c r="E282" s="41"/>
      <c r="J282" s="17">
        <f t="shared" si="23"/>
        <v>0</v>
      </c>
      <c r="K282" s="2" t="str">
        <f t="shared" si="24"/>
        <v xml:space="preserve"> </v>
      </c>
      <c r="L282" s="2" t="str">
        <f t="shared" si="21"/>
        <v xml:space="preserve"> </v>
      </c>
      <c r="M282" s="2" t="str">
        <f t="shared" si="22"/>
        <v xml:space="preserve"> </v>
      </c>
    </row>
    <row r="283" spans="1:13" x14ac:dyDescent="0.25">
      <c r="A283" s="42" t="str">
        <f t="shared" si="20"/>
        <v xml:space="preserve"> </v>
      </c>
      <c r="D283" s="41"/>
      <c r="E283" s="41"/>
      <c r="J283" s="17">
        <f t="shared" si="23"/>
        <v>0</v>
      </c>
      <c r="K283" s="2" t="str">
        <f t="shared" si="24"/>
        <v xml:space="preserve"> </v>
      </c>
      <c r="L283" s="2" t="str">
        <f t="shared" si="21"/>
        <v xml:space="preserve"> </v>
      </c>
      <c r="M283" s="2" t="str">
        <f t="shared" si="22"/>
        <v xml:space="preserve"> </v>
      </c>
    </row>
    <row r="284" spans="1:13" x14ac:dyDescent="0.25">
      <c r="A284" s="42" t="str">
        <f t="shared" si="20"/>
        <v xml:space="preserve"> </v>
      </c>
      <c r="D284" s="41"/>
      <c r="E284" s="41"/>
      <c r="J284" s="17">
        <f t="shared" si="23"/>
        <v>0</v>
      </c>
      <c r="K284" s="2" t="str">
        <f t="shared" si="24"/>
        <v xml:space="preserve"> </v>
      </c>
      <c r="L284" s="2" t="str">
        <f t="shared" si="21"/>
        <v xml:space="preserve"> </v>
      </c>
      <c r="M284" s="2" t="str">
        <f t="shared" si="22"/>
        <v xml:space="preserve"> </v>
      </c>
    </row>
    <row r="285" spans="1:13" x14ac:dyDescent="0.25">
      <c r="A285" s="42" t="str">
        <f t="shared" si="20"/>
        <v xml:space="preserve"> </v>
      </c>
      <c r="D285" s="41"/>
      <c r="E285" s="41"/>
      <c r="J285" s="17">
        <f t="shared" si="23"/>
        <v>0</v>
      </c>
      <c r="K285" s="2" t="str">
        <f t="shared" si="24"/>
        <v xml:space="preserve"> </v>
      </c>
      <c r="L285" s="2" t="str">
        <f t="shared" si="21"/>
        <v xml:space="preserve"> </v>
      </c>
      <c r="M285" s="2" t="str">
        <f t="shared" si="22"/>
        <v xml:space="preserve"> </v>
      </c>
    </row>
    <row r="286" spans="1:13" x14ac:dyDescent="0.25">
      <c r="A286" s="42" t="str">
        <f t="shared" si="20"/>
        <v xml:space="preserve"> </v>
      </c>
      <c r="D286" s="41"/>
      <c r="E286" s="41"/>
      <c r="J286" s="17">
        <f t="shared" si="23"/>
        <v>0</v>
      </c>
      <c r="K286" s="2" t="str">
        <f t="shared" si="24"/>
        <v xml:space="preserve"> </v>
      </c>
      <c r="L286" s="2" t="str">
        <f t="shared" si="21"/>
        <v xml:space="preserve"> </v>
      </c>
      <c r="M286" s="2" t="str">
        <f t="shared" si="22"/>
        <v xml:space="preserve"> </v>
      </c>
    </row>
    <row r="287" spans="1:13" x14ac:dyDescent="0.25">
      <c r="A287" s="42" t="str">
        <f t="shared" si="20"/>
        <v xml:space="preserve"> </v>
      </c>
      <c r="D287" s="41"/>
      <c r="E287" s="41"/>
      <c r="J287" s="17">
        <f t="shared" si="23"/>
        <v>0</v>
      </c>
      <c r="K287" s="2" t="str">
        <f t="shared" si="24"/>
        <v xml:space="preserve"> </v>
      </c>
      <c r="L287" s="2" t="str">
        <f t="shared" si="21"/>
        <v xml:space="preserve"> </v>
      </c>
      <c r="M287" s="2" t="str">
        <f t="shared" si="22"/>
        <v xml:space="preserve"> </v>
      </c>
    </row>
    <row r="288" spans="1:13" x14ac:dyDescent="0.25">
      <c r="A288" s="42" t="str">
        <f t="shared" si="20"/>
        <v xml:space="preserve"> </v>
      </c>
      <c r="D288" s="41"/>
      <c r="E288" s="41"/>
      <c r="J288" s="17">
        <f t="shared" si="23"/>
        <v>0</v>
      </c>
      <c r="K288" s="2" t="str">
        <f t="shared" si="24"/>
        <v xml:space="preserve"> </v>
      </c>
      <c r="L288" s="2" t="str">
        <f t="shared" si="21"/>
        <v xml:space="preserve"> </v>
      </c>
      <c r="M288" s="2" t="str">
        <f t="shared" si="22"/>
        <v xml:space="preserve"> </v>
      </c>
    </row>
    <row r="289" spans="1:13" x14ac:dyDescent="0.25">
      <c r="A289" s="42" t="str">
        <f t="shared" si="20"/>
        <v xml:space="preserve"> </v>
      </c>
      <c r="D289" s="41"/>
      <c r="E289" s="41"/>
      <c r="J289" s="17">
        <f t="shared" si="23"/>
        <v>0</v>
      </c>
      <c r="K289" s="2" t="str">
        <f t="shared" si="24"/>
        <v xml:space="preserve"> </v>
      </c>
      <c r="L289" s="2" t="str">
        <f t="shared" si="21"/>
        <v xml:space="preserve"> </v>
      </c>
      <c r="M289" s="2" t="str">
        <f t="shared" si="22"/>
        <v xml:space="preserve"> </v>
      </c>
    </row>
    <row r="290" spans="1:13" x14ac:dyDescent="0.25">
      <c r="A290" s="42" t="str">
        <f t="shared" si="20"/>
        <v xml:space="preserve"> </v>
      </c>
      <c r="D290" s="41"/>
      <c r="E290" s="41"/>
      <c r="J290" s="17">
        <f t="shared" si="23"/>
        <v>0</v>
      </c>
      <c r="K290" s="2" t="str">
        <f t="shared" si="24"/>
        <v xml:space="preserve"> </v>
      </c>
      <c r="L290" s="2" t="str">
        <f t="shared" si="21"/>
        <v xml:space="preserve"> </v>
      </c>
      <c r="M290" s="2" t="str">
        <f t="shared" si="22"/>
        <v xml:space="preserve"> </v>
      </c>
    </row>
    <row r="291" spans="1:13" x14ac:dyDescent="0.25">
      <c r="A291" s="42" t="str">
        <f t="shared" si="20"/>
        <v xml:space="preserve"> </v>
      </c>
      <c r="D291" s="41"/>
      <c r="E291" s="41"/>
      <c r="J291" s="17">
        <f t="shared" si="23"/>
        <v>0</v>
      </c>
      <c r="K291" s="2" t="str">
        <f t="shared" si="24"/>
        <v xml:space="preserve"> </v>
      </c>
      <c r="L291" s="2" t="str">
        <f t="shared" si="21"/>
        <v xml:space="preserve"> </v>
      </c>
      <c r="M291" s="2" t="str">
        <f t="shared" si="22"/>
        <v xml:space="preserve"> </v>
      </c>
    </row>
    <row r="292" spans="1:13" x14ac:dyDescent="0.25">
      <c r="A292" s="42" t="str">
        <f t="shared" si="20"/>
        <v xml:space="preserve"> </v>
      </c>
      <c r="D292" s="41"/>
      <c r="E292" s="41"/>
      <c r="J292" s="17">
        <f t="shared" si="23"/>
        <v>0</v>
      </c>
      <c r="K292" s="2" t="str">
        <f t="shared" si="24"/>
        <v xml:space="preserve"> </v>
      </c>
      <c r="L292" s="2" t="str">
        <f t="shared" si="21"/>
        <v xml:space="preserve"> </v>
      </c>
      <c r="M292" s="2" t="str">
        <f t="shared" si="22"/>
        <v xml:space="preserve"> </v>
      </c>
    </row>
    <row r="293" spans="1:13" x14ac:dyDescent="0.25">
      <c r="A293" s="42" t="str">
        <f t="shared" si="20"/>
        <v xml:space="preserve"> </v>
      </c>
      <c r="D293" s="41"/>
      <c r="E293" s="41"/>
      <c r="J293" s="17">
        <f t="shared" si="23"/>
        <v>0</v>
      </c>
      <c r="K293" s="2" t="str">
        <f t="shared" si="24"/>
        <v xml:space="preserve"> </v>
      </c>
      <c r="L293" s="2" t="str">
        <f t="shared" si="21"/>
        <v xml:space="preserve"> </v>
      </c>
      <c r="M293" s="2" t="str">
        <f t="shared" si="22"/>
        <v xml:space="preserve"> </v>
      </c>
    </row>
    <row r="294" spans="1:13" x14ac:dyDescent="0.25">
      <c r="A294" s="42" t="str">
        <f t="shared" si="20"/>
        <v xml:space="preserve"> </v>
      </c>
      <c r="D294" s="41"/>
      <c r="E294" s="41"/>
      <c r="J294" s="17">
        <f t="shared" si="23"/>
        <v>0</v>
      </c>
      <c r="K294" s="2" t="str">
        <f t="shared" si="24"/>
        <v xml:space="preserve"> </v>
      </c>
      <c r="L294" s="2" t="str">
        <f t="shared" si="21"/>
        <v xml:space="preserve"> </v>
      </c>
      <c r="M294" s="2" t="str">
        <f t="shared" si="22"/>
        <v xml:space="preserve"> </v>
      </c>
    </row>
    <row r="295" spans="1:13" x14ac:dyDescent="0.25">
      <c r="A295" s="42" t="str">
        <f t="shared" si="20"/>
        <v xml:space="preserve"> </v>
      </c>
      <c r="D295" s="41"/>
      <c r="E295" s="41"/>
      <c r="J295" s="17">
        <f t="shared" si="23"/>
        <v>0</v>
      </c>
      <c r="K295" s="2" t="str">
        <f t="shared" si="24"/>
        <v xml:space="preserve"> </v>
      </c>
      <c r="L295" s="2" t="str">
        <f t="shared" si="21"/>
        <v xml:space="preserve"> </v>
      </c>
      <c r="M295" s="2" t="str">
        <f t="shared" si="22"/>
        <v xml:space="preserve"> </v>
      </c>
    </row>
    <row r="296" spans="1:13" x14ac:dyDescent="0.25">
      <c r="A296" s="42" t="str">
        <f t="shared" si="20"/>
        <v xml:space="preserve"> </v>
      </c>
      <c r="D296" s="41"/>
      <c r="E296" s="41"/>
      <c r="J296" s="17">
        <f t="shared" si="23"/>
        <v>0</v>
      </c>
      <c r="K296" s="2" t="str">
        <f t="shared" si="24"/>
        <v xml:space="preserve"> </v>
      </c>
      <c r="L296" s="2" t="str">
        <f t="shared" si="21"/>
        <v xml:space="preserve"> </v>
      </c>
      <c r="M296" s="2" t="str">
        <f t="shared" si="22"/>
        <v xml:space="preserve"> </v>
      </c>
    </row>
    <row r="297" spans="1:13" x14ac:dyDescent="0.25">
      <c r="A297" s="42" t="str">
        <f t="shared" si="20"/>
        <v xml:space="preserve"> </v>
      </c>
      <c r="D297" s="41"/>
      <c r="E297" s="41"/>
      <c r="J297" s="17">
        <f t="shared" si="23"/>
        <v>0</v>
      </c>
      <c r="K297" s="2" t="str">
        <f t="shared" si="24"/>
        <v xml:space="preserve"> </v>
      </c>
      <c r="L297" s="2" t="str">
        <f t="shared" si="21"/>
        <v xml:space="preserve"> </v>
      </c>
      <c r="M297" s="2" t="str">
        <f t="shared" si="22"/>
        <v xml:space="preserve"> </v>
      </c>
    </row>
    <row r="298" spans="1:13" x14ac:dyDescent="0.25">
      <c r="A298" s="42" t="str">
        <f t="shared" si="20"/>
        <v xml:space="preserve"> </v>
      </c>
      <c r="D298" s="41"/>
      <c r="E298" s="41"/>
      <c r="J298" s="17">
        <f t="shared" si="23"/>
        <v>0</v>
      </c>
      <c r="K298" s="2" t="str">
        <f t="shared" si="24"/>
        <v xml:space="preserve"> </v>
      </c>
      <c r="L298" s="2" t="str">
        <f t="shared" si="21"/>
        <v xml:space="preserve"> </v>
      </c>
      <c r="M298" s="2" t="str">
        <f t="shared" si="22"/>
        <v xml:space="preserve"> </v>
      </c>
    </row>
    <row r="299" spans="1:13" x14ac:dyDescent="0.25">
      <c r="A299" s="42" t="str">
        <f t="shared" si="20"/>
        <v xml:space="preserve"> </v>
      </c>
      <c r="D299" s="41"/>
      <c r="E299" s="41"/>
      <c r="J299" s="17">
        <f t="shared" si="23"/>
        <v>0</v>
      </c>
      <c r="K299" s="2" t="str">
        <f t="shared" si="24"/>
        <v xml:space="preserve"> </v>
      </c>
      <c r="L299" s="2" t="str">
        <f t="shared" si="21"/>
        <v xml:space="preserve"> </v>
      </c>
      <c r="M299" s="2" t="str">
        <f t="shared" si="22"/>
        <v xml:space="preserve"> </v>
      </c>
    </row>
    <row r="300" spans="1:13" x14ac:dyDescent="0.25">
      <c r="A300" s="42" t="str">
        <f t="shared" si="20"/>
        <v xml:space="preserve"> </v>
      </c>
      <c r="D300" s="41"/>
      <c r="E300" s="41"/>
      <c r="J300" s="17">
        <f t="shared" si="23"/>
        <v>0</v>
      </c>
      <c r="K300" s="2" t="str">
        <f t="shared" si="24"/>
        <v xml:space="preserve"> </v>
      </c>
      <c r="L300" s="2" t="str">
        <f t="shared" si="21"/>
        <v xml:space="preserve"> </v>
      </c>
      <c r="M300" s="2" t="str">
        <f t="shared" si="22"/>
        <v xml:space="preserve"> </v>
      </c>
    </row>
    <row r="301" spans="1:13" x14ac:dyDescent="0.25">
      <c r="A301" s="42" t="str">
        <f t="shared" si="20"/>
        <v xml:space="preserve"> </v>
      </c>
      <c r="D301" s="41"/>
      <c r="E301" s="41"/>
      <c r="J301" s="17">
        <f t="shared" si="23"/>
        <v>0</v>
      </c>
      <c r="K301" s="2" t="str">
        <f t="shared" si="24"/>
        <v xml:space="preserve"> </v>
      </c>
      <c r="L301" s="2" t="str">
        <f t="shared" si="21"/>
        <v xml:space="preserve"> </v>
      </c>
      <c r="M301" s="2" t="str">
        <f t="shared" si="22"/>
        <v xml:space="preserve"> </v>
      </c>
    </row>
    <row r="302" spans="1:13" x14ac:dyDescent="0.25">
      <c r="A302" s="42" t="str">
        <f t="shared" si="20"/>
        <v xml:space="preserve"> </v>
      </c>
      <c r="D302" s="41"/>
      <c r="E302" s="41"/>
      <c r="J302" s="17">
        <f t="shared" si="23"/>
        <v>0</v>
      </c>
      <c r="K302" s="2" t="str">
        <f t="shared" si="24"/>
        <v xml:space="preserve"> </v>
      </c>
      <c r="L302" s="2" t="str">
        <f t="shared" si="21"/>
        <v xml:space="preserve"> </v>
      </c>
      <c r="M302" s="2" t="str">
        <f t="shared" si="22"/>
        <v xml:space="preserve"> </v>
      </c>
    </row>
    <row r="303" spans="1:13" x14ac:dyDescent="0.25">
      <c r="A303" s="42" t="str">
        <f t="shared" si="20"/>
        <v xml:space="preserve"> </v>
      </c>
      <c r="D303" s="41"/>
      <c r="E303" s="41"/>
      <c r="J303" s="17">
        <f t="shared" si="23"/>
        <v>0</v>
      </c>
      <c r="K303" s="2" t="str">
        <f t="shared" si="24"/>
        <v xml:space="preserve"> </v>
      </c>
      <c r="L303" s="2" t="str">
        <f t="shared" si="21"/>
        <v xml:space="preserve"> </v>
      </c>
      <c r="M303" s="2" t="str">
        <f t="shared" si="22"/>
        <v xml:space="preserve"> </v>
      </c>
    </row>
    <row r="304" spans="1:13" x14ac:dyDescent="0.25">
      <c r="A304" s="42" t="str">
        <f t="shared" si="20"/>
        <v xml:space="preserve"> </v>
      </c>
      <c r="D304" s="41"/>
      <c r="E304" s="41"/>
      <c r="J304" s="17">
        <f t="shared" si="23"/>
        <v>0</v>
      </c>
      <c r="K304" s="2" t="str">
        <f t="shared" si="24"/>
        <v xml:space="preserve"> </v>
      </c>
      <c r="L304" s="2" t="str">
        <f t="shared" si="21"/>
        <v xml:space="preserve"> </v>
      </c>
      <c r="M304" s="2" t="str">
        <f t="shared" si="22"/>
        <v xml:space="preserve"> </v>
      </c>
    </row>
    <row r="305" spans="1:13" x14ac:dyDescent="0.25">
      <c r="A305" s="42" t="str">
        <f t="shared" si="20"/>
        <v xml:space="preserve"> </v>
      </c>
      <c r="D305" s="41"/>
      <c r="E305" s="41"/>
      <c r="J305" s="17">
        <f t="shared" si="23"/>
        <v>0</v>
      </c>
      <c r="K305" s="2" t="str">
        <f t="shared" si="24"/>
        <v xml:space="preserve"> </v>
      </c>
      <c r="L305" s="2" t="str">
        <f t="shared" si="21"/>
        <v xml:space="preserve"> </v>
      </c>
      <c r="M305" s="2" t="str">
        <f t="shared" si="22"/>
        <v xml:space="preserve"> </v>
      </c>
    </row>
    <row r="306" spans="1:13" x14ac:dyDescent="0.25">
      <c r="A306" s="42" t="str">
        <f t="shared" si="20"/>
        <v xml:space="preserve"> </v>
      </c>
      <c r="D306" s="41"/>
      <c r="E306" s="41"/>
      <c r="J306" s="17">
        <f t="shared" si="23"/>
        <v>0</v>
      </c>
      <c r="K306" s="2" t="str">
        <f t="shared" si="24"/>
        <v xml:space="preserve"> </v>
      </c>
      <c r="L306" s="2" t="str">
        <f t="shared" si="21"/>
        <v xml:space="preserve"> </v>
      </c>
      <c r="M306" s="2" t="str">
        <f t="shared" si="22"/>
        <v xml:space="preserve"> </v>
      </c>
    </row>
    <row r="307" spans="1:13" x14ac:dyDescent="0.25">
      <c r="A307" s="42" t="str">
        <f t="shared" si="20"/>
        <v xml:space="preserve"> </v>
      </c>
      <c r="D307" s="41"/>
      <c r="E307" s="41"/>
      <c r="J307" s="17">
        <f t="shared" si="23"/>
        <v>0</v>
      </c>
      <c r="K307" s="2" t="str">
        <f t="shared" si="24"/>
        <v xml:space="preserve"> </v>
      </c>
      <c r="L307" s="2" t="str">
        <f t="shared" si="21"/>
        <v xml:space="preserve"> </v>
      </c>
      <c r="M307" s="2" t="str">
        <f t="shared" si="22"/>
        <v xml:space="preserve"> </v>
      </c>
    </row>
    <row r="308" spans="1:13" x14ac:dyDescent="0.25">
      <c r="A308" s="42" t="str">
        <f t="shared" si="20"/>
        <v xml:space="preserve"> </v>
      </c>
      <c r="D308" s="41"/>
      <c r="E308" s="41"/>
      <c r="J308" s="17">
        <f t="shared" si="23"/>
        <v>0</v>
      </c>
      <c r="K308" s="2" t="str">
        <f t="shared" si="24"/>
        <v xml:space="preserve"> </v>
      </c>
      <c r="L308" s="2" t="str">
        <f t="shared" si="21"/>
        <v xml:space="preserve"> </v>
      </c>
      <c r="M308" s="2" t="str">
        <f t="shared" si="22"/>
        <v xml:space="preserve"> </v>
      </c>
    </row>
    <row r="309" spans="1:13" x14ac:dyDescent="0.25">
      <c r="A309" s="42" t="str">
        <f t="shared" si="20"/>
        <v xml:space="preserve"> </v>
      </c>
      <c r="D309" s="41"/>
      <c r="E309" s="41"/>
      <c r="J309" s="17">
        <f t="shared" si="23"/>
        <v>0</v>
      </c>
      <c r="K309" s="2" t="str">
        <f t="shared" si="24"/>
        <v xml:space="preserve"> </v>
      </c>
      <c r="L309" s="2" t="str">
        <f t="shared" si="21"/>
        <v xml:space="preserve"> </v>
      </c>
      <c r="M309" s="2" t="str">
        <f t="shared" si="22"/>
        <v xml:space="preserve"> </v>
      </c>
    </row>
    <row r="310" spans="1:13" x14ac:dyDescent="0.25">
      <c r="A310" s="42" t="str">
        <f t="shared" si="20"/>
        <v xml:space="preserve"> </v>
      </c>
      <c r="D310" s="41"/>
      <c r="E310" s="41"/>
      <c r="J310" s="17">
        <f t="shared" si="23"/>
        <v>0</v>
      </c>
      <c r="K310" s="2" t="str">
        <f t="shared" si="24"/>
        <v xml:space="preserve"> </v>
      </c>
      <c r="L310" s="2" t="str">
        <f t="shared" si="21"/>
        <v xml:space="preserve"> </v>
      </c>
      <c r="M310" s="2" t="str">
        <f t="shared" si="22"/>
        <v xml:space="preserve"> </v>
      </c>
    </row>
    <row r="311" spans="1:13" x14ac:dyDescent="0.25">
      <c r="A311" s="42" t="str">
        <f t="shared" si="20"/>
        <v xml:space="preserve"> </v>
      </c>
      <c r="D311" s="41"/>
      <c r="E311" s="41"/>
      <c r="J311" s="17">
        <f t="shared" si="23"/>
        <v>0</v>
      </c>
      <c r="K311" s="2" t="str">
        <f t="shared" si="24"/>
        <v xml:space="preserve"> </v>
      </c>
      <c r="L311" s="2" t="str">
        <f t="shared" si="21"/>
        <v xml:space="preserve"> </v>
      </c>
      <c r="M311" s="2" t="str">
        <f t="shared" si="22"/>
        <v xml:space="preserve"> </v>
      </c>
    </row>
    <row r="312" spans="1:13" x14ac:dyDescent="0.25">
      <c r="A312" s="42" t="str">
        <f t="shared" si="20"/>
        <v xml:space="preserve"> </v>
      </c>
      <c r="D312" s="41"/>
      <c r="E312" s="41"/>
      <c r="J312" s="17">
        <f t="shared" si="23"/>
        <v>0</v>
      </c>
      <c r="K312" s="2" t="str">
        <f t="shared" si="24"/>
        <v xml:space="preserve"> </v>
      </c>
      <c r="L312" s="2" t="str">
        <f t="shared" si="21"/>
        <v xml:space="preserve"> </v>
      </c>
      <c r="M312" s="2" t="str">
        <f t="shared" si="22"/>
        <v xml:space="preserve"> </v>
      </c>
    </row>
    <row r="313" spans="1:13" x14ac:dyDescent="0.25">
      <c r="A313" s="42" t="str">
        <f t="shared" si="20"/>
        <v xml:space="preserve"> </v>
      </c>
      <c r="D313" s="41"/>
      <c r="E313" s="41"/>
      <c r="J313" s="17">
        <f t="shared" si="23"/>
        <v>0</v>
      </c>
      <c r="K313" s="2" t="str">
        <f t="shared" si="24"/>
        <v xml:space="preserve"> </v>
      </c>
      <c r="L313" s="2" t="str">
        <f t="shared" si="21"/>
        <v xml:space="preserve"> </v>
      </c>
      <c r="M313" s="2" t="str">
        <f t="shared" si="22"/>
        <v xml:space="preserve"> </v>
      </c>
    </row>
    <row r="314" spans="1:13" x14ac:dyDescent="0.25">
      <c r="A314" s="42" t="str">
        <f t="shared" si="20"/>
        <v xml:space="preserve"> </v>
      </c>
      <c r="D314" s="41"/>
      <c r="E314" s="41"/>
      <c r="J314" s="17">
        <f t="shared" si="23"/>
        <v>0</v>
      </c>
      <c r="K314" s="2" t="str">
        <f t="shared" si="24"/>
        <v xml:space="preserve"> </v>
      </c>
      <c r="L314" s="2" t="str">
        <f t="shared" si="21"/>
        <v xml:space="preserve"> </v>
      </c>
      <c r="M314" s="2" t="str">
        <f t="shared" si="22"/>
        <v xml:space="preserve"> </v>
      </c>
    </row>
    <row r="315" spans="1:13" x14ac:dyDescent="0.25">
      <c r="A315" s="42" t="str">
        <f t="shared" si="20"/>
        <v xml:space="preserve"> </v>
      </c>
      <c r="D315" s="41"/>
      <c r="E315" s="41"/>
      <c r="J315" s="17">
        <f t="shared" si="23"/>
        <v>0</v>
      </c>
      <c r="K315" s="2" t="str">
        <f t="shared" si="24"/>
        <v xml:space="preserve"> </v>
      </c>
      <c r="L315" s="2" t="str">
        <f t="shared" si="21"/>
        <v xml:space="preserve"> </v>
      </c>
      <c r="M315" s="2" t="str">
        <f t="shared" si="22"/>
        <v xml:space="preserve"> </v>
      </c>
    </row>
    <row r="316" spans="1:13" x14ac:dyDescent="0.25">
      <c r="A316" s="42" t="str">
        <f t="shared" si="20"/>
        <v xml:space="preserve"> </v>
      </c>
      <c r="D316" s="41"/>
      <c r="E316" s="41"/>
      <c r="J316" s="17">
        <f t="shared" si="23"/>
        <v>0</v>
      </c>
      <c r="K316" s="2" t="str">
        <f t="shared" si="24"/>
        <v xml:space="preserve"> </v>
      </c>
      <c r="L316" s="2" t="str">
        <f t="shared" si="21"/>
        <v xml:space="preserve"> </v>
      </c>
      <c r="M316" s="2" t="str">
        <f t="shared" si="22"/>
        <v xml:space="preserve"> </v>
      </c>
    </row>
    <row r="317" spans="1:13" x14ac:dyDescent="0.25">
      <c r="A317" s="42" t="str">
        <f t="shared" si="20"/>
        <v xml:space="preserve"> </v>
      </c>
      <c r="D317" s="41"/>
      <c r="E317" s="41"/>
      <c r="J317" s="17">
        <f t="shared" si="23"/>
        <v>0</v>
      </c>
      <c r="K317" s="2" t="str">
        <f t="shared" si="24"/>
        <v xml:space="preserve"> </v>
      </c>
      <c r="L317" s="2" t="str">
        <f t="shared" si="21"/>
        <v xml:space="preserve"> </v>
      </c>
      <c r="M317" s="2" t="str">
        <f t="shared" si="22"/>
        <v xml:space="preserve"> </v>
      </c>
    </row>
    <row r="318" spans="1:13" x14ac:dyDescent="0.25">
      <c r="A318" s="42" t="str">
        <f t="shared" si="20"/>
        <v xml:space="preserve"> </v>
      </c>
      <c r="D318" s="41"/>
      <c r="E318" s="41"/>
      <c r="J318" s="17">
        <f t="shared" si="23"/>
        <v>0</v>
      </c>
      <c r="K318" s="2" t="str">
        <f t="shared" si="24"/>
        <v xml:space="preserve"> </v>
      </c>
      <c r="L318" s="2" t="str">
        <f t="shared" si="21"/>
        <v xml:space="preserve"> </v>
      </c>
      <c r="M318" s="2" t="str">
        <f t="shared" si="22"/>
        <v xml:space="preserve"> </v>
      </c>
    </row>
    <row r="319" spans="1:13" x14ac:dyDescent="0.25">
      <c r="A319" s="42" t="str">
        <f t="shared" si="20"/>
        <v xml:space="preserve"> </v>
      </c>
      <c r="D319" s="41"/>
      <c r="E319" s="41"/>
      <c r="J319" s="17">
        <f t="shared" si="23"/>
        <v>0</v>
      </c>
      <c r="K319" s="2" t="str">
        <f t="shared" si="24"/>
        <v xml:space="preserve"> </v>
      </c>
      <c r="L319" s="2" t="str">
        <f t="shared" si="21"/>
        <v xml:space="preserve"> </v>
      </c>
      <c r="M319" s="2" t="str">
        <f t="shared" si="22"/>
        <v xml:space="preserve"> </v>
      </c>
    </row>
    <row r="320" spans="1:13" x14ac:dyDescent="0.25">
      <c r="A320" s="42" t="str">
        <f t="shared" si="20"/>
        <v xml:space="preserve"> </v>
      </c>
      <c r="D320" s="41"/>
      <c r="E320" s="41"/>
      <c r="J320" s="17">
        <f t="shared" si="23"/>
        <v>0</v>
      </c>
      <c r="K320" s="2" t="str">
        <f t="shared" si="24"/>
        <v xml:space="preserve"> </v>
      </c>
      <c r="L320" s="2" t="str">
        <f t="shared" si="21"/>
        <v xml:space="preserve"> </v>
      </c>
      <c r="M320" s="2" t="str">
        <f t="shared" si="22"/>
        <v xml:space="preserve"> </v>
      </c>
    </row>
    <row r="321" spans="1:13" x14ac:dyDescent="0.25">
      <c r="A321" s="42" t="str">
        <f t="shared" si="20"/>
        <v xml:space="preserve"> </v>
      </c>
      <c r="D321" s="41"/>
      <c r="E321" s="41"/>
      <c r="J321" s="17">
        <f t="shared" si="23"/>
        <v>0</v>
      </c>
      <c r="K321" s="2" t="str">
        <f t="shared" si="24"/>
        <v xml:space="preserve"> </v>
      </c>
      <c r="L321" s="2" t="str">
        <f t="shared" si="21"/>
        <v xml:space="preserve"> </v>
      </c>
      <c r="M321" s="2" t="str">
        <f t="shared" si="22"/>
        <v xml:space="preserve"> </v>
      </c>
    </row>
    <row r="322" spans="1:13" x14ac:dyDescent="0.25">
      <c r="A322" s="42" t="str">
        <f t="shared" si="20"/>
        <v xml:space="preserve"> </v>
      </c>
      <c r="D322" s="41"/>
      <c r="E322" s="41"/>
      <c r="J322" s="17">
        <f t="shared" si="23"/>
        <v>0</v>
      </c>
      <c r="K322" s="2" t="str">
        <f t="shared" si="24"/>
        <v xml:space="preserve"> </v>
      </c>
      <c r="L322" s="2" t="str">
        <f t="shared" si="21"/>
        <v xml:space="preserve"> </v>
      </c>
      <c r="M322" s="2" t="str">
        <f t="shared" si="22"/>
        <v xml:space="preserve"> </v>
      </c>
    </row>
    <row r="323" spans="1:13" x14ac:dyDescent="0.25">
      <c r="A323" s="42" t="str">
        <f t="shared" si="20"/>
        <v xml:space="preserve"> </v>
      </c>
      <c r="D323" s="41"/>
      <c r="E323" s="41"/>
      <c r="J323" s="17">
        <f t="shared" si="23"/>
        <v>0</v>
      </c>
      <c r="K323" s="2" t="str">
        <f t="shared" si="24"/>
        <v xml:space="preserve"> </v>
      </c>
      <c r="L323" s="2" t="str">
        <f t="shared" si="21"/>
        <v xml:space="preserve"> </v>
      </c>
      <c r="M323" s="2" t="str">
        <f t="shared" si="22"/>
        <v xml:space="preserve"> </v>
      </c>
    </row>
    <row r="324" spans="1:13" x14ac:dyDescent="0.25">
      <c r="A324" s="42" t="str">
        <f t="shared" si="20"/>
        <v xml:space="preserve"> </v>
      </c>
      <c r="D324" s="41"/>
      <c r="E324" s="41"/>
      <c r="J324" s="17">
        <f t="shared" si="23"/>
        <v>0</v>
      </c>
      <c r="K324" s="2" t="str">
        <f t="shared" si="24"/>
        <v xml:space="preserve"> </v>
      </c>
      <c r="L324" s="2" t="str">
        <f t="shared" si="21"/>
        <v xml:space="preserve"> </v>
      </c>
      <c r="M324" s="2" t="str">
        <f t="shared" si="22"/>
        <v xml:space="preserve"> </v>
      </c>
    </row>
    <row r="325" spans="1:13" x14ac:dyDescent="0.25">
      <c r="A325" s="42" t="str">
        <f t="shared" si="20"/>
        <v xml:space="preserve"> </v>
      </c>
      <c r="D325" s="41"/>
      <c r="E325" s="41"/>
      <c r="J325" s="17">
        <f t="shared" si="23"/>
        <v>0</v>
      </c>
      <c r="K325" s="2" t="str">
        <f t="shared" si="24"/>
        <v xml:space="preserve"> </v>
      </c>
      <c r="L325" s="2" t="str">
        <f t="shared" si="21"/>
        <v xml:space="preserve"> </v>
      </c>
      <c r="M325" s="2" t="str">
        <f t="shared" si="22"/>
        <v xml:space="preserve"> </v>
      </c>
    </row>
    <row r="326" spans="1:13" x14ac:dyDescent="0.25">
      <c r="A326" s="42" t="str">
        <f t="shared" si="20"/>
        <v xml:space="preserve"> </v>
      </c>
      <c r="D326" s="41"/>
      <c r="E326" s="41"/>
      <c r="J326" s="17">
        <f t="shared" si="23"/>
        <v>0</v>
      </c>
      <c r="K326" s="2" t="str">
        <f t="shared" si="24"/>
        <v xml:space="preserve"> </v>
      </c>
      <c r="L326" s="2" t="str">
        <f t="shared" si="21"/>
        <v xml:space="preserve"> </v>
      </c>
      <c r="M326" s="2" t="str">
        <f t="shared" si="22"/>
        <v xml:space="preserve"> </v>
      </c>
    </row>
    <row r="327" spans="1:13" x14ac:dyDescent="0.25">
      <c r="A327" s="42" t="str">
        <f t="shared" si="20"/>
        <v xml:space="preserve"> </v>
      </c>
      <c r="D327" s="41"/>
      <c r="E327" s="41"/>
      <c r="J327" s="17">
        <f t="shared" si="23"/>
        <v>0</v>
      </c>
      <c r="K327" s="2" t="str">
        <f t="shared" si="24"/>
        <v xml:space="preserve"> </v>
      </c>
      <c r="L327" s="2" t="str">
        <f t="shared" si="21"/>
        <v xml:space="preserve"> </v>
      </c>
      <c r="M327" s="2" t="str">
        <f t="shared" si="22"/>
        <v xml:space="preserve"> </v>
      </c>
    </row>
    <row r="328" spans="1:13" x14ac:dyDescent="0.25">
      <c r="A328" s="42" t="str">
        <f t="shared" si="20"/>
        <v xml:space="preserve"> </v>
      </c>
      <c r="D328" s="41"/>
      <c r="E328" s="41"/>
      <c r="J328" s="17">
        <f t="shared" si="23"/>
        <v>0</v>
      </c>
      <c r="K328" s="2" t="str">
        <f t="shared" si="24"/>
        <v xml:space="preserve"> </v>
      </c>
      <c r="L328" s="2" t="str">
        <f t="shared" si="21"/>
        <v xml:space="preserve"> </v>
      </c>
      <c r="M328" s="2" t="str">
        <f t="shared" si="22"/>
        <v xml:space="preserve"> </v>
      </c>
    </row>
    <row r="329" spans="1:13" x14ac:dyDescent="0.25">
      <c r="A329" s="42" t="str">
        <f t="shared" si="20"/>
        <v xml:space="preserve"> </v>
      </c>
      <c r="D329" s="41"/>
      <c r="E329" s="41"/>
      <c r="J329" s="17">
        <f t="shared" si="23"/>
        <v>0</v>
      </c>
      <c r="K329" s="2" t="str">
        <f t="shared" si="24"/>
        <v xml:space="preserve"> </v>
      </c>
      <c r="L329" s="2" t="str">
        <f t="shared" si="21"/>
        <v xml:space="preserve"> </v>
      </c>
      <c r="M329" s="2" t="str">
        <f t="shared" si="22"/>
        <v xml:space="preserve"> </v>
      </c>
    </row>
    <row r="330" spans="1:13" x14ac:dyDescent="0.25">
      <c r="A330" s="42" t="str">
        <f t="shared" si="20"/>
        <v xml:space="preserve"> </v>
      </c>
      <c r="D330" s="41"/>
      <c r="E330" s="41"/>
      <c r="J330" s="17">
        <f t="shared" si="23"/>
        <v>0</v>
      </c>
      <c r="K330" s="2" t="str">
        <f t="shared" si="24"/>
        <v xml:space="preserve"> </v>
      </c>
      <c r="L330" s="2" t="str">
        <f t="shared" si="21"/>
        <v xml:space="preserve"> </v>
      </c>
      <c r="M330" s="2" t="str">
        <f t="shared" si="22"/>
        <v xml:space="preserve"> </v>
      </c>
    </row>
    <row r="331" spans="1:13" x14ac:dyDescent="0.25">
      <c r="A331" s="42" t="str">
        <f t="shared" si="20"/>
        <v xml:space="preserve"> </v>
      </c>
      <c r="D331" s="41"/>
      <c r="E331" s="41"/>
      <c r="J331" s="17">
        <f t="shared" si="23"/>
        <v>0</v>
      </c>
      <c r="K331" s="2" t="str">
        <f t="shared" si="24"/>
        <v xml:space="preserve"> </v>
      </c>
      <c r="L331" s="2" t="str">
        <f t="shared" si="21"/>
        <v xml:space="preserve"> </v>
      </c>
      <c r="M331" s="2" t="str">
        <f t="shared" si="22"/>
        <v xml:space="preserve"> </v>
      </c>
    </row>
    <row r="332" spans="1:13" x14ac:dyDescent="0.25">
      <c r="A332" s="42" t="str">
        <f t="shared" si="20"/>
        <v xml:space="preserve"> </v>
      </c>
      <c r="D332" s="41"/>
      <c r="E332" s="41"/>
      <c r="J332" s="17">
        <f t="shared" si="23"/>
        <v>0</v>
      </c>
      <c r="K332" s="2" t="str">
        <f t="shared" si="24"/>
        <v xml:space="preserve"> </v>
      </c>
      <c r="L332" s="2" t="str">
        <f t="shared" si="21"/>
        <v xml:space="preserve"> </v>
      </c>
      <c r="M332" s="2" t="str">
        <f t="shared" si="22"/>
        <v xml:space="preserve"> </v>
      </c>
    </row>
    <row r="333" spans="1:13" x14ac:dyDescent="0.25">
      <c r="A333" s="42" t="str">
        <f t="shared" si="20"/>
        <v xml:space="preserve"> </v>
      </c>
      <c r="D333" s="41"/>
      <c r="E333" s="41"/>
      <c r="J333" s="17">
        <f t="shared" si="23"/>
        <v>0</v>
      </c>
      <c r="K333" s="2" t="str">
        <f t="shared" si="24"/>
        <v xml:space="preserve"> </v>
      </c>
      <c r="L333" s="2" t="str">
        <f t="shared" si="21"/>
        <v xml:space="preserve"> </v>
      </c>
      <c r="M333" s="2" t="str">
        <f t="shared" si="22"/>
        <v xml:space="preserve"> </v>
      </c>
    </row>
    <row r="334" spans="1:13" x14ac:dyDescent="0.25">
      <c r="A334" s="42" t="str">
        <f t="shared" si="20"/>
        <v xml:space="preserve"> </v>
      </c>
      <c r="D334" s="41"/>
      <c r="E334" s="41"/>
      <c r="J334" s="17">
        <f t="shared" si="23"/>
        <v>0</v>
      </c>
      <c r="K334" s="2" t="str">
        <f t="shared" si="24"/>
        <v xml:space="preserve"> </v>
      </c>
      <c r="L334" s="2" t="str">
        <f t="shared" si="21"/>
        <v xml:space="preserve"> </v>
      </c>
      <c r="M334" s="2" t="str">
        <f t="shared" si="22"/>
        <v xml:space="preserve"> </v>
      </c>
    </row>
    <row r="335" spans="1:13" x14ac:dyDescent="0.25">
      <c r="A335" s="42" t="str">
        <f t="shared" ref="A335:A398" si="25">IF(COUNTIF(K335:M335,"ERROR")&gt;0,"ERROR"," ")</f>
        <v xml:space="preserve"> </v>
      </c>
      <c r="D335" s="41"/>
      <c r="E335" s="41"/>
      <c r="J335" s="17">
        <f t="shared" si="23"/>
        <v>0</v>
      </c>
      <c r="K335" s="2" t="str">
        <f t="shared" si="24"/>
        <v xml:space="preserve"> </v>
      </c>
      <c r="L335" s="2" t="str">
        <f t="shared" ref="L335:L398" si="26">IF(D335=0," ",IF(COUNTIF(ProfitLoss2,D335)&gt;0," ","ERROR"))</f>
        <v xml:space="preserve"> </v>
      </c>
      <c r="M335" s="2" t="str">
        <f t="shared" ref="M335:M398" si="27">IF(E335=0," ",IF(COUNTIF(BalanceSheetA,E335)&gt;0," ","ERROR"))</f>
        <v xml:space="preserve"> </v>
      </c>
    </row>
    <row r="336" spans="1:13" x14ac:dyDescent="0.25">
      <c r="A336" s="42" t="str">
        <f t="shared" si="25"/>
        <v xml:space="preserve"> </v>
      </c>
      <c r="D336" s="41"/>
      <c r="E336" s="41"/>
      <c r="J336" s="17">
        <f t="shared" ref="J336:J399" si="28">F336-G336+H336-I336</f>
        <v>0</v>
      </c>
      <c r="K336" s="2" t="str">
        <f t="shared" ref="K336:K399" si="29">IF(COUNTA(D336:E336)=2,"ERROR"," ")</f>
        <v xml:space="preserve"> </v>
      </c>
      <c r="L336" s="2" t="str">
        <f t="shared" si="26"/>
        <v xml:space="preserve"> </v>
      </c>
      <c r="M336" s="2" t="str">
        <f t="shared" si="27"/>
        <v xml:space="preserve"> </v>
      </c>
    </row>
    <row r="337" spans="1:13" x14ac:dyDescent="0.25">
      <c r="A337" s="42" t="str">
        <f t="shared" si="25"/>
        <v xml:space="preserve"> </v>
      </c>
      <c r="D337" s="41"/>
      <c r="E337" s="41"/>
      <c r="J337" s="17">
        <f t="shared" si="28"/>
        <v>0</v>
      </c>
      <c r="K337" s="2" t="str">
        <f t="shared" si="29"/>
        <v xml:space="preserve"> </v>
      </c>
      <c r="L337" s="2" t="str">
        <f t="shared" si="26"/>
        <v xml:space="preserve"> </v>
      </c>
      <c r="M337" s="2" t="str">
        <f t="shared" si="27"/>
        <v xml:space="preserve"> </v>
      </c>
    </row>
    <row r="338" spans="1:13" x14ac:dyDescent="0.25">
      <c r="A338" s="42" t="str">
        <f t="shared" si="25"/>
        <v xml:space="preserve"> </v>
      </c>
      <c r="D338" s="41"/>
      <c r="E338" s="41"/>
      <c r="J338" s="17">
        <f t="shared" si="28"/>
        <v>0</v>
      </c>
      <c r="K338" s="2" t="str">
        <f t="shared" si="29"/>
        <v xml:space="preserve"> </v>
      </c>
      <c r="L338" s="2" t="str">
        <f t="shared" si="26"/>
        <v xml:space="preserve"> </v>
      </c>
      <c r="M338" s="2" t="str">
        <f t="shared" si="27"/>
        <v xml:space="preserve"> </v>
      </c>
    </row>
    <row r="339" spans="1:13" x14ac:dyDescent="0.25">
      <c r="A339" s="42" t="str">
        <f t="shared" si="25"/>
        <v xml:space="preserve"> </v>
      </c>
      <c r="D339" s="41"/>
      <c r="E339" s="41"/>
      <c r="J339" s="17">
        <f t="shared" si="28"/>
        <v>0</v>
      </c>
      <c r="K339" s="2" t="str">
        <f t="shared" si="29"/>
        <v xml:space="preserve"> </v>
      </c>
      <c r="L339" s="2" t="str">
        <f t="shared" si="26"/>
        <v xml:space="preserve"> </v>
      </c>
      <c r="M339" s="2" t="str">
        <f t="shared" si="27"/>
        <v xml:space="preserve"> </v>
      </c>
    </row>
    <row r="340" spans="1:13" x14ac:dyDescent="0.25">
      <c r="A340" s="42" t="str">
        <f t="shared" si="25"/>
        <v xml:space="preserve"> </v>
      </c>
      <c r="D340" s="41"/>
      <c r="E340" s="41"/>
      <c r="J340" s="17">
        <f t="shared" si="28"/>
        <v>0</v>
      </c>
      <c r="K340" s="2" t="str">
        <f t="shared" si="29"/>
        <v xml:space="preserve"> </v>
      </c>
      <c r="L340" s="2" t="str">
        <f t="shared" si="26"/>
        <v xml:space="preserve"> </v>
      </c>
      <c r="M340" s="2" t="str">
        <f t="shared" si="27"/>
        <v xml:space="preserve"> </v>
      </c>
    </row>
    <row r="341" spans="1:13" x14ac:dyDescent="0.25">
      <c r="A341" s="42" t="str">
        <f t="shared" si="25"/>
        <v xml:space="preserve"> </v>
      </c>
      <c r="D341" s="41"/>
      <c r="E341" s="41"/>
      <c r="J341" s="17">
        <f t="shared" si="28"/>
        <v>0</v>
      </c>
      <c r="K341" s="2" t="str">
        <f t="shared" si="29"/>
        <v xml:space="preserve"> </v>
      </c>
      <c r="L341" s="2" t="str">
        <f t="shared" si="26"/>
        <v xml:space="preserve"> </v>
      </c>
      <c r="M341" s="2" t="str">
        <f t="shared" si="27"/>
        <v xml:space="preserve"> </v>
      </c>
    </row>
    <row r="342" spans="1:13" x14ac:dyDescent="0.25">
      <c r="A342" s="42" t="str">
        <f t="shared" si="25"/>
        <v xml:space="preserve"> </v>
      </c>
      <c r="D342" s="41"/>
      <c r="E342" s="41"/>
      <c r="J342" s="17">
        <f t="shared" si="28"/>
        <v>0</v>
      </c>
      <c r="K342" s="2" t="str">
        <f t="shared" si="29"/>
        <v xml:space="preserve"> </v>
      </c>
      <c r="L342" s="2" t="str">
        <f t="shared" si="26"/>
        <v xml:space="preserve"> </v>
      </c>
      <c r="M342" s="2" t="str">
        <f t="shared" si="27"/>
        <v xml:space="preserve"> </v>
      </c>
    </row>
    <row r="343" spans="1:13" x14ac:dyDescent="0.25">
      <c r="A343" s="42" t="str">
        <f t="shared" si="25"/>
        <v xml:space="preserve"> </v>
      </c>
      <c r="D343" s="41"/>
      <c r="E343" s="41"/>
      <c r="J343" s="17">
        <f t="shared" si="28"/>
        <v>0</v>
      </c>
      <c r="K343" s="2" t="str">
        <f t="shared" si="29"/>
        <v xml:space="preserve"> </v>
      </c>
      <c r="L343" s="2" t="str">
        <f t="shared" si="26"/>
        <v xml:space="preserve"> </v>
      </c>
      <c r="M343" s="2" t="str">
        <f t="shared" si="27"/>
        <v xml:space="preserve"> </v>
      </c>
    </row>
    <row r="344" spans="1:13" x14ac:dyDescent="0.25">
      <c r="A344" s="42" t="str">
        <f t="shared" si="25"/>
        <v xml:space="preserve"> </v>
      </c>
      <c r="D344" s="41"/>
      <c r="E344" s="41"/>
      <c r="J344" s="17">
        <f t="shared" si="28"/>
        <v>0</v>
      </c>
      <c r="K344" s="2" t="str">
        <f t="shared" si="29"/>
        <v xml:space="preserve"> </v>
      </c>
      <c r="L344" s="2" t="str">
        <f t="shared" si="26"/>
        <v xml:space="preserve"> </v>
      </c>
      <c r="M344" s="2" t="str">
        <f t="shared" si="27"/>
        <v xml:space="preserve"> </v>
      </c>
    </row>
    <row r="345" spans="1:13" x14ac:dyDescent="0.25">
      <c r="A345" s="42" t="str">
        <f t="shared" si="25"/>
        <v xml:space="preserve"> </v>
      </c>
      <c r="D345" s="41"/>
      <c r="E345" s="41"/>
      <c r="J345" s="17">
        <f t="shared" si="28"/>
        <v>0</v>
      </c>
      <c r="K345" s="2" t="str">
        <f t="shared" si="29"/>
        <v xml:space="preserve"> </v>
      </c>
      <c r="L345" s="2" t="str">
        <f t="shared" si="26"/>
        <v xml:space="preserve"> </v>
      </c>
      <c r="M345" s="2" t="str">
        <f t="shared" si="27"/>
        <v xml:space="preserve"> </v>
      </c>
    </row>
    <row r="346" spans="1:13" x14ac:dyDescent="0.25">
      <c r="A346" s="42" t="str">
        <f t="shared" si="25"/>
        <v xml:space="preserve"> </v>
      </c>
      <c r="D346" s="41"/>
      <c r="E346" s="41"/>
      <c r="J346" s="17">
        <f t="shared" si="28"/>
        <v>0</v>
      </c>
      <c r="K346" s="2" t="str">
        <f t="shared" si="29"/>
        <v xml:space="preserve"> </v>
      </c>
      <c r="L346" s="2" t="str">
        <f t="shared" si="26"/>
        <v xml:space="preserve"> </v>
      </c>
      <c r="M346" s="2" t="str">
        <f t="shared" si="27"/>
        <v xml:space="preserve"> </v>
      </c>
    </row>
    <row r="347" spans="1:13" x14ac:dyDescent="0.25">
      <c r="A347" s="42" t="str">
        <f t="shared" si="25"/>
        <v xml:space="preserve"> </v>
      </c>
      <c r="D347" s="41"/>
      <c r="E347" s="41"/>
      <c r="J347" s="17">
        <f t="shared" si="28"/>
        <v>0</v>
      </c>
      <c r="K347" s="2" t="str">
        <f t="shared" si="29"/>
        <v xml:space="preserve"> </v>
      </c>
      <c r="L347" s="2" t="str">
        <f t="shared" si="26"/>
        <v xml:space="preserve"> </v>
      </c>
      <c r="M347" s="2" t="str">
        <f t="shared" si="27"/>
        <v xml:space="preserve"> </v>
      </c>
    </row>
    <row r="348" spans="1:13" x14ac:dyDescent="0.25">
      <c r="A348" s="42" t="str">
        <f t="shared" si="25"/>
        <v xml:space="preserve"> </v>
      </c>
      <c r="D348" s="41"/>
      <c r="E348" s="41"/>
      <c r="J348" s="17">
        <f t="shared" si="28"/>
        <v>0</v>
      </c>
      <c r="K348" s="2" t="str">
        <f t="shared" si="29"/>
        <v xml:space="preserve"> </v>
      </c>
      <c r="L348" s="2" t="str">
        <f t="shared" si="26"/>
        <v xml:space="preserve"> </v>
      </c>
      <c r="M348" s="2" t="str">
        <f t="shared" si="27"/>
        <v xml:space="preserve"> </v>
      </c>
    </row>
    <row r="349" spans="1:13" x14ac:dyDescent="0.25">
      <c r="A349" s="42" t="str">
        <f t="shared" si="25"/>
        <v xml:space="preserve"> </v>
      </c>
      <c r="D349" s="41"/>
      <c r="E349" s="41"/>
      <c r="J349" s="17">
        <f t="shared" si="28"/>
        <v>0</v>
      </c>
      <c r="K349" s="2" t="str">
        <f t="shared" si="29"/>
        <v xml:space="preserve"> </v>
      </c>
      <c r="L349" s="2" t="str">
        <f t="shared" si="26"/>
        <v xml:space="preserve"> </v>
      </c>
      <c r="M349" s="2" t="str">
        <f t="shared" si="27"/>
        <v xml:space="preserve"> </v>
      </c>
    </row>
    <row r="350" spans="1:13" x14ac:dyDescent="0.25">
      <c r="A350" s="42" t="str">
        <f t="shared" si="25"/>
        <v xml:space="preserve"> </v>
      </c>
      <c r="D350" s="41"/>
      <c r="E350" s="41"/>
      <c r="J350" s="17">
        <f t="shared" si="28"/>
        <v>0</v>
      </c>
      <c r="K350" s="2" t="str">
        <f t="shared" si="29"/>
        <v xml:space="preserve"> </v>
      </c>
      <c r="L350" s="2" t="str">
        <f t="shared" si="26"/>
        <v xml:space="preserve"> </v>
      </c>
      <c r="M350" s="2" t="str">
        <f t="shared" si="27"/>
        <v xml:space="preserve"> </v>
      </c>
    </row>
    <row r="351" spans="1:13" x14ac:dyDescent="0.25">
      <c r="A351" s="42" t="str">
        <f t="shared" si="25"/>
        <v xml:space="preserve"> </v>
      </c>
      <c r="D351" s="41"/>
      <c r="E351" s="41"/>
      <c r="J351" s="17">
        <f t="shared" si="28"/>
        <v>0</v>
      </c>
      <c r="K351" s="2" t="str">
        <f t="shared" si="29"/>
        <v xml:space="preserve"> </v>
      </c>
      <c r="L351" s="2" t="str">
        <f t="shared" si="26"/>
        <v xml:space="preserve"> </v>
      </c>
      <c r="M351" s="2" t="str">
        <f t="shared" si="27"/>
        <v xml:space="preserve"> </v>
      </c>
    </row>
    <row r="352" spans="1:13" x14ac:dyDescent="0.25">
      <c r="A352" s="42" t="str">
        <f t="shared" si="25"/>
        <v xml:space="preserve"> </v>
      </c>
      <c r="D352" s="41"/>
      <c r="E352" s="41"/>
      <c r="J352" s="17">
        <f t="shared" si="28"/>
        <v>0</v>
      </c>
      <c r="K352" s="2" t="str">
        <f t="shared" si="29"/>
        <v xml:space="preserve"> </v>
      </c>
      <c r="L352" s="2" t="str">
        <f t="shared" si="26"/>
        <v xml:space="preserve"> </v>
      </c>
      <c r="M352" s="2" t="str">
        <f t="shared" si="27"/>
        <v xml:space="preserve"> </v>
      </c>
    </row>
    <row r="353" spans="1:13" x14ac:dyDescent="0.25">
      <c r="A353" s="42" t="str">
        <f t="shared" si="25"/>
        <v xml:space="preserve"> </v>
      </c>
      <c r="D353" s="41"/>
      <c r="E353" s="41"/>
      <c r="J353" s="17">
        <f t="shared" si="28"/>
        <v>0</v>
      </c>
      <c r="K353" s="2" t="str">
        <f t="shared" si="29"/>
        <v xml:space="preserve"> </v>
      </c>
      <c r="L353" s="2" t="str">
        <f t="shared" si="26"/>
        <v xml:space="preserve"> </v>
      </c>
      <c r="M353" s="2" t="str">
        <f t="shared" si="27"/>
        <v xml:space="preserve"> </v>
      </c>
    </row>
    <row r="354" spans="1:13" x14ac:dyDescent="0.25">
      <c r="A354" s="42" t="str">
        <f t="shared" si="25"/>
        <v xml:space="preserve"> </v>
      </c>
      <c r="D354" s="41"/>
      <c r="E354" s="41"/>
      <c r="J354" s="17">
        <f t="shared" si="28"/>
        <v>0</v>
      </c>
      <c r="K354" s="2" t="str">
        <f t="shared" si="29"/>
        <v xml:space="preserve"> </v>
      </c>
      <c r="L354" s="2" t="str">
        <f t="shared" si="26"/>
        <v xml:space="preserve"> </v>
      </c>
      <c r="M354" s="2" t="str">
        <f t="shared" si="27"/>
        <v xml:space="preserve"> </v>
      </c>
    </row>
    <row r="355" spans="1:13" x14ac:dyDescent="0.25">
      <c r="A355" s="42" t="str">
        <f t="shared" si="25"/>
        <v xml:space="preserve"> </v>
      </c>
      <c r="D355" s="41"/>
      <c r="E355" s="41"/>
      <c r="J355" s="17">
        <f t="shared" si="28"/>
        <v>0</v>
      </c>
      <c r="K355" s="2" t="str">
        <f t="shared" si="29"/>
        <v xml:space="preserve"> </v>
      </c>
      <c r="L355" s="2" t="str">
        <f t="shared" si="26"/>
        <v xml:space="preserve"> </v>
      </c>
      <c r="M355" s="2" t="str">
        <f t="shared" si="27"/>
        <v xml:space="preserve"> </v>
      </c>
    </row>
    <row r="356" spans="1:13" x14ac:dyDescent="0.25">
      <c r="A356" s="42" t="str">
        <f t="shared" si="25"/>
        <v xml:space="preserve"> </v>
      </c>
      <c r="D356" s="41"/>
      <c r="E356" s="41"/>
      <c r="J356" s="17">
        <f t="shared" si="28"/>
        <v>0</v>
      </c>
      <c r="K356" s="2" t="str">
        <f t="shared" si="29"/>
        <v xml:space="preserve"> </v>
      </c>
      <c r="L356" s="2" t="str">
        <f t="shared" si="26"/>
        <v xml:space="preserve"> </v>
      </c>
      <c r="M356" s="2" t="str">
        <f t="shared" si="27"/>
        <v xml:space="preserve"> </v>
      </c>
    </row>
    <row r="357" spans="1:13" x14ac:dyDescent="0.25">
      <c r="A357" s="42" t="str">
        <f t="shared" si="25"/>
        <v xml:space="preserve"> </v>
      </c>
      <c r="D357" s="41"/>
      <c r="E357" s="41"/>
      <c r="J357" s="17">
        <f t="shared" si="28"/>
        <v>0</v>
      </c>
      <c r="K357" s="2" t="str">
        <f t="shared" si="29"/>
        <v xml:space="preserve"> </v>
      </c>
      <c r="L357" s="2" t="str">
        <f t="shared" si="26"/>
        <v xml:space="preserve"> </v>
      </c>
      <c r="M357" s="2" t="str">
        <f t="shared" si="27"/>
        <v xml:space="preserve"> </v>
      </c>
    </row>
    <row r="358" spans="1:13" x14ac:dyDescent="0.25">
      <c r="A358" s="42" t="str">
        <f t="shared" si="25"/>
        <v xml:space="preserve"> </v>
      </c>
      <c r="D358" s="41"/>
      <c r="E358" s="41"/>
      <c r="J358" s="17">
        <f t="shared" si="28"/>
        <v>0</v>
      </c>
      <c r="K358" s="2" t="str">
        <f t="shared" si="29"/>
        <v xml:space="preserve"> </v>
      </c>
      <c r="L358" s="2" t="str">
        <f t="shared" si="26"/>
        <v xml:space="preserve"> </v>
      </c>
      <c r="M358" s="2" t="str">
        <f t="shared" si="27"/>
        <v xml:space="preserve"> </v>
      </c>
    </row>
    <row r="359" spans="1:13" x14ac:dyDescent="0.25">
      <c r="A359" s="42" t="str">
        <f t="shared" si="25"/>
        <v xml:space="preserve"> </v>
      </c>
      <c r="D359" s="41"/>
      <c r="E359" s="41"/>
      <c r="J359" s="17">
        <f t="shared" si="28"/>
        <v>0</v>
      </c>
      <c r="K359" s="2" t="str">
        <f t="shared" si="29"/>
        <v xml:space="preserve"> </v>
      </c>
      <c r="L359" s="2" t="str">
        <f t="shared" si="26"/>
        <v xml:space="preserve"> </v>
      </c>
      <c r="M359" s="2" t="str">
        <f t="shared" si="27"/>
        <v xml:space="preserve"> </v>
      </c>
    </row>
    <row r="360" spans="1:13" x14ac:dyDescent="0.25">
      <c r="A360" s="42" t="str">
        <f t="shared" si="25"/>
        <v xml:space="preserve"> </v>
      </c>
      <c r="D360" s="41"/>
      <c r="E360" s="41"/>
      <c r="J360" s="17">
        <f t="shared" si="28"/>
        <v>0</v>
      </c>
      <c r="K360" s="2" t="str">
        <f t="shared" si="29"/>
        <v xml:space="preserve"> </v>
      </c>
      <c r="L360" s="2" t="str">
        <f t="shared" si="26"/>
        <v xml:space="preserve"> </v>
      </c>
      <c r="M360" s="2" t="str">
        <f t="shared" si="27"/>
        <v xml:space="preserve"> </v>
      </c>
    </row>
    <row r="361" spans="1:13" x14ac:dyDescent="0.25">
      <c r="A361" s="42" t="str">
        <f t="shared" si="25"/>
        <v xml:space="preserve"> </v>
      </c>
      <c r="D361" s="41"/>
      <c r="E361" s="41"/>
      <c r="J361" s="17">
        <f t="shared" si="28"/>
        <v>0</v>
      </c>
      <c r="K361" s="2" t="str">
        <f t="shared" si="29"/>
        <v xml:space="preserve"> </v>
      </c>
      <c r="L361" s="2" t="str">
        <f t="shared" si="26"/>
        <v xml:space="preserve"> </v>
      </c>
      <c r="M361" s="2" t="str">
        <f t="shared" si="27"/>
        <v xml:space="preserve"> </v>
      </c>
    </row>
    <row r="362" spans="1:13" x14ac:dyDescent="0.25">
      <c r="A362" s="42" t="str">
        <f t="shared" si="25"/>
        <v xml:space="preserve"> </v>
      </c>
      <c r="D362" s="41"/>
      <c r="E362" s="41"/>
      <c r="J362" s="17">
        <f t="shared" si="28"/>
        <v>0</v>
      </c>
      <c r="K362" s="2" t="str">
        <f t="shared" si="29"/>
        <v xml:space="preserve"> </v>
      </c>
      <c r="L362" s="2" t="str">
        <f t="shared" si="26"/>
        <v xml:space="preserve"> </v>
      </c>
      <c r="M362" s="2" t="str">
        <f t="shared" si="27"/>
        <v xml:space="preserve"> </v>
      </c>
    </row>
    <row r="363" spans="1:13" x14ac:dyDescent="0.25">
      <c r="A363" s="42" t="str">
        <f t="shared" si="25"/>
        <v xml:space="preserve"> </v>
      </c>
      <c r="D363" s="41"/>
      <c r="E363" s="41"/>
      <c r="J363" s="17">
        <f t="shared" si="28"/>
        <v>0</v>
      </c>
      <c r="K363" s="2" t="str">
        <f t="shared" si="29"/>
        <v xml:space="preserve"> </v>
      </c>
      <c r="L363" s="2" t="str">
        <f t="shared" si="26"/>
        <v xml:space="preserve"> </v>
      </c>
      <c r="M363" s="2" t="str">
        <f t="shared" si="27"/>
        <v xml:space="preserve"> </v>
      </c>
    </row>
    <row r="364" spans="1:13" x14ac:dyDescent="0.25">
      <c r="A364" s="42" t="str">
        <f t="shared" si="25"/>
        <v xml:space="preserve"> </v>
      </c>
      <c r="D364" s="41"/>
      <c r="E364" s="41"/>
      <c r="J364" s="17">
        <f t="shared" si="28"/>
        <v>0</v>
      </c>
      <c r="K364" s="2" t="str">
        <f t="shared" si="29"/>
        <v xml:space="preserve"> </v>
      </c>
      <c r="L364" s="2" t="str">
        <f t="shared" si="26"/>
        <v xml:space="preserve"> </v>
      </c>
      <c r="M364" s="2" t="str">
        <f t="shared" si="27"/>
        <v xml:space="preserve"> </v>
      </c>
    </row>
    <row r="365" spans="1:13" x14ac:dyDescent="0.25">
      <c r="A365" s="42" t="str">
        <f t="shared" si="25"/>
        <v xml:space="preserve"> </v>
      </c>
      <c r="D365" s="41"/>
      <c r="E365" s="41"/>
      <c r="J365" s="17">
        <f t="shared" si="28"/>
        <v>0</v>
      </c>
      <c r="K365" s="2" t="str">
        <f t="shared" si="29"/>
        <v xml:space="preserve"> </v>
      </c>
      <c r="L365" s="2" t="str">
        <f t="shared" si="26"/>
        <v xml:space="preserve"> </v>
      </c>
      <c r="M365" s="2" t="str">
        <f t="shared" si="27"/>
        <v xml:space="preserve"> </v>
      </c>
    </row>
    <row r="366" spans="1:13" x14ac:dyDescent="0.25">
      <c r="A366" s="42" t="str">
        <f t="shared" si="25"/>
        <v xml:space="preserve"> </v>
      </c>
      <c r="D366" s="41"/>
      <c r="E366" s="41"/>
      <c r="J366" s="17">
        <f t="shared" si="28"/>
        <v>0</v>
      </c>
      <c r="K366" s="2" t="str">
        <f t="shared" si="29"/>
        <v xml:space="preserve"> </v>
      </c>
      <c r="L366" s="2" t="str">
        <f t="shared" si="26"/>
        <v xml:space="preserve"> </v>
      </c>
      <c r="M366" s="2" t="str">
        <f t="shared" si="27"/>
        <v xml:space="preserve"> </v>
      </c>
    </row>
    <row r="367" spans="1:13" x14ac:dyDescent="0.25">
      <c r="A367" s="42" t="str">
        <f t="shared" si="25"/>
        <v xml:space="preserve"> </v>
      </c>
      <c r="D367" s="41"/>
      <c r="E367" s="41"/>
      <c r="J367" s="17">
        <f t="shared" si="28"/>
        <v>0</v>
      </c>
      <c r="K367" s="2" t="str">
        <f t="shared" si="29"/>
        <v xml:space="preserve"> </v>
      </c>
      <c r="L367" s="2" t="str">
        <f t="shared" si="26"/>
        <v xml:space="preserve"> </v>
      </c>
      <c r="M367" s="2" t="str">
        <f t="shared" si="27"/>
        <v xml:space="preserve"> </v>
      </c>
    </row>
    <row r="368" spans="1:13" x14ac:dyDescent="0.25">
      <c r="A368" s="42" t="str">
        <f t="shared" si="25"/>
        <v xml:space="preserve"> </v>
      </c>
      <c r="D368" s="41"/>
      <c r="E368" s="41"/>
      <c r="J368" s="17">
        <f t="shared" si="28"/>
        <v>0</v>
      </c>
      <c r="K368" s="2" t="str">
        <f t="shared" si="29"/>
        <v xml:space="preserve"> </v>
      </c>
      <c r="L368" s="2" t="str">
        <f t="shared" si="26"/>
        <v xml:space="preserve"> </v>
      </c>
      <c r="M368" s="2" t="str">
        <f t="shared" si="27"/>
        <v xml:space="preserve"> </v>
      </c>
    </row>
    <row r="369" spans="1:13" x14ac:dyDescent="0.25">
      <c r="A369" s="42" t="str">
        <f t="shared" si="25"/>
        <v xml:space="preserve"> </v>
      </c>
      <c r="D369" s="41"/>
      <c r="E369" s="41"/>
      <c r="J369" s="17">
        <f t="shared" si="28"/>
        <v>0</v>
      </c>
      <c r="K369" s="2" t="str">
        <f t="shared" si="29"/>
        <v xml:space="preserve"> </v>
      </c>
      <c r="L369" s="2" t="str">
        <f t="shared" si="26"/>
        <v xml:space="preserve"> </v>
      </c>
      <c r="M369" s="2" t="str">
        <f t="shared" si="27"/>
        <v xml:space="preserve"> </v>
      </c>
    </row>
    <row r="370" spans="1:13" x14ac:dyDescent="0.25">
      <c r="A370" s="42" t="str">
        <f t="shared" si="25"/>
        <v xml:space="preserve"> </v>
      </c>
      <c r="D370" s="41"/>
      <c r="E370" s="41"/>
      <c r="J370" s="17">
        <f t="shared" si="28"/>
        <v>0</v>
      </c>
      <c r="K370" s="2" t="str">
        <f t="shared" si="29"/>
        <v xml:space="preserve"> </v>
      </c>
      <c r="L370" s="2" t="str">
        <f t="shared" si="26"/>
        <v xml:space="preserve"> </v>
      </c>
      <c r="M370" s="2" t="str">
        <f t="shared" si="27"/>
        <v xml:space="preserve"> </v>
      </c>
    </row>
    <row r="371" spans="1:13" x14ac:dyDescent="0.25">
      <c r="A371" s="42" t="str">
        <f t="shared" si="25"/>
        <v xml:space="preserve"> </v>
      </c>
      <c r="D371" s="41"/>
      <c r="E371" s="41"/>
      <c r="J371" s="17">
        <f t="shared" si="28"/>
        <v>0</v>
      </c>
      <c r="K371" s="2" t="str">
        <f t="shared" si="29"/>
        <v xml:space="preserve"> </v>
      </c>
      <c r="L371" s="2" t="str">
        <f t="shared" si="26"/>
        <v xml:space="preserve"> </v>
      </c>
      <c r="M371" s="2" t="str">
        <f t="shared" si="27"/>
        <v xml:space="preserve"> </v>
      </c>
    </row>
    <row r="372" spans="1:13" x14ac:dyDescent="0.25">
      <c r="A372" s="42" t="str">
        <f t="shared" si="25"/>
        <v xml:space="preserve"> </v>
      </c>
      <c r="D372" s="41"/>
      <c r="E372" s="41"/>
      <c r="J372" s="17">
        <f t="shared" si="28"/>
        <v>0</v>
      </c>
      <c r="K372" s="2" t="str">
        <f t="shared" si="29"/>
        <v xml:space="preserve"> </v>
      </c>
      <c r="L372" s="2" t="str">
        <f t="shared" si="26"/>
        <v xml:space="preserve"> </v>
      </c>
      <c r="M372" s="2" t="str">
        <f t="shared" si="27"/>
        <v xml:space="preserve"> </v>
      </c>
    </row>
    <row r="373" spans="1:13" x14ac:dyDescent="0.25">
      <c r="A373" s="42" t="str">
        <f t="shared" si="25"/>
        <v xml:space="preserve"> </v>
      </c>
      <c r="D373" s="41"/>
      <c r="E373" s="41"/>
      <c r="J373" s="17">
        <f t="shared" si="28"/>
        <v>0</v>
      </c>
      <c r="K373" s="2" t="str">
        <f t="shared" si="29"/>
        <v xml:space="preserve"> </v>
      </c>
      <c r="L373" s="2" t="str">
        <f t="shared" si="26"/>
        <v xml:space="preserve"> </v>
      </c>
      <c r="M373" s="2" t="str">
        <f t="shared" si="27"/>
        <v xml:space="preserve"> </v>
      </c>
    </row>
    <row r="374" spans="1:13" x14ac:dyDescent="0.25">
      <c r="A374" s="42" t="str">
        <f t="shared" si="25"/>
        <v xml:space="preserve"> </v>
      </c>
      <c r="D374" s="41"/>
      <c r="E374" s="41"/>
      <c r="J374" s="17">
        <f t="shared" si="28"/>
        <v>0</v>
      </c>
      <c r="K374" s="2" t="str">
        <f t="shared" si="29"/>
        <v xml:space="preserve"> </v>
      </c>
      <c r="L374" s="2" t="str">
        <f t="shared" si="26"/>
        <v xml:space="preserve"> </v>
      </c>
      <c r="M374" s="2" t="str">
        <f t="shared" si="27"/>
        <v xml:space="preserve"> </v>
      </c>
    </row>
    <row r="375" spans="1:13" x14ac:dyDescent="0.25">
      <c r="A375" s="42" t="str">
        <f t="shared" si="25"/>
        <v xml:space="preserve"> </v>
      </c>
      <c r="D375" s="41"/>
      <c r="E375" s="41"/>
      <c r="J375" s="17">
        <f t="shared" si="28"/>
        <v>0</v>
      </c>
      <c r="K375" s="2" t="str">
        <f t="shared" si="29"/>
        <v xml:space="preserve"> </v>
      </c>
      <c r="L375" s="2" t="str">
        <f t="shared" si="26"/>
        <v xml:space="preserve"> </v>
      </c>
      <c r="M375" s="2" t="str">
        <f t="shared" si="27"/>
        <v xml:space="preserve"> </v>
      </c>
    </row>
    <row r="376" spans="1:13" x14ac:dyDescent="0.25">
      <c r="A376" s="42" t="str">
        <f t="shared" si="25"/>
        <v xml:space="preserve"> </v>
      </c>
      <c r="D376" s="41"/>
      <c r="E376" s="41"/>
      <c r="J376" s="17">
        <f t="shared" si="28"/>
        <v>0</v>
      </c>
      <c r="K376" s="2" t="str">
        <f t="shared" si="29"/>
        <v xml:space="preserve"> </v>
      </c>
      <c r="L376" s="2" t="str">
        <f t="shared" si="26"/>
        <v xml:space="preserve"> </v>
      </c>
      <c r="M376" s="2" t="str">
        <f t="shared" si="27"/>
        <v xml:space="preserve"> </v>
      </c>
    </row>
    <row r="377" spans="1:13" x14ac:dyDescent="0.25">
      <c r="A377" s="42" t="str">
        <f t="shared" si="25"/>
        <v xml:space="preserve"> </v>
      </c>
      <c r="D377" s="41"/>
      <c r="E377" s="41"/>
      <c r="J377" s="17">
        <f t="shared" si="28"/>
        <v>0</v>
      </c>
      <c r="K377" s="2" t="str">
        <f t="shared" si="29"/>
        <v xml:space="preserve"> </v>
      </c>
      <c r="L377" s="2" t="str">
        <f t="shared" si="26"/>
        <v xml:space="preserve"> </v>
      </c>
      <c r="M377" s="2" t="str">
        <f t="shared" si="27"/>
        <v xml:space="preserve"> </v>
      </c>
    </row>
    <row r="378" spans="1:13" x14ac:dyDescent="0.25">
      <c r="A378" s="42" t="str">
        <f t="shared" si="25"/>
        <v xml:space="preserve"> </v>
      </c>
      <c r="D378" s="41"/>
      <c r="E378" s="41"/>
      <c r="J378" s="17">
        <f t="shared" si="28"/>
        <v>0</v>
      </c>
      <c r="K378" s="2" t="str">
        <f t="shared" si="29"/>
        <v xml:space="preserve"> </v>
      </c>
      <c r="L378" s="2" t="str">
        <f t="shared" si="26"/>
        <v xml:space="preserve"> </v>
      </c>
      <c r="M378" s="2" t="str">
        <f t="shared" si="27"/>
        <v xml:space="preserve"> </v>
      </c>
    </row>
    <row r="379" spans="1:13" x14ac:dyDescent="0.25">
      <c r="A379" s="42" t="str">
        <f t="shared" si="25"/>
        <v xml:space="preserve"> </v>
      </c>
      <c r="D379" s="41"/>
      <c r="E379" s="41"/>
      <c r="J379" s="17">
        <f t="shared" si="28"/>
        <v>0</v>
      </c>
      <c r="K379" s="2" t="str">
        <f t="shared" si="29"/>
        <v xml:space="preserve"> </v>
      </c>
      <c r="L379" s="2" t="str">
        <f t="shared" si="26"/>
        <v xml:space="preserve"> </v>
      </c>
      <c r="M379" s="2" t="str">
        <f t="shared" si="27"/>
        <v xml:space="preserve"> </v>
      </c>
    </row>
    <row r="380" spans="1:13" x14ac:dyDescent="0.25">
      <c r="A380" s="42" t="str">
        <f t="shared" si="25"/>
        <v xml:space="preserve"> </v>
      </c>
      <c r="D380" s="41"/>
      <c r="E380" s="41"/>
      <c r="J380" s="17">
        <f t="shared" si="28"/>
        <v>0</v>
      </c>
      <c r="K380" s="2" t="str">
        <f t="shared" si="29"/>
        <v xml:space="preserve"> </v>
      </c>
      <c r="L380" s="2" t="str">
        <f t="shared" si="26"/>
        <v xml:space="preserve"> </v>
      </c>
      <c r="M380" s="2" t="str">
        <f t="shared" si="27"/>
        <v xml:space="preserve"> </v>
      </c>
    </row>
    <row r="381" spans="1:13" x14ac:dyDescent="0.25">
      <c r="A381" s="42" t="str">
        <f t="shared" si="25"/>
        <v xml:space="preserve"> </v>
      </c>
      <c r="D381" s="41"/>
      <c r="E381" s="41"/>
      <c r="J381" s="17">
        <f t="shared" si="28"/>
        <v>0</v>
      </c>
      <c r="K381" s="2" t="str">
        <f t="shared" si="29"/>
        <v xml:space="preserve"> </v>
      </c>
      <c r="L381" s="2" t="str">
        <f t="shared" si="26"/>
        <v xml:space="preserve"> </v>
      </c>
      <c r="M381" s="2" t="str">
        <f t="shared" si="27"/>
        <v xml:space="preserve"> </v>
      </c>
    </row>
    <row r="382" spans="1:13" x14ac:dyDescent="0.25">
      <c r="A382" s="42" t="str">
        <f t="shared" si="25"/>
        <v xml:space="preserve"> </v>
      </c>
      <c r="D382" s="41"/>
      <c r="E382" s="41"/>
      <c r="J382" s="17">
        <f t="shared" si="28"/>
        <v>0</v>
      </c>
      <c r="K382" s="2" t="str">
        <f t="shared" si="29"/>
        <v xml:space="preserve"> </v>
      </c>
      <c r="L382" s="2" t="str">
        <f t="shared" si="26"/>
        <v xml:space="preserve"> </v>
      </c>
      <c r="M382" s="2" t="str">
        <f t="shared" si="27"/>
        <v xml:space="preserve"> </v>
      </c>
    </row>
    <row r="383" spans="1:13" x14ac:dyDescent="0.25">
      <c r="A383" s="42" t="str">
        <f t="shared" si="25"/>
        <v xml:space="preserve"> </v>
      </c>
      <c r="D383" s="41"/>
      <c r="E383" s="41"/>
      <c r="J383" s="17">
        <f t="shared" si="28"/>
        <v>0</v>
      </c>
      <c r="K383" s="2" t="str">
        <f t="shared" si="29"/>
        <v xml:space="preserve"> </v>
      </c>
      <c r="L383" s="2" t="str">
        <f t="shared" si="26"/>
        <v xml:space="preserve"> </v>
      </c>
      <c r="M383" s="2" t="str">
        <f t="shared" si="27"/>
        <v xml:space="preserve"> </v>
      </c>
    </row>
    <row r="384" spans="1:13" x14ac:dyDescent="0.25">
      <c r="A384" s="42" t="str">
        <f t="shared" si="25"/>
        <v xml:space="preserve"> </v>
      </c>
      <c r="D384" s="41"/>
      <c r="E384" s="41"/>
      <c r="J384" s="17">
        <f t="shared" si="28"/>
        <v>0</v>
      </c>
      <c r="K384" s="2" t="str">
        <f t="shared" si="29"/>
        <v xml:space="preserve"> </v>
      </c>
      <c r="L384" s="2" t="str">
        <f t="shared" si="26"/>
        <v xml:space="preserve"> </v>
      </c>
      <c r="M384" s="2" t="str">
        <f t="shared" si="27"/>
        <v xml:space="preserve"> </v>
      </c>
    </row>
    <row r="385" spans="1:13" x14ac:dyDescent="0.25">
      <c r="A385" s="42" t="str">
        <f t="shared" si="25"/>
        <v xml:space="preserve"> </v>
      </c>
      <c r="D385" s="41"/>
      <c r="E385" s="41"/>
      <c r="J385" s="17">
        <f t="shared" si="28"/>
        <v>0</v>
      </c>
      <c r="K385" s="2" t="str">
        <f t="shared" si="29"/>
        <v xml:space="preserve"> </v>
      </c>
      <c r="L385" s="2" t="str">
        <f t="shared" si="26"/>
        <v xml:space="preserve"> </v>
      </c>
      <c r="M385" s="2" t="str">
        <f t="shared" si="27"/>
        <v xml:space="preserve"> </v>
      </c>
    </row>
    <row r="386" spans="1:13" x14ac:dyDescent="0.25">
      <c r="A386" s="42" t="str">
        <f t="shared" si="25"/>
        <v xml:space="preserve"> </v>
      </c>
      <c r="D386" s="41"/>
      <c r="E386" s="41"/>
      <c r="J386" s="17">
        <f t="shared" si="28"/>
        <v>0</v>
      </c>
      <c r="K386" s="2" t="str">
        <f t="shared" si="29"/>
        <v xml:space="preserve"> </v>
      </c>
      <c r="L386" s="2" t="str">
        <f t="shared" si="26"/>
        <v xml:space="preserve"> </v>
      </c>
      <c r="M386" s="2" t="str">
        <f t="shared" si="27"/>
        <v xml:space="preserve"> </v>
      </c>
    </row>
    <row r="387" spans="1:13" x14ac:dyDescent="0.25">
      <c r="A387" s="42" t="str">
        <f t="shared" si="25"/>
        <v xml:space="preserve"> </v>
      </c>
      <c r="D387" s="41"/>
      <c r="E387" s="41"/>
      <c r="J387" s="17">
        <f t="shared" si="28"/>
        <v>0</v>
      </c>
      <c r="K387" s="2" t="str">
        <f t="shared" si="29"/>
        <v xml:space="preserve"> </v>
      </c>
      <c r="L387" s="2" t="str">
        <f t="shared" si="26"/>
        <v xml:space="preserve"> </v>
      </c>
      <c r="M387" s="2" t="str">
        <f t="shared" si="27"/>
        <v xml:space="preserve"> </v>
      </c>
    </row>
    <row r="388" spans="1:13" x14ac:dyDescent="0.25">
      <c r="A388" s="42" t="str">
        <f t="shared" si="25"/>
        <v xml:space="preserve"> </v>
      </c>
      <c r="D388" s="41"/>
      <c r="E388" s="41"/>
      <c r="J388" s="17">
        <f t="shared" si="28"/>
        <v>0</v>
      </c>
      <c r="K388" s="2" t="str">
        <f t="shared" si="29"/>
        <v xml:space="preserve"> </v>
      </c>
      <c r="L388" s="2" t="str">
        <f t="shared" si="26"/>
        <v xml:space="preserve"> </v>
      </c>
      <c r="M388" s="2" t="str">
        <f t="shared" si="27"/>
        <v xml:space="preserve"> </v>
      </c>
    </row>
    <row r="389" spans="1:13" x14ac:dyDescent="0.25">
      <c r="A389" s="42" t="str">
        <f t="shared" si="25"/>
        <v xml:space="preserve"> </v>
      </c>
      <c r="D389" s="41"/>
      <c r="E389" s="41"/>
      <c r="J389" s="17">
        <f t="shared" si="28"/>
        <v>0</v>
      </c>
      <c r="K389" s="2" t="str">
        <f t="shared" si="29"/>
        <v xml:space="preserve"> </v>
      </c>
      <c r="L389" s="2" t="str">
        <f t="shared" si="26"/>
        <v xml:space="preserve"> </v>
      </c>
      <c r="M389" s="2" t="str">
        <f t="shared" si="27"/>
        <v xml:space="preserve"> </v>
      </c>
    </row>
    <row r="390" spans="1:13" x14ac:dyDescent="0.25">
      <c r="A390" s="42" t="str">
        <f t="shared" si="25"/>
        <v xml:space="preserve"> </v>
      </c>
      <c r="D390" s="41"/>
      <c r="E390" s="41"/>
      <c r="J390" s="17">
        <f t="shared" si="28"/>
        <v>0</v>
      </c>
      <c r="K390" s="2" t="str">
        <f t="shared" si="29"/>
        <v xml:space="preserve"> </v>
      </c>
      <c r="L390" s="2" t="str">
        <f t="shared" si="26"/>
        <v xml:space="preserve"> </v>
      </c>
      <c r="M390" s="2" t="str">
        <f t="shared" si="27"/>
        <v xml:space="preserve"> </v>
      </c>
    </row>
    <row r="391" spans="1:13" x14ac:dyDescent="0.25">
      <c r="A391" s="42" t="str">
        <f t="shared" si="25"/>
        <v xml:space="preserve"> </v>
      </c>
      <c r="D391" s="41"/>
      <c r="E391" s="41"/>
      <c r="J391" s="17">
        <f t="shared" si="28"/>
        <v>0</v>
      </c>
      <c r="K391" s="2" t="str">
        <f t="shared" si="29"/>
        <v xml:space="preserve"> </v>
      </c>
      <c r="L391" s="2" t="str">
        <f t="shared" si="26"/>
        <v xml:space="preserve"> </v>
      </c>
      <c r="M391" s="2" t="str">
        <f t="shared" si="27"/>
        <v xml:space="preserve"> </v>
      </c>
    </row>
    <row r="392" spans="1:13" x14ac:dyDescent="0.25">
      <c r="A392" s="42" t="str">
        <f t="shared" si="25"/>
        <v xml:space="preserve"> </v>
      </c>
      <c r="D392" s="41"/>
      <c r="E392" s="41"/>
      <c r="J392" s="17">
        <f t="shared" si="28"/>
        <v>0</v>
      </c>
      <c r="K392" s="2" t="str">
        <f t="shared" si="29"/>
        <v xml:space="preserve"> </v>
      </c>
      <c r="L392" s="2" t="str">
        <f t="shared" si="26"/>
        <v xml:space="preserve"> </v>
      </c>
      <c r="M392" s="2" t="str">
        <f t="shared" si="27"/>
        <v xml:space="preserve"> </v>
      </c>
    </row>
    <row r="393" spans="1:13" x14ac:dyDescent="0.25">
      <c r="A393" s="42" t="str">
        <f t="shared" si="25"/>
        <v xml:space="preserve"> </v>
      </c>
      <c r="D393" s="41"/>
      <c r="E393" s="41"/>
      <c r="J393" s="17">
        <f t="shared" si="28"/>
        <v>0</v>
      </c>
      <c r="K393" s="2" t="str">
        <f t="shared" si="29"/>
        <v xml:space="preserve"> </v>
      </c>
      <c r="L393" s="2" t="str">
        <f t="shared" si="26"/>
        <v xml:space="preserve"> </v>
      </c>
      <c r="M393" s="2" t="str">
        <f t="shared" si="27"/>
        <v xml:space="preserve"> </v>
      </c>
    </row>
    <row r="394" spans="1:13" x14ac:dyDescent="0.25">
      <c r="A394" s="42" t="str">
        <f t="shared" si="25"/>
        <v xml:space="preserve"> </v>
      </c>
      <c r="D394" s="41"/>
      <c r="E394" s="41"/>
      <c r="J394" s="17">
        <f t="shared" si="28"/>
        <v>0</v>
      </c>
      <c r="K394" s="2" t="str">
        <f t="shared" si="29"/>
        <v xml:space="preserve"> </v>
      </c>
      <c r="L394" s="2" t="str">
        <f t="shared" si="26"/>
        <v xml:space="preserve"> </v>
      </c>
      <c r="M394" s="2" t="str">
        <f t="shared" si="27"/>
        <v xml:space="preserve"> </v>
      </c>
    </row>
    <row r="395" spans="1:13" x14ac:dyDescent="0.25">
      <c r="A395" s="42" t="str">
        <f t="shared" si="25"/>
        <v xml:space="preserve"> </v>
      </c>
      <c r="D395" s="41"/>
      <c r="E395" s="41"/>
      <c r="J395" s="17">
        <f t="shared" si="28"/>
        <v>0</v>
      </c>
      <c r="K395" s="2" t="str">
        <f t="shared" si="29"/>
        <v xml:space="preserve"> </v>
      </c>
      <c r="L395" s="2" t="str">
        <f t="shared" si="26"/>
        <v xml:space="preserve"> </v>
      </c>
      <c r="M395" s="2" t="str">
        <f t="shared" si="27"/>
        <v xml:space="preserve"> </v>
      </c>
    </row>
    <row r="396" spans="1:13" x14ac:dyDescent="0.25">
      <c r="A396" s="42" t="str">
        <f t="shared" si="25"/>
        <v xml:space="preserve"> </v>
      </c>
      <c r="D396" s="41"/>
      <c r="E396" s="41"/>
      <c r="J396" s="17">
        <f t="shared" si="28"/>
        <v>0</v>
      </c>
      <c r="K396" s="2" t="str">
        <f t="shared" si="29"/>
        <v xml:space="preserve"> </v>
      </c>
      <c r="L396" s="2" t="str">
        <f t="shared" si="26"/>
        <v xml:space="preserve"> </v>
      </c>
      <c r="M396" s="2" t="str">
        <f t="shared" si="27"/>
        <v xml:space="preserve"> </v>
      </c>
    </row>
    <row r="397" spans="1:13" x14ac:dyDescent="0.25">
      <c r="A397" s="42" t="str">
        <f t="shared" si="25"/>
        <v xml:space="preserve"> </v>
      </c>
      <c r="D397" s="41"/>
      <c r="E397" s="41"/>
      <c r="J397" s="17">
        <f t="shared" si="28"/>
        <v>0</v>
      </c>
      <c r="K397" s="2" t="str">
        <f t="shared" si="29"/>
        <v xml:space="preserve"> </v>
      </c>
      <c r="L397" s="2" t="str">
        <f t="shared" si="26"/>
        <v xml:space="preserve"> </v>
      </c>
      <c r="M397" s="2" t="str">
        <f t="shared" si="27"/>
        <v xml:space="preserve"> </v>
      </c>
    </row>
    <row r="398" spans="1:13" x14ac:dyDescent="0.25">
      <c r="A398" s="42" t="str">
        <f t="shared" si="25"/>
        <v xml:space="preserve"> </v>
      </c>
      <c r="D398" s="41"/>
      <c r="E398" s="41"/>
      <c r="J398" s="17">
        <f t="shared" si="28"/>
        <v>0</v>
      </c>
      <c r="K398" s="2" t="str">
        <f t="shared" si="29"/>
        <v xml:space="preserve"> </v>
      </c>
      <c r="L398" s="2" t="str">
        <f t="shared" si="26"/>
        <v xml:space="preserve"> </v>
      </c>
      <c r="M398" s="2" t="str">
        <f t="shared" si="27"/>
        <v xml:space="preserve"> </v>
      </c>
    </row>
    <row r="399" spans="1:13" x14ac:dyDescent="0.25">
      <c r="A399" s="42" t="str">
        <f t="shared" ref="A399:A462" si="30">IF(COUNTIF(K399:M399,"ERROR")&gt;0,"ERROR"," ")</f>
        <v xml:space="preserve"> </v>
      </c>
      <c r="D399" s="41"/>
      <c r="E399" s="41"/>
      <c r="J399" s="17">
        <f t="shared" si="28"/>
        <v>0</v>
      </c>
      <c r="K399" s="2" t="str">
        <f t="shared" si="29"/>
        <v xml:space="preserve"> </v>
      </c>
      <c r="L399" s="2" t="str">
        <f t="shared" ref="L399:L462" si="31">IF(D399=0," ",IF(COUNTIF(ProfitLoss2,D399)&gt;0," ","ERROR"))</f>
        <v xml:space="preserve"> </v>
      </c>
      <c r="M399" s="2" t="str">
        <f t="shared" ref="M399:M462" si="32">IF(E399=0," ",IF(COUNTIF(BalanceSheetA,E399)&gt;0," ","ERROR"))</f>
        <v xml:space="preserve"> </v>
      </c>
    </row>
    <row r="400" spans="1:13" x14ac:dyDescent="0.25">
      <c r="A400" s="42" t="str">
        <f t="shared" si="30"/>
        <v xml:space="preserve"> </v>
      </c>
      <c r="D400" s="41"/>
      <c r="E400" s="41"/>
      <c r="J400" s="17">
        <f t="shared" ref="J400:J463" si="33">F400-G400+H400-I400</f>
        <v>0</v>
      </c>
      <c r="K400" s="2" t="str">
        <f t="shared" ref="K400:K463" si="34">IF(COUNTA(D400:E400)=2,"ERROR"," ")</f>
        <v xml:space="preserve"> </v>
      </c>
      <c r="L400" s="2" t="str">
        <f t="shared" si="31"/>
        <v xml:space="preserve"> </v>
      </c>
      <c r="M400" s="2" t="str">
        <f t="shared" si="32"/>
        <v xml:space="preserve"> </v>
      </c>
    </row>
    <row r="401" spans="1:13" x14ac:dyDescent="0.25">
      <c r="A401" s="42" t="str">
        <f t="shared" si="30"/>
        <v xml:space="preserve"> </v>
      </c>
      <c r="D401" s="41"/>
      <c r="E401" s="41"/>
      <c r="J401" s="17">
        <f t="shared" si="33"/>
        <v>0</v>
      </c>
      <c r="K401" s="2" t="str">
        <f t="shared" si="34"/>
        <v xml:space="preserve"> </v>
      </c>
      <c r="L401" s="2" t="str">
        <f t="shared" si="31"/>
        <v xml:space="preserve"> </v>
      </c>
      <c r="M401" s="2" t="str">
        <f t="shared" si="32"/>
        <v xml:space="preserve"> </v>
      </c>
    </row>
    <row r="402" spans="1:13" x14ac:dyDescent="0.25">
      <c r="A402" s="42" t="str">
        <f t="shared" si="30"/>
        <v xml:space="preserve"> </v>
      </c>
      <c r="D402" s="41"/>
      <c r="E402" s="41"/>
      <c r="J402" s="17">
        <f t="shared" si="33"/>
        <v>0</v>
      </c>
      <c r="K402" s="2" t="str">
        <f t="shared" si="34"/>
        <v xml:space="preserve"> </v>
      </c>
      <c r="L402" s="2" t="str">
        <f t="shared" si="31"/>
        <v xml:space="preserve"> </v>
      </c>
      <c r="M402" s="2" t="str">
        <f t="shared" si="32"/>
        <v xml:space="preserve"> </v>
      </c>
    </row>
    <row r="403" spans="1:13" x14ac:dyDescent="0.25">
      <c r="A403" s="42" t="str">
        <f t="shared" si="30"/>
        <v xml:space="preserve"> </v>
      </c>
      <c r="D403" s="41"/>
      <c r="E403" s="41"/>
      <c r="J403" s="17">
        <f t="shared" si="33"/>
        <v>0</v>
      </c>
      <c r="K403" s="2" t="str">
        <f t="shared" si="34"/>
        <v xml:space="preserve"> </v>
      </c>
      <c r="L403" s="2" t="str">
        <f t="shared" si="31"/>
        <v xml:space="preserve"> </v>
      </c>
      <c r="M403" s="2" t="str">
        <f t="shared" si="32"/>
        <v xml:space="preserve"> </v>
      </c>
    </row>
    <row r="404" spans="1:13" x14ac:dyDescent="0.25">
      <c r="A404" s="42" t="str">
        <f t="shared" si="30"/>
        <v xml:space="preserve"> </v>
      </c>
      <c r="D404" s="41"/>
      <c r="E404" s="41"/>
      <c r="J404" s="17">
        <f t="shared" si="33"/>
        <v>0</v>
      </c>
      <c r="K404" s="2" t="str">
        <f t="shared" si="34"/>
        <v xml:space="preserve"> </v>
      </c>
      <c r="L404" s="2" t="str">
        <f t="shared" si="31"/>
        <v xml:space="preserve"> </v>
      </c>
      <c r="M404" s="2" t="str">
        <f t="shared" si="32"/>
        <v xml:space="preserve"> </v>
      </c>
    </row>
    <row r="405" spans="1:13" x14ac:dyDescent="0.25">
      <c r="A405" s="42" t="str">
        <f t="shared" si="30"/>
        <v xml:space="preserve"> </v>
      </c>
      <c r="D405" s="41"/>
      <c r="E405" s="41"/>
      <c r="J405" s="17">
        <f t="shared" si="33"/>
        <v>0</v>
      </c>
      <c r="K405" s="2" t="str">
        <f t="shared" si="34"/>
        <v xml:space="preserve"> </v>
      </c>
      <c r="L405" s="2" t="str">
        <f t="shared" si="31"/>
        <v xml:space="preserve"> </v>
      </c>
      <c r="M405" s="2" t="str">
        <f t="shared" si="32"/>
        <v xml:space="preserve"> </v>
      </c>
    </row>
    <row r="406" spans="1:13" x14ac:dyDescent="0.25">
      <c r="A406" s="42" t="str">
        <f t="shared" si="30"/>
        <v xml:space="preserve"> </v>
      </c>
      <c r="D406" s="41"/>
      <c r="E406" s="41"/>
      <c r="J406" s="17">
        <f t="shared" si="33"/>
        <v>0</v>
      </c>
      <c r="K406" s="2" t="str">
        <f t="shared" si="34"/>
        <v xml:space="preserve"> </v>
      </c>
      <c r="L406" s="2" t="str">
        <f t="shared" si="31"/>
        <v xml:space="preserve"> </v>
      </c>
      <c r="M406" s="2" t="str">
        <f t="shared" si="32"/>
        <v xml:space="preserve"> </v>
      </c>
    </row>
    <row r="407" spans="1:13" x14ac:dyDescent="0.25">
      <c r="A407" s="42" t="str">
        <f t="shared" si="30"/>
        <v xml:space="preserve"> </v>
      </c>
      <c r="D407" s="41"/>
      <c r="E407" s="41"/>
      <c r="J407" s="17">
        <f t="shared" si="33"/>
        <v>0</v>
      </c>
      <c r="K407" s="2" t="str">
        <f t="shared" si="34"/>
        <v xml:space="preserve"> </v>
      </c>
      <c r="L407" s="2" t="str">
        <f t="shared" si="31"/>
        <v xml:space="preserve"> </v>
      </c>
      <c r="M407" s="2" t="str">
        <f t="shared" si="32"/>
        <v xml:space="preserve"> </v>
      </c>
    </row>
    <row r="408" spans="1:13" x14ac:dyDescent="0.25">
      <c r="A408" s="42" t="str">
        <f t="shared" si="30"/>
        <v xml:space="preserve"> </v>
      </c>
      <c r="D408" s="41"/>
      <c r="E408" s="41"/>
      <c r="J408" s="17">
        <f t="shared" si="33"/>
        <v>0</v>
      </c>
      <c r="K408" s="2" t="str">
        <f t="shared" si="34"/>
        <v xml:space="preserve"> </v>
      </c>
      <c r="L408" s="2" t="str">
        <f t="shared" si="31"/>
        <v xml:space="preserve"> </v>
      </c>
      <c r="M408" s="2" t="str">
        <f t="shared" si="32"/>
        <v xml:space="preserve"> </v>
      </c>
    </row>
    <row r="409" spans="1:13" x14ac:dyDescent="0.25">
      <c r="A409" s="42" t="str">
        <f t="shared" si="30"/>
        <v xml:space="preserve"> </v>
      </c>
      <c r="D409" s="41"/>
      <c r="E409" s="41"/>
      <c r="J409" s="17">
        <f t="shared" si="33"/>
        <v>0</v>
      </c>
      <c r="K409" s="2" t="str">
        <f t="shared" si="34"/>
        <v xml:space="preserve"> </v>
      </c>
      <c r="L409" s="2" t="str">
        <f t="shared" si="31"/>
        <v xml:space="preserve"> </v>
      </c>
      <c r="M409" s="2" t="str">
        <f t="shared" si="32"/>
        <v xml:space="preserve"> </v>
      </c>
    </row>
    <row r="410" spans="1:13" x14ac:dyDescent="0.25">
      <c r="A410" s="42" t="str">
        <f t="shared" si="30"/>
        <v xml:space="preserve"> </v>
      </c>
      <c r="D410" s="41"/>
      <c r="E410" s="41"/>
      <c r="J410" s="17">
        <f t="shared" si="33"/>
        <v>0</v>
      </c>
      <c r="K410" s="2" t="str">
        <f t="shared" si="34"/>
        <v xml:space="preserve"> </v>
      </c>
      <c r="L410" s="2" t="str">
        <f t="shared" si="31"/>
        <v xml:space="preserve"> </v>
      </c>
      <c r="M410" s="2" t="str">
        <f t="shared" si="32"/>
        <v xml:space="preserve"> </v>
      </c>
    </row>
    <row r="411" spans="1:13" x14ac:dyDescent="0.25">
      <c r="A411" s="42" t="str">
        <f t="shared" si="30"/>
        <v xml:space="preserve"> </v>
      </c>
      <c r="D411" s="41"/>
      <c r="E411" s="41"/>
      <c r="J411" s="17">
        <f t="shared" si="33"/>
        <v>0</v>
      </c>
      <c r="K411" s="2" t="str">
        <f t="shared" si="34"/>
        <v xml:space="preserve"> </v>
      </c>
      <c r="L411" s="2" t="str">
        <f t="shared" si="31"/>
        <v xml:space="preserve"> </v>
      </c>
      <c r="M411" s="2" t="str">
        <f t="shared" si="32"/>
        <v xml:space="preserve"> </v>
      </c>
    </row>
    <row r="412" spans="1:13" x14ac:dyDescent="0.25">
      <c r="A412" s="42" t="str">
        <f t="shared" si="30"/>
        <v xml:space="preserve"> </v>
      </c>
      <c r="D412" s="41"/>
      <c r="E412" s="41"/>
      <c r="J412" s="17">
        <f t="shared" si="33"/>
        <v>0</v>
      </c>
      <c r="K412" s="2" t="str">
        <f t="shared" si="34"/>
        <v xml:space="preserve"> </v>
      </c>
      <c r="L412" s="2" t="str">
        <f t="shared" si="31"/>
        <v xml:space="preserve"> </v>
      </c>
      <c r="M412" s="2" t="str">
        <f t="shared" si="32"/>
        <v xml:space="preserve"> </v>
      </c>
    </row>
    <row r="413" spans="1:13" x14ac:dyDescent="0.25">
      <c r="A413" s="42" t="str">
        <f t="shared" si="30"/>
        <v xml:space="preserve"> </v>
      </c>
      <c r="D413" s="41"/>
      <c r="E413" s="41"/>
      <c r="J413" s="17">
        <f t="shared" si="33"/>
        <v>0</v>
      </c>
      <c r="K413" s="2" t="str">
        <f t="shared" si="34"/>
        <v xml:space="preserve"> </v>
      </c>
      <c r="L413" s="2" t="str">
        <f t="shared" si="31"/>
        <v xml:space="preserve"> </v>
      </c>
      <c r="M413" s="2" t="str">
        <f t="shared" si="32"/>
        <v xml:space="preserve"> </v>
      </c>
    </row>
    <row r="414" spans="1:13" x14ac:dyDescent="0.25">
      <c r="A414" s="42" t="str">
        <f t="shared" si="30"/>
        <v xml:space="preserve"> </v>
      </c>
      <c r="D414" s="41"/>
      <c r="E414" s="41"/>
      <c r="J414" s="17">
        <f t="shared" si="33"/>
        <v>0</v>
      </c>
      <c r="K414" s="2" t="str">
        <f t="shared" si="34"/>
        <v xml:space="preserve"> </v>
      </c>
      <c r="L414" s="2" t="str">
        <f t="shared" si="31"/>
        <v xml:space="preserve"> </v>
      </c>
      <c r="M414" s="2" t="str">
        <f t="shared" si="32"/>
        <v xml:space="preserve"> </v>
      </c>
    </row>
    <row r="415" spans="1:13" x14ac:dyDescent="0.25">
      <c r="A415" s="42" t="str">
        <f t="shared" si="30"/>
        <v xml:space="preserve"> </v>
      </c>
      <c r="D415" s="41"/>
      <c r="E415" s="41"/>
      <c r="J415" s="17">
        <f t="shared" si="33"/>
        <v>0</v>
      </c>
      <c r="K415" s="2" t="str">
        <f t="shared" si="34"/>
        <v xml:space="preserve"> </v>
      </c>
      <c r="L415" s="2" t="str">
        <f t="shared" si="31"/>
        <v xml:space="preserve"> </v>
      </c>
      <c r="M415" s="2" t="str">
        <f t="shared" si="32"/>
        <v xml:space="preserve"> </v>
      </c>
    </row>
    <row r="416" spans="1:13" x14ac:dyDescent="0.25">
      <c r="A416" s="42" t="str">
        <f t="shared" si="30"/>
        <v xml:space="preserve"> </v>
      </c>
      <c r="D416" s="41"/>
      <c r="E416" s="41"/>
      <c r="J416" s="17">
        <f t="shared" si="33"/>
        <v>0</v>
      </c>
      <c r="K416" s="2" t="str">
        <f t="shared" si="34"/>
        <v xml:space="preserve"> </v>
      </c>
      <c r="L416" s="2" t="str">
        <f t="shared" si="31"/>
        <v xml:space="preserve"> </v>
      </c>
      <c r="M416" s="2" t="str">
        <f t="shared" si="32"/>
        <v xml:space="preserve"> </v>
      </c>
    </row>
    <row r="417" spans="1:13" x14ac:dyDescent="0.25">
      <c r="A417" s="42" t="str">
        <f t="shared" si="30"/>
        <v xml:space="preserve"> </v>
      </c>
      <c r="D417" s="41"/>
      <c r="E417" s="41"/>
      <c r="J417" s="17">
        <f t="shared" si="33"/>
        <v>0</v>
      </c>
      <c r="K417" s="2" t="str">
        <f t="shared" si="34"/>
        <v xml:space="preserve"> </v>
      </c>
      <c r="L417" s="2" t="str">
        <f t="shared" si="31"/>
        <v xml:space="preserve"> </v>
      </c>
      <c r="M417" s="2" t="str">
        <f t="shared" si="32"/>
        <v xml:space="preserve"> </v>
      </c>
    </row>
    <row r="418" spans="1:13" x14ac:dyDescent="0.25">
      <c r="A418" s="42" t="str">
        <f t="shared" si="30"/>
        <v xml:space="preserve"> </v>
      </c>
      <c r="D418" s="41"/>
      <c r="E418" s="41"/>
      <c r="J418" s="17">
        <f t="shared" si="33"/>
        <v>0</v>
      </c>
      <c r="K418" s="2" t="str">
        <f t="shared" si="34"/>
        <v xml:space="preserve"> </v>
      </c>
      <c r="L418" s="2" t="str">
        <f t="shared" si="31"/>
        <v xml:space="preserve"> </v>
      </c>
      <c r="M418" s="2" t="str">
        <f t="shared" si="32"/>
        <v xml:space="preserve"> </v>
      </c>
    </row>
    <row r="419" spans="1:13" x14ac:dyDescent="0.25">
      <c r="A419" s="42" t="str">
        <f t="shared" si="30"/>
        <v xml:space="preserve"> </v>
      </c>
      <c r="D419" s="41"/>
      <c r="E419" s="41"/>
      <c r="J419" s="17">
        <f t="shared" si="33"/>
        <v>0</v>
      </c>
      <c r="K419" s="2" t="str">
        <f t="shared" si="34"/>
        <v xml:space="preserve"> </v>
      </c>
      <c r="L419" s="2" t="str">
        <f t="shared" si="31"/>
        <v xml:space="preserve"> </v>
      </c>
      <c r="M419" s="2" t="str">
        <f t="shared" si="32"/>
        <v xml:space="preserve"> </v>
      </c>
    </row>
    <row r="420" spans="1:13" x14ac:dyDescent="0.25">
      <c r="A420" s="42" t="str">
        <f t="shared" si="30"/>
        <v xml:space="preserve"> </v>
      </c>
      <c r="D420" s="41"/>
      <c r="E420" s="41"/>
      <c r="J420" s="17">
        <f t="shared" si="33"/>
        <v>0</v>
      </c>
      <c r="K420" s="2" t="str">
        <f t="shared" si="34"/>
        <v xml:space="preserve"> </v>
      </c>
      <c r="L420" s="2" t="str">
        <f t="shared" si="31"/>
        <v xml:space="preserve"> </v>
      </c>
      <c r="M420" s="2" t="str">
        <f t="shared" si="32"/>
        <v xml:space="preserve"> </v>
      </c>
    </row>
    <row r="421" spans="1:13" x14ac:dyDescent="0.25">
      <c r="A421" s="42" t="str">
        <f t="shared" si="30"/>
        <v xml:space="preserve"> </v>
      </c>
      <c r="D421" s="41"/>
      <c r="E421" s="41"/>
      <c r="J421" s="17">
        <f t="shared" si="33"/>
        <v>0</v>
      </c>
      <c r="K421" s="2" t="str">
        <f t="shared" si="34"/>
        <v xml:space="preserve"> </v>
      </c>
      <c r="L421" s="2" t="str">
        <f t="shared" si="31"/>
        <v xml:space="preserve"> </v>
      </c>
      <c r="M421" s="2" t="str">
        <f t="shared" si="32"/>
        <v xml:space="preserve"> </v>
      </c>
    </row>
    <row r="422" spans="1:13" x14ac:dyDescent="0.25">
      <c r="A422" s="42" t="str">
        <f t="shared" si="30"/>
        <v xml:space="preserve"> </v>
      </c>
      <c r="D422" s="41"/>
      <c r="E422" s="41"/>
      <c r="J422" s="17">
        <f t="shared" si="33"/>
        <v>0</v>
      </c>
      <c r="K422" s="2" t="str">
        <f t="shared" si="34"/>
        <v xml:space="preserve"> </v>
      </c>
      <c r="L422" s="2" t="str">
        <f t="shared" si="31"/>
        <v xml:space="preserve"> </v>
      </c>
      <c r="M422" s="2" t="str">
        <f t="shared" si="32"/>
        <v xml:space="preserve"> </v>
      </c>
    </row>
    <row r="423" spans="1:13" x14ac:dyDescent="0.25">
      <c r="A423" s="42" t="str">
        <f t="shared" si="30"/>
        <v xml:space="preserve"> </v>
      </c>
      <c r="D423" s="41"/>
      <c r="E423" s="41"/>
      <c r="J423" s="17">
        <f t="shared" si="33"/>
        <v>0</v>
      </c>
      <c r="K423" s="2" t="str">
        <f t="shared" si="34"/>
        <v xml:space="preserve"> </v>
      </c>
      <c r="L423" s="2" t="str">
        <f t="shared" si="31"/>
        <v xml:space="preserve"> </v>
      </c>
      <c r="M423" s="2" t="str">
        <f t="shared" si="32"/>
        <v xml:space="preserve"> </v>
      </c>
    </row>
    <row r="424" spans="1:13" x14ac:dyDescent="0.25">
      <c r="A424" s="42" t="str">
        <f t="shared" si="30"/>
        <v xml:space="preserve"> </v>
      </c>
      <c r="D424" s="41"/>
      <c r="E424" s="41"/>
      <c r="J424" s="17">
        <f t="shared" si="33"/>
        <v>0</v>
      </c>
      <c r="K424" s="2" t="str">
        <f t="shared" si="34"/>
        <v xml:space="preserve"> </v>
      </c>
      <c r="L424" s="2" t="str">
        <f t="shared" si="31"/>
        <v xml:space="preserve"> </v>
      </c>
      <c r="M424" s="2" t="str">
        <f t="shared" si="32"/>
        <v xml:space="preserve"> </v>
      </c>
    </row>
    <row r="425" spans="1:13" x14ac:dyDescent="0.25">
      <c r="A425" s="42" t="str">
        <f t="shared" si="30"/>
        <v xml:space="preserve"> </v>
      </c>
      <c r="D425" s="41"/>
      <c r="E425" s="41"/>
      <c r="J425" s="17">
        <f t="shared" si="33"/>
        <v>0</v>
      </c>
      <c r="K425" s="2" t="str">
        <f t="shared" si="34"/>
        <v xml:space="preserve"> </v>
      </c>
      <c r="L425" s="2" t="str">
        <f t="shared" si="31"/>
        <v xml:space="preserve"> </v>
      </c>
      <c r="M425" s="2" t="str">
        <f t="shared" si="32"/>
        <v xml:space="preserve"> </v>
      </c>
    </row>
    <row r="426" spans="1:13" x14ac:dyDescent="0.25">
      <c r="A426" s="42" t="str">
        <f t="shared" si="30"/>
        <v xml:space="preserve"> </v>
      </c>
      <c r="D426" s="41"/>
      <c r="E426" s="41"/>
      <c r="J426" s="17">
        <f t="shared" si="33"/>
        <v>0</v>
      </c>
      <c r="K426" s="2" t="str">
        <f t="shared" si="34"/>
        <v xml:space="preserve"> </v>
      </c>
      <c r="L426" s="2" t="str">
        <f t="shared" si="31"/>
        <v xml:space="preserve"> </v>
      </c>
      <c r="M426" s="2" t="str">
        <f t="shared" si="32"/>
        <v xml:space="preserve"> </v>
      </c>
    </row>
    <row r="427" spans="1:13" x14ac:dyDescent="0.25">
      <c r="A427" s="42" t="str">
        <f t="shared" si="30"/>
        <v xml:space="preserve"> </v>
      </c>
      <c r="D427" s="41"/>
      <c r="E427" s="41"/>
      <c r="J427" s="17">
        <f t="shared" si="33"/>
        <v>0</v>
      </c>
      <c r="K427" s="2" t="str">
        <f t="shared" si="34"/>
        <v xml:space="preserve"> </v>
      </c>
      <c r="L427" s="2" t="str">
        <f t="shared" si="31"/>
        <v xml:space="preserve"> </v>
      </c>
      <c r="M427" s="2" t="str">
        <f t="shared" si="32"/>
        <v xml:space="preserve"> </v>
      </c>
    </row>
    <row r="428" spans="1:13" x14ac:dyDescent="0.25">
      <c r="A428" s="42" t="str">
        <f t="shared" si="30"/>
        <v xml:space="preserve"> </v>
      </c>
      <c r="D428" s="41"/>
      <c r="E428" s="41"/>
      <c r="J428" s="17">
        <f t="shared" si="33"/>
        <v>0</v>
      </c>
      <c r="K428" s="2" t="str">
        <f t="shared" si="34"/>
        <v xml:space="preserve"> </v>
      </c>
      <c r="L428" s="2" t="str">
        <f t="shared" si="31"/>
        <v xml:space="preserve"> </v>
      </c>
      <c r="M428" s="2" t="str">
        <f t="shared" si="32"/>
        <v xml:space="preserve"> </v>
      </c>
    </row>
    <row r="429" spans="1:13" x14ac:dyDescent="0.25">
      <c r="A429" s="42" t="str">
        <f t="shared" si="30"/>
        <v xml:space="preserve"> </v>
      </c>
      <c r="D429" s="41"/>
      <c r="E429" s="41"/>
      <c r="J429" s="17">
        <f t="shared" si="33"/>
        <v>0</v>
      </c>
      <c r="K429" s="2" t="str">
        <f t="shared" si="34"/>
        <v xml:space="preserve"> </v>
      </c>
      <c r="L429" s="2" t="str">
        <f t="shared" si="31"/>
        <v xml:space="preserve"> </v>
      </c>
      <c r="M429" s="2" t="str">
        <f t="shared" si="32"/>
        <v xml:space="preserve"> </v>
      </c>
    </row>
    <row r="430" spans="1:13" x14ac:dyDescent="0.25">
      <c r="A430" s="42" t="str">
        <f t="shared" si="30"/>
        <v xml:space="preserve"> </v>
      </c>
      <c r="D430" s="41"/>
      <c r="E430" s="41"/>
      <c r="J430" s="17">
        <f t="shared" si="33"/>
        <v>0</v>
      </c>
      <c r="K430" s="2" t="str">
        <f t="shared" si="34"/>
        <v xml:space="preserve"> </v>
      </c>
      <c r="L430" s="2" t="str">
        <f t="shared" si="31"/>
        <v xml:space="preserve"> </v>
      </c>
      <c r="M430" s="2" t="str">
        <f t="shared" si="32"/>
        <v xml:space="preserve"> </v>
      </c>
    </row>
    <row r="431" spans="1:13" x14ac:dyDescent="0.25">
      <c r="A431" s="42" t="str">
        <f t="shared" si="30"/>
        <v xml:space="preserve"> </v>
      </c>
      <c r="D431" s="41"/>
      <c r="E431" s="41"/>
      <c r="J431" s="17">
        <f t="shared" si="33"/>
        <v>0</v>
      </c>
      <c r="K431" s="2" t="str">
        <f t="shared" si="34"/>
        <v xml:space="preserve"> </v>
      </c>
      <c r="L431" s="2" t="str">
        <f t="shared" si="31"/>
        <v xml:space="preserve"> </v>
      </c>
      <c r="M431" s="2" t="str">
        <f t="shared" si="32"/>
        <v xml:space="preserve"> </v>
      </c>
    </row>
    <row r="432" spans="1:13" x14ac:dyDescent="0.25">
      <c r="A432" s="42" t="str">
        <f t="shared" si="30"/>
        <v xml:space="preserve"> </v>
      </c>
      <c r="D432" s="41"/>
      <c r="E432" s="41"/>
      <c r="J432" s="17">
        <f t="shared" si="33"/>
        <v>0</v>
      </c>
      <c r="K432" s="2" t="str">
        <f t="shared" si="34"/>
        <v xml:space="preserve"> </v>
      </c>
      <c r="L432" s="2" t="str">
        <f t="shared" si="31"/>
        <v xml:space="preserve"> </v>
      </c>
      <c r="M432" s="2" t="str">
        <f t="shared" si="32"/>
        <v xml:space="preserve"> </v>
      </c>
    </row>
    <row r="433" spans="1:13" x14ac:dyDescent="0.25">
      <c r="A433" s="42" t="str">
        <f t="shared" si="30"/>
        <v xml:space="preserve"> </v>
      </c>
      <c r="D433" s="41"/>
      <c r="E433" s="41"/>
      <c r="J433" s="17">
        <f t="shared" si="33"/>
        <v>0</v>
      </c>
      <c r="K433" s="2" t="str">
        <f t="shared" si="34"/>
        <v xml:space="preserve"> </v>
      </c>
      <c r="L433" s="2" t="str">
        <f t="shared" si="31"/>
        <v xml:space="preserve"> </v>
      </c>
      <c r="M433" s="2" t="str">
        <f t="shared" si="32"/>
        <v xml:space="preserve"> </v>
      </c>
    </row>
    <row r="434" spans="1:13" x14ac:dyDescent="0.25">
      <c r="A434" s="42" t="str">
        <f t="shared" si="30"/>
        <v xml:space="preserve"> </v>
      </c>
      <c r="D434" s="41"/>
      <c r="E434" s="41"/>
      <c r="J434" s="17">
        <f t="shared" si="33"/>
        <v>0</v>
      </c>
      <c r="K434" s="2" t="str">
        <f t="shared" si="34"/>
        <v xml:space="preserve"> </v>
      </c>
      <c r="L434" s="2" t="str">
        <f t="shared" si="31"/>
        <v xml:space="preserve"> </v>
      </c>
      <c r="M434" s="2" t="str">
        <f t="shared" si="32"/>
        <v xml:space="preserve"> </v>
      </c>
    </row>
    <row r="435" spans="1:13" x14ac:dyDescent="0.25">
      <c r="A435" s="42" t="str">
        <f t="shared" si="30"/>
        <v xml:space="preserve"> </v>
      </c>
      <c r="D435" s="41"/>
      <c r="E435" s="41"/>
      <c r="J435" s="17">
        <f t="shared" si="33"/>
        <v>0</v>
      </c>
      <c r="K435" s="2" t="str">
        <f t="shared" si="34"/>
        <v xml:space="preserve"> </v>
      </c>
      <c r="L435" s="2" t="str">
        <f t="shared" si="31"/>
        <v xml:space="preserve"> </v>
      </c>
      <c r="M435" s="2" t="str">
        <f t="shared" si="32"/>
        <v xml:space="preserve"> </v>
      </c>
    </row>
    <row r="436" spans="1:13" x14ac:dyDescent="0.25">
      <c r="A436" s="42" t="str">
        <f t="shared" si="30"/>
        <v xml:space="preserve"> </v>
      </c>
      <c r="D436" s="41"/>
      <c r="E436" s="41"/>
      <c r="J436" s="17">
        <f t="shared" si="33"/>
        <v>0</v>
      </c>
      <c r="K436" s="2" t="str">
        <f t="shared" si="34"/>
        <v xml:space="preserve"> </v>
      </c>
      <c r="L436" s="2" t="str">
        <f t="shared" si="31"/>
        <v xml:space="preserve"> </v>
      </c>
      <c r="M436" s="2" t="str">
        <f t="shared" si="32"/>
        <v xml:space="preserve"> </v>
      </c>
    </row>
    <row r="437" spans="1:13" x14ac:dyDescent="0.25">
      <c r="A437" s="42" t="str">
        <f t="shared" si="30"/>
        <v xml:space="preserve"> </v>
      </c>
      <c r="D437" s="41"/>
      <c r="E437" s="41"/>
      <c r="J437" s="17">
        <f t="shared" si="33"/>
        <v>0</v>
      </c>
      <c r="K437" s="2" t="str">
        <f t="shared" si="34"/>
        <v xml:space="preserve"> </v>
      </c>
      <c r="L437" s="2" t="str">
        <f t="shared" si="31"/>
        <v xml:space="preserve"> </v>
      </c>
      <c r="M437" s="2" t="str">
        <f t="shared" si="32"/>
        <v xml:space="preserve"> </v>
      </c>
    </row>
    <row r="438" spans="1:13" x14ac:dyDescent="0.25">
      <c r="A438" s="42" t="str">
        <f t="shared" si="30"/>
        <v xml:space="preserve"> </v>
      </c>
      <c r="D438" s="41"/>
      <c r="E438" s="41"/>
      <c r="J438" s="17">
        <f t="shared" si="33"/>
        <v>0</v>
      </c>
      <c r="K438" s="2" t="str">
        <f t="shared" si="34"/>
        <v xml:space="preserve"> </v>
      </c>
      <c r="L438" s="2" t="str">
        <f t="shared" si="31"/>
        <v xml:space="preserve"> </v>
      </c>
      <c r="M438" s="2" t="str">
        <f t="shared" si="32"/>
        <v xml:space="preserve"> </v>
      </c>
    </row>
    <row r="439" spans="1:13" x14ac:dyDescent="0.25">
      <c r="A439" s="42" t="str">
        <f t="shared" si="30"/>
        <v xml:space="preserve"> </v>
      </c>
      <c r="D439" s="41"/>
      <c r="E439" s="41"/>
      <c r="J439" s="17">
        <f t="shared" si="33"/>
        <v>0</v>
      </c>
      <c r="K439" s="2" t="str">
        <f t="shared" si="34"/>
        <v xml:space="preserve"> </v>
      </c>
      <c r="L439" s="2" t="str">
        <f t="shared" si="31"/>
        <v xml:space="preserve"> </v>
      </c>
      <c r="M439" s="2" t="str">
        <f t="shared" si="32"/>
        <v xml:space="preserve"> </v>
      </c>
    </row>
    <row r="440" spans="1:13" x14ac:dyDescent="0.25">
      <c r="A440" s="42" t="str">
        <f t="shared" si="30"/>
        <v xml:space="preserve"> </v>
      </c>
      <c r="D440" s="41"/>
      <c r="E440" s="41"/>
      <c r="J440" s="17">
        <f t="shared" si="33"/>
        <v>0</v>
      </c>
      <c r="K440" s="2" t="str">
        <f t="shared" si="34"/>
        <v xml:space="preserve"> </v>
      </c>
      <c r="L440" s="2" t="str">
        <f t="shared" si="31"/>
        <v xml:space="preserve"> </v>
      </c>
      <c r="M440" s="2" t="str">
        <f t="shared" si="32"/>
        <v xml:space="preserve"> </v>
      </c>
    </row>
    <row r="441" spans="1:13" x14ac:dyDescent="0.25">
      <c r="A441" s="42" t="str">
        <f t="shared" si="30"/>
        <v xml:space="preserve"> </v>
      </c>
      <c r="D441" s="41"/>
      <c r="E441" s="41"/>
      <c r="J441" s="17">
        <f t="shared" si="33"/>
        <v>0</v>
      </c>
      <c r="K441" s="2" t="str">
        <f t="shared" si="34"/>
        <v xml:space="preserve"> </v>
      </c>
      <c r="L441" s="2" t="str">
        <f t="shared" si="31"/>
        <v xml:space="preserve"> </v>
      </c>
      <c r="M441" s="2" t="str">
        <f t="shared" si="32"/>
        <v xml:space="preserve"> </v>
      </c>
    </row>
    <row r="442" spans="1:13" x14ac:dyDescent="0.25">
      <c r="A442" s="42" t="str">
        <f t="shared" si="30"/>
        <v xml:space="preserve"> </v>
      </c>
      <c r="D442" s="41"/>
      <c r="E442" s="41"/>
      <c r="J442" s="17">
        <f t="shared" si="33"/>
        <v>0</v>
      </c>
      <c r="K442" s="2" t="str">
        <f t="shared" si="34"/>
        <v xml:space="preserve"> </v>
      </c>
      <c r="L442" s="2" t="str">
        <f t="shared" si="31"/>
        <v xml:space="preserve"> </v>
      </c>
      <c r="M442" s="2" t="str">
        <f t="shared" si="32"/>
        <v xml:space="preserve"> </v>
      </c>
    </row>
    <row r="443" spans="1:13" x14ac:dyDescent="0.25">
      <c r="A443" s="42" t="str">
        <f t="shared" si="30"/>
        <v xml:space="preserve"> </v>
      </c>
      <c r="D443" s="41"/>
      <c r="E443" s="41"/>
      <c r="J443" s="17">
        <f t="shared" si="33"/>
        <v>0</v>
      </c>
      <c r="K443" s="2" t="str">
        <f t="shared" si="34"/>
        <v xml:space="preserve"> </v>
      </c>
      <c r="L443" s="2" t="str">
        <f t="shared" si="31"/>
        <v xml:space="preserve"> </v>
      </c>
      <c r="M443" s="2" t="str">
        <f t="shared" si="32"/>
        <v xml:space="preserve"> </v>
      </c>
    </row>
    <row r="444" spans="1:13" x14ac:dyDescent="0.25">
      <c r="A444" s="42" t="str">
        <f t="shared" si="30"/>
        <v xml:space="preserve"> </v>
      </c>
      <c r="D444" s="41"/>
      <c r="E444" s="41"/>
      <c r="J444" s="17">
        <f t="shared" si="33"/>
        <v>0</v>
      </c>
      <c r="K444" s="2" t="str">
        <f t="shared" si="34"/>
        <v xml:space="preserve"> </v>
      </c>
      <c r="L444" s="2" t="str">
        <f t="shared" si="31"/>
        <v xml:space="preserve"> </v>
      </c>
      <c r="M444" s="2" t="str">
        <f t="shared" si="32"/>
        <v xml:space="preserve"> </v>
      </c>
    </row>
    <row r="445" spans="1:13" x14ac:dyDescent="0.25">
      <c r="A445" s="42" t="str">
        <f t="shared" si="30"/>
        <v xml:space="preserve"> </v>
      </c>
      <c r="D445" s="41"/>
      <c r="E445" s="41"/>
      <c r="J445" s="17">
        <f t="shared" si="33"/>
        <v>0</v>
      </c>
      <c r="K445" s="2" t="str">
        <f t="shared" si="34"/>
        <v xml:space="preserve"> </v>
      </c>
      <c r="L445" s="2" t="str">
        <f t="shared" si="31"/>
        <v xml:space="preserve"> </v>
      </c>
      <c r="M445" s="2" t="str">
        <f t="shared" si="32"/>
        <v xml:space="preserve"> </v>
      </c>
    </row>
    <row r="446" spans="1:13" x14ac:dyDescent="0.25">
      <c r="A446" s="42" t="str">
        <f t="shared" si="30"/>
        <v xml:space="preserve"> </v>
      </c>
      <c r="D446" s="41"/>
      <c r="E446" s="41"/>
      <c r="J446" s="17">
        <f t="shared" si="33"/>
        <v>0</v>
      </c>
      <c r="K446" s="2" t="str">
        <f t="shared" si="34"/>
        <v xml:space="preserve"> </v>
      </c>
      <c r="L446" s="2" t="str">
        <f t="shared" si="31"/>
        <v xml:space="preserve"> </v>
      </c>
      <c r="M446" s="2" t="str">
        <f t="shared" si="32"/>
        <v xml:space="preserve"> </v>
      </c>
    </row>
    <row r="447" spans="1:13" x14ac:dyDescent="0.25">
      <c r="A447" s="42" t="str">
        <f t="shared" si="30"/>
        <v xml:space="preserve"> </v>
      </c>
      <c r="D447" s="41"/>
      <c r="E447" s="41"/>
      <c r="J447" s="17">
        <f t="shared" si="33"/>
        <v>0</v>
      </c>
      <c r="K447" s="2" t="str">
        <f t="shared" si="34"/>
        <v xml:space="preserve"> </v>
      </c>
      <c r="L447" s="2" t="str">
        <f t="shared" si="31"/>
        <v xml:space="preserve"> </v>
      </c>
      <c r="M447" s="2" t="str">
        <f t="shared" si="32"/>
        <v xml:space="preserve"> </v>
      </c>
    </row>
    <row r="448" spans="1:13" x14ac:dyDescent="0.25">
      <c r="A448" s="42" t="str">
        <f t="shared" si="30"/>
        <v xml:space="preserve"> </v>
      </c>
      <c r="D448" s="41"/>
      <c r="E448" s="41"/>
      <c r="J448" s="17">
        <f t="shared" si="33"/>
        <v>0</v>
      </c>
      <c r="K448" s="2" t="str">
        <f t="shared" si="34"/>
        <v xml:space="preserve"> </v>
      </c>
      <c r="L448" s="2" t="str">
        <f t="shared" si="31"/>
        <v xml:space="preserve"> </v>
      </c>
      <c r="M448" s="2" t="str">
        <f t="shared" si="32"/>
        <v xml:space="preserve"> </v>
      </c>
    </row>
    <row r="449" spans="1:13" x14ac:dyDescent="0.25">
      <c r="A449" s="42" t="str">
        <f t="shared" si="30"/>
        <v xml:space="preserve"> </v>
      </c>
      <c r="D449" s="41"/>
      <c r="E449" s="41"/>
      <c r="J449" s="17">
        <f t="shared" si="33"/>
        <v>0</v>
      </c>
      <c r="K449" s="2" t="str">
        <f t="shared" si="34"/>
        <v xml:space="preserve"> </v>
      </c>
      <c r="L449" s="2" t="str">
        <f t="shared" si="31"/>
        <v xml:space="preserve"> </v>
      </c>
      <c r="M449" s="2" t="str">
        <f t="shared" si="32"/>
        <v xml:space="preserve"> </v>
      </c>
    </row>
    <row r="450" spans="1:13" x14ac:dyDescent="0.25">
      <c r="A450" s="42" t="str">
        <f t="shared" si="30"/>
        <v xml:space="preserve"> </v>
      </c>
      <c r="D450" s="41"/>
      <c r="E450" s="41"/>
      <c r="J450" s="17">
        <f t="shared" si="33"/>
        <v>0</v>
      </c>
      <c r="K450" s="2" t="str">
        <f t="shared" si="34"/>
        <v xml:space="preserve"> </v>
      </c>
      <c r="L450" s="2" t="str">
        <f t="shared" si="31"/>
        <v xml:space="preserve"> </v>
      </c>
      <c r="M450" s="2" t="str">
        <f t="shared" si="32"/>
        <v xml:space="preserve"> </v>
      </c>
    </row>
    <row r="451" spans="1:13" x14ac:dyDescent="0.25">
      <c r="A451" s="42" t="str">
        <f t="shared" si="30"/>
        <v xml:space="preserve"> </v>
      </c>
      <c r="D451" s="41"/>
      <c r="E451" s="41"/>
      <c r="J451" s="17">
        <f t="shared" si="33"/>
        <v>0</v>
      </c>
      <c r="K451" s="2" t="str">
        <f t="shared" si="34"/>
        <v xml:space="preserve"> </v>
      </c>
      <c r="L451" s="2" t="str">
        <f t="shared" si="31"/>
        <v xml:space="preserve"> </v>
      </c>
      <c r="M451" s="2" t="str">
        <f t="shared" si="32"/>
        <v xml:space="preserve"> </v>
      </c>
    </row>
    <row r="452" spans="1:13" x14ac:dyDescent="0.25">
      <c r="A452" s="42" t="str">
        <f t="shared" si="30"/>
        <v xml:space="preserve"> </v>
      </c>
      <c r="D452" s="41"/>
      <c r="E452" s="41"/>
      <c r="J452" s="17">
        <f t="shared" si="33"/>
        <v>0</v>
      </c>
      <c r="K452" s="2" t="str">
        <f t="shared" si="34"/>
        <v xml:space="preserve"> </v>
      </c>
      <c r="L452" s="2" t="str">
        <f t="shared" si="31"/>
        <v xml:space="preserve"> </v>
      </c>
      <c r="M452" s="2" t="str">
        <f t="shared" si="32"/>
        <v xml:space="preserve"> </v>
      </c>
    </row>
    <row r="453" spans="1:13" x14ac:dyDescent="0.25">
      <c r="A453" s="42" t="str">
        <f t="shared" si="30"/>
        <v xml:space="preserve"> </v>
      </c>
      <c r="D453" s="41"/>
      <c r="E453" s="41"/>
      <c r="J453" s="17">
        <f t="shared" si="33"/>
        <v>0</v>
      </c>
      <c r="K453" s="2" t="str">
        <f t="shared" si="34"/>
        <v xml:space="preserve"> </v>
      </c>
      <c r="L453" s="2" t="str">
        <f t="shared" si="31"/>
        <v xml:space="preserve"> </v>
      </c>
      <c r="M453" s="2" t="str">
        <f t="shared" si="32"/>
        <v xml:space="preserve"> </v>
      </c>
    </row>
    <row r="454" spans="1:13" x14ac:dyDescent="0.25">
      <c r="A454" s="42" t="str">
        <f t="shared" si="30"/>
        <v xml:space="preserve"> </v>
      </c>
      <c r="D454" s="41"/>
      <c r="E454" s="41"/>
      <c r="J454" s="17">
        <f t="shared" si="33"/>
        <v>0</v>
      </c>
      <c r="K454" s="2" t="str">
        <f t="shared" si="34"/>
        <v xml:space="preserve"> </v>
      </c>
      <c r="L454" s="2" t="str">
        <f t="shared" si="31"/>
        <v xml:space="preserve"> </v>
      </c>
      <c r="M454" s="2" t="str">
        <f t="shared" si="32"/>
        <v xml:space="preserve"> </v>
      </c>
    </row>
    <row r="455" spans="1:13" x14ac:dyDescent="0.25">
      <c r="A455" s="42" t="str">
        <f t="shared" si="30"/>
        <v xml:space="preserve"> </v>
      </c>
      <c r="D455" s="41"/>
      <c r="E455" s="41"/>
      <c r="J455" s="17">
        <f t="shared" si="33"/>
        <v>0</v>
      </c>
      <c r="K455" s="2" t="str">
        <f t="shared" si="34"/>
        <v xml:space="preserve"> </v>
      </c>
      <c r="L455" s="2" t="str">
        <f t="shared" si="31"/>
        <v xml:space="preserve"> </v>
      </c>
      <c r="M455" s="2" t="str">
        <f t="shared" si="32"/>
        <v xml:space="preserve"> </v>
      </c>
    </row>
    <row r="456" spans="1:13" x14ac:dyDescent="0.25">
      <c r="A456" s="42" t="str">
        <f t="shared" si="30"/>
        <v xml:space="preserve"> </v>
      </c>
      <c r="D456" s="41"/>
      <c r="E456" s="41"/>
      <c r="J456" s="17">
        <f t="shared" si="33"/>
        <v>0</v>
      </c>
      <c r="K456" s="2" t="str">
        <f t="shared" si="34"/>
        <v xml:space="preserve"> </v>
      </c>
      <c r="L456" s="2" t="str">
        <f t="shared" si="31"/>
        <v xml:space="preserve"> </v>
      </c>
      <c r="M456" s="2" t="str">
        <f t="shared" si="32"/>
        <v xml:space="preserve"> </v>
      </c>
    </row>
    <row r="457" spans="1:13" x14ac:dyDescent="0.25">
      <c r="A457" s="42" t="str">
        <f t="shared" si="30"/>
        <v xml:space="preserve"> </v>
      </c>
      <c r="D457" s="41"/>
      <c r="E457" s="41"/>
      <c r="J457" s="17">
        <f t="shared" si="33"/>
        <v>0</v>
      </c>
      <c r="K457" s="2" t="str">
        <f t="shared" si="34"/>
        <v xml:space="preserve"> </v>
      </c>
      <c r="L457" s="2" t="str">
        <f t="shared" si="31"/>
        <v xml:space="preserve"> </v>
      </c>
      <c r="M457" s="2" t="str">
        <f t="shared" si="32"/>
        <v xml:space="preserve"> </v>
      </c>
    </row>
    <row r="458" spans="1:13" x14ac:dyDescent="0.25">
      <c r="A458" s="42" t="str">
        <f t="shared" si="30"/>
        <v xml:space="preserve"> </v>
      </c>
      <c r="D458" s="41"/>
      <c r="E458" s="41"/>
      <c r="J458" s="17">
        <f t="shared" si="33"/>
        <v>0</v>
      </c>
      <c r="K458" s="2" t="str">
        <f t="shared" si="34"/>
        <v xml:space="preserve"> </v>
      </c>
      <c r="L458" s="2" t="str">
        <f t="shared" si="31"/>
        <v xml:space="preserve"> </v>
      </c>
      <c r="M458" s="2" t="str">
        <f t="shared" si="32"/>
        <v xml:space="preserve"> </v>
      </c>
    </row>
    <row r="459" spans="1:13" x14ac:dyDescent="0.25">
      <c r="A459" s="42" t="str">
        <f t="shared" si="30"/>
        <v xml:space="preserve"> </v>
      </c>
      <c r="D459" s="41"/>
      <c r="E459" s="41"/>
      <c r="J459" s="17">
        <f t="shared" si="33"/>
        <v>0</v>
      </c>
      <c r="K459" s="2" t="str">
        <f t="shared" si="34"/>
        <v xml:space="preserve"> </v>
      </c>
      <c r="L459" s="2" t="str">
        <f t="shared" si="31"/>
        <v xml:space="preserve"> </v>
      </c>
      <c r="M459" s="2" t="str">
        <f t="shared" si="32"/>
        <v xml:space="preserve"> </v>
      </c>
    </row>
    <row r="460" spans="1:13" x14ac:dyDescent="0.25">
      <c r="A460" s="42" t="str">
        <f t="shared" si="30"/>
        <v xml:space="preserve"> </v>
      </c>
      <c r="D460" s="41"/>
      <c r="E460" s="41"/>
      <c r="J460" s="17">
        <f t="shared" si="33"/>
        <v>0</v>
      </c>
      <c r="K460" s="2" t="str">
        <f t="shared" si="34"/>
        <v xml:space="preserve"> </v>
      </c>
      <c r="L460" s="2" t="str">
        <f t="shared" si="31"/>
        <v xml:space="preserve"> </v>
      </c>
      <c r="M460" s="2" t="str">
        <f t="shared" si="32"/>
        <v xml:space="preserve"> </v>
      </c>
    </row>
    <row r="461" spans="1:13" x14ac:dyDescent="0.25">
      <c r="A461" s="42" t="str">
        <f t="shared" si="30"/>
        <v xml:space="preserve"> </v>
      </c>
      <c r="D461" s="41"/>
      <c r="E461" s="41"/>
      <c r="J461" s="17">
        <f t="shared" si="33"/>
        <v>0</v>
      </c>
      <c r="K461" s="2" t="str">
        <f t="shared" si="34"/>
        <v xml:space="preserve"> </v>
      </c>
      <c r="L461" s="2" t="str">
        <f t="shared" si="31"/>
        <v xml:space="preserve"> </v>
      </c>
      <c r="M461" s="2" t="str">
        <f t="shared" si="32"/>
        <v xml:space="preserve"> </v>
      </c>
    </row>
    <row r="462" spans="1:13" x14ac:dyDescent="0.25">
      <c r="A462" s="42" t="str">
        <f t="shared" si="30"/>
        <v xml:space="preserve"> </v>
      </c>
      <c r="D462" s="41"/>
      <c r="E462" s="41"/>
      <c r="J462" s="17">
        <f t="shared" si="33"/>
        <v>0</v>
      </c>
      <c r="K462" s="2" t="str">
        <f t="shared" si="34"/>
        <v xml:space="preserve"> </v>
      </c>
      <c r="L462" s="2" t="str">
        <f t="shared" si="31"/>
        <v xml:space="preserve"> </v>
      </c>
      <c r="M462" s="2" t="str">
        <f t="shared" si="32"/>
        <v xml:space="preserve"> </v>
      </c>
    </row>
    <row r="463" spans="1:13" x14ac:dyDescent="0.25">
      <c r="A463" s="42" t="str">
        <f t="shared" ref="A463:A482" si="35">IF(COUNTIF(K463:M463,"ERROR")&gt;0,"ERROR"," ")</f>
        <v xml:space="preserve"> </v>
      </c>
      <c r="D463" s="41"/>
      <c r="E463" s="41"/>
      <c r="J463" s="17">
        <f t="shared" si="33"/>
        <v>0</v>
      </c>
      <c r="K463" s="2" t="str">
        <f t="shared" si="34"/>
        <v xml:space="preserve"> </v>
      </c>
      <c r="L463" s="2" t="str">
        <f t="shared" ref="L463:L482" si="36">IF(D463=0," ",IF(COUNTIF(ProfitLoss2,D463)&gt;0," ","ERROR"))</f>
        <v xml:space="preserve"> </v>
      </c>
      <c r="M463" s="2" t="str">
        <f t="shared" ref="M463:M482" si="37">IF(E463=0," ",IF(COUNTIF(BalanceSheetA,E463)&gt;0," ","ERROR"))</f>
        <v xml:space="preserve"> </v>
      </c>
    </row>
    <row r="464" spans="1:13" x14ac:dyDescent="0.25">
      <c r="A464" s="42" t="str">
        <f t="shared" si="35"/>
        <v xml:space="preserve"> </v>
      </c>
      <c r="D464" s="41"/>
      <c r="E464" s="41"/>
      <c r="J464" s="17">
        <f t="shared" ref="J464:J482" si="38">F464-G464+H464-I464</f>
        <v>0</v>
      </c>
      <c r="K464" s="2" t="str">
        <f t="shared" ref="K464:K482" si="39">IF(COUNTA(D464:E464)=2,"ERROR"," ")</f>
        <v xml:space="preserve"> </v>
      </c>
      <c r="L464" s="2" t="str">
        <f t="shared" si="36"/>
        <v xml:space="preserve"> </v>
      </c>
      <c r="M464" s="2" t="str">
        <f t="shared" si="37"/>
        <v xml:space="preserve"> </v>
      </c>
    </row>
    <row r="465" spans="1:13" x14ac:dyDescent="0.25">
      <c r="A465" s="42" t="str">
        <f t="shared" si="35"/>
        <v xml:space="preserve"> </v>
      </c>
      <c r="D465" s="41"/>
      <c r="E465" s="41"/>
      <c r="J465" s="17">
        <f t="shared" si="38"/>
        <v>0</v>
      </c>
      <c r="K465" s="2" t="str">
        <f t="shared" si="39"/>
        <v xml:space="preserve"> </v>
      </c>
      <c r="L465" s="2" t="str">
        <f t="shared" si="36"/>
        <v xml:space="preserve"> </v>
      </c>
      <c r="M465" s="2" t="str">
        <f t="shared" si="37"/>
        <v xml:space="preserve"> </v>
      </c>
    </row>
    <row r="466" spans="1:13" x14ac:dyDescent="0.25">
      <c r="A466" s="42" t="str">
        <f t="shared" si="35"/>
        <v xml:space="preserve"> </v>
      </c>
      <c r="D466" s="41"/>
      <c r="E466" s="41"/>
      <c r="J466" s="17">
        <f t="shared" si="38"/>
        <v>0</v>
      </c>
      <c r="K466" s="2" t="str">
        <f t="shared" si="39"/>
        <v xml:space="preserve"> </v>
      </c>
      <c r="L466" s="2" t="str">
        <f t="shared" si="36"/>
        <v xml:space="preserve"> </v>
      </c>
      <c r="M466" s="2" t="str">
        <f t="shared" si="37"/>
        <v xml:space="preserve"> </v>
      </c>
    </row>
    <row r="467" spans="1:13" x14ac:dyDescent="0.25">
      <c r="A467" s="42" t="str">
        <f t="shared" si="35"/>
        <v xml:space="preserve"> </v>
      </c>
      <c r="D467" s="41"/>
      <c r="E467" s="41"/>
      <c r="J467" s="17">
        <f t="shared" si="38"/>
        <v>0</v>
      </c>
      <c r="K467" s="2" t="str">
        <f t="shared" si="39"/>
        <v xml:space="preserve"> </v>
      </c>
      <c r="L467" s="2" t="str">
        <f t="shared" si="36"/>
        <v xml:space="preserve"> </v>
      </c>
      <c r="M467" s="2" t="str">
        <f t="shared" si="37"/>
        <v xml:space="preserve"> </v>
      </c>
    </row>
    <row r="468" spans="1:13" x14ac:dyDescent="0.25">
      <c r="A468" s="42" t="str">
        <f t="shared" si="35"/>
        <v xml:space="preserve"> </v>
      </c>
      <c r="D468" s="41"/>
      <c r="E468" s="41"/>
      <c r="J468" s="17">
        <f t="shared" si="38"/>
        <v>0</v>
      </c>
      <c r="K468" s="2" t="str">
        <f t="shared" si="39"/>
        <v xml:space="preserve"> </v>
      </c>
      <c r="L468" s="2" t="str">
        <f t="shared" si="36"/>
        <v xml:space="preserve"> </v>
      </c>
      <c r="M468" s="2" t="str">
        <f t="shared" si="37"/>
        <v xml:space="preserve"> </v>
      </c>
    </row>
    <row r="469" spans="1:13" x14ac:dyDescent="0.25">
      <c r="A469" s="42" t="str">
        <f t="shared" si="35"/>
        <v xml:space="preserve"> </v>
      </c>
      <c r="D469" s="41"/>
      <c r="E469" s="41"/>
      <c r="J469" s="17">
        <f t="shared" si="38"/>
        <v>0</v>
      </c>
      <c r="K469" s="2" t="str">
        <f t="shared" si="39"/>
        <v xml:space="preserve"> </v>
      </c>
      <c r="L469" s="2" t="str">
        <f t="shared" si="36"/>
        <v xml:space="preserve"> </v>
      </c>
      <c r="M469" s="2" t="str">
        <f t="shared" si="37"/>
        <v xml:space="preserve"> </v>
      </c>
    </row>
    <row r="470" spans="1:13" x14ac:dyDescent="0.25">
      <c r="A470" s="42" t="str">
        <f t="shared" si="35"/>
        <v xml:space="preserve"> </v>
      </c>
      <c r="D470" s="41"/>
      <c r="E470" s="41"/>
      <c r="J470" s="17">
        <f t="shared" si="38"/>
        <v>0</v>
      </c>
      <c r="K470" s="2" t="str">
        <f t="shared" si="39"/>
        <v xml:space="preserve"> </v>
      </c>
      <c r="L470" s="2" t="str">
        <f t="shared" si="36"/>
        <v xml:space="preserve"> </v>
      </c>
      <c r="M470" s="2" t="str">
        <f t="shared" si="37"/>
        <v xml:space="preserve"> </v>
      </c>
    </row>
    <row r="471" spans="1:13" x14ac:dyDescent="0.25">
      <c r="A471" s="42" t="str">
        <f t="shared" si="35"/>
        <v xml:space="preserve"> </v>
      </c>
      <c r="D471" s="41"/>
      <c r="E471" s="41"/>
      <c r="J471" s="17">
        <f t="shared" si="38"/>
        <v>0</v>
      </c>
      <c r="K471" s="2" t="str">
        <f t="shared" si="39"/>
        <v xml:space="preserve"> </v>
      </c>
      <c r="L471" s="2" t="str">
        <f t="shared" si="36"/>
        <v xml:space="preserve"> </v>
      </c>
      <c r="M471" s="2" t="str">
        <f t="shared" si="37"/>
        <v xml:space="preserve"> </v>
      </c>
    </row>
    <row r="472" spans="1:13" x14ac:dyDescent="0.25">
      <c r="A472" s="42" t="str">
        <f t="shared" si="35"/>
        <v xml:space="preserve"> </v>
      </c>
      <c r="D472" s="41"/>
      <c r="E472" s="41"/>
      <c r="J472" s="17">
        <f t="shared" si="38"/>
        <v>0</v>
      </c>
      <c r="K472" s="2" t="str">
        <f t="shared" si="39"/>
        <v xml:space="preserve"> </v>
      </c>
      <c r="L472" s="2" t="str">
        <f t="shared" si="36"/>
        <v xml:space="preserve"> </v>
      </c>
      <c r="M472" s="2" t="str">
        <f t="shared" si="37"/>
        <v xml:space="preserve"> </v>
      </c>
    </row>
    <row r="473" spans="1:13" x14ac:dyDescent="0.25">
      <c r="A473" s="42" t="str">
        <f t="shared" si="35"/>
        <v xml:space="preserve"> </v>
      </c>
      <c r="D473" s="41"/>
      <c r="E473" s="41"/>
      <c r="J473" s="17">
        <f t="shared" si="38"/>
        <v>0</v>
      </c>
      <c r="K473" s="2" t="str">
        <f t="shared" si="39"/>
        <v xml:space="preserve"> </v>
      </c>
      <c r="L473" s="2" t="str">
        <f t="shared" si="36"/>
        <v xml:space="preserve"> </v>
      </c>
      <c r="M473" s="2" t="str">
        <f t="shared" si="37"/>
        <v xml:space="preserve"> </v>
      </c>
    </row>
    <row r="474" spans="1:13" x14ac:dyDescent="0.25">
      <c r="A474" s="42" t="str">
        <f t="shared" si="35"/>
        <v xml:space="preserve"> </v>
      </c>
      <c r="D474" s="41"/>
      <c r="E474" s="41"/>
      <c r="J474" s="17">
        <f t="shared" si="38"/>
        <v>0</v>
      </c>
      <c r="K474" s="2" t="str">
        <f t="shared" si="39"/>
        <v xml:space="preserve"> </v>
      </c>
      <c r="L474" s="2" t="str">
        <f t="shared" si="36"/>
        <v xml:space="preserve"> </v>
      </c>
      <c r="M474" s="2" t="str">
        <f t="shared" si="37"/>
        <v xml:space="preserve"> </v>
      </c>
    </row>
    <row r="475" spans="1:13" x14ac:dyDescent="0.25">
      <c r="A475" s="42" t="str">
        <f t="shared" si="35"/>
        <v xml:space="preserve"> </v>
      </c>
      <c r="D475" s="41"/>
      <c r="E475" s="41"/>
      <c r="J475" s="17">
        <f t="shared" si="38"/>
        <v>0</v>
      </c>
      <c r="K475" s="2" t="str">
        <f t="shared" si="39"/>
        <v xml:space="preserve"> </v>
      </c>
      <c r="L475" s="2" t="str">
        <f t="shared" si="36"/>
        <v xml:space="preserve"> </v>
      </c>
      <c r="M475" s="2" t="str">
        <f t="shared" si="37"/>
        <v xml:space="preserve"> </v>
      </c>
    </row>
    <row r="476" spans="1:13" x14ac:dyDescent="0.25">
      <c r="A476" s="42" t="str">
        <f t="shared" si="35"/>
        <v xml:space="preserve"> </v>
      </c>
      <c r="D476" s="41"/>
      <c r="E476" s="41"/>
      <c r="J476" s="17">
        <f t="shared" si="38"/>
        <v>0</v>
      </c>
      <c r="K476" s="2" t="str">
        <f t="shared" si="39"/>
        <v xml:space="preserve"> </v>
      </c>
      <c r="L476" s="2" t="str">
        <f t="shared" si="36"/>
        <v xml:space="preserve"> </v>
      </c>
      <c r="M476" s="2" t="str">
        <f t="shared" si="37"/>
        <v xml:space="preserve"> </v>
      </c>
    </row>
    <row r="477" spans="1:13" x14ac:dyDescent="0.25">
      <c r="A477" s="42" t="str">
        <f t="shared" si="35"/>
        <v xml:space="preserve"> </v>
      </c>
      <c r="D477" s="41"/>
      <c r="E477" s="41"/>
      <c r="J477" s="17">
        <f t="shared" si="38"/>
        <v>0</v>
      </c>
      <c r="K477" s="2" t="str">
        <f t="shared" si="39"/>
        <v xml:space="preserve"> </v>
      </c>
      <c r="L477" s="2" t="str">
        <f t="shared" si="36"/>
        <v xml:space="preserve"> </v>
      </c>
      <c r="M477" s="2" t="str">
        <f t="shared" si="37"/>
        <v xml:space="preserve"> </v>
      </c>
    </row>
    <row r="478" spans="1:13" x14ac:dyDescent="0.25">
      <c r="A478" s="42" t="str">
        <f t="shared" si="35"/>
        <v xml:space="preserve"> </v>
      </c>
      <c r="D478" s="41"/>
      <c r="E478" s="41"/>
      <c r="J478" s="17">
        <f t="shared" si="38"/>
        <v>0</v>
      </c>
      <c r="K478" s="2" t="str">
        <f t="shared" si="39"/>
        <v xml:space="preserve"> </v>
      </c>
      <c r="L478" s="2" t="str">
        <f t="shared" si="36"/>
        <v xml:space="preserve"> </v>
      </c>
      <c r="M478" s="2" t="str">
        <f t="shared" si="37"/>
        <v xml:space="preserve"> </v>
      </c>
    </row>
    <row r="479" spans="1:13" x14ac:dyDescent="0.25">
      <c r="A479" s="42" t="str">
        <f t="shared" si="35"/>
        <v xml:space="preserve"> </v>
      </c>
      <c r="D479" s="41"/>
      <c r="E479" s="41"/>
      <c r="J479" s="17">
        <f t="shared" si="38"/>
        <v>0</v>
      </c>
      <c r="K479" s="2" t="str">
        <f t="shared" si="39"/>
        <v xml:space="preserve"> </v>
      </c>
      <c r="L479" s="2" t="str">
        <f t="shared" si="36"/>
        <v xml:space="preserve"> </v>
      </c>
      <c r="M479" s="2" t="str">
        <f t="shared" si="37"/>
        <v xml:space="preserve"> </v>
      </c>
    </row>
    <row r="480" spans="1:13" x14ac:dyDescent="0.25">
      <c r="A480" s="42" t="str">
        <f t="shared" si="35"/>
        <v xml:space="preserve"> </v>
      </c>
      <c r="D480" s="41"/>
      <c r="E480" s="41"/>
      <c r="J480" s="17">
        <f t="shared" si="38"/>
        <v>0</v>
      </c>
      <c r="K480" s="2" t="str">
        <f t="shared" si="39"/>
        <v xml:space="preserve"> </v>
      </c>
      <c r="L480" s="2" t="str">
        <f t="shared" si="36"/>
        <v xml:space="preserve"> </v>
      </c>
      <c r="M480" s="2" t="str">
        <f t="shared" si="37"/>
        <v xml:space="preserve"> </v>
      </c>
    </row>
    <row r="481" spans="1:13" x14ac:dyDescent="0.25">
      <c r="A481" s="42" t="str">
        <f t="shared" si="35"/>
        <v xml:space="preserve"> </v>
      </c>
      <c r="D481" s="41"/>
      <c r="E481" s="41"/>
      <c r="J481" s="17">
        <f t="shared" si="38"/>
        <v>0</v>
      </c>
      <c r="K481" s="2" t="str">
        <f t="shared" si="39"/>
        <v xml:space="preserve"> </v>
      </c>
      <c r="L481" s="2" t="str">
        <f t="shared" si="36"/>
        <v xml:space="preserve"> </v>
      </c>
      <c r="M481" s="2" t="str">
        <f t="shared" si="37"/>
        <v xml:space="preserve"> </v>
      </c>
    </row>
    <row r="482" spans="1:13" x14ac:dyDescent="0.25">
      <c r="A482" s="42" t="str">
        <f t="shared" si="35"/>
        <v xml:space="preserve"> </v>
      </c>
      <c r="D482" s="41"/>
      <c r="E482" s="41"/>
      <c r="J482" s="17">
        <f t="shared" si="38"/>
        <v>0</v>
      </c>
      <c r="K482" s="2" t="str">
        <f t="shared" si="39"/>
        <v xml:space="preserve"> </v>
      </c>
      <c r="L482" s="2" t="str">
        <f t="shared" si="36"/>
        <v xml:space="preserve"> </v>
      </c>
      <c r="M482" s="2" t="str">
        <f t="shared" si="37"/>
        <v xml:space="preserve"> </v>
      </c>
    </row>
    <row r="483" spans="1:13" x14ac:dyDescent="0.25">
      <c r="A483" s="42"/>
    </row>
    <row r="484" spans="1:13" ht="16.5" thickBot="1" x14ac:dyDescent="0.3">
      <c r="A484" s="42"/>
      <c r="F484" s="19">
        <f>SUM(F14:F483)</f>
        <v>0</v>
      </c>
      <c r="G484" s="19">
        <f>SUM(G14:G483)</f>
        <v>0</v>
      </c>
      <c r="H484" s="19">
        <f>SUM(H14:H483)</f>
        <v>0</v>
      </c>
      <c r="I484" s="19">
        <f>SUM(I14:I483)</f>
        <v>0</v>
      </c>
    </row>
    <row r="485" spans="1:13" ht="16.5" thickTop="1" x14ac:dyDescent="0.25">
      <c r="A485" s="42"/>
    </row>
    <row r="486" spans="1:13" x14ac:dyDescent="0.25">
      <c r="A486" s="42"/>
      <c r="C486" s="2" t="s">
        <v>319</v>
      </c>
      <c r="F486" s="4">
        <f>G484-F484</f>
        <v>0</v>
      </c>
    </row>
  </sheetData>
  <sheetProtection formatCells="0" formatColumns="0" formatRows="0" insertHyperlinks="0" deleteColumns="0" deleteRows="0" sort="0" autoFilter="0" pivotTables="0"/>
  <mergeCells count="4">
    <mergeCell ref="F11:G11"/>
    <mergeCell ref="H11:I11"/>
    <mergeCell ref="F12:G12"/>
    <mergeCell ref="H12:I12"/>
  </mergeCells>
  <dataValidations count="2">
    <dataValidation type="list" showInputMessage="1" showErrorMessage="1" sqref="D15:D482" xr:uid="{F7EA4B74-3E5F-4A87-A2A4-D5E9070D7310}">
      <formula1>ProfitLoss2</formula1>
    </dataValidation>
    <dataValidation type="list" showInputMessage="1" showErrorMessage="1" sqref="E15:E482" xr:uid="{DC9D512F-CB33-4D4C-B083-51A593F4D1BF}">
      <formula1>BalanceSheetA</formula1>
    </dataValidation>
  </dataValidations>
  <pageMargins left="0.75" right="0.75" top="1" bottom="1" header="0.5" footer="0.5"/>
  <pageSetup paperSize="9" scale="46" orientation="portrait" r:id="rId1"/>
  <headerFooter alignWithMargins="0"/>
  <colBreaks count="1" manualBreakCount="1">
    <brk id="10"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2A9D3-539C-4248-BB0F-DC53E0947F4B}">
  <dimension ref="A1:R432"/>
  <sheetViews>
    <sheetView zoomScale="89" zoomScaleNormal="89" workbookViewId="0">
      <pane ySplit="3" topLeftCell="A4" activePane="bottomLeft" state="frozen"/>
      <selection pane="bottomLeft" activeCell="A5" sqref="A5"/>
    </sheetView>
  </sheetViews>
  <sheetFormatPr defaultRowHeight="12.75" x14ac:dyDescent="0.2"/>
  <cols>
    <col min="1" max="1" width="17.7109375" style="14" customWidth="1"/>
    <col min="3" max="3" width="46.42578125" style="15" bestFit="1" customWidth="1"/>
    <col min="4" max="5" width="15.42578125" style="16" bestFit="1" customWidth="1"/>
    <col min="6" max="6" width="15.42578125" style="16" customWidth="1"/>
    <col min="7" max="7" width="13.7109375" style="16" customWidth="1"/>
    <col min="8" max="8" width="15.28515625" style="16" bestFit="1" customWidth="1"/>
    <col min="9" max="9" width="16" style="169" customWidth="1"/>
    <col min="10" max="10" width="3.85546875" style="84" customWidth="1"/>
    <col min="11" max="11" width="16.140625" bestFit="1" customWidth="1"/>
    <col min="12" max="12" width="4.140625" customWidth="1"/>
    <col min="13" max="13" width="8.85546875" customWidth="1"/>
    <col min="14" max="14" width="15.28515625" style="50" bestFit="1" customWidth="1"/>
    <col min="15" max="15" width="14.28515625" bestFit="1" customWidth="1"/>
    <col min="16" max="17" width="13.140625" bestFit="1" customWidth="1"/>
    <col min="18" max="18" width="13.85546875" bestFit="1" customWidth="1"/>
  </cols>
  <sheetData>
    <row r="1" spans="1:18" x14ac:dyDescent="0.2">
      <c r="A1" s="412"/>
      <c r="B1" s="413"/>
      <c r="C1" s="443" t="str">
        <f>Criteria!E15</f>
        <v>RENTAL PROPERTIES</v>
      </c>
      <c r="D1" s="439"/>
      <c r="E1" s="439"/>
      <c r="F1" s="414"/>
      <c r="G1" s="415" t="s">
        <v>182</v>
      </c>
      <c r="H1" s="415"/>
      <c r="I1" s="416">
        <f>Criteria!E22</f>
        <v>2026</v>
      </c>
      <c r="J1" s="416"/>
      <c r="K1" s="416">
        <f>Criteria!E27</f>
        <v>2025</v>
      </c>
      <c r="L1" s="413"/>
      <c r="M1" s="413"/>
      <c r="N1" s="399" t="s">
        <v>380</v>
      </c>
      <c r="O1" s="70"/>
      <c r="P1" s="70"/>
    </row>
    <row r="2" spans="1:18" x14ac:dyDescent="0.2">
      <c r="A2" s="417" t="s">
        <v>1244</v>
      </c>
      <c r="B2" s="413"/>
      <c r="C2" s="413"/>
      <c r="D2" s="691">
        <f>D404-E404</f>
        <v>0</v>
      </c>
      <c r="E2" s="691"/>
      <c r="F2" s="419" t="s">
        <v>483</v>
      </c>
      <c r="G2" s="414">
        <f>G404</f>
        <v>0</v>
      </c>
      <c r="H2" s="414">
        <f>D2-E2</f>
        <v>0</v>
      </c>
      <c r="I2" s="421">
        <f>I404</f>
        <v>0</v>
      </c>
      <c r="J2" s="422"/>
      <c r="K2" s="423">
        <f>K404</f>
        <v>0</v>
      </c>
      <c r="L2" s="413"/>
      <c r="M2" s="413"/>
      <c r="N2" s="423">
        <f>SUM(I5:I165)</f>
        <v>0</v>
      </c>
      <c r="O2" s="71"/>
      <c r="P2" s="71"/>
    </row>
    <row r="3" spans="1:18" x14ac:dyDescent="0.2">
      <c r="A3" s="417" t="s">
        <v>673</v>
      </c>
      <c r="B3" s="444" t="s">
        <v>262</v>
      </c>
      <c r="C3" s="424" t="s">
        <v>263</v>
      </c>
      <c r="D3" s="417" t="s">
        <v>264</v>
      </c>
      <c r="E3" s="417" t="s">
        <v>265</v>
      </c>
      <c r="F3" s="425" t="s">
        <v>151</v>
      </c>
      <c r="G3" s="412"/>
      <c r="H3" s="412"/>
      <c r="I3" s="434"/>
      <c r="J3" s="427"/>
      <c r="K3" s="413"/>
      <c r="L3" s="413"/>
      <c r="M3" s="413"/>
      <c r="N3" s="395"/>
    </row>
    <row r="4" spans="1:18" x14ac:dyDescent="0.2">
      <c r="A4" s="165"/>
      <c r="B4" s="113" t="s">
        <v>266</v>
      </c>
      <c r="C4" s="396" t="s">
        <v>123</v>
      </c>
      <c r="D4" s="91"/>
      <c r="E4" s="59"/>
      <c r="F4" s="59"/>
      <c r="G4" s="46"/>
      <c r="H4" s="46"/>
      <c r="I4" s="59"/>
      <c r="J4" s="67"/>
      <c r="K4" s="54" t="s">
        <v>263</v>
      </c>
      <c r="N4" s="51"/>
    </row>
    <row r="5" spans="1:18" x14ac:dyDescent="0.2">
      <c r="A5" s="393"/>
      <c r="B5" s="13" t="s">
        <v>267</v>
      </c>
      <c r="C5" s="397" t="s">
        <v>1195</v>
      </c>
      <c r="D5" s="435"/>
      <c r="E5" s="434"/>
      <c r="F5" s="87"/>
      <c r="G5" s="55">
        <f>SUMIF(JournalsB!D$14:D$920,TrialBalanceB!M5,JournalsB!J$14:J$920)+SUMIF(JournalsB!E$14:E$920,TrialBalanceB!M5,JournalsB!J$14:J$920)</f>
        <v>0</v>
      </c>
      <c r="H5" s="442"/>
      <c r="I5" s="446">
        <f t="shared" ref="I5:I73" si="0">ROUND(D5-E5+G5+F5,0)</f>
        <v>0</v>
      </c>
      <c r="J5" s="83"/>
      <c r="K5" s="56">
        <f t="shared" ref="K5:K73" si="1">ROUND(SUM(A5),0)</f>
        <v>0</v>
      </c>
      <c r="M5" s="196" t="str">
        <f t="shared" ref="M5:M73" si="2">CONCATENATE(B5,C5)</f>
        <v>1000/001Sale of goods</v>
      </c>
      <c r="N5" s="78"/>
      <c r="P5" s="79"/>
      <c r="Q5" s="59"/>
      <c r="R5" s="34"/>
    </row>
    <row r="6" spans="1:18" x14ac:dyDescent="0.2">
      <c r="A6" s="393"/>
      <c r="B6" s="113" t="s">
        <v>268</v>
      </c>
      <c r="C6" s="397" t="s">
        <v>1196</v>
      </c>
      <c r="D6" s="435"/>
      <c r="E6" s="434"/>
      <c r="F6" s="87"/>
      <c r="G6" s="55">
        <f>SUMIF(JournalsB!D$14:D$920,TrialBalanceB!M6,JournalsB!J$14:J$920)+SUMIF(JournalsB!E$14:E$920,TrialBalanceB!M6,JournalsB!J$14:J$920)</f>
        <v>0</v>
      </c>
      <c r="H6" s="442"/>
      <c r="I6" s="446">
        <f t="shared" ref="I6:I9" si="3">ROUND(D6-E6+G6+F6,0)</f>
        <v>0</v>
      </c>
      <c r="J6" s="83"/>
      <c r="K6" s="56">
        <f t="shared" ref="K6:K9" si="4">ROUND(SUM(A6),0)</f>
        <v>0</v>
      </c>
      <c r="M6" s="196" t="str">
        <f t="shared" ref="M6:M9" si="5">CONCATENATE(B6,C6)</f>
        <v>1000/002Rendering of services</v>
      </c>
      <c r="N6" s="78"/>
      <c r="P6" s="79"/>
      <c r="Q6" s="59"/>
      <c r="R6" s="34"/>
    </row>
    <row r="7" spans="1:18" x14ac:dyDescent="0.2">
      <c r="A7" s="393"/>
      <c r="B7" s="113" t="s">
        <v>269</v>
      </c>
      <c r="C7" s="397" t="s">
        <v>1197</v>
      </c>
      <c r="D7" s="435"/>
      <c r="E7" s="434"/>
      <c r="F7" s="87"/>
      <c r="G7" s="55">
        <f>SUMIF(JournalsB!D$14:D$920,TrialBalanceB!M7,JournalsB!J$14:J$920)+SUMIF(JournalsB!E$14:E$920,TrialBalanceB!M7,JournalsB!J$14:J$920)</f>
        <v>0</v>
      </c>
      <c r="H7" s="442"/>
      <c r="I7" s="446">
        <f t="shared" si="3"/>
        <v>0</v>
      </c>
      <c r="J7" s="83"/>
      <c r="K7" s="56">
        <f t="shared" si="4"/>
        <v>0</v>
      </c>
      <c r="M7" s="196" t="str">
        <f t="shared" si="5"/>
        <v>1000/003Commissions received</v>
      </c>
      <c r="N7" s="78"/>
      <c r="P7" s="79"/>
      <c r="Q7" s="59"/>
      <c r="R7" s="34"/>
    </row>
    <row r="8" spans="1:18" x14ac:dyDescent="0.2">
      <c r="A8" s="393"/>
      <c r="B8" s="113" t="s">
        <v>1198</v>
      </c>
      <c r="C8" s="429">
        <f>TrialBalance!C8</f>
        <v>0</v>
      </c>
      <c r="D8" s="435"/>
      <c r="E8" s="434"/>
      <c r="F8" s="87"/>
      <c r="G8" s="55">
        <f>SUMIF(JournalsB!D$14:D$920,TrialBalanceB!M8,JournalsB!J$14:J$920)+SUMIF(JournalsB!E$14:E$920,TrialBalanceB!M8,JournalsB!J$14:J$920)</f>
        <v>0</v>
      </c>
      <c r="H8" s="442"/>
      <c r="I8" s="446">
        <f t="shared" si="3"/>
        <v>0</v>
      </c>
      <c r="J8" s="83"/>
      <c r="K8" s="56">
        <f t="shared" si="4"/>
        <v>0</v>
      </c>
      <c r="M8" s="196" t="str">
        <f t="shared" si="5"/>
        <v>1000/0040</v>
      </c>
      <c r="N8" s="78"/>
      <c r="P8" s="79"/>
      <c r="Q8" s="59"/>
      <c r="R8" s="34"/>
    </row>
    <row r="9" spans="1:18" x14ac:dyDescent="0.2">
      <c r="A9" s="393"/>
      <c r="B9" s="113" t="s">
        <v>1199</v>
      </c>
      <c r="C9" s="429">
        <f>TrialBalance!C9</f>
        <v>0</v>
      </c>
      <c r="D9" s="435"/>
      <c r="E9" s="434"/>
      <c r="F9" s="87"/>
      <c r="G9" s="55">
        <f>SUMIF(JournalsB!D$14:D$920,TrialBalanceB!M9,JournalsB!J$14:J$920)+SUMIF(JournalsB!E$14:E$920,TrialBalanceB!M9,JournalsB!J$14:J$920)</f>
        <v>0</v>
      </c>
      <c r="H9" s="442"/>
      <c r="I9" s="446">
        <f t="shared" si="3"/>
        <v>0</v>
      </c>
      <c r="J9" s="83"/>
      <c r="K9" s="56">
        <f t="shared" si="4"/>
        <v>0</v>
      </c>
      <c r="M9" s="196" t="str">
        <f t="shared" si="5"/>
        <v>1000/0050</v>
      </c>
      <c r="N9" s="78"/>
      <c r="P9" s="79"/>
      <c r="Q9" s="59"/>
      <c r="R9" s="34"/>
    </row>
    <row r="10" spans="1:18" x14ac:dyDescent="0.2">
      <c r="A10" s="393"/>
      <c r="B10" s="113" t="s">
        <v>1200</v>
      </c>
      <c r="C10" s="429">
        <f>TrialBalance!C10</f>
        <v>0</v>
      </c>
      <c r="D10" s="435"/>
      <c r="E10" s="434"/>
      <c r="F10" s="87"/>
      <c r="G10" s="55">
        <f>SUMIF(JournalsB!D$14:D$920,TrialBalanceB!M10,JournalsB!J$14:J$920)+SUMIF(JournalsB!E$14:E$920,TrialBalanceB!M10,JournalsB!J$14:J$920)</f>
        <v>0</v>
      </c>
      <c r="H10" s="442"/>
      <c r="I10" s="446">
        <f t="shared" si="0"/>
        <v>0</v>
      </c>
      <c r="J10" s="83"/>
      <c r="K10" s="56">
        <f t="shared" si="1"/>
        <v>0</v>
      </c>
      <c r="M10" s="196" t="str">
        <f t="shared" si="2"/>
        <v>1000/0060</v>
      </c>
      <c r="N10" s="78"/>
      <c r="P10" s="79"/>
      <c r="Q10" s="59"/>
      <c r="R10" s="34"/>
    </row>
    <row r="11" spans="1:18" x14ac:dyDescent="0.2">
      <c r="A11" s="393"/>
      <c r="B11" s="113" t="s">
        <v>1201</v>
      </c>
      <c r="C11" s="395" t="s">
        <v>398</v>
      </c>
      <c r="D11" s="427"/>
      <c r="E11" s="434"/>
      <c r="F11" s="87"/>
      <c r="G11" s="55">
        <f>SUMIF(JournalsB!D$14:D$920,TrialBalanceB!M11,JournalsB!J$14:J$920)+SUMIF(JournalsB!E$14:E$920,TrialBalanceB!M11,JournalsB!J$14:J$920)</f>
        <v>0</v>
      </c>
      <c r="H11" s="442"/>
      <c r="I11" s="446">
        <f t="shared" si="0"/>
        <v>0</v>
      </c>
      <c r="J11" s="83"/>
      <c r="K11" s="56">
        <f t="shared" si="1"/>
        <v>0</v>
      </c>
      <c r="M11" s="196" t="str">
        <f t="shared" si="2"/>
        <v>1000/007Rent received</v>
      </c>
      <c r="N11" s="78"/>
      <c r="P11" s="79"/>
      <c r="Q11" s="59"/>
      <c r="R11" s="34"/>
    </row>
    <row r="12" spans="1:18" x14ac:dyDescent="0.2">
      <c r="A12" s="393"/>
      <c r="B12" s="62" t="s">
        <v>270</v>
      </c>
      <c r="C12" s="396" t="s">
        <v>124</v>
      </c>
      <c r="D12" s="436"/>
      <c r="E12" s="434"/>
      <c r="F12" s="87"/>
      <c r="G12" s="55">
        <f>SUMIF(JournalsB!D$14:D$920,TrialBalanceB!M12,JournalsB!J$14:J$920)+SUMIF(JournalsB!E$14:E$920,TrialBalanceB!M12,JournalsB!J$14:J$920)</f>
        <v>0</v>
      </c>
      <c r="H12" s="442"/>
      <c r="I12" s="446">
        <f t="shared" si="0"/>
        <v>0</v>
      </c>
      <c r="J12" s="83"/>
      <c r="K12" s="56">
        <f t="shared" si="1"/>
        <v>0</v>
      </c>
      <c r="M12" s="196" t="str">
        <f t="shared" si="2"/>
        <v>2000/000COST OF SALES</v>
      </c>
      <c r="N12" s="78"/>
      <c r="P12" s="79"/>
      <c r="Q12" s="59"/>
      <c r="R12" s="34"/>
    </row>
    <row r="13" spans="1:18" x14ac:dyDescent="0.2">
      <c r="A13" s="393"/>
      <c r="B13" s="62" t="s">
        <v>271</v>
      </c>
      <c r="C13" s="397" t="s">
        <v>718</v>
      </c>
      <c r="D13" s="437"/>
      <c r="E13" s="434"/>
      <c r="F13" s="87"/>
      <c r="G13" s="55">
        <f>SUMIF(JournalsB!D$14:D$920,TrialBalanceB!M13,JournalsB!J$14:J$920)+SUMIF(JournalsB!E$14:E$920,TrialBalanceB!M13,JournalsB!J$14:J$920)</f>
        <v>0</v>
      </c>
      <c r="H13" s="442"/>
      <c r="I13" s="446">
        <f t="shared" si="0"/>
        <v>0</v>
      </c>
      <c r="J13" s="83"/>
      <c r="K13" s="56">
        <f t="shared" si="1"/>
        <v>0</v>
      </c>
      <c r="M13" s="196" t="str">
        <f t="shared" si="2"/>
        <v>2000/001Opening stock - Raw materials</v>
      </c>
      <c r="N13" s="78"/>
      <c r="P13" s="79"/>
      <c r="Q13" s="59"/>
      <c r="R13" s="34"/>
    </row>
    <row r="14" spans="1:18" x14ac:dyDescent="0.2">
      <c r="A14" s="393"/>
      <c r="B14" s="62" t="s">
        <v>426</v>
      </c>
      <c r="C14" s="394" t="s">
        <v>427</v>
      </c>
      <c r="D14" s="435"/>
      <c r="E14" s="434"/>
      <c r="F14" s="87"/>
      <c r="G14" s="55">
        <f>SUMIF(JournalsB!D$14:D$920,TrialBalanceB!M14,JournalsB!J$14:J$920)+SUMIF(JournalsB!E$14:E$920,TrialBalanceB!M14,JournalsB!J$14:J$920)</f>
        <v>0</v>
      </c>
      <c r="H14" s="442"/>
      <c r="I14" s="446">
        <f t="shared" si="0"/>
        <v>0</v>
      </c>
      <c r="J14" s="83"/>
      <c r="K14" s="56">
        <f t="shared" si="1"/>
        <v>0</v>
      </c>
      <c r="M14" s="196" t="str">
        <f t="shared" si="2"/>
        <v>2000/002Opening stock - WIP</v>
      </c>
      <c r="N14" s="78"/>
      <c r="P14" s="79"/>
      <c r="Q14" s="59"/>
      <c r="R14" s="34"/>
    </row>
    <row r="15" spans="1:18" x14ac:dyDescent="0.2">
      <c r="A15" s="393"/>
      <c r="B15" s="62" t="s">
        <v>428</v>
      </c>
      <c r="C15" s="394" t="s">
        <v>429</v>
      </c>
      <c r="D15" s="435"/>
      <c r="E15" s="434"/>
      <c r="F15" s="87"/>
      <c r="G15" s="55">
        <f>SUMIF(JournalsB!D$14:D$920,TrialBalanceB!M15,JournalsB!J$14:J$920)+SUMIF(JournalsB!E$14:E$920,TrialBalanceB!M15,JournalsB!J$14:J$920)</f>
        <v>0</v>
      </c>
      <c r="H15" s="442"/>
      <c r="I15" s="446">
        <f t="shared" si="0"/>
        <v>0</v>
      </c>
      <c r="J15" s="83"/>
      <c r="K15" s="56">
        <f t="shared" si="1"/>
        <v>0</v>
      </c>
      <c r="M15" s="196" t="str">
        <f t="shared" si="2"/>
        <v>2000/003Opening stock - Finished goods</v>
      </c>
      <c r="N15" s="78"/>
      <c r="P15" s="79"/>
      <c r="Q15" s="59"/>
      <c r="R15" s="34"/>
    </row>
    <row r="16" spans="1:18" x14ac:dyDescent="0.2">
      <c r="A16" s="393"/>
      <c r="B16" s="62" t="s">
        <v>430</v>
      </c>
      <c r="C16" s="394" t="s">
        <v>431</v>
      </c>
      <c r="D16" s="435"/>
      <c r="E16" s="434"/>
      <c r="F16" s="87"/>
      <c r="G16" s="55">
        <f>SUMIF(JournalsB!D$14:D$920,TrialBalanceB!M16,JournalsB!J$14:J$920)+SUMIF(JournalsB!E$14:E$920,TrialBalanceB!M16,JournalsB!J$14:J$920)</f>
        <v>0</v>
      </c>
      <c r="H16" s="442"/>
      <c r="I16" s="446">
        <f t="shared" si="0"/>
        <v>0</v>
      </c>
      <c r="J16" s="83"/>
      <c r="K16" s="56">
        <f t="shared" si="1"/>
        <v>0</v>
      </c>
      <c r="M16" s="196" t="str">
        <f t="shared" si="2"/>
        <v>2000/004Opening stock - Trading stock</v>
      </c>
      <c r="N16" s="78"/>
      <c r="P16" s="79"/>
      <c r="Q16" s="59"/>
      <c r="R16" s="34"/>
    </row>
    <row r="17" spans="1:18" x14ac:dyDescent="0.2">
      <c r="A17" s="393"/>
      <c r="B17" s="13" t="s">
        <v>432</v>
      </c>
      <c r="C17" s="394" t="s">
        <v>301</v>
      </c>
      <c r="D17" s="435"/>
      <c r="E17" s="434"/>
      <c r="F17" s="87"/>
      <c r="G17" s="55">
        <f>SUMIF(JournalsB!D$14:D$920,TrialBalanceB!M17,JournalsB!J$14:J$920)+SUMIF(JournalsB!E$14:E$920,TrialBalanceB!M17,JournalsB!J$14:J$920)</f>
        <v>0</v>
      </c>
      <c r="H17" s="442"/>
      <c r="I17" s="446">
        <f t="shared" si="0"/>
        <v>0</v>
      </c>
      <c r="J17" s="83"/>
      <c r="K17" s="56">
        <f t="shared" si="1"/>
        <v>0</v>
      </c>
      <c r="M17" s="196" t="str">
        <f t="shared" si="2"/>
        <v>2000/010Purchases</v>
      </c>
      <c r="N17" s="78"/>
      <c r="P17" s="79"/>
      <c r="Q17" s="59"/>
      <c r="R17" s="34"/>
    </row>
    <row r="18" spans="1:18" x14ac:dyDescent="0.2">
      <c r="A18" s="393"/>
      <c r="B18" s="13" t="s">
        <v>433</v>
      </c>
      <c r="C18" s="429"/>
      <c r="D18" s="434"/>
      <c r="E18" s="434"/>
      <c r="F18" s="87"/>
      <c r="G18" s="55">
        <f>SUMIF(JournalsB!D$14:D$920,TrialBalanceB!M18,JournalsB!J$14:J$920)+SUMIF(JournalsB!E$14:E$920,TrialBalanceB!M18,JournalsB!J$14:J$920)</f>
        <v>0</v>
      </c>
      <c r="H18" s="442"/>
      <c r="I18" s="446">
        <f t="shared" si="0"/>
        <v>0</v>
      </c>
      <c r="J18" s="83"/>
      <c r="K18" s="56">
        <f t="shared" si="1"/>
        <v>0</v>
      </c>
      <c r="M18" s="196" t="str">
        <f t="shared" si="2"/>
        <v>2000/011</v>
      </c>
      <c r="N18" s="78"/>
      <c r="O18" s="34"/>
      <c r="P18" s="79"/>
      <c r="Q18" s="59"/>
      <c r="R18" s="34"/>
    </row>
    <row r="19" spans="1:18" x14ac:dyDescent="0.2">
      <c r="A19" s="393"/>
      <c r="B19" s="62" t="s">
        <v>434</v>
      </c>
      <c r="C19" s="430"/>
      <c r="D19" s="427"/>
      <c r="E19" s="434"/>
      <c r="F19" s="87"/>
      <c r="G19" s="55">
        <f>SUMIF(JournalsB!D$14:D$920,TrialBalanceB!M19,JournalsB!J$14:J$920)+SUMIF(JournalsB!E$14:E$920,TrialBalanceB!M19,JournalsB!J$14:J$920)</f>
        <v>0</v>
      </c>
      <c r="H19" s="442"/>
      <c r="I19" s="446">
        <f t="shared" si="0"/>
        <v>0</v>
      </c>
      <c r="J19" s="83"/>
      <c r="K19" s="56">
        <f t="shared" si="1"/>
        <v>0</v>
      </c>
      <c r="M19" s="196" t="str">
        <f t="shared" si="2"/>
        <v>2000/012</v>
      </c>
      <c r="N19" s="78"/>
      <c r="P19" s="79"/>
      <c r="Q19" s="59"/>
      <c r="R19" s="34"/>
    </row>
    <row r="20" spans="1:18" x14ac:dyDescent="0.2">
      <c r="A20" s="393"/>
      <c r="B20" s="62" t="s">
        <v>435</v>
      </c>
      <c r="C20" s="430"/>
      <c r="D20" s="427"/>
      <c r="E20" s="434"/>
      <c r="F20" s="87"/>
      <c r="G20" s="55">
        <f>SUMIF(JournalsB!D$14:D$920,TrialBalanceB!M20,JournalsB!J$14:J$920)+SUMIF(JournalsB!E$14:E$920,TrialBalanceB!M20,JournalsB!J$14:J$920)</f>
        <v>0</v>
      </c>
      <c r="H20" s="442"/>
      <c r="I20" s="446">
        <f t="shared" si="0"/>
        <v>0</v>
      </c>
      <c r="J20" s="83"/>
      <c r="K20" s="56">
        <f t="shared" si="1"/>
        <v>0</v>
      </c>
      <c r="M20" s="196" t="str">
        <f t="shared" si="2"/>
        <v>2000/013</v>
      </c>
      <c r="N20" s="78"/>
      <c r="P20" s="79"/>
      <c r="Q20" s="59"/>
      <c r="R20" s="34"/>
    </row>
    <row r="21" spans="1:18" x14ac:dyDescent="0.2">
      <c r="A21" s="393"/>
      <c r="B21" s="62" t="s">
        <v>436</v>
      </c>
      <c r="C21" s="430"/>
      <c r="D21" s="427"/>
      <c r="E21" s="434"/>
      <c r="F21" s="87"/>
      <c r="G21" s="55">
        <f>SUMIF(JournalsB!D$14:D$920,TrialBalanceB!M21,JournalsB!J$14:J$920)+SUMIF(JournalsB!E$14:E$920,TrialBalanceB!M21,JournalsB!J$14:J$920)</f>
        <v>0</v>
      </c>
      <c r="H21" s="442"/>
      <c r="I21" s="446">
        <f t="shared" si="0"/>
        <v>0</v>
      </c>
      <c r="J21" s="83"/>
      <c r="K21" s="56">
        <f t="shared" si="1"/>
        <v>0</v>
      </c>
      <c r="M21" s="196" t="str">
        <f t="shared" si="2"/>
        <v>2000/014</v>
      </c>
      <c r="N21" s="78"/>
      <c r="P21" s="79"/>
      <c r="Q21" s="59"/>
      <c r="R21" s="34"/>
    </row>
    <row r="22" spans="1:18" x14ac:dyDescent="0.2">
      <c r="A22" s="393"/>
      <c r="B22" s="62" t="s">
        <v>437</v>
      </c>
      <c r="C22" s="430"/>
      <c r="D22" s="427"/>
      <c r="E22" s="434"/>
      <c r="F22" s="87"/>
      <c r="G22" s="55">
        <f>SUMIF(JournalsB!D$14:D$920,TrialBalanceB!M22,JournalsB!J$14:J$920)+SUMIF(JournalsB!E$14:E$920,TrialBalanceB!M22,JournalsB!J$14:J$920)</f>
        <v>0</v>
      </c>
      <c r="H22" s="442"/>
      <c r="I22" s="446">
        <f t="shared" si="0"/>
        <v>0</v>
      </c>
      <c r="J22" s="83"/>
      <c r="K22" s="56">
        <f t="shared" si="1"/>
        <v>0</v>
      </c>
      <c r="M22" s="196" t="str">
        <f t="shared" si="2"/>
        <v>2000/015</v>
      </c>
      <c r="N22" s="78"/>
      <c r="P22" s="79"/>
      <c r="Q22" s="59"/>
      <c r="R22" s="34"/>
    </row>
    <row r="23" spans="1:18" x14ac:dyDescent="0.2">
      <c r="A23" s="393"/>
      <c r="B23" s="62" t="s">
        <v>438</v>
      </c>
      <c r="C23" s="394" t="s">
        <v>439</v>
      </c>
      <c r="D23" s="435"/>
      <c r="E23" s="434"/>
      <c r="F23" s="87"/>
      <c r="G23" s="55">
        <f>SUMIF(JournalsB!D$14:D$920,TrialBalanceB!M23,JournalsB!J$14:J$920)+SUMIF(JournalsB!E$14:E$920,TrialBalanceB!M23,JournalsB!J$14:J$920)</f>
        <v>0</v>
      </c>
      <c r="H23" s="442"/>
      <c r="I23" s="446">
        <f t="shared" si="0"/>
        <v>0</v>
      </c>
      <c r="J23" s="83"/>
      <c r="K23" s="56">
        <f t="shared" si="1"/>
        <v>0</v>
      </c>
      <c r="M23" s="196" t="str">
        <f t="shared" si="2"/>
        <v>2000/050Closing stock - Raw materials</v>
      </c>
      <c r="N23" s="78"/>
      <c r="P23" s="79"/>
      <c r="Q23" s="59"/>
      <c r="R23" s="34"/>
    </row>
    <row r="24" spans="1:18" x14ac:dyDescent="0.2">
      <c r="A24" s="393"/>
      <c r="B24" s="62" t="s">
        <v>440</v>
      </c>
      <c r="C24" s="394" t="s">
        <v>441</v>
      </c>
      <c r="D24" s="435"/>
      <c r="E24" s="434"/>
      <c r="F24" s="87"/>
      <c r="G24" s="55">
        <f>SUMIF(JournalsB!D$14:D$920,TrialBalanceB!M24,JournalsB!J$14:J$920)+SUMIF(JournalsB!E$14:E$920,TrialBalanceB!M24,JournalsB!J$14:J$920)</f>
        <v>0</v>
      </c>
      <c r="H24" s="442"/>
      <c r="I24" s="446">
        <f t="shared" si="0"/>
        <v>0</v>
      </c>
      <c r="J24" s="83"/>
      <c r="K24" s="56">
        <f t="shared" si="1"/>
        <v>0</v>
      </c>
      <c r="M24" s="196" t="str">
        <f t="shared" si="2"/>
        <v>2000/051Closing stock - WIP</v>
      </c>
      <c r="N24" s="78"/>
      <c r="P24" s="79"/>
      <c r="Q24" s="59"/>
      <c r="R24" s="34"/>
    </row>
    <row r="25" spans="1:18" x14ac:dyDescent="0.2">
      <c r="A25" s="393"/>
      <c r="B25" s="62" t="s">
        <v>442</v>
      </c>
      <c r="C25" s="394" t="s">
        <v>443</v>
      </c>
      <c r="D25" s="435"/>
      <c r="E25" s="434"/>
      <c r="F25" s="87"/>
      <c r="G25" s="55">
        <f>SUMIF(JournalsB!D$14:D$920,TrialBalanceB!M25,JournalsB!J$14:J$920)+SUMIF(JournalsB!E$14:E$920,TrialBalanceB!M25,JournalsB!J$14:J$920)</f>
        <v>0</v>
      </c>
      <c r="H25" s="442"/>
      <c r="I25" s="446">
        <f t="shared" si="0"/>
        <v>0</v>
      </c>
      <c r="J25" s="83"/>
      <c r="K25" s="56">
        <f t="shared" si="1"/>
        <v>0</v>
      </c>
      <c r="M25" s="196" t="str">
        <f t="shared" si="2"/>
        <v>2000/052Closing stock - Finished goods</v>
      </c>
      <c r="N25" s="78"/>
      <c r="P25" s="79"/>
      <c r="Q25" s="59"/>
      <c r="R25" s="34"/>
    </row>
    <row r="26" spans="1:18" x14ac:dyDescent="0.2">
      <c r="A26" s="393"/>
      <c r="B26" s="62" t="s">
        <v>444</v>
      </c>
      <c r="C26" s="394" t="s">
        <v>445</v>
      </c>
      <c r="D26" s="435"/>
      <c r="E26" s="434"/>
      <c r="F26" s="87"/>
      <c r="G26" s="55">
        <f>SUMIF(JournalsB!D$14:D$920,TrialBalanceB!M26,JournalsB!J$14:J$920)+SUMIF(JournalsB!E$14:E$920,TrialBalanceB!M26,JournalsB!J$14:J$920)</f>
        <v>0</v>
      </c>
      <c r="H26" s="442"/>
      <c r="I26" s="446">
        <f t="shared" si="0"/>
        <v>0</v>
      </c>
      <c r="J26" s="83"/>
      <c r="K26" s="56">
        <f t="shared" si="1"/>
        <v>0</v>
      </c>
      <c r="M26" s="196" t="str">
        <f t="shared" si="2"/>
        <v>2000/053Closing stock - Trading stock</v>
      </c>
      <c r="N26" s="78"/>
      <c r="P26" s="79"/>
      <c r="Q26" s="59"/>
      <c r="R26" s="34"/>
    </row>
    <row r="27" spans="1:18" x14ac:dyDescent="0.2">
      <c r="A27" s="393"/>
      <c r="B27" s="64" t="s">
        <v>351</v>
      </c>
      <c r="C27" s="399" t="s">
        <v>350</v>
      </c>
      <c r="D27" s="425"/>
      <c r="E27" s="434"/>
      <c r="F27" s="87"/>
      <c r="G27" s="55">
        <f>SUMIF(JournalsB!D$14:D$920,TrialBalanceB!M27,JournalsB!J$14:J$920)+SUMIF(JournalsB!E$14:E$920,TrialBalanceB!M27,JournalsB!J$14:J$920)</f>
        <v>0</v>
      </c>
      <c r="H27" s="442"/>
      <c r="I27" s="446">
        <f t="shared" si="0"/>
        <v>0</v>
      </c>
      <c r="J27" s="83"/>
      <c r="K27" s="56">
        <f t="shared" si="1"/>
        <v>0</v>
      </c>
      <c r="M27" s="196" t="str">
        <f t="shared" si="2"/>
        <v>2050/000OTHER OPERATING INCOME</v>
      </c>
      <c r="N27" s="78"/>
      <c r="P27" s="79"/>
      <c r="Q27" s="59"/>
      <c r="R27" s="34"/>
    </row>
    <row r="28" spans="1:18" x14ac:dyDescent="0.2">
      <c r="A28" s="393"/>
      <c r="B28" s="64" t="s">
        <v>352</v>
      </c>
      <c r="C28" s="395" t="str">
        <f>CONCATENATE("Insurance claims - ",Criteria!H15)</f>
        <v>Insurance claims - Rental Properties</v>
      </c>
      <c r="D28" s="434"/>
      <c r="E28" s="434"/>
      <c r="F28" s="87"/>
      <c r="G28" s="55">
        <f>SUMIF(JournalsB!D$14:D$920,TrialBalanceB!M28,JournalsB!J$14:J$920)+SUMIF(JournalsB!E$14:E$920,TrialBalanceB!M28,JournalsB!J$14:J$920)</f>
        <v>0</v>
      </c>
      <c r="H28" s="442"/>
      <c r="I28" s="446">
        <f t="shared" si="0"/>
        <v>0</v>
      </c>
      <c r="J28" s="83"/>
      <c r="K28" s="56">
        <f t="shared" si="1"/>
        <v>0</v>
      </c>
      <c r="M28" s="196" t="str">
        <f t="shared" si="2"/>
        <v>2050/001Insurance claims - Rental Properties</v>
      </c>
      <c r="N28" s="78"/>
      <c r="P28" s="79"/>
      <c r="Q28" s="59"/>
      <c r="R28" s="34"/>
    </row>
    <row r="29" spans="1:18" x14ac:dyDescent="0.2">
      <c r="A29" s="393"/>
      <c r="B29" s="64" t="s">
        <v>353</v>
      </c>
      <c r="C29" s="395" t="s">
        <v>1009</v>
      </c>
      <c r="D29" s="427"/>
      <c r="E29" s="434"/>
      <c r="F29" s="87"/>
      <c r="G29" s="55">
        <f>SUMIF(JournalsB!D$14:D$920,TrialBalanceB!M29,JournalsB!J$14:J$920)+SUMIF(JournalsB!E$14:E$920,TrialBalanceB!M29,JournalsB!J$14:J$920)</f>
        <v>0</v>
      </c>
      <c r="H29" s="442"/>
      <c r="I29" s="446">
        <f t="shared" si="0"/>
        <v>0</v>
      </c>
      <c r="J29" s="83"/>
      <c r="K29" s="56">
        <f t="shared" si="1"/>
        <v>0</v>
      </c>
      <c r="M29" s="196" t="str">
        <f t="shared" si="2"/>
        <v>2050/002Government grants received</v>
      </c>
      <c r="N29" s="78"/>
      <c r="P29" s="79"/>
      <c r="Q29" s="59"/>
      <c r="R29" s="34"/>
    </row>
    <row r="30" spans="1:18" x14ac:dyDescent="0.2">
      <c r="A30" s="393"/>
      <c r="B30" s="64" t="s">
        <v>354</v>
      </c>
      <c r="C30" s="430"/>
      <c r="D30" s="427"/>
      <c r="E30" s="434"/>
      <c r="F30" s="87"/>
      <c r="G30" s="55">
        <f>SUMIF(JournalsB!D$14:D$920,TrialBalanceB!M30,JournalsB!J$14:J$920)+SUMIF(JournalsB!E$14:E$920,TrialBalanceB!M30,JournalsB!J$14:J$920)</f>
        <v>0</v>
      </c>
      <c r="H30" s="442"/>
      <c r="I30" s="446">
        <f t="shared" si="0"/>
        <v>0</v>
      </c>
      <c r="J30" s="83"/>
      <c r="K30" s="56">
        <f t="shared" si="1"/>
        <v>0</v>
      </c>
      <c r="M30" s="196" t="str">
        <f t="shared" si="2"/>
        <v>2050/003</v>
      </c>
      <c r="N30" s="78"/>
      <c r="P30" s="79"/>
      <c r="Q30" s="59"/>
      <c r="R30" s="34"/>
    </row>
    <row r="31" spans="1:18" x14ac:dyDescent="0.2">
      <c r="A31" s="393"/>
      <c r="B31" s="64" t="s">
        <v>355</v>
      </c>
      <c r="C31" s="430"/>
      <c r="D31" s="427"/>
      <c r="E31" s="434"/>
      <c r="F31" s="87"/>
      <c r="G31" s="55">
        <f>SUMIF(JournalsB!D$14:D$920,TrialBalanceB!M31,JournalsB!J$14:J$920)+SUMIF(JournalsB!E$14:E$920,TrialBalanceB!M31,JournalsB!J$14:J$920)</f>
        <v>0</v>
      </c>
      <c r="H31" s="442"/>
      <c r="I31" s="446">
        <f t="shared" si="0"/>
        <v>0</v>
      </c>
      <c r="J31" s="83"/>
      <c r="K31" s="56">
        <f t="shared" si="1"/>
        <v>0</v>
      </c>
      <c r="M31" s="196" t="str">
        <f t="shared" si="2"/>
        <v>2050/004</v>
      </c>
      <c r="N31" s="78"/>
      <c r="P31" s="79"/>
      <c r="Q31" s="59"/>
      <c r="R31" s="34"/>
    </row>
    <row r="32" spans="1:18" x14ac:dyDescent="0.2">
      <c r="A32" s="393"/>
      <c r="B32" s="64" t="s">
        <v>356</v>
      </c>
      <c r="C32" s="430"/>
      <c r="D32" s="427"/>
      <c r="E32" s="434"/>
      <c r="F32" s="87"/>
      <c r="G32" s="55">
        <f>SUMIF(JournalsB!D$14:D$920,TrialBalanceB!M32,JournalsB!J$14:J$920)+SUMIF(JournalsB!E$14:E$920,TrialBalanceB!M32,JournalsB!J$14:J$920)</f>
        <v>0</v>
      </c>
      <c r="H32" s="442"/>
      <c r="I32" s="446">
        <f t="shared" si="0"/>
        <v>0</v>
      </c>
      <c r="J32" s="83"/>
      <c r="K32" s="56">
        <f t="shared" si="1"/>
        <v>0</v>
      </c>
      <c r="M32" s="196" t="str">
        <f t="shared" si="2"/>
        <v>2050/005</v>
      </c>
      <c r="N32" s="78"/>
      <c r="P32" s="79"/>
      <c r="Q32" s="59"/>
      <c r="R32" s="34"/>
    </row>
    <row r="33" spans="1:18" x14ac:dyDescent="0.2">
      <c r="A33" s="393"/>
      <c r="B33" s="51" t="s">
        <v>1308</v>
      </c>
      <c r="C33" s="395" t="s">
        <v>1309</v>
      </c>
      <c r="D33" s="427"/>
      <c r="E33" s="434"/>
      <c r="F33" s="87"/>
      <c r="G33" s="55">
        <f>SUMIF(JournalsB!D$14:D$920,TrialBalanceB!M33,JournalsB!J$14:J$920)+SUMIF(JournalsB!E$14:E$920,TrialBalanceB!M33,JournalsB!J$14:J$920)</f>
        <v>0</v>
      </c>
      <c r="H33" s="442"/>
      <c r="I33" s="446">
        <f t="shared" ref="I33" si="6">ROUND(D33-E33+G33+F33,0)</f>
        <v>0</v>
      </c>
      <c r="J33" s="83"/>
      <c r="K33" s="56">
        <f t="shared" ref="K33" si="7">ROUND(SUM(A33),0)</f>
        <v>0</v>
      </c>
      <c r="M33" s="196" t="str">
        <f t="shared" ref="M33" si="8">CONCATENATE(B33,C33)</f>
        <v>2050/006Recoupment of depreciation</v>
      </c>
      <c r="N33" s="78"/>
      <c r="P33" s="79"/>
      <c r="Q33" s="59"/>
      <c r="R33" s="34"/>
    </row>
    <row r="34" spans="1:18" x14ac:dyDescent="0.2">
      <c r="A34" s="393"/>
      <c r="B34" s="51" t="s">
        <v>720</v>
      </c>
      <c r="C34" s="399" t="s">
        <v>719</v>
      </c>
      <c r="D34" s="425"/>
      <c r="E34" s="434"/>
      <c r="F34" s="87"/>
      <c r="G34" s="55">
        <f>SUMIF(JournalsB!D$14:D$920,TrialBalanceB!M34,JournalsB!J$14:J$920)+SUMIF(JournalsB!E$14:E$920,TrialBalanceB!M34,JournalsB!J$14:J$920)</f>
        <v>0</v>
      </c>
      <c r="H34" s="442"/>
      <c r="I34" s="446">
        <f t="shared" si="0"/>
        <v>0</v>
      </c>
      <c r="J34" s="83"/>
      <c r="K34" s="56">
        <f t="shared" si="1"/>
        <v>0</v>
      </c>
      <c r="M34" s="196" t="str">
        <f t="shared" si="2"/>
        <v>2060/000NET (PROFIT)/LOSS OTHER</v>
      </c>
      <c r="N34" s="78"/>
      <c r="P34" s="79"/>
      <c r="Q34" s="59"/>
      <c r="R34" s="34"/>
    </row>
    <row r="35" spans="1:18" x14ac:dyDescent="0.2">
      <c r="A35" s="393"/>
      <c r="B35" s="51" t="s">
        <v>617</v>
      </c>
      <c r="C35" s="395"/>
      <c r="D35" s="434"/>
      <c r="E35" s="434"/>
      <c r="F35" s="87"/>
      <c r="G35" s="55">
        <f>SUMIF(JournalsB!D$14:D$920,TrialBalanceB!M35,JournalsB!J$14:J$920)+SUMIF(JournalsB!E$14:E$920,TrialBalanceB!M35,JournalsB!J$14:J$920)</f>
        <v>0</v>
      </c>
      <c r="H35" s="442"/>
      <c r="I35" s="446">
        <f t="shared" si="0"/>
        <v>0</v>
      </c>
      <c r="J35" s="83"/>
      <c r="K35" s="56">
        <f t="shared" si="1"/>
        <v>0</v>
      </c>
      <c r="M35" s="196" t="str">
        <f t="shared" si="2"/>
        <v>2060/001</v>
      </c>
      <c r="N35" s="78"/>
      <c r="P35" s="79"/>
      <c r="Q35" s="59"/>
      <c r="R35" s="34"/>
    </row>
    <row r="36" spans="1:18" x14ac:dyDescent="0.2">
      <c r="A36" s="393"/>
      <c r="B36" s="51" t="s">
        <v>618</v>
      </c>
      <c r="C36" s="401"/>
      <c r="D36" s="427"/>
      <c r="E36" s="434"/>
      <c r="F36" s="87"/>
      <c r="G36" s="55">
        <f>SUMIF(JournalsB!D$14:D$920,TrialBalanceB!M36,JournalsB!J$14:J$920)+SUMIF(JournalsB!E$14:E$920,TrialBalanceB!M36,JournalsB!J$14:J$920)</f>
        <v>0</v>
      </c>
      <c r="H36" s="442"/>
      <c r="I36" s="446">
        <f t="shared" si="0"/>
        <v>0</v>
      </c>
      <c r="J36" s="83"/>
      <c r="K36" s="56">
        <f t="shared" si="1"/>
        <v>0</v>
      </c>
      <c r="M36" s="196" t="str">
        <f t="shared" si="2"/>
        <v>2060/002</v>
      </c>
      <c r="N36" s="78"/>
      <c r="P36" s="79"/>
      <c r="Q36" s="59"/>
      <c r="R36" s="34"/>
    </row>
    <row r="37" spans="1:18" x14ac:dyDescent="0.2">
      <c r="A37" s="393"/>
      <c r="B37" s="51" t="s">
        <v>619</v>
      </c>
      <c r="C37" s="401"/>
      <c r="D37" s="427"/>
      <c r="E37" s="434"/>
      <c r="F37" s="87"/>
      <c r="G37" s="55">
        <f>SUMIF(JournalsB!D$14:D$920,TrialBalanceB!M37,JournalsB!J$14:J$920)+SUMIF(JournalsB!E$14:E$920,TrialBalanceB!M37,JournalsB!J$14:J$920)</f>
        <v>0</v>
      </c>
      <c r="H37" s="442"/>
      <c r="I37" s="446">
        <f t="shared" si="0"/>
        <v>0</v>
      </c>
      <c r="J37" s="83"/>
      <c r="K37" s="56">
        <f t="shared" si="1"/>
        <v>0</v>
      </c>
      <c r="M37" s="196" t="str">
        <f t="shared" si="2"/>
        <v>2060/003</v>
      </c>
      <c r="N37" s="78"/>
      <c r="P37" s="79"/>
      <c r="Q37" s="59"/>
      <c r="R37" s="34"/>
    </row>
    <row r="38" spans="1:18" x14ac:dyDescent="0.2">
      <c r="A38" s="393"/>
      <c r="B38" s="51" t="s">
        <v>620</v>
      </c>
      <c r="C38" s="401"/>
      <c r="D38" s="427"/>
      <c r="E38" s="434"/>
      <c r="F38" s="87"/>
      <c r="G38" s="55">
        <f>SUMIF(JournalsB!D$14:D$920,TrialBalanceB!M38,JournalsB!J$14:J$920)+SUMIF(JournalsB!E$14:E$920,TrialBalanceB!M38,JournalsB!J$14:J$920)</f>
        <v>0</v>
      </c>
      <c r="H38" s="442"/>
      <c r="I38" s="446">
        <f t="shared" si="0"/>
        <v>0</v>
      </c>
      <c r="J38" s="83"/>
      <c r="K38" s="56">
        <f t="shared" si="1"/>
        <v>0</v>
      </c>
      <c r="M38" s="196" t="str">
        <f t="shared" si="2"/>
        <v>2060/004</v>
      </c>
      <c r="N38" s="78"/>
      <c r="P38" s="79"/>
      <c r="Q38" s="59"/>
      <c r="R38" s="34"/>
    </row>
    <row r="39" spans="1:18" x14ac:dyDescent="0.2">
      <c r="A39" s="393"/>
      <c r="B39" s="62" t="s">
        <v>446</v>
      </c>
      <c r="C39" s="396" t="s">
        <v>1239</v>
      </c>
      <c r="D39" s="436"/>
      <c r="E39" s="434"/>
      <c r="F39" s="87"/>
      <c r="G39" s="55">
        <f>SUMIF(JournalsB!D$14:D$920,TrialBalanceB!M39,JournalsB!J$14:J$920)+SUMIF(JournalsB!E$14:E$920,TrialBalanceB!M39,JournalsB!J$14:J$920)</f>
        <v>0</v>
      </c>
      <c r="H39" s="442"/>
      <c r="I39" s="446">
        <f t="shared" si="0"/>
        <v>0</v>
      </c>
      <c r="J39" s="83"/>
      <c r="K39" s="56">
        <f t="shared" si="1"/>
        <v>0</v>
      </c>
      <c r="M39" s="196" t="str">
        <f t="shared" si="2"/>
        <v>2100/000OPERATING EXPENSES</v>
      </c>
      <c r="N39" s="78"/>
      <c r="P39" s="79"/>
      <c r="Q39" s="59"/>
      <c r="R39" s="34"/>
    </row>
    <row r="40" spans="1:18" x14ac:dyDescent="0.2">
      <c r="A40" s="393"/>
      <c r="B40" s="62" t="s">
        <v>447</v>
      </c>
      <c r="C40" s="394" t="s">
        <v>302</v>
      </c>
      <c r="D40" s="435"/>
      <c r="E40" s="434"/>
      <c r="F40" s="87"/>
      <c r="G40" s="55">
        <f>SUMIF(JournalsB!D$14:D$920,TrialBalanceB!M40,JournalsB!J$14:J$920)+SUMIF(JournalsB!E$14:E$920,TrialBalanceB!M40,JournalsB!J$14:J$920)</f>
        <v>0</v>
      </c>
      <c r="H40" s="442"/>
      <c r="I40" s="446">
        <f t="shared" si="0"/>
        <v>0</v>
      </c>
      <c r="J40" s="83"/>
      <c r="K40" s="56">
        <f t="shared" si="1"/>
        <v>0</v>
      </c>
      <c r="M40" s="196" t="str">
        <f t="shared" si="2"/>
        <v>2100/001Advertising</v>
      </c>
      <c r="N40" s="78"/>
      <c r="P40" s="79"/>
      <c r="Q40" s="59"/>
      <c r="R40" s="34"/>
    </row>
    <row r="41" spans="1:18" x14ac:dyDescent="0.2">
      <c r="A41" s="393"/>
      <c r="B41" s="62" t="s">
        <v>448</v>
      </c>
      <c r="C41" s="397" t="s">
        <v>830</v>
      </c>
      <c r="D41" s="437"/>
      <c r="E41" s="434"/>
      <c r="F41" s="87"/>
      <c r="G41" s="55">
        <f>SUMIF(JournalsB!D$14:D$920,TrialBalanceB!M41,JournalsB!J$14:J$920)+SUMIF(JournalsB!E$14:E$920,TrialBalanceB!M41,JournalsB!J$14:J$920)</f>
        <v>0</v>
      </c>
      <c r="H41" s="442"/>
      <c r="I41" s="446">
        <f t="shared" si="0"/>
        <v>0</v>
      </c>
      <c r="J41" s="83"/>
      <c r="K41" s="56">
        <f t="shared" si="1"/>
        <v>0</v>
      </c>
      <c r="M41" s="196" t="str">
        <f t="shared" si="2"/>
        <v>2100/010Assets less than R7,000</v>
      </c>
      <c r="N41" s="78"/>
      <c r="P41" s="79"/>
      <c r="Q41" s="59"/>
      <c r="R41" s="34"/>
    </row>
    <row r="42" spans="1:18" x14ac:dyDescent="0.2">
      <c r="A42" s="393"/>
      <c r="B42" s="62" t="s">
        <v>449</v>
      </c>
      <c r="C42" s="394" t="s">
        <v>303</v>
      </c>
      <c r="D42" s="435"/>
      <c r="E42" s="434"/>
      <c r="F42" s="87"/>
      <c r="G42" s="55">
        <f>SUMIF(JournalsB!D$14:D$920,TrialBalanceB!M42,JournalsB!J$14:J$920)+SUMIF(JournalsB!E$14:E$920,TrialBalanceB!M42,JournalsB!J$14:J$920)</f>
        <v>0</v>
      </c>
      <c r="H42" s="442"/>
      <c r="I42" s="446">
        <f t="shared" si="0"/>
        <v>0</v>
      </c>
      <c r="J42" s="83"/>
      <c r="K42" s="56">
        <f t="shared" si="1"/>
        <v>0</v>
      </c>
      <c r="M42" s="196" t="str">
        <f t="shared" si="2"/>
        <v>2100/020Consumables</v>
      </c>
      <c r="N42" s="78"/>
      <c r="P42" s="79"/>
      <c r="Q42" s="59"/>
      <c r="R42" s="34"/>
    </row>
    <row r="43" spans="1:18" x14ac:dyDescent="0.2">
      <c r="A43" s="393"/>
      <c r="B43" s="62" t="s">
        <v>450</v>
      </c>
      <c r="C43" s="396" t="s">
        <v>695</v>
      </c>
      <c r="D43" s="436"/>
      <c r="E43" s="434"/>
      <c r="F43" s="87"/>
      <c r="G43" s="55">
        <f>SUMIF(JournalsB!D$14:D$920,TrialBalanceB!M43,JournalsB!J$14:J$920)+SUMIF(JournalsB!E$14:E$920,TrialBalanceB!M43,JournalsB!J$14:J$920)</f>
        <v>0</v>
      </c>
      <c r="H43" s="442"/>
      <c r="I43" s="446">
        <f t="shared" si="0"/>
        <v>0</v>
      </c>
      <c r="J43" s="83"/>
      <c r="K43" s="56">
        <f t="shared" si="1"/>
        <v>0</v>
      </c>
      <c r="M43" s="196" t="str">
        <f t="shared" si="2"/>
        <v>2100/030Depreciation--------------------------------------------------</v>
      </c>
      <c r="N43" s="78"/>
      <c r="P43" s="79"/>
      <c r="Q43" s="59"/>
      <c r="R43" s="34"/>
    </row>
    <row r="44" spans="1:18" x14ac:dyDescent="0.2">
      <c r="A44" s="393"/>
      <c r="B44" s="62" t="s">
        <v>452</v>
      </c>
      <c r="C44" s="397" t="s">
        <v>1366</v>
      </c>
      <c r="D44" s="435"/>
      <c r="E44" s="434"/>
      <c r="F44" s="87"/>
      <c r="G44" s="55">
        <f>SUMIF(JournalsB!D$14:D$920,TrialBalanceB!M44,JournalsB!J$14:J$920)+SUMIF(JournalsB!E$14:E$920,TrialBalanceB!M44,JournalsB!J$14:J$920)</f>
        <v>0</v>
      </c>
      <c r="H44" s="442"/>
      <c r="I44" s="446">
        <f t="shared" si="0"/>
        <v>0</v>
      </c>
      <c r="J44" s="83"/>
      <c r="K44" s="56">
        <f t="shared" si="1"/>
        <v>0</v>
      </c>
      <c r="M44" s="196" t="str">
        <f t="shared" si="2"/>
        <v>2100/031Depr - Property</v>
      </c>
      <c r="N44" s="78"/>
      <c r="P44" s="79"/>
      <c r="Q44" s="59"/>
      <c r="R44" s="34"/>
    </row>
    <row r="45" spans="1:18" x14ac:dyDescent="0.2">
      <c r="A45" s="393"/>
      <c r="B45" s="62" t="s">
        <v>453</v>
      </c>
      <c r="C45" s="397" t="s">
        <v>926</v>
      </c>
      <c r="D45" s="435"/>
      <c r="E45" s="434"/>
      <c r="F45" s="87"/>
      <c r="G45" s="55">
        <f>SUMIF(JournalsB!D$14:D$920,TrialBalanceB!M45,JournalsB!J$14:J$920)+SUMIF(JournalsB!E$14:E$920,TrialBalanceB!M45,JournalsB!J$14:J$920)</f>
        <v>0</v>
      </c>
      <c r="H45" s="442"/>
      <c r="I45" s="446">
        <f t="shared" si="0"/>
        <v>0</v>
      </c>
      <c r="J45" s="83"/>
      <c r="K45" s="56">
        <f t="shared" si="1"/>
        <v>0</v>
      </c>
      <c r="M45" s="196" t="str">
        <f t="shared" si="2"/>
        <v>2100/032Depr - Plant and machinery</v>
      </c>
      <c r="N45" s="78"/>
      <c r="P45" s="79"/>
      <c r="Q45" s="59"/>
      <c r="R45" s="34"/>
    </row>
    <row r="46" spans="1:18" x14ac:dyDescent="0.2">
      <c r="A46" s="393"/>
      <c r="B46" s="62" t="s">
        <v>58</v>
      </c>
      <c r="C46" s="394" t="s">
        <v>59</v>
      </c>
      <c r="D46" s="435"/>
      <c r="E46" s="434"/>
      <c r="F46" s="87"/>
      <c r="G46" s="55">
        <f>SUMIF(JournalsB!D$14:D$920,TrialBalanceB!M46,JournalsB!J$14:J$920)+SUMIF(JournalsB!E$14:E$920,TrialBalanceB!M46,JournalsB!J$14:J$920)</f>
        <v>0</v>
      </c>
      <c r="H46" s="442"/>
      <c r="I46" s="446">
        <f t="shared" si="0"/>
        <v>0</v>
      </c>
      <c r="J46" s="83"/>
      <c r="K46" s="56">
        <f t="shared" si="1"/>
        <v>0</v>
      </c>
      <c r="M46" s="196" t="str">
        <f t="shared" si="2"/>
        <v>2100/033Depr - Motor vehicles</v>
      </c>
      <c r="N46" s="78"/>
      <c r="P46" s="79"/>
      <c r="Q46" s="59"/>
      <c r="R46" s="34"/>
    </row>
    <row r="47" spans="1:18" x14ac:dyDescent="0.2">
      <c r="A47" s="393"/>
      <c r="B47" s="62" t="s">
        <v>61</v>
      </c>
      <c r="C47" s="394" t="s">
        <v>62</v>
      </c>
      <c r="D47" s="435"/>
      <c r="E47" s="434"/>
      <c r="F47" s="87"/>
      <c r="G47" s="55">
        <f>SUMIF(JournalsB!D$14:D$920,TrialBalanceB!M47,JournalsB!J$14:J$920)+SUMIF(JournalsB!E$14:E$920,TrialBalanceB!M47,JournalsB!J$14:J$920)</f>
        <v>0</v>
      </c>
      <c r="H47" s="442"/>
      <c r="I47" s="446">
        <f t="shared" si="0"/>
        <v>0</v>
      </c>
      <c r="J47" s="83"/>
      <c r="K47" s="56">
        <f t="shared" si="1"/>
        <v>0</v>
      </c>
      <c r="M47" s="196" t="str">
        <f t="shared" si="2"/>
        <v>2100/040Discounts allowed</v>
      </c>
      <c r="N47" s="78"/>
      <c r="P47" s="79"/>
      <c r="Q47" s="59"/>
      <c r="R47" s="34"/>
    </row>
    <row r="48" spans="1:18" x14ac:dyDescent="0.2">
      <c r="A48" s="393"/>
      <c r="B48" s="62" t="s">
        <v>63</v>
      </c>
      <c r="C48" s="397" t="s">
        <v>871</v>
      </c>
      <c r="D48" s="435"/>
      <c r="E48" s="434"/>
      <c r="F48" s="87"/>
      <c r="G48" s="55">
        <f>SUMIF(JournalsB!D$14:D$920,TrialBalanceB!M48,JournalsB!J$14:J$920)+SUMIF(JournalsB!E$14:E$920,TrialBalanceB!M48,JournalsB!J$14:J$920)</f>
        <v>0</v>
      </c>
      <c r="H48" s="442"/>
      <c r="I48" s="446">
        <f t="shared" si="0"/>
        <v>0</v>
      </c>
      <c r="J48" s="83"/>
      <c r="K48" s="56">
        <f t="shared" si="1"/>
        <v>0</v>
      </c>
      <c r="M48" s="196" t="str">
        <f t="shared" si="2"/>
        <v>2100/050Electricity and water</v>
      </c>
      <c r="N48" s="78"/>
      <c r="P48" s="79"/>
      <c r="Q48" s="59"/>
      <c r="R48" s="34"/>
    </row>
    <row r="49" spans="1:18" x14ac:dyDescent="0.2">
      <c r="A49" s="393"/>
      <c r="B49" s="62" t="s">
        <v>64</v>
      </c>
      <c r="C49" s="394" t="s">
        <v>69</v>
      </c>
      <c r="D49" s="435"/>
      <c r="E49" s="434"/>
      <c r="F49" s="87"/>
      <c r="G49" s="55">
        <f>SUMIF(JournalsB!D$14:D$920,TrialBalanceB!M49,JournalsB!J$14:J$920)+SUMIF(JournalsB!E$14:E$920,TrialBalanceB!M49,JournalsB!J$14:J$920)</f>
        <v>0</v>
      </c>
      <c r="H49" s="442"/>
      <c r="I49" s="446">
        <f t="shared" si="0"/>
        <v>0</v>
      </c>
      <c r="J49" s="83"/>
      <c r="K49" s="56">
        <f t="shared" si="1"/>
        <v>0</v>
      </c>
      <c r="M49" s="196" t="str">
        <f t="shared" si="2"/>
        <v>2100/055Equipment lease</v>
      </c>
      <c r="N49" s="78"/>
      <c r="P49" s="79"/>
      <c r="Q49" s="59"/>
      <c r="R49" s="34"/>
    </row>
    <row r="50" spans="1:18" x14ac:dyDescent="0.2">
      <c r="A50" s="393"/>
      <c r="B50" s="62" t="s">
        <v>70</v>
      </c>
      <c r="C50" s="394" t="s">
        <v>305</v>
      </c>
      <c r="D50" s="435"/>
      <c r="E50" s="434"/>
      <c r="F50" s="87"/>
      <c r="G50" s="55">
        <f>SUMIF(JournalsB!D$14:D$920,TrialBalanceB!M50,JournalsB!J$14:J$920)+SUMIF(JournalsB!E$14:E$920,TrialBalanceB!M50,JournalsB!J$14:J$920)</f>
        <v>0</v>
      </c>
      <c r="H50" s="442"/>
      <c r="I50" s="446">
        <f t="shared" si="0"/>
        <v>0</v>
      </c>
      <c r="J50" s="83"/>
      <c r="K50" s="56">
        <f t="shared" si="1"/>
        <v>0</v>
      </c>
      <c r="M50" s="196" t="str">
        <f t="shared" si="2"/>
        <v>2100/060Insurance</v>
      </c>
      <c r="N50" s="78"/>
      <c r="P50" s="59"/>
      <c r="Q50" s="59"/>
      <c r="R50" s="34"/>
    </row>
    <row r="51" spans="1:18" x14ac:dyDescent="0.2">
      <c r="A51" s="393"/>
      <c r="B51" s="62" t="s">
        <v>484</v>
      </c>
      <c r="C51" s="394" t="s">
        <v>190</v>
      </c>
      <c r="D51" s="435"/>
      <c r="E51" s="434"/>
      <c r="F51" s="87"/>
      <c r="G51" s="55">
        <f>SUMIF(JournalsB!D$14:D$920,TrialBalanceB!M51,JournalsB!J$14:J$920)+SUMIF(JournalsB!E$14:E$920,TrialBalanceB!M51,JournalsB!J$14:J$920)</f>
        <v>0</v>
      </c>
      <c r="H51" s="442"/>
      <c r="I51" s="446">
        <f t="shared" si="0"/>
        <v>0</v>
      </c>
      <c r="J51" s="83"/>
      <c r="K51" s="56">
        <f t="shared" si="1"/>
        <v>0</v>
      </c>
      <c r="M51" s="196" t="str">
        <f t="shared" si="2"/>
        <v>2100/071Levies - SDL</v>
      </c>
      <c r="N51" s="78"/>
      <c r="P51" s="79"/>
      <c r="Q51" s="59"/>
      <c r="R51" s="34"/>
    </row>
    <row r="52" spans="1:18" x14ac:dyDescent="0.2">
      <c r="A52" s="393"/>
      <c r="B52" s="62" t="s">
        <v>191</v>
      </c>
      <c r="C52" s="394" t="s">
        <v>192</v>
      </c>
      <c r="D52" s="435"/>
      <c r="E52" s="434"/>
      <c r="F52" s="87"/>
      <c r="G52" s="55">
        <f>SUMIF(JournalsB!D$14:D$920,TrialBalanceB!M52,JournalsB!J$14:J$920)+SUMIF(JournalsB!E$14:E$920,TrialBalanceB!M52,JournalsB!J$14:J$920)</f>
        <v>0</v>
      </c>
      <c r="H52" s="442"/>
      <c r="I52" s="446">
        <f t="shared" si="0"/>
        <v>0</v>
      </c>
      <c r="J52" s="83"/>
      <c r="K52" s="56">
        <f t="shared" si="1"/>
        <v>0</v>
      </c>
      <c r="M52" s="196" t="str">
        <f t="shared" si="2"/>
        <v>2100/072Levies - other</v>
      </c>
      <c r="N52" s="78"/>
      <c r="P52" s="79"/>
      <c r="Q52" s="59"/>
      <c r="R52" s="34"/>
    </row>
    <row r="53" spans="1:18" x14ac:dyDescent="0.2">
      <c r="A53" s="393"/>
      <c r="B53" s="62" t="s">
        <v>193</v>
      </c>
      <c r="C53" s="401" t="s">
        <v>387</v>
      </c>
      <c r="D53" s="427"/>
      <c r="E53" s="434"/>
      <c r="F53" s="87"/>
      <c r="G53" s="55">
        <f>SUMIF(JournalsB!D$14:D$920,TrialBalanceB!M53,JournalsB!J$14:J$920)+SUMIF(JournalsB!E$14:E$920,TrialBalanceB!M53,JournalsB!J$14:J$920)</f>
        <v>0</v>
      </c>
      <c r="H53" s="442"/>
      <c r="I53" s="446">
        <f t="shared" si="0"/>
        <v>0</v>
      </c>
      <c r="J53" s="83"/>
      <c r="K53" s="56">
        <f t="shared" si="1"/>
        <v>0</v>
      </c>
      <c r="M53" s="196" t="str">
        <f t="shared" si="2"/>
        <v>2100/080Trade licenses</v>
      </c>
      <c r="N53" s="78"/>
      <c r="P53" s="79"/>
      <c r="Q53" s="59"/>
      <c r="R53" s="34"/>
    </row>
    <row r="54" spans="1:18" x14ac:dyDescent="0.2">
      <c r="A54" s="393"/>
      <c r="B54" s="62" t="s">
        <v>194</v>
      </c>
      <c r="C54" s="396" t="s">
        <v>730</v>
      </c>
      <c r="D54" s="436"/>
      <c r="E54" s="434"/>
      <c r="F54" s="87"/>
      <c r="G54" s="55">
        <f>SUMIF(JournalsB!D$14:D$920,TrialBalanceB!M54,JournalsB!J$14:J$920)+SUMIF(JournalsB!E$14:E$920,TrialBalanceB!M54,JournalsB!J$14:J$920)</f>
        <v>0</v>
      </c>
      <c r="H54" s="442"/>
      <c r="I54" s="446">
        <f t="shared" si="0"/>
        <v>0</v>
      </c>
      <c r="J54" s="83"/>
      <c r="K54" s="56">
        <f t="shared" si="1"/>
        <v>0</v>
      </c>
      <c r="M54" s="196" t="str">
        <f t="shared" si="2"/>
        <v>2100/090Motor vehicle expenses----------------------------------</v>
      </c>
      <c r="N54" s="78"/>
      <c r="P54" s="79"/>
      <c r="Q54" s="59"/>
      <c r="R54" s="34"/>
    </row>
    <row r="55" spans="1:18" x14ac:dyDescent="0.2">
      <c r="A55" s="393"/>
      <c r="B55" s="62" t="s">
        <v>196</v>
      </c>
      <c r="C55" s="394" t="s">
        <v>197</v>
      </c>
      <c r="D55" s="435"/>
      <c r="E55" s="434"/>
      <c r="F55" s="87"/>
      <c r="G55" s="55">
        <f>SUMIF(JournalsB!D$14:D$920,TrialBalanceB!M55,JournalsB!J$14:J$920)+SUMIF(JournalsB!E$14:E$920,TrialBalanceB!M55,JournalsB!J$14:J$920)</f>
        <v>0</v>
      </c>
      <c r="H55" s="442"/>
      <c r="I55" s="446">
        <f t="shared" si="0"/>
        <v>0</v>
      </c>
      <c r="J55" s="83"/>
      <c r="K55" s="56">
        <f t="shared" si="1"/>
        <v>0</v>
      </c>
      <c r="M55" s="196" t="str">
        <f t="shared" si="2"/>
        <v>2100/091Motor vehicle expenses - Petrol and oil</v>
      </c>
      <c r="N55" s="78"/>
      <c r="P55" s="79"/>
      <c r="Q55" s="59"/>
      <c r="R55" s="34"/>
    </row>
    <row r="56" spans="1:18" x14ac:dyDescent="0.2">
      <c r="A56" s="393"/>
      <c r="B56" s="62" t="s">
        <v>198</v>
      </c>
      <c r="C56" s="394" t="s">
        <v>199</v>
      </c>
      <c r="D56" s="435"/>
      <c r="E56" s="434"/>
      <c r="F56" s="87"/>
      <c r="G56" s="55">
        <f>SUMIF(JournalsB!D$14:D$920,TrialBalanceB!M56,JournalsB!J$14:J$920)+SUMIF(JournalsB!E$14:E$920,TrialBalanceB!M56,JournalsB!J$14:J$920)</f>
        <v>0</v>
      </c>
      <c r="H56" s="442"/>
      <c r="I56" s="446">
        <f t="shared" si="0"/>
        <v>0</v>
      </c>
      <c r="J56" s="83"/>
      <c r="K56" s="56">
        <f t="shared" si="1"/>
        <v>0</v>
      </c>
      <c r="M56" s="196" t="str">
        <f t="shared" si="2"/>
        <v>2100/092Motor vehicle expenses - R&amp;M</v>
      </c>
      <c r="N56" s="78"/>
      <c r="P56" s="79"/>
      <c r="Q56" s="59"/>
      <c r="R56" s="34"/>
    </row>
    <row r="57" spans="1:18" x14ac:dyDescent="0.2">
      <c r="A57" s="393"/>
      <c r="B57" s="62" t="s">
        <v>200</v>
      </c>
      <c r="C57" s="394" t="s">
        <v>201</v>
      </c>
      <c r="D57" s="435"/>
      <c r="E57" s="434"/>
      <c r="F57" s="87"/>
      <c r="G57" s="55">
        <f>SUMIF(JournalsB!D$14:D$920,TrialBalanceB!M57,JournalsB!J$14:J$920)+SUMIF(JournalsB!E$14:E$920,TrialBalanceB!M57,JournalsB!J$14:J$920)</f>
        <v>0</v>
      </c>
      <c r="H57" s="442"/>
      <c r="I57" s="446">
        <f t="shared" si="0"/>
        <v>0</v>
      </c>
      <c r="J57" s="83"/>
      <c r="K57" s="56">
        <f t="shared" si="1"/>
        <v>0</v>
      </c>
      <c r="M57" s="196" t="str">
        <f t="shared" si="2"/>
        <v>2100/093Motor vehicle expenses - Insurance</v>
      </c>
      <c r="N57" s="78"/>
      <c r="P57" s="79"/>
      <c r="Q57" s="59"/>
      <c r="R57" s="34"/>
    </row>
    <row r="58" spans="1:18" x14ac:dyDescent="0.2">
      <c r="A58" s="393"/>
      <c r="B58" s="62" t="s">
        <v>202</v>
      </c>
      <c r="C58" s="395" t="s">
        <v>927</v>
      </c>
      <c r="D58" s="427"/>
      <c r="E58" s="434"/>
      <c r="F58" s="87"/>
      <c r="G58" s="55">
        <f>SUMIF(JournalsB!D$14:D$920,TrialBalanceB!M58,JournalsB!J$14:J$920)+SUMIF(JournalsB!E$14:E$920,TrialBalanceB!M58,JournalsB!J$14:J$920)</f>
        <v>0</v>
      </c>
      <c r="H58" s="442"/>
      <c r="I58" s="446">
        <f t="shared" si="0"/>
        <v>0</v>
      </c>
      <c r="J58" s="83"/>
      <c r="K58" s="56">
        <f t="shared" si="1"/>
        <v>0</v>
      </c>
      <c r="M58" s="196" t="str">
        <f t="shared" si="2"/>
        <v>2100/094Motor vehicle expenses - Licenses</v>
      </c>
      <c r="N58" s="78"/>
      <c r="P58" s="79"/>
      <c r="Q58" s="59"/>
      <c r="R58" s="34"/>
    </row>
    <row r="59" spans="1:18" x14ac:dyDescent="0.2">
      <c r="A59" s="393"/>
      <c r="B59" s="62" t="s">
        <v>203</v>
      </c>
      <c r="C59" s="397" t="s">
        <v>928</v>
      </c>
      <c r="D59" s="435"/>
      <c r="E59" s="434"/>
      <c r="F59" s="87"/>
      <c r="G59" s="55">
        <f>SUMIF(JournalsB!D$14:D$920,TrialBalanceB!M59,JournalsB!J$14:J$920)+SUMIF(JournalsB!E$14:E$920,TrialBalanceB!M59,JournalsB!J$14:J$920)</f>
        <v>0</v>
      </c>
      <c r="H59" s="442"/>
      <c r="I59" s="446">
        <f t="shared" si="0"/>
        <v>0</v>
      </c>
      <c r="J59" s="83"/>
      <c r="K59" s="56">
        <f t="shared" si="1"/>
        <v>0</v>
      </c>
      <c r="M59" s="196" t="str">
        <f t="shared" si="2"/>
        <v>2100/095Motor vehicle expenses - General</v>
      </c>
      <c r="N59" s="78"/>
      <c r="P59" s="79"/>
      <c r="Q59" s="59"/>
      <c r="R59" s="34"/>
    </row>
    <row r="60" spans="1:18" x14ac:dyDescent="0.2">
      <c r="A60" s="393"/>
      <c r="B60" s="62" t="s">
        <v>204</v>
      </c>
      <c r="C60" s="396" t="s">
        <v>205</v>
      </c>
      <c r="D60" s="436"/>
      <c r="E60" s="434"/>
      <c r="F60" s="87"/>
      <c r="G60" s="55">
        <f>SUMIF(JournalsB!D$14:D$920,TrialBalanceB!M60,JournalsB!J$14:J$920)+SUMIF(JournalsB!E$14:E$920,TrialBalanceB!M60,JournalsB!J$14:J$920)</f>
        <v>0</v>
      </c>
      <c r="H60" s="442"/>
      <c r="I60" s="446">
        <f t="shared" si="0"/>
        <v>0</v>
      </c>
      <c r="J60" s="83"/>
      <c r="K60" s="56">
        <f t="shared" si="1"/>
        <v>0</v>
      </c>
      <c r="M60" s="196" t="str">
        <f t="shared" si="2"/>
        <v>2100/100Rent paid-------------------------------</v>
      </c>
      <c r="N60" s="78"/>
      <c r="P60" s="79"/>
      <c r="Q60" s="59"/>
      <c r="R60" s="34"/>
    </row>
    <row r="61" spans="1:18" x14ac:dyDescent="0.2">
      <c r="A61" s="393"/>
      <c r="B61" s="62" t="s">
        <v>206</v>
      </c>
      <c r="C61" s="429"/>
      <c r="D61" s="427"/>
      <c r="E61" s="434"/>
      <c r="F61" s="87"/>
      <c r="G61" s="55">
        <f>SUMIF(JournalsB!D$14:D$920,TrialBalanceB!M61,JournalsB!J$14:J$920)+SUMIF(JournalsB!E$14:E$920,TrialBalanceB!M61,JournalsB!J$14:J$920)</f>
        <v>0</v>
      </c>
      <c r="H61" s="442"/>
      <c r="I61" s="446">
        <f t="shared" si="0"/>
        <v>0</v>
      </c>
      <c r="J61" s="83"/>
      <c r="K61" s="56">
        <f t="shared" si="1"/>
        <v>0</v>
      </c>
      <c r="M61" s="196" t="str">
        <f t="shared" si="2"/>
        <v>2100/101</v>
      </c>
      <c r="N61" s="78"/>
      <c r="P61" s="79"/>
      <c r="Q61" s="59"/>
      <c r="R61" s="34"/>
    </row>
    <row r="62" spans="1:18" x14ac:dyDescent="0.2">
      <c r="A62" s="393"/>
      <c r="B62" s="62" t="s">
        <v>207</v>
      </c>
      <c r="C62" s="430"/>
      <c r="D62" s="427"/>
      <c r="E62" s="434"/>
      <c r="F62" s="87"/>
      <c r="G62" s="55">
        <f>SUMIF(JournalsB!D$14:D$920,TrialBalanceB!M62,JournalsB!J$14:J$920)+SUMIF(JournalsB!E$14:E$920,TrialBalanceB!M62,JournalsB!J$14:J$920)</f>
        <v>0</v>
      </c>
      <c r="H62" s="442"/>
      <c r="I62" s="446">
        <f t="shared" si="0"/>
        <v>0</v>
      </c>
      <c r="J62" s="83"/>
      <c r="K62" s="56">
        <f t="shared" si="1"/>
        <v>0</v>
      </c>
      <c r="M62" s="196" t="str">
        <f t="shared" si="2"/>
        <v>2100/102</v>
      </c>
      <c r="N62" s="78"/>
      <c r="P62" s="79"/>
      <c r="Q62" s="59"/>
      <c r="R62" s="34"/>
    </row>
    <row r="63" spans="1:18" x14ac:dyDescent="0.2">
      <c r="A63" s="393"/>
      <c r="B63" s="62" t="s">
        <v>208</v>
      </c>
      <c r="C63" s="430"/>
      <c r="D63" s="427"/>
      <c r="E63" s="434"/>
      <c r="F63" s="87"/>
      <c r="G63" s="55">
        <f>SUMIF(JournalsB!D$14:D$920,TrialBalanceB!M63,JournalsB!J$14:J$920)+SUMIF(JournalsB!E$14:E$920,TrialBalanceB!M63,JournalsB!J$14:J$920)</f>
        <v>0</v>
      </c>
      <c r="H63" s="442"/>
      <c r="I63" s="446">
        <f t="shared" si="0"/>
        <v>0</v>
      </c>
      <c r="J63" s="83"/>
      <c r="K63" s="56">
        <f t="shared" si="1"/>
        <v>0</v>
      </c>
      <c r="M63" s="196" t="str">
        <f t="shared" si="2"/>
        <v>2100/103</v>
      </c>
      <c r="N63" s="78"/>
      <c r="P63" s="79"/>
      <c r="Q63" s="59"/>
      <c r="R63" s="34"/>
    </row>
    <row r="64" spans="1:18" x14ac:dyDescent="0.2">
      <c r="A64" s="393"/>
      <c r="B64" s="62" t="s">
        <v>209</v>
      </c>
      <c r="C64" s="394" t="s">
        <v>77</v>
      </c>
      <c r="D64" s="435"/>
      <c r="E64" s="434"/>
      <c r="F64" s="87"/>
      <c r="G64" s="55">
        <f>SUMIF(JournalsB!D$14:D$920,TrialBalanceB!M64,JournalsB!J$14:J$920)+SUMIF(JournalsB!E$14:E$920,TrialBalanceB!M64,JournalsB!J$14:J$920)</f>
        <v>0</v>
      </c>
      <c r="H64" s="442"/>
      <c r="I64" s="446">
        <f t="shared" si="0"/>
        <v>0</v>
      </c>
      <c r="J64" s="83"/>
      <c r="K64" s="56">
        <f t="shared" si="1"/>
        <v>0</v>
      </c>
      <c r="M64" s="196" t="str">
        <f t="shared" si="2"/>
        <v>2100/110Repairs and maintenance</v>
      </c>
      <c r="N64" s="78"/>
      <c r="P64" s="79"/>
      <c r="Q64" s="59"/>
      <c r="R64" s="34"/>
    </row>
    <row r="65" spans="1:18" x14ac:dyDescent="0.2">
      <c r="A65" s="393"/>
      <c r="B65" s="113" t="s">
        <v>1755</v>
      </c>
      <c r="C65" s="397" t="s">
        <v>1756</v>
      </c>
      <c r="D65" s="435"/>
      <c r="E65" s="434"/>
      <c r="F65" s="87"/>
      <c r="G65" s="55">
        <f>SUMIF(JournalsB!D$14:D$920,TrialBalanceB!M65,JournalsB!J$14:J$920)+SUMIF(JournalsB!E$14:E$920,TrialBalanceB!M65,JournalsB!J$14:J$920)</f>
        <v>0</v>
      </c>
      <c r="H65" s="442"/>
      <c r="I65" s="446">
        <f t="shared" ref="I65" si="9">ROUND(D65-E65+G65+F65,0)</f>
        <v>0</v>
      </c>
      <c r="J65" s="83"/>
      <c r="K65" s="56">
        <f t="shared" ref="K65" si="10">ROUND(SUM(A65),0)</f>
        <v>0</v>
      </c>
      <c r="M65" s="196" t="str">
        <f t="shared" ref="M65" si="11">CONCATENATE(B65,C65)</f>
        <v>2100/115Research and development cost</v>
      </c>
      <c r="N65" s="78"/>
      <c r="P65" s="79"/>
      <c r="Q65" s="59"/>
      <c r="R65" s="34"/>
    </row>
    <row r="66" spans="1:18" x14ac:dyDescent="0.2">
      <c r="A66" s="393"/>
      <c r="B66" s="62" t="s">
        <v>78</v>
      </c>
      <c r="C66" s="394" t="s">
        <v>79</v>
      </c>
      <c r="D66" s="435"/>
      <c r="E66" s="434"/>
      <c r="F66" s="87"/>
      <c r="G66" s="55">
        <f>SUMIF(JournalsB!D$14:D$920,TrialBalanceB!M66,JournalsB!J$14:J$920)+SUMIF(JournalsB!E$14:E$920,TrialBalanceB!M66,JournalsB!J$14:J$920)</f>
        <v>0</v>
      </c>
      <c r="H66" s="442"/>
      <c r="I66" s="446">
        <f t="shared" si="0"/>
        <v>0</v>
      </c>
      <c r="J66" s="83"/>
      <c r="K66" s="56">
        <f t="shared" si="1"/>
        <v>0</v>
      </c>
      <c r="M66" s="196" t="str">
        <f t="shared" si="2"/>
        <v>2100/120Salaries</v>
      </c>
      <c r="N66" s="78"/>
      <c r="P66" s="79"/>
      <c r="Q66" s="59"/>
      <c r="R66" s="34"/>
    </row>
    <row r="67" spans="1:18" x14ac:dyDescent="0.2">
      <c r="A67" s="393"/>
      <c r="B67" s="62" t="s">
        <v>80</v>
      </c>
      <c r="C67" s="394" t="s">
        <v>81</v>
      </c>
      <c r="D67" s="435"/>
      <c r="E67" s="434"/>
      <c r="F67" s="87"/>
      <c r="G67" s="55">
        <f>SUMIF(JournalsB!D$14:D$920,TrialBalanceB!M67,JournalsB!J$14:J$920)+SUMIF(JournalsB!E$14:E$920,TrialBalanceB!M67,JournalsB!J$14:J$920)</f>
        <v>0</v>
      </c>
      <c r="H67" s="442"/>
      <c r="I67" s="446">
        <f t="shared" si="0"/>
        <v>0</v>
      </c>
      <c r="J67" s="83"/>
      <c r="K67" s="56">
        <f t="shared" si="1"/>
        <v>0</v>
      </c>
      <c r="M67" s="196" t="str">
        <f t="shared" si="2"/>
        <v>2100/121UIF - Employer</v>
      </c>
      <c r="N67" s="78"/>
      <c r="P67" s="79"/>
      <c r="Q67" s="59"/>
      <c r="R67" s="34"/>
    </row>
    <row r="68" spans="1:18" x14ac:dyDescent="0.2">
      <c r="A68" s="393"/>
      <c r="B68" s="62" t="s">
        <v>82</v>
      </c>
      <c r="C68" s="394" t="s">
        <v>83</v>
      </c>
      <c r="D68" s="435"/>
      <c r="E68" s="434"/>
      <c r="F68" s="87"/>
      <c r="G68" s="55">
        <f>SUMIF(JournalsB!D$14:D$920,TrialBalanceB!M68,JournalsB!J$14:J$920)+SUMIF(JournalsB!E$14:E$920,TrialBalanceB!M68,JournalsB!J$14:J$920)</f>
        <v>0</v>
      </c>
      <c r="H68" s="442"/>
      <c r="I68" s="446">
        <f t="shared" si="0"/>
        <v>0</v>
      </c>
      <c r="J68" s="83"/>
      <c r="K68" s="56">
        <f t="shared" si="1"/>
        <v>0</v>
      </c>
      <c r="M68" s="196" t="str">
        <f t="shared" si="2"/>
        <v>2100/122Casual wages</v>
      </c>
      <c r="N68" s="78"/>
      <c r="P68" s="79"/>
      <c r="Q68" s="59"/>
      <c r="R68" s="34"/>
    </row>
    <row r="69" spans="1:18" x14ac:dyDescent="0.2">
      <c r="A69" s="393"/>
      <c r="B69" s="62" t="s">
        <v>84</v>
      </c>
      <c r="C69" s="394" t="s">
        <v>85</v>
      </c>
      <c r="D69" s="435"/>
      <c r="E69" s="434"/>
      <c r="F69" s="87"/>
      <c r="G69" s="55">
        <f>SUMIF(JournalsB!D$14:D$920,TrialBalanceB!M69,JournalsB!J$14:J$920)+SUMIF(JournalsB!E$14:E$920,TrialBalanceB!M69,JournalsB!J$14:J$920)</f>
        <v>0</v>
      </c>
      <c r="H69" s="442"/>
      <c r="I69" s="446">
        <f t="shared" si="0"/>
        <v>0</v>
      </c>
      <c r="J69" s="83"/>
      <c r="K69" s="56">
        <f t="shared" si="1"/>
        <v>0</v>
      </c>
      <c r="M69" s="196" t="str">
        <f t="shared" si="2"/>
        <v>2100/130Telephone</v>
      </c>
      <c r="N69" s="78"/>
      <c r="P69" s="79"/>
      <c r="Q69" s="59"/>
      <c r="R69" s="34"/>
    </row>
    <row r="70" spans="1:18" x14ac:dyDescent="0.2">
      <c r="A70" s="393"/>
      <c r="B70" s="62" t="s">
        <v>86</v>
      </c>
      <c r="C70" s="394" t="s">
        <v>519</v>
      </c>
      <c r="D70" s="435"/>
      <c r="E70" s="434"/>
      <c r="F70" s="87"/>
      <c r="G70" s="55">
        <f>SUMIF(JournalsB!D$14:D$920,TrialBalanceB!M70,JournalsB!J$14:J$920)+SUMIF(JournalsB!E$14:E$920,TrialBalanceB!M70,JournalsB!J$14:J$920)</f>
        <v>0</v>
      </c>
      <c r="H70" s="442"/>
      <c r="I70" s="446">
        <f t="shared" si="0"/>
        <v>0</v>
      </c>
      <c r="J70" s="83"/>
      <c r="K70" s="56">
        <f t="shared" si="1"/>
        <v>0</v>
      </c>
      <c r="M70" s="196" t="str">
        <f t="shared" si="2"/>
        <v>2100/135Postage and courier</v>
      </c>
      <c r="N70" s="78"/>
      <c r="P70" s="79"/>
      <c r="Q70" s="59"/>
      <c r="R70" s="34"/>
    </row>
    <row r="71" spans="1:18" x14ac:dyDescent="0.2">
      <c r="A71" s="393"/>
      <c r="B71" s="62" t="s">
        <v>87</v>
      </c>
      <c r="C71" s="394" t="s">
        <v>287</v>
      </c>
      <c r="D71" s="435"/>
      <c r="E71" s="434"/>
      <c r="F71" s="87"/>
      <c r="G71" s="55">
        <f>SUMIF(JournalsB!D$14:D$920,TrialBalanceB!M71,JournalsB!J$14:J$920)+SUMIF(JournalsB!E$14:E$920,TrialBalanceB!M71,JournalsB!J$14:J$920)</f>
        <v>0</v>
      </c>
      <c r="H71" s="442"/>
      <c r="I71" s="446">
        <f t="shared" si="0"/>
        <v>0</v>
      </c>
      <c r="J71" s="83"/>
      <c r="K71" s="56">
        <f t="shared" si="1"/>
        <v>0</v>
      </c>
      <c r="M71" s="196" t="str">
        <f t="shared" si="2"/>
        <v>2100/140Training</v>
      </c>
      <c r="N71" s="78"/>
      <c r="P71" s="79"/>
      <c r="Q71" s="59"/>
      <c r="R71" s="34"/>
    </row>
    <row r="72" spans="1:18" x14ac:dyDescent="0.2">
      <c r="A72" s="393"/>
      <c r="B72" s="62" t="s">
        <v>88</v>
      </c>
      <c r="C72" s="395" t="s">
        <v>976</v>
      </c>
      <c r="D72" s="427"/>
      <c r="E72" s="434"/>
      <c r="F72" s="87"/>
      <c r="G72" s="55">
        <f>SUMIF(JournalsB!D$14:D$920,TrialBalanceB!M72,JournalsB!J$14:J$920)+SUMIF(JournalsB!E$14:E$920,TrialBalanceB!M72,JournalsB!J$14:J$920)</f>
        <v>0</v>
      </c>
      <c r="H72" s="442"/>
      <c r="I72" s="446">
        <f t="shared" si="0"/>
        <v>0</v>
      </c>
      <c r="J72" s="83"/>
      <c r="K72" s="56">
        <f t="shared" si="1"/>
        <v>0</v>
      </c>
      <c r="M72" s="196" t="str">
        <f t="shared" si="2"/>
        <v>2100/150Traveling and accommodation</v>
      </c>
      <c r="N72" s="78"/>
      <c r="P72" s="79"/>
      <c r="Q72" s="59"/>
      <c r="R72" s="34"/>
    </row>
    <row r="73" spans="1:18" x14ac:dyDescent="0.2">
      <c r="A73" s="393"/>
      <c r="B73" s="113" t="s">
        <v>674</v>
      </c>
      <c r="C73" s="429"/>
      <c r="D73" s="434"/>
      <c r="E73" s="434"/>
      <c r="F73" s="87"/>
      <c r="G73" s="55">
        <f>SUMIF(JournalsB!D$14:D$920,TrialBalanceB!M73,JournalsB!J$14:J$920)+SUMIF(JournalsB!E$14:E$920,TrialBalanceB!M73,JournalsB!J$14:J$920)</f>
        <v>0</v>
      </c>
      <c r="H73" s="442"/>
      <c r="I73" s="446">
        <f t="shared" si="0"/>
        <v>0</v>
      </c>
      <c r="J73" s="83"/>
      <c r="K73" s="56">
        <f t="shared" si="1"/>
        <v>0</v>
      </c>
      <c r="M73" s="196" t="str">
        <f t="shared" si="2"/>
        <v>2150/001</v>
      </c>
      <c r="N73" s="78"/>
      <c r="P73" s="79"/>
      <c r="Q73" s="59"/>
      <c r="R73" s="34"/>
    </row>
    <row r="74" spans="1:18" x14ac:dyDescent="0.2">
      <c r="A74" s="393"/>
      <c r="B74" s="113" t="s">
        <v>675</v>
      </c>
      <c r="C74" s="429"/>
      <c r="D74" s="434"/>
      <c r="E74" s="434"/>
      <c r="F74" s="87"/>
      <c r="G74" s="55">
        <f>SUMIF(JournalsB!D$14:D$920,TrialBalanceB!M74,JournalsB!J$14:J$920)+SUMIF(JournalsB!E$14:E$920,TrialBalanceB!M74,JournalsB!J$14:J$920)</f>
        <v>0</v>
      </c>
      <c r="H74" s="442"/>
      <c r="I74" s="446">
        <f t="shared" ref="I74:I102" si="12">ROUND(D74-E74+G74+F74,0)</f>
        <v>0</v>
      </c>
      <c r="J74" s="83"/>
      <c r="K74" s="56">
        <f t="shared" ref="K74:K138" si="13">ROUND(SUM(A74),0)</f>
        <v>0</v>
      </c>
      <c r="M74" s="196" t="str">
        <f t="shared" ref="M74:M138" si="14">CONCATENATE(B74,C74)</f>
        <v>2150/002</v>
      </c>
      <c r="N74" s="78"/>
      <c r="P74" s="79"/>
      <c r="Q74" s="59"/>
      <c r="R74" s="34"/>
    </row>
    <row r="75" spans="1:18" x14ac:dyDescent="0.2">
      <c r="A75" s="393"/>
      <c r="B75" s="113" t="s">
        <v>676</v>
      </c>
      <c r="C75" s="429"/>
      <c r="D75" s="434"/>
      <c r="E75" s="434"/>
      <c r="F75" s="87"/>
      <c r="G75" s="55">
        <f>SUMIF(JournalsB!D$14:D$920,TrialBalanceB!M75,JournalsB!J$14:J$920)+SUMIF(JournalsB!E$14:E$920,TrialBalanceB!M75,JournalsB!J$14:J$920)</f>
        <v>0</v>
      </c>
      <c r="H75" s="442"/>
      <c r="I75" s="446">
        <f t="shared" si="12"/>
        <v>0</v>
      </c>
      <c r="J75" s="83"/>
      <c r="K75" s="56">
        <f t="shared" si="13"/>
        <v>0</v>
      </c>
      <c r="M75" s="196" t="str">
        <f t="shared" si="14"/>
        <v>2150/003</v>
      </c>
      <c r="N75" s="78"/>
      <c r="P75" s="79"/>
      <c r="Q75" s="59"/>
      <c r="R75" s="34"/>
    </row>
    <row r="76" spans="1:18" x14ac:dyDescent="0.2">
      <c r="A76" s="393"/>
      <c r="B76" s="113" t="s">
        <v>677</v>
      </c>
      <c r="C76" s="429"/>
      <c r="D76" s="434"/>
      <c r="E76" s="434"/>
      <c r="F76" s="87"/>
      <c r="G76" s="55">
        <f>SUMIF(JournalsB!D$14:D$920,TrialBalanceB!M76,JournalsB!J$14:J$920)+SUMIF(JournalsB!E$14:E$920,TrialBalanceB!M76,JournalsB!J$14:J$920)</f>
        <v>0</v>
      </c>
      <c r="H76" s="442"/>
      <c r="I76" s="446">
        <f t="shared" si="12"/>
        <v>0</v>
      </c>
      <c r="J76" s="83"/>
      <c r="K76" s="56">
        <f t="shared" si="13"/>
        <v>0</v>
      </c>
      <c r="M76" s="196" t="str">
        <f t="shared" si="14"/>
        <v>2150/004</v>
      </c>
      <c r="N76" s="78"/>
      <c r="P76" s="79"/>
      <c r="Q76" s="59"/>
      <c r="R76" s="34"/>
    </row>
    <row r="77" spans="1:18" x14ac:dyDescent="0.2">
      <c r="A77" s="393"/>
      <c r="B77" s="113" t="s">
        <v>678</v>
      </c>
      <c r="C77" s="429"/>
      <c r="D77" s="434"/>
      <c r="E77" s="434"/>
      <c r="F77" s="87"/>
      <c r="G77" s="55">
        <f>SUMIF(JournalsB!D$14:D$920,TrialBalanceB!M77,JournalsB!J$14:J$920)+SUMIF(JournalsB!E$14:E$920,TrialBalanceB!M77,JournalsB!J$14:J$920)</f>
        <v>0</v>
      </c>
      <c r="H77" s="442"/>
      <c r="I77" s="446">
        <f t="shared" si="12"/>
        <v>0</v>
      </c>
      <c r="J77" s="83"/>
      <c r="K77" s="56">
        <f t="shared" si="13"/>
        <v>0</v>
      </c>
      <c r="M77" s="196" t="str">
        <f t="shared" si="14"/>
        <v>2150/005</v>
      </c>
      <c r="N77" s="78"/>
      <c r="P77" s="79"/>
      <c r="Q77" s="59"/>
      <c r="R77" s="34"/>
    </row>
    <row r="78" spans="1:18" x14ac:dyDescent="0.2">
      <c r="A78" s="393"/>
      <c r="B78" s="113" t="s">
        <v>679</v>
      </c>
      <c r="C78" s="429"/>
      <c r="D78" s="439"/>
      <c r="E78" s="434"/>
      <c r="F78" s="87"/>
      <c r="G78" s="55">
        <f>SUMIF(JournalsB!D$14:D$920,TrialBalanceB!M78,JournalsB!J$14:J$920)+SUMIF(JournalsB!E$14:E$920,TrialBalanceB!M78,JournalsB!J$14:J$920)</f>
        <v>0</v>
      </c>
      <c r="H78" s="442"/>
      <c r="I78" s="446">
        <f t="shared" si="12"/>
        <v>0</v>
      </c>
      <c r="J78" s="83"/>
      <c r="K78" s="56">
        <f t="shared" si="13"/>
        <v>0</v>
      </c>
      <c r="M78" s="196" t="str">
        <f t="shared" si="14"/>
        <v>2150/006</v>
      </c>
      <c r="N78" s="78"/>
      <c r="P78" s="79"/>
      <c r="Q78" s="59"/>
      <c r="R78" s="34"/>
    </row>
    <row r="79" spans="1:18" x14ac:dyDescent="0.2">
      <c r="A79" s="393"/>
      <c r="B79" s="113" t="s">
        <v>680</v>
      </c>
      <c r="C79" s="431"/>
      <c r="D79" s="439"/>
      <c r="E79" s="434"/>
      <c r="F79" s="87"/>
      <c r="G79" s="55">
        <f>SUMIF(JournalsB!D$14:D$920,TrialBalanceB!M79,JournalsB!J$14:J$920)+SUMIF(JournalsB!E$14:E$920,TrialBalanceB!M79,JournalsB!J$14:J$920)</f>
        <v>0</v>
      </c>
      <c r="H79" s="442"/>
      <c r="I79" s="446">
        <f t="shared" si="12"/>
        <v>0</v>
      </c>
      <c r="J79" s="83"/>
      <c r="K79" s="56">
        <f t="shared" si="13"/>
        <v>0</v>
      </c>
      <c r="M79" s="196" t="str">
        <f t="shared" si="14"/>
        <v>2150/007</v>
      </c>
      <c r="N79" s="78"/>
      <c r="P79" s="79"/>
      <c r="Q79" s="59"/>
      <c r="R79" s="34"/>
    </row>
    <row r="80" spans="1:18" x14ac:dyDescent="0.2">
      <c r="A80" s="393"/>
      <c r="B80" s="113" t="s">
        <v>681</v>
      </c>
      <c r="C80" s="431"/>
      <c r="D80" s="434"/>
      <c r="E80" s="434"/>
      <c r="F80" s="87"/>
      <c r="G80" s="55">
        <f>SUMIF(JournalsB!D$14:D$920,TrialBalanceB!M80,JournalsB!J$14:J$920)+SUMIF(JournalsB!E$14:E$920,TrialBalanceB!M80,JournalsB!J$14:J$920)</f>
        <v>0</v>
      </c>
      <c r="H80" s="442"/>
      <c r="I80" s="446">
        <f t="shared" si="12"/>
        <v>0</v>
      </c>
      <c r="J80" s="83"/>
      <c r="K80" s="56">
        <f t="shared" si="13"/>
        <v>0</v>
      </c>
      <c r="M80" s="196" t="str">
        <f t="shared" si="14"/>
        <v>2150/008</v>
      </c>
      <c r="N80" s="78"/>
      <c r="P80" s="79"/>
      <c r="Q80" s="59"/>
      <c r="R80" s="34"/>
    </row>
    <row r="81" spans="1:18" x14ac:dyDescent="0.2">
      <c r="A81" s="393"/>
      <c r="B81" s="113" t="s">
        <v>682</v>
      </c>
      <c r="C81" s="429"/>
      <c r="D81" s="434"/>
      <c r="E81" s="434"/>
      <c r="F81" s="87"/>
      <c r="G81" s="55">
        <f>SUMIF(JournalsB!D$14:D$920,TrialBalanceB!M81,JournalsB!J$14:J$920)+SUMIF(JournalsB!E$14:E$920,TrialBalanceB!M81,JournalsB!J$14:J$920)</f>
        <v>0</v>
      </c>
      <c r="H81" s="442"/>
      <c r="I81" s="446">
        <f t="shared" si="12"/>
        <v>0</v>
      </c>
      <c r="J81" s="83"/>
      <c r="K81" s="56">
        <f t="shared" si="13"/>
        <v>0</v>
      </c>
      <c r="M81" s="196" t="str">
        <f t="shared" si="14"/>
        <v>2150/009</v>
      </c>
      <c r="N81" s="78"/>
      <c r="P81" s="79"/>
      <c r="Q81" s="59"/>
      <c r="R81" s="34"/>
    </row>
    <row r="82" spans="1:18" x14ac:dyDescent="0.2">
      <c r="A82" s="393"/>
      <c r="B82" s="113" t="s">
        <v>683</v>
      </c>
      <c r="C82" s="429"/>
      <c r="D82" s="434"/>
      <c r="E82" s="434"/>
      <c r="F82" s="87"/>
      <c r="G82" s="55">
        <f>SUMIF(JournalsB!D$14:D$920,TrialBalanceB!M82,JournalsB!J$14:J$920)+SUMIF(JournalsB!E$14:E$920,TrialBalanceB!M82,JournalsB!J$14:J$920)</f>
        <v>0</v>
      </c>
      <c r="H82" s="442"/>
      <c r="I82" s="446">
        <f t="shared" si="12"/>
        <v>0</v>
      </c>
      <c r="J82" s="83"/>
      <c r="K82" s="56">
        <f t="shared" si="13"/>
        <v>0</v>
      </c>
      <c r="M82" s="196" t="str">
        <f t="shared" si="14"/>
        <v>2150/010</v>
      </c>
      <c r="N82" s="78"/>
      <c r="P82" s="79"/>
      <c r="Q82" s="59"/>
      <c r="R82" s="34"/>
    </row>
    <row r="83" spans="1:18" x14ac:dyDescent="0.2">
      <c r="A83" s="393"/>
      <c r="B83" s="62" t="s">
        <v>20</v>
      </c>
      <c r="C83" s="396" t="s">
        <v>125</v>
      </c>
      <c r="D83" s="436"/>
      <c r="E83" s="434"/>
      <c r="F83" s="87"/>
      <c r="G83" s="55">
        <f>SUMIF(JournalsB!D$14:D$920,TrialBalanceB!M83,JournalsB!J$14:J$920)+SUMIF(JournalsB!E$14:E$920,TrialBalanceB!M83,JournalsB!J$14:J$920)</f>
        <v>0</v>
      </c>
      <c r="H83" s="442"/>
      <c r="I83" s="446">
        <f t="shared" si="12"/>
        <v>0</v>
      </c>
      <c r="J83" s="83"/>
      <c r="K83" s="56">
        <f t="shared" si="13"/>
        <v>0</v>
      </c>
      <c r="M83" s="196" t="str">
        <f t="shared" si="14"/>
        <v>2500/000OTHER INCOME</v>
      </c>
      <c r="N83" s="78"/>
      <c r="P83" s="79"/>
      <c r="Q83" s="59"/>
      <c r="R83" s="34"/>
    </row>
    <row r="84" spans="1:18" x14ac:dyDescent="0.2">
      <c r="A84" s="393"/>
      <c r="B84" s="62" t="s">
        <v>397</v>
      </c>
      <c r="C84" s="395" t="s">
        <v>929</v>
      </c>
      <c r="D84" s="427"/>
      <c r="E84" s="434"/>
      <c r="F84" s="87"/>
      <c r="G84" s="55">
        <f>SUMIF(JournalsB!D$14:D$920,TrialBalanceB!M84,JournalsB!J$14:J$920)+SUMIF(JournalsB!E$14:E$920,TrialBalanceB!M84,JournalsB!J$14:J$920)</f>
        <v>0</v>
      </c>
      <c r="H84" s="442"/>
      <c r="I84" s="446">
        <f t="shared" si="12"/>
        <v>0</v>
      </c>
      <c r="J84" s="83"/>
      <c r="K84" s="56">
        <f t="shared" si="13"/>
        <v>0</v>
      </c>
      <c r="M84" s="196" t="str">
        <f t="shared" si="14"/>
        <v>2710/000Rent received (not main income)</v>
      </c>
      <c r="N84" s="78"/>
      <c r="P84" s="79"/>
      <c r="Q84" s="59"/>
      <c r="R84" s="34"/>
    </row>
    <row r="85" spans="1:18" x14ac:dyDescent="0.2">
      <c r="A85" s="393"/>
      <c r="B85" s="62" t="s">
        <v>89</v>
      </c>
      <c r="C85" s="396" t="s">
        <v>935</v>
      </c>
      <c r="D85" s="436"/>
      <c r="E85" s="434"/>
      <c r="F85" s="87"/>
      <c r="G85" s="55">
        <f>SUMIF(JournalsB!D$14:D$920,TrialBalanceB!M85,JournalsB!J$14:J$920)+SUMIF(JournalsB!E$14:E$920,TrialBalanceB!M85,JournalsB!J$14:J$920)</f>
        <v>0</v>
      </c>
      <c r="H85" s="442"/>
      <c r="I85" s="446">
        <f t="shared" si="12"/>
        <v>0</v>
      </c>
      <c r="J85" s="83"/>
      <c r="K85" s="56">
        <f t="shared" si="13"/>
        <v>0</v>
      </c>
      <c r="M85" s="196" t="str">
        <f t="shared" si="14"/>
        <v>2750/000Interest received-----------------------</v>
      </c>
      <c r="N85" s="78"/>
      <c r="P85" s="79"/>
      <c r="Q85" s="59"/>
      <c r="R85" s="34"/>
    </row>
    <row r="86" spans="1:18" x14ac:dyDescent="0.2">
      <c r="A86" s="393"/>
      <c r="B86" s="62" t="s">
        <v>90</v>
      </c>
      <c r="C86" s="429"/>
      <c r="D86" s="434"/>
      <c r="E86" s="434"/>
      <c r="F86" s="87"/>
      <c r="G86" s="55">
        <f>SUMIF(JournalsB!D$14:D$920,TrialBalanceB!M86,JournalsB!J$14:J$920)+SUMIF(JournalsB!E$14:E$920,TrialBalanceB!M86,JournalsB!J$14:J$920)</f>
        <v>0</v>
      </c>
      <c r="H86" s="442"/>
      <c r="I86" s="446">
        <f t="shared" si="12"/>
        <v>0</v>
      </c>
      <c r="J86" s="83"/>
      <c r="K86" s="56">
        <f t="shared" si="13"/>
        <v>0</v>
      </c>
      <c r="M86" s="196" t="str">
        <f t="shared" si="14"/>
        <v>2750/001</v>
      </c>
      <c r="N86" s="78"/>
      <c r="P86" s="79"/>
      <c r="Q86" s="59"/>
      <c r="R86" s="34"/>
    </row>
    <row r="87" spans="1:18" x14ac:dyDescent="0.2">
      <c r="A87" s="393"/>
      <c r="B87" s="62" t="s">
        <v>91</v>
      </c>
      <c r="C87" s="431"/>
      <c r="D87" s="439"/>
      <c r="E87" s="434"/>
      <c r="F87" s="87"/>
      <c r="G87" s="55">
        <f>SUMIF(JournalsB!D$14:D$920,TrialBalanceB!M87,JournalsB!J$14:J$920)+SUMIF(JournalsB!E$14:E$920,TrialBalanceB!M87,JournalsB!J$14:J$920)</f>
        <v>0</v>
      </c>
      <c r="H87" s="442"/>
      <c r="I87" s="446">
        <f t="shared" si="12"/>
        <v>0</v>
      </c>
      <c r="J87" s="83"/>
      <c r="K87" s="56">
        <f t="shared" si="13"/>
        <v>0</v>
      </c>
      <c r="M87" s="196" t="str">
        <f t="shared" si="14"/>
        <v>2750/002</v>
      </c>
      <c r="N87" s="78"/>
      <c r="P87" s="79"/>
      <c r="Q87" s="59"/>
      <c r="R87" s="34"/>
    </row>
    <row r="88" spans="1:18" x14ac:dyDescent="0.2">
      <c r="A88" s="393"/>
      <c r="B88" s="62" t="s">
        <v>92</v>
      </c>
      <c r="C88" s="432"/>
      <c r="D88" s="435"/>
      <c r="E88" s="434"/>
      <c r="F88" s="87"/>
      <c r="G88" s="55">
        <f>SUMIF(JournalsB!D$14:D$920,TrialBalanceB!M88,JournalsB!J$14:J$920)+SUMIF(JournalsB!E$14:E$920,TrialBalanceB!M88,JournalsB!J$14:J$920)</f>
        <v>0</v>
      </c>
      <c r="H88" s="442"/>
      <c r="I88" s="446">
        <f t="shared" si="12"/>
        <v>0</v>
      </c>
      <c r="J88" s="83"/>
      <c r="K88" s="56">
        <f t="shared" si="13"/>
        <v>0</v>
      </c>
      <c r="M88" s="196" t="str">
        <f t="shared" si="14"/>
        <v>2750/003</v>
      </c>
      <c r="N88" s="78"/>
      <c r="P88" s="79"/>
      <c r="Q88" s="59"/>
      <c r="R88" s="34"/>
    </row>
    <row r="89" spans="1:18" x14ac:dyDescent="0.2">
      <c r="A89" s="393"/>
      <c r="B89" s="62" t="s">
        <v>93</v>
      </c>
      <c r="C89" s="432"/>
      <c r="D89" s="435"/>
      <c r="E89" s="434"/>
      <c r="F89" s="87"/>
      <c r="G89" s="55">
        <f>SUMIF(JournalsB!D$14:D$920,TrialBalanceB!M89,JournalsB!J$14:J$920)+SUMIF(JournalsB!E$14:E$920,TrialBalanceB!M89,JournalsB!J$14:J$920)</f>
        <v>0</v>
      </c>
      <c r="H89" s="442"/>
      <c r="I89" s="446">
        <f t="shared" si="12"/>
        <v>0</v>
      </c>
      <c r="J89" s="83"/>
      <c r="K89" s="56">
        <f t="shared" si="13"/>
        <v>0</v>
      </c>
      <c r="M89" s="196" t="str">
        <f t="shared" si="14"/>
        <v>2750/004</v>
      </c>
      <c r="N89" s="78"/>
      <c r="P89" s="79"/>
      <c r="Q89" s="59"/>
      <c r="R89" s="34"/>
    </row>
    <row r="90" spans="1:18" x14ac:dyDescent="0.2">
      <c r="A90" s="393"/>
      <c r="B90" s="62" t="s">
        <v>210</v>
      </c>
      <c r="C90" s="396" t="s">
        <v>326</v>
      </c>
      <c r="D90" s="436"/>
      <c r="E90" s="434"/>
      <c r="F90" s="87"/>
      <c r="G90" s="55">
        <f>SUMIF(JournalsB!D$14:D$920,TrialBalanceB!M90,JournalsB!J$14:J$920)+SUMIF(JournalsB!E$14:E$920,TrialBalanceB!M90,JournalsB!J$14:J$920)</f>
        <v>0</v>
      </c>
      <c r="H90" s="442"/>
      <c r="I90" s="446">
        <f t="shared" si="12"/>
        <v>0</v>
      </c>
      <c r="J90" s="83"/>
      <c r="K90" s="56">
        <f t="shared" si="13"/>
        <v>0</v>
      </c>
      <c r="M90" s="196" t="str">
        <f t="shared" si="14"/>
        <v>2800/000Dividends received----------------------</v>
      </c>
      <c r="N90" s="78"/>
      <c r="P90" s="79"/>
      <c r="Q90" s="59"/>
      <c r="R90" s="34"/>
    </row>
    <row r="91" spans="1:18" x14ac:dyDescent="0.2">
      <c r="A91" s="393"/>
      <c r="B91" s="62" t="s">
        <v>327</v>
      </c>
      <c r="C91" s="397" t="s">
        <v>856</v>
      </c>
      <c r="D91" s="435"/>
      <c r="E91" s="434"/>
      <c r="F91" s="87"/>
      <c r="G91" s="55">
        <f>SUMIF(JournalsB!D$14:D$920,TrialBalanceB!M91,JournalsB!J$14:J$920)+SUMIF(JournalsB!E$14:E$920,TrialBalanceB!M91,JournalsB!J$14:J$920)</f>
        <v>0</v>
      </c>
      <c r="H91" s="442"/>
      <c r="I91" s="446">
        <f t="shared" si="12"/>
        <v>0</v>
      </c>
      <c r="J91" s="83"/>
      <c r="K91" s="56">
        <f t="shared" si="13"/>
        <v>0</v>
      </c>
      <c r="M91" s="196" t="str">
        <f t="shared" si="14"/>
        <v>2800/001Div.'s received - SA sources</v>
      </c>
      <c r="N91" s="78"/>
      <c r="P91" s="79"/>
      <c r="Q91" s="59"/>
      <c r="R91" s="34"/>
    </row>
    <row r="92" spans="1:18" x14ac:dyDescent="0.2">
      <c r="A92" s="393"/>
      <c r="B92" s="62" t="s">
        <v>220</v>
      </c>
      <c r="C92" s="397" t="s">
        <v>1205</v>
      </c>
      <c r="D92" s="435"/>
      <c r="E92" s="434"/>
      <c r="F92" s="87"/>
      <c r="G92" s="55">
        <f>SUMIF(JournalsB!D$14:D$920,TrialBalanceB!M92,JournalsB!J$14:J$920)+SUMIF(JournalsB!E$14:E$920,TrialBalanceB!M92,JournalsB!J$14:J$920)</f>
        <v>0</v>
      </c>
      <c r="H92" s="442"/>
      <c r="I92" s="446">
        <f t="shared" ref="I92" si="15">ROUND(D92-E92+G92+F92,0)</f>
        <v>0</v>
      </c>
      <c r="J92" s="83"/>
      <c r="K92" s="56">
        <f t="shared" ref="K92" si="16">ROUND(SUM(A92),0)</f>
        <v>0</v>
      </c>
      <c r="M92" s="196" t="str">
        <f t="shared" ref="M92" si="17">CONCATENATE(B92,C92)</f>
        <v>2800/002Div.'s received - Associates</v>
      </c>
      <c r="N92" s="78"/>
      <c r="P92" s="79"/>
      <c r="Q92" s="59"/>
      <c r="R92" s="34"/>
    </row>
    <row r="93" spans="1:18" x14ac:dyDescent="0.2">
      <c r="A93" s="393"/>
      <c r="B93" s="113" t="s">
        <v>1204</v>
      </c>
      <c r="C93" s="397" t="s">
        <v>857</v>
      </c>
      <c r="D93" s="435"/>
      <c r="E93" s="434"/>
      <c r="F93" s="87"/>
      <c r="G93" s="55">
        <f>SUMIF(JournalsB!D$14:D$920,TrialBalanceB!M93,JournalsB!J$14:J$920)+SUMIF(JournalsB!E$14:E$920,TrialBalanceB!M93,JournalsB!J$14:J$920)</f>
        <v>0</v>
      </c>
      <c r="H93" s="442"/>
      <c r="I93" s="446">
        <f t="shared" si="12"/>
        <v>0</v>
      </c>
      <c r="J93" s="83"/>
      <c r="K93" s="56">
        <f t="shared" si="13"/>
        <v>0</v>
      </c>
      <c r="M93" s="196" t="str">
        <f t="shared" si="14"/>
        <v>2800/003Div.'s received - Foreign div.'s</v>
      </c>
      <c r="N93" s="78"/>
      <c r="P93" s="79"/>
      <c r="Q93" s="59"/>
      <c r="R93" s="34"/>
    </row>
    <row r="94" spans="1:18" x14ac:dyDescent="0.2">
      <c r="A94" s="393"/>
      <c r="B94" s="62" t="s">
        <v>221</v>
      </c>
      <c r="C94" s="397" t="s">
        <v>721</v>
      </c>
      <c r="D94" s="437"/>
      <c r="E94" s="434"/>
      <c r="F94" s="87"/>
      <c r="G94" s="55">
        <f>SUMIF(JournalsB!D$14:D$920,TrialBalanceB!M94,JournalsB!J$14:J$920)+SUMIF(JournalsB!E$14:E$920,TrialBalanceB!M94,JournalsB!J$14:J$920)</f>
        <v>0</v>
      </c>
      <c r="H94" s="442"/>
      <c r="I94" s="446">
        <f t="shared" si="12"/>
        <v>0</v>
      </c>
      <c r="J94" s="83"/>
      <c r="K94" s="56">
        <f t="shared" si="13"/>
        <v>0</v>
      </c>
      <c r="M94" s="196" t="str">
        <f t="shared" si="14"/>
        <v>2810/000(Profit)/Loss on sale of fixed assets</v>
      </c>
      <c r="N94" s="78"/>
      <c r="P94" s="79"/>
      <c r="Q94" s="59"/>
      <c r="R94" s="34"/>
    </row>
    <row r="95" spans="1:18" x14ac:dyDescent="0.2">
      <c r="A95" s="393"/>
      <c r="B95" s="62" t="s">
        <v>222</v>
      </c>
      <c r="C95" s="394" t="s">
        <v>223</v>
      </c>
      <c r="D95" s="435"/>
      <c r="E95" s="434"/>
      <c r="F95" s="87"/>
      <c r="G95" s="55">
        <f>SUMIF(JournalsB!D$14:D$920,TrialBalanceB!M95,JournalsB!J$14:J$920)+SUMIF(JournalsB!E$14:E$920,TrialBalanceB!M95,JournalsB!J$14:J$920)</f>
        <v>0</v>
      </c>
      <c r="H95" s="442"/>
      <c r="I95" s="446">
        <f t="shared" si="12"/>
        <v>0</v>
      </c>
      <c r="J95" s="83"/>
      <c r="K95" s="56">
        <f t="shared" si="13"/>
        <v>0</v>
      </c>
      <c r="M95" s="196" t="str">
        <f t="shared" si="14"/>
        <v>2820/000Bad debts recovered</v>
      </c>
      <c r="N95" s="78"/>
      <c r="P95" s="79"/>
      <c r="Q95" s="59"/>
      <c r="R95" s="34"/>
    </row>
    <row r="96" spans="1:18" x14ac:dyDescent="0.2">
      <c r="A96" s="393"/>
      <c r="B96" s="62" t="s">
        <v>224</v>
      </c>
      <c r="C96" s="394" t="s">
        <v>225</v>
      </c>
      <c r="D96" s="435"/>
      <c r="E96" s="434"/>
      <c r="F96" s="87"/>
      <c r="G96" s="55">
        <f>SUMIF(JournalsB!D$14:D$920,TrialBalanceB!M96,JournalsB!J$14:J$920)+SUMIF(JournalsB!E$14:E$920,TrialBalanceB!M96,JournalsB!J$14:J$920)</f>
        <v>0</v>
      </c>
      <c r="H96" s="442"/>
      <c r="I96" s="446">
        <f t="shared" si="12"/>
        <v>0</v>
      </c>
      <c r="J96" s="83"/>
      <c r="K96" s="56">
        <f t="shared" si="13"/>
        <v>0</v>
      </c>
      <c r="M96" s="196" t="str">
        <f t="shared" si="14"/>
        <v>2830/000Other income</v>
      </c>
      <c r="N96" s="78"/>
      <c r="P96" s="59"/>
      <c r="Q96" s="59"/>
      <c r="R96" s="34"/>
    </row>
    <row r="97" spans="1:18" x14ac:dyDescent="0.2">
      <c r="A97" s="393"/>
      <c r="B97" s="113" t="s">
        <v>1310</v>
      </c>
      <c r="C97" s="397" t="s">
        <v>1311</v>
      </c>
      <c r="D97" s="435"/>
      <c r="E97" s="434"/>
      <c r="F97" s="87"/>
      <c r="G97" s="55">
        <f>SUMIF(JournalsB!D$14:D$920,TrialBalanceB!M97,JournalsB!J$14:J$920)+SUMIF(JournalsB!E$14:E$920,TrialBalanceB!M97,JournalsB!J$14:J$920)</f>
        <v>0</v>
      </c>
      <c r="H97" s="442"/>
      <c r="I97" s="446">
        <f t="shared" ref="I97" si="18">ROUND(D97-E97+G97+F97,0)</f>
        <v>0</v>
      </c>
      <c r="J97" s="83"/>
      <c r="K97" s="56">
        <f t="shared" ref="K97" si="19">ROUND(SUM(A97),0)</f>
        <v>0</v>
      </c>
      <c r="M97" s="196" t="str">
        <f t="shared" ref="M97" si="20">CONCATENATE(B97,C97)</f>
        <v>2840/000Revaluation of investment property</v>
      </c>
      <c r="N97" s="78"/>
      <c r="P97" s="59"/>
      <c r="Q97" s="59"/>
      <c r="R97" s="34"/>
    </row>
    <row r="98" spans="1:18" x14ac:dyDescent="0.2">
      <c r="A98" s="393"/>
      <c r="B98" s="62" t="s">
        <v>226</v>
      </c>
      <c r="C98" s="396" t="s">
        <v>1192</v>
      </c>
      <c r="D98" s="436"/>
      <c r="E98" s="434"/>
      <c r="F98" s="87"/>
      <c r="G98" s="55">
        <f>SUMIF(JournalsB!D$14:D$920,TrialBalanceB!M98,JournalsB!J$14:J$920)+SUMIF(JournalsB!E$14:E$920,TrialBalanceB!M98,JournalsB!J$14:J$920)</f>
        <v>0</v>
      </c>
      <c r="H98" s="442"/>
      <c r="I98" s="446">
        <f t="shared" si="12"/>
        <v>0</v>
      </c>
      <c r="J98" s="83"/>
      <c r="K98" s="56">
        <f t="shared" si="13"/>
        <v>0</v>
      </c>
      <c r="M98" s="196" t="str">
        <f t="shared" si="14"/>
        <v>3000/000ADMINISTRATIVE EXPENSES</v>
      </c>
      <c r="N98" s="78"/>
      <c r="P98" s="79"/>
      <c r="Q98" s="59"/>
      <c r="R98" s="34"/>
    </row>
    <row r="99" spans="1:18" x14ac:dyDescent="0.2">
      <c r="A99" s="393"/>
      <c r="B99" s="62" t="s">
        <v>227</v>
      </c>
      <c r="C99" s="394" t="s">
        <v>228</v>
      </c>
      <c r="D99" s="435"/>
      <c r="E99" s="434"/>
      <c r="F99" s="87"/>
      <c r="G99" s="55">
        <f>SUMIF(JournalsB!D$14:D$920,TrialBalanceB!M99,JournalsB!J$14:J$920)+SUMIF(JournalsB!E$14:E$920,TrialBalanceB!M99,JournalsB!J$14:J$920)</f>
        <v>0</v>
      </c>
      <c r="H99" s="442"/>
      <c r="I99" s="446">
        <f t="shared" si="12"/>
        <v>0</v>
      </c>
      <c r="J99" s="83"/>
      <c r="K99" s="56">
        <f t="shared" si="13"/>
        <v>0</v>
      </c>
      <c r="M99" s="196" t="str">
        <f t="shared" si="14"/>
        <v>3000/011Audit fees for current year</v>
      </c>
      <c r="N99" s="78"/>
      <c r="P99" s="59"/>
      <c r="Q99" s="59"/>
      <c r="R99" s="34"/>
    </row>
    <row r="100" spans="1:18" x14ac:dyDescent="0.2">
      <c r="A100" s="393"/>
      <c r="B100" s="62" t="s">
        <v>229</v>
      </c>
      <c r="C100" s="401" t="s">
        <v>386</v>
      </c>
      <c r="D100" s="427"/>
      <c r="E100" s="434"/>
      <c r="F100" s="87"/>
      <c r="G100" s="55">
        <f>SUMIF(JournalsB!D$14:D$920,TrialBalanceB!M100,JournalsB!J$14:J$920)+SUMIF(JournalsB!E$14:E$920,TrialBalanceB!M100,JournalsB!J$14:J$920)</f>
        <v>0</v>
      </c>
      <c r="H100" s="442"/>
      <c r="I100" s="446">
        <f t="shared" si="12"/>
        <v>0</v>
      </c>
      <c r="J100" s="83"/>
      <c r="K100" s="56">
        <f t="shared" si="13"/>
        <v>0</v>
      </c>
      <c r="M100" s="196" t="str">
        <f t="shared" si="14"/>
        <v>3000/012Under provision previous year</v>
      </c>
      <c r="N100" s="78"/>
      <c r="P100" s="79"/>
      <c r="Q100" s="59"/>
      <c r="R100" s="34"/>
    </row>
    <row r="101" spans="1:18" x14ac:dyDescent="0.2">
      <c r="A101" s="393"/>
      <c r="B101" s="62" t="s">
        <v>230</v>
      </c>
      <c r="C101" s="394" t="s">
        <v>231</v>
      </c>
      <c r="D101" s="435"/>
      <c r="E101" s="434"/>
      <c r="F101" s="87"/>
      <c r="G101" s="55">
        <f>SUMIF(JournalsB!D$14:D$920,TrialBalanceB!M101,JournalsB!J$14:J$920)+SUMIF(JournalsB!E$14:E$920,TrialBalanceB!M101,JournalsB!J$14:J$920)</f>
        <v>0</v>
      </c>
      <c r="H101" s="442"/>
      <c r="I101" s="446">
        <f t="shared" si="12"/>
        <v>0</v>
      </c>
      <c r="J101" s="83"/>
      <c r="K101" s="56">
        <f t="shared" si="13"/>
        <v>0</v>
      </c>
      <c r="M101" s="196" t="str">
        <f t="shared" si="14"/>
        <v>3000/013Overprovision previous year</v>
      </c>
      <c r="N101" s="78"/>
      <c r="P101" s="79"/>
      <c r="Q101" s="59"/>
      <c r="R101" s="34"/>
    </row>
    <row r="102" spans="1:18" x14ac:dyDescent="0.2">
      <c r="A102" s="393"/>
      <c r="B102" s="62" t="s">
        <v>232</v>
      </c>
      <c r="C102" s="394" t="s">
        <v>233</v>
      </c>
      <c r="D102" s="435"/>
      <c r="E102" s="434"/>
      <c r="F102" s="87"/>
      <c r="G102" s="55">
        <f>SUMIF(JournalsB!D$14:D$920,TrialBalanceB!M102,JournalsB!J$14:J$920)+SUMIF(JournalsB!E$14:E$920,TrialBalanceB!M102,JournalsB!J$14:J$920)</f>
        <v>0</v>
      </c>
      <c r="H102" s="442"/>
      <c r="I102" s="446">
        <f t="shared" si="12"/>
        <v>0</v>
      </c>
      <c r="J102" s="83"/>
      <c r="K102" s="56">
        <f t="shared" si="13"/>
        <v>0</v>
      </c>
      <c r="M102" s="196" t="str">
        <f t="shared" si="14"/>
        <v>3000/014Accounting fees</v>
      </c>
      <c r="N102" s="78"/>
      <c r="P102" s="79"/>
      <c r="Q102" s="59"/>
      <c r="R102" s="34"/>
    </row>
    <row r="103" spans="1:18" x14ac:dyDescent="0.2">
      <c r="A103" s="393"/>
      <c r="B103" s="62" t="s">
        <v>234</v>
      </c>
      <c r="C103" s="394" t="s">
        <v>235</v>
      </c>
      <c r="D103" s="435"/>
      <c r="E103" s="434"/>
      <c r="F103" s="87"/>
      <c r="G103" s="55">
        <f>SUMIF(JournalsB!D$14:D$920,TrialBalanceB!M103,JournalsB!J$14:J$920)+SUMIF(JournalsB!E$14:E$920,TrialBalanceB!M103,JournalsB!J$14:J$920)</f>
        <v>0</v>
      </c>
      <c r="H103" s="442"/>
      <c r="I103" s="446">
        <f>ROUND(D103-E103+G103+F103,0)</f>
        <v>0</v>
      </c>
      <c r="J103" s="83"/>
      <c r="K103" s="56">
        <f t="shared" si="13"/>
        <v>0</v>
      </c>
      <c r="M103" s="196" t="str">
        <f t="shared" si="14"/>
        <v>3000/020Bank charges</v>
      </c>
      <c r="N103" s="78"/>
      <c r="P103" s="79"/>
      <c r="Q103" s="59"/>
      <c r="R103" s="34"/>
    </row>
    <row r="104" spans="1:18" x14ac:dyDescent="0.2">
      <c r="A104" s="393"/>
      <c r="B104" s="62" t="s">
        <v>236</v>
      </c>
      <c r="C104" s="394" t="s">
        <v>237</v>
      </c>
      <c r="D104" s="435"/>
      <c r="E104" s="434"/>
      <c r="F104" s="87"/>
      <c r="G104" s="55">
        <f>SUMIF(JournalsB!D$14:D$920,TrialBalanceB!M104,JournalsB!J$14:J$920)+SUMIF(JournalsB!E$14:E$920,TrialBalanceB!M104,JournalsB!J$14:J$920)</f>
        <v>0</v>
      </c>
      <c r="H104" s="442"/>
      <c r="I104" s="446">
        <f t="shared" ref="I104:I171" si="21">ROUND(D104-E104+G104+F104,0)</f>
        <v>0</v>
      </c>
      <c r="J104" s="83"/>
      <c r="K104" s="56">
        <f t="shared" si="13"/>
        <v>0</v>
      </c>
      <c r="M104" s="196" t="str">
        <f t="shared" si="14"/>
        <v>3000/030Bad debts</v>
      </c>
      <c r="N104" s="78"/>
      <c r="P104" s="79"/>
      <c r="Q104" s="59"/>
      <c r="R104" s="34"/>
    </row>
    <row r="105" spans="1:18" x14ac:dyDescent="0.2">
      <c r="A105" s="393"/>
      <c r="B105" s="62" t="s">
        <v>238</v>
      </c>
      <c r="C105" s="394" t="s">
        <v>291</v>
      </c>
      <c r="D105" s="435"/>
      <c r="E105" s="434"/>
      <c r="F105" s="87"/>
      <c r="G105" s="55">
        <f>SUMIF(JournalsB!D$14:D$920,TrialBalanceB!M105,JournalsB!J$14:J$920)+SUMIF(JournalsB!E$14:E$920,TrialBalanceB!M105,JournalsB!J$14:J$920)</f>
        <v>0</v>
      </c>
      <c r="H105" s="442"/>
      <c r="I105" s="446">
        <f t="shared" si="21"/>
        <v>0</v>
      </c>
      <c r="J105" s="83"/>
      <c r="K105" s="56">
        <f t="shared" si="13"/>
        <v>0</v>
      </c>
      <c r="M105" s="196" t="str">
        <f t="shared" si="14"/>
        <v>3000/040Cleaning</v>
      </c>
      <c r="N105" s="78"/>
      <c r="P105" s="79"/>
      <c r="Q105" s="59"/>
      <c r="R105" s="34"/>
    </row>
    <row r="106" spans="1:18" x14ac:dyDescent="0.2">
      <c r="A106" s="393"/>
      <c r="B106" s="62" t="s">
        <v>239</v>
      </c>
      <c r="C106" s="394" t="s">
        <v>240</v>
      </c>
      <c r="D106" s="435"/>
      <c r="E106" s="434"/>
      <c r="F106" s="87"/>
      <c r="G106" s="55">
        <f>SUMIF(JournalsB!D$14:D$920,TrialBalanceB!M106,JournalsB!J$14:J$920)+SUMIF(JournalsB!E$14:E$920,TrialBalanceB!M106,JournalsB!J$14:J$920)</f>
        <v>0</v>
      </c>
      <c r="H106" s="442"/>
      <c r="I106" s="446">
        <f t="shared" si="21"/>
        <v>0</v>
      </c>
      <c r="J106" s="83"/>
      <c r="K106" s="56">
        <f t="shared" si="13"/>
        <v>0</v>
      </c>
      <c r="M106" s="196" t="str">
        <f t="shared" si="14"/>
        <v>3000/050Computer expenses</v>
      </c>
      <c r="N106" s="78"/>
      <c r="P106" s="79"/>
      <c r="Q106" s="59"/>
      <c r="R106" s="34"/>
    </row>
    <row r="107" spans="1:18" x14ac:dyDescent="0.2">
      <c r="A107" s="393"/>
      <c r="B107" s="113" t="s">
        <v>780</v>
      </c>
      <c r="C107" s="397" t="s">
        <v>873</v>
      </c>
      <c r="D107" s="435"/>
      <c r="E107" s="434"/>
      <c r="F107" s="87"/>
      <c r="G107" s="55">
        <f>SUMIF(JournalsB!D$14:D$920,TrialBalanceB!M107,JournalsB!J$14:J$920)+SUMIF(JournalsB!E$14:E$920,TrialBalanceB!M107,JournalsB!J$14:J$920)</f>
        <v>0</v>
      </c>
      <c r="H107" s="442"/>
      <c r="I107" s="446">
        <f t="shared" ref="I107" si="22">ROUND(D107-E107+G107+F107,0)</f>
        <v>0</v>
      </c>
      <c r="J107" s="83"/>
      <c r="K107" s="56">
        <f t="shared" ref="K107" si="23">ROUND(SUM(A107),0)</f>
        <v>0</v>
      </c>
      <c r="M107" s="196" t="str">
        <f t="shared" ref="M107" si="24">CONCATENATE(B107,C107)</f>
        <v>3000/055Consulting and professional fees</v>
      </c>
      <c r="N107" s="78"/>
      <c r="P107" s="79"/>
      <c r="Q107" s="59"/>
      <c r="R107" s="34"/>
    </row>
    <row r="108" spans="1:18" x14ac:dyDescent="0.2">
      <c r="A108" s="393"/>
      <c r="B108" s="113" t="s">
        <v>1758</v>
      </c>
      <c r="C108" s="397" t="s">
        <v>1759</v>
      </c>
      <c r="D108" s="435"/>
      <c r="E108" s="434"/>
      <c r="F108" s="87"/>
      <c r="G108" s="55">
        <f>SUMIF(JournalsB!D$14:D$920,TrialBalanceB!M108,JournalsB!J$14:J$920)+SUMIF(JournalsB!E$14:E$920,TrialBalanceB!M108,JournalsB!J$14:J$920)</f>
        <v>0</v>
      </c>
      <c r="H108" s="442"/>
      <c r="I108" s="446">
        <f t="shared" ref="I108" si="25">ROUND(D108-E108+G108+F108,0)</f>
        <v>0</v>
      </c>
      <c r="J108" s="83"/>
      <c r="K108" s="56">
        <f t="shared" ref="K108" si="26">ROUND(SUM(A108),0)</f>
        <v>0</v>
      </c>
      <c r="M108" s="196" t="str">
        <f t="shared" ref="M108" si="27">CONCATENATE(B108,C108)</f>
        <v>3000/058Defined contribution plan expense</v>
      </c>
      <c r="N108" s="78"/>
      <c r="P108" s="79"/>
      <c r="Q108" s="59"/>
      <c r="R108" s="34"/>
    </row>
    <row r="109" spans="1:18" x14ac:dyDescent="0.2">
      <c r="A109" s="393"/>
      <c r="B109" s="62" t="s">
        <v>241</v>
      </c>
      <c r="C109" s="396" t="s">
        <v>451</v>
      </c>
      <c r="D109" s="436"/>
      <c r="E109" s="434"/>
      <c r="F109" s="87"/>
      <c r="G109" s="55">
        <f>SUMIF(JournalsB!D$14:D$920,TrialBalanceB!M109,JournalsB!J$14:J$920)+SUMIF(JournalsB!E$14:E$920,TrialBalanceB!M109,JournalsB!J$14:J$920)</f>
        <v>0</v>
      </c>
      <c r="H109" s="442"/>
      <c r="I109" s="446">
        <f t="shared" si="21"/>
        <v>0</v>
      </c>
      <c r="J109" s="83"/>
      <c r="K109" s="56">
        <f t="shared" si="13"/>
        <v>0</v>
      </c>
      <c r="M109" s="196" t="str">
        <f t="shared" si="14"/>
        <v>3000/060Depreciation----------------------------</v>
      </c>
      <c r="N109" s="78"/>
      <c r="P109" s="79"/>
      <c r="Q109" s="59"/>
      <c r="R109" s="34"/>
    </row>
    <row r="110" spans="1:18" x14ac:dyDescent="0.2">
      <c r="A110" s="393"/>
      <c r="B110" s="113" t="s">
        <v>242</v>
      </c>
      <c r="C110" s="395" t="s">
        <v>60</v>
      </c>
      <c r="D110" s="434"/>
      <c r="E110" s="434"/>
      <c r="F110" s="87"/>
      <c r="G110" s="55">
        <f>SUMIF(JournalsB!D$14:D$920,TrialBalanceB!M110,JournalsB!J$14:J$920)+SUMIF(JournalsB!E$14:E$920,TrialBalanceB!M110,JournalsB!J$14:J$920)</f>
        <v>0</v>
      </c>
      <c r="H110" s="442"/>
      <c r="I110" s="446">
        <f t="shared" si="21"/>
        <v>0</v>
      </c>
      <c r="J110" s="83"/>
      <c r="K110" s="56">
        <f t="shared" si="13"/>
        <v>0</v>
      </c>
      <c r="M110" s="196" t="str">
        <f t="shared" si="14"/>
        <v>3000/061Depr - Electronic equipment</v>
      </c>
      <c r="N110" s="78"/>
      <c r="P110" s="79"/>
      <c r="Q110" s="59"/>
      <c r="R110" s="34"/>
    </row>
    <row r="111" spans="1:18" x14ac:dyDescent="0.2">
      <c r="A111" s="393"/>
      <c r="B111" s="113" t="s">
        <v>399</v>
      </c>
      <c r="C111" s="397" t="s">
        <v>934</v>
      </c>
      <c r="D111" s="435"/>
      <c r="E111" s="434"/>
      <c r="F111" s="87"/>
      <c r="G111" s="55">
        <f>SUMIF(JournalsB!D$14:D$920,TrialBalanceB!M111,JournalsB!J$14:J$920)+SUMIF(JournalsB!E$14:E$920,TrialBalanceB!M111,JournalsB!J$14:J$920)</f>
        <v>0</v>
      </c>
      <c r="H111" s="442"/>
      <c r="I111" s="446">
        <f t="shared" si="21"/>
        <v>0</v>
      </c>
      <c r="J111" s="83"/>
      <c r="K111" s="56">
        <f t="shared" si="13"/>
        <v>0</v>
      </c>
      <c r="M111" s="196" t="str">
        <f t="shared" si="14"/>
        <v>3000/063Depr - Furniture and fittings</v>
      </c>
      <c r="N111" s="78"/>
      <c r="P111" s="79"/>
      <c r="Q111" s="59"/>
      <c r="R111" s="34"/>
    </row>
    <row r="112" spans="1:18" x14ac:dyDescent="0.2">
      <c r="A112" s="393"/>
      <c r="B112" s="62" t="s">
        <v>400</v>
      </c>
      <c r="C112" s="396" t="s">
        <v>668</v>
      </c>
      <c r="D112" s="436"/>
      <c r="E112" s="434"/>
      <c r="F112" s="87"/>
      <c r="G112" s="55">
        <f>SUMIF(JournalsB!D$14:D$920,TrialBalanceB!M112,JournalsB!J$14:J$920)+SUMIF(JournalsB!E$14:E$920,TrialBalanceB!M112,JournalsB!J$14:J$920)</f>
        <v>0</v>
      </c>
      <c r="H112" s="442"/>
      <c r="I112" s="446">
        <f t="shared" si="21"/>
        <v>0</v>
      </c>
      <c r="J112" s="83"/>
      <c r="K112" s="56">
        <f t="shared" si="13"/>
        <v>0</v>
      </c>
      <c r="M112" s="196" t="str">
        <f t="shared" si="14"/>
        <v>3000/070Directors' remuneration-----------------</v>
      </c>
      <c r="N112" s="78"/>
      <c r="P112" s="79"/>
      <c r="Q112" s="59"/>
      <c r="R112" s="34"/>
    </row>
    <row r="113" spans="1:18" x14ac:dyDescent="0.2">
      <c r="A113" s="393"/>
      <c r="B113" s="62" t="s">
        <v>401</v>
      </c>
      <c r="C113" s="429" t="str">
        <f>Criteria!E41</f>
        <v>A Director</v>
      </c>
      <c r="D113" s="434"/>
      <c r="E113" s="434"/>
      <c r="F113" s="87"/>
      <c r="G113" s="55">
        <f>SUMIF(JournalsB!D$14:D$920,TrialBalanceB!M113,JournalsB!J$14:J$920)+SUMIF(JournalsB!E$14:E$920,TrialBalanceB!M113,JournalsB!J$14:J$920)</f>
        <v>0</v>
      </c>
      <c r="H113" s="442"/>
      <c r="I113" s="446">
        <f t="shared" si="21"/>
        <v>0</v>
      </c>
      <c r="J113" s="83"/>
      <c r="K113" s="56">
        <f t="shared" si="13"/>
        <v>0</v>
      </c>
      <c r="M113" s="196" t="str">
        <f t="shared" si="14"/>
        <v>3000/071A Director</v>
      </c>
      <c r="N113" s="78"/>
      <c r="P113" s="79"/>
      <c r="Q113" s="59"/>
      <c r="R113" s="34"/>
    </row>
    <row r="114" spans="1:18" x14ac:dyDescent="0.2">
      <c r="A114" s="393"/>
      <c r="B114" s="62" t="s">
        <v>402</v>
      </c>
      <c r="C114" s="429" t="str">
        <f>Criteria!E42</f>
        <v>B Director</v>
      </c>
      <c r="D114" s="434"/>
      <c r="E114" s="434"/>
      <c r="F114" s="87"/>
      <c r="G114" s="55">
        <f>SUMIF(JournalsB!D$14:D$920,TrialBalanceB!M114,JournalsB!J$14:J$920)+SUMIF(JournalsB!E$14:E$920,TrialBalanceB!M114,JournalsB!J$14:J$920)</f>
        <v>0</v>
      </c>
      <c r="H114" s="442"/>
      <c r="I114" s="446">
        <f t="shared" si="21"/>
        <v>0</v>
      </c>
      <c r="J114" s="83"/>
      <c r="K114" s="56">
        <f t="shared" si="13"/>
        <v>0</v>
      </c>
      <c r="M114" s="196" t="str">
        <f t="shared" si="14"/>
        <v>3000/072B Director</v>
      </c>
      <c r="N114" s="78"/>
      <c r="P114" s="79"/>
      <c r="Q114" s="59"/>
      <c r="R114" s="34"/>
    </row>
    <row r="115" spans="1:18" x14ac:dyDescent="0.2">
      <c r="A115" s="393"/>
      <c r="B115" s="62" t="s">
        <v>403</v>
      </c>
      <c r="C115" s="429">
        <f>Criteria!E43</f>
        <v>0</v>
      </c>
      <c r="D115" s="434"/>
      <c r="E115" s="434"/>
      <c r="F115" s="87"/>
      <c r="G115" s="55">
        <f>SUMIF(JournalsB!D$14:D$920,TrialBalanceB!M115,JournalsB!J$14:J$920)+SUMIF(JournalsB!E$14:E$920,TrialBalanceB!M115,JournalsB!J$14:J$920)</f>
        <v>0</v>
      </c>
      <c r="H115" s="442"/>
      <c r="I115" s="446">
        <f t="shared" si="21"/>
        <v>0</v>
      </c>
      <c r="J115" s="83"/>
      <c r="K115" s="56">
        <f t="shared" si="13"/>
        <v>0</v>
      </c>
      <c r="M115" s="196" t="str">
        <f t="shared" si="14"/>
        <v>3000/0730</v>
      </c>
      <c r="N115" s="78"/>
      <c r="P115" s="79"/>
      <c r="Q115" s="59"/>
      <c r="R115" s="34"/>
    </row>
    <row r="116" spans="1:18" x14ac:dyDescent="0.2">
      <c r="A116" s="393"/>
      <c r="B116" s="62" t="s">
        <v>404</v>
      </c>
      <c r="C116" s="429">
        <f>Criteria!E44</f>
        <v>0</v>
      </c>
      <c r="D116" s="434"/>
      <c r="E116" s="434"/>
      <c r="F116" s="87"/>
      <c r="G116" s="55">
        <f>SUMIF(JournalsB!D$14:D$920,TrialBalanceB!M116,JournalsB!J$14:J$920)+SUMIF(JournalsB!E$14:E$920,TrialBalanceB!M116,JournalsB!J$14:J$920)</f>
        <v>0</v>
      </c>
      <c r="H116" s="442"/>
      <c r="I116" s="446">
        <f t="shared" si="21"/>
        <v>0</v>
      </c>
      <c r="J116" s="83"/>
      <c r="K116" s="56">
        <f t="shared" si="13"/>
        <v>0</v>
      </c>
      <c r="M116" s="196" t="str">
        <f t="shared" si="14"/>
        <v>3000/0740</v>
      </c>
      <c r="N116" s="78"/>
      <c r="P116" s="79"/>
      <c r="Q116" s="59"/>
      <c r="R116" s="34"/>
    </row>
    <row r="117" spans="1:18" x14ac:dyDescent="0.2">
      <c r="A117" s="393"/>
      <c r="B117" s="62" t="s">
        <v>405</v>
      </c>
      <c r="C117" s="429">
        <f>Criteria!E45</f>
        <v>0</v>
      </c>
      <c r="D117" s="435"/>
      <c r="E117" s="434"/>
      <c r="F117" s="87"/>
      <c r="G117" s="55">
        <f>SUMIF(JournalsB!D$14:D$920,TrialBalanceB!M117,JournalsB!J$14:J$920)+SUMIF(JournalsB!E$14:E$920,TrialBalanceB!M117,JournalsB!J$14:J$920)</f>
        <v>0</v>
      </c>
      <c r="H117" s="442"/>
      <c r="I117" s="446">
        <f t="shared" si="21"/>
        <v>0</v>
      </c>
      <c r="J117" s="83"/>
      <c r="K117" s="56">
        <f t="shared" si="13"/>
        <v>0</v>
      </c>
      <c r="M117" s="196" t="str">
        <f t="shared" si="14"/>
        <v>3000/0750</v>
      </c>
      <c r="N117" s="78"/>
      <c r="P117" s="79"/>
      <c r="Q117" s="59"/>
      <c r="R117" s="34"/>
    </row>
    <row r="118" spans="1:18" x14ac:dyDescent="0.2">
      <c r="A118" s="393"/>
      <c r="B118" s="62" t="s">
        <v>406</v>
      </c>
      <c r="C118" s="394" t="s">
        <v>292</v>
      </c>
      <c r="D118" s="435"/>
      <c r="E118" s="434"/>
      <c r="F118" s="87"/>
      <c r="G118" s="55">
        <f>SUMIF(JournalsB!D$14:D$920,TrialBalanceB!M118,JournalsB!J$14:J$920)+SUMIF(JournalsB!E$14:E$920,TrialBalanceB!M118,JournalsB!J$14:J$920)</f>
        <v>0</v>
      </c>
      <c r="H118" s="442"/>
      <c r="I118" s="446">
        <f t="shared" si="21"/>
        <v>0</v>
      </c>
      <c r="J118" s="83"/>
      <c r="K118" s="56">
        <f t="shared" si="13"/>
        <v>0</v>
      </c>
      <c r="M118" s="196" t="str">
        <f t="shared" si="14"/>
        <v>3000/080Donations</v>
      </c>
      <c r="N118" s="78"/>
      <c r="P118" s="79"/>
      <c r="Q118" s="59"/>
      <c r="R118" s="34"/>
    </row>
    <row r="119" spans="1:18" x14ac:dyDescent="0.2">
      <c r="A119" s="393"/>
      <c r="B119" s="62" t="s">
        <v>407</v>
      </c>
      <c r="C119" s="394" t="s">
        <v>408</v>
      </c>
      <c r="D119" s="435"/>
      <c r="E119" s="434"/>
      <c r="F119" s="87"/>
      <c r="G119" s="55">
        <f>SUMIF(JournalsB!D$14:D$920,TrialBalanceB!M119,JournalsB!J$14:J$920)+SUMIF(JournalsB!E$14:E$920,TrialBalanceB!M119,JournalsB!J$14:J$920)</f>
        <v>0</v>
      </c>
      <c r="H119" s="442"/>
      <c r="I119" s="446">
        <f t="shared" si="21"/>
        <v>0</v>
      </c>
      <c r="J119" s="83"/>
      <c r="K119" s="56">
        <f t="shared" si="13"/>
        <v>0</v>
      </c>
      <c r="M119" s="196" t="str">
        <f t="shared" si="14"/>
        <v>3000/090Entertainment expenses</v>
      </c>
      <c r="N119" s="78"/>
      <c r="P119" s="79"/>
      <c r="Q119" s="59"/>
      <c r="R119" s="34"/>
    </row>
    <row r="120" spans="1:18" x14ac:dyDescent="0.2">
      <c r="A120" s="393"/>
      <c r="B120" s="64" t="s">
        <v>71</v>
      </c>
      <c r="C120" s="401" t="s">
        <v>357</v>
      </c>
      <c r="D120" s="427"/>
      <c r="E120" s="434"/>
      <c r="F120" s="87"/>
      <c r="G120" s="55">
        <f>SUMIF(JournalsB!D$14:D$920,TrialBalanceB!M120,JournalsB!J$14:J$920)+SUMIF(JournalsB!E$14:E$920,TrialBalanceB!M120,JournalsB!J$14:J$920)</f>
        <v>0</v>
      </c>
      <c r="H120" s="442"/>
      <c r="I120" s="446">
        <f t="shared" si="21"/>
        <v>0</v>
      </c>
      <c r="J120" s="83"/>
      <c r="K120" s="56">
        <f t="shared" si="13"/>
        <v>0</v>
      </c>
      <c r="M120" s="196" t="str">
        <f t="shared" si="14"/>
        <v>3000/095Fines</v>
      </c>
      <c r="N120" s="78"/>
      <c r="P120" s="79"/>
      <c r="Q120" s="59"/>
      <c r="R120" s="34"/>
    </row>
    <row r="121" spans="1:18" x14ac:dyDescent="0.2">
      <c r="A121" s="393"/>
      <c r="B121" s="62" t="s">
        <v>409</v>
      </c>
      <c r="C121" s="394" t="s">
        <v>410</v>
      </c>
      <c r="D121" s="435"/>
      <c r="E121" s="434"/>
      <c r="F121" s="87"/>
      <c r="G121" s="55">
        <f>SUMIF(JournalsB!D$14:D$920,TrialBalanceB!M121,JournalsB!J$14:J$920)+SUMIF(JournalsB!E$14:E$920,TrialBalanceB!M121,JournalsB!J$14:J$920)</f>
        <v>0</v>
      </c>
      <c r="H121" s="442"/>
      <c r="I121" s="446">
        <f t="shared" si="21"/>
        <v>0</v>
      </c>
      <c r="J121" s="83"/>
      <c r="K121" s="56">
        <f t="shared" si="13"/>
        <v>0</v>
      </c>
      <c r="M121" s="196" t="str">
        <f t="shared" si="14"/>
        <v>3000/100General expenses</v>
      </c>
      <c r="N121" s="78"/>
      <c r="P121" s="79"/>
      <c r="Q121" s="59"/>
      <c r="R121" s="34"/>
    </row>
    <row r="122" spans="1:18" x14ac:dyDescent="0.2">
      <c r="A122" s="393"/>
      <c r="B122" s="62" t="s">
        <v>328</v>
      </c>
      <c r="C122" s="395" t="s">
        <v>931</v>
      </c>
      <c r="D122" s="427"/>
      <c r="E122" s="434"/>
      <c r="F122" s="87"/>
      <c r="G122" s="55">
        <f>SUMIF(JournalsB!D$14:D$920,TrialBalanceB!M122,JournalsB!J$14:J$920)+SUMIF(JournalsB!E$14:E$920,TrialBalanceB!M122,JournalsB!J$14:J$920)</f>
        <v>0</v>
      </c>
      <c r="H122" s="442"/>
      <c r="I122" s="446">
        <f t="shared" si="21"/>
        <v>0</v>
      </c>
      <c r="J122" s="83"/>
      <c r="K122" s="56">
        <f t="shared" si="13"/>
        <v>0</v>
      </c>
      <c r="M122" s="196" t="str">
        <f t="shared" si="14"/>
        <v>3000/110Legal expenses - tax deductible</v>
      </c>
      <c r="N122" s="78"/>
      <c r="P122" s="79"/>
      <c r="Q122" s="59"/>
      <c r="R122" s="34"/>
    </row>
    <row r="123" spans="1:18" x14ac:dyDescent="0.2">
      <c r="A123" s="393"/>
      <c r="B123" s="62" t="s">
        <v>485</v>
      </c>
      <c r="C123" s="395" t="s">
        <v>932</v>
      </c>
      <c r="D123" s="427"/>
      <c r="E123" s="434"/>
      <c r="F123" s="87"/>
      <c r="G123" s="55">
        <f>SUMIF(JournalsB!D$14:D$920,TrialBalanceB!M123,JournalsB!J$14:J$920)+SUMIF(JournalsB!E$14:E$920,TrialBalanceB!M123,JournalsB!J$14:J$920)</f>
        <v>0</v>
      </c>
      <c r="H123" s="442"/>
      <c r="I123" s="446">
        <f t="shared" si="21"/>
        <v>0</v>
      </c>
      <c r="J123" s="83"/>
      <c r="K123" s="56">
        <f t="shared" si="13"/>
        <v>0</v>
      </c>
      <c r="M123" s="196" t="str">
        <f t="shared" si="14"/>
        <v>3000/111Legal expenses - non deductible</v>
      </c>
      <c r="N123" s="78"/>
      <c r="P123" s="79"/>
      <c r="Q123" s="59"/>
      <c r="R123" s="34"/>
    </row>
    <row r="124" spans="1:18" x14ac:dyDescent="0.2">
      <c r="A124" s="393"/>
      <c r="B124" s="62" t="s">
        <v>329</v>
      </c>
      <c r="C124" s="394" t="s">
        <v>330</v>
      </c>
      <c r="D124" s="435"/>
      <c r="E124" s="434"/>
      <c r="F124" s="87"/>
      <c r="G124" s="55">
        <f>SUMIF(JournalsB!D$14:D$920,TrialBalanceB!M124,JournalsB!J$14:J$920)+SUMIF(JournalsB!E$14:E$920,TrialBalanceB!M124,JournalsB!J$14:J$920)</f>
        <v>0</v>
      </c>
      <c r="H124" s="442"/>
      <c r="I124" s="446">
        <f t="shared" si="21"/>
        <v>0</v>
      </c>
      <c r="J124" s="83"/>
      <c r="K124" s="56">
        <f t="shared" si="13"/>
        <v>0</v>
      </c>
      <c r="M124" s="196" t="str">
        <f t="shared" si="14"/>
        <v>3000/120Printing and stationary</v>
      </c>
      <c r="N124" s="78"/>
      <c r="P124" s="79"/>
      <c r="Q124" s="59"/>
      <c r="R124" s="34"/>
    </row>
    <row r="125" spans="1:18" x14ac:dyDescent="0.2">
      <c r="A125" s="393"/>
      <c r="B125" s="62" t="s">
        <v>331</v>
      </c>
      <c r="C125" s="394" t="s">
        <v>293</v>
      </c>
      <c r="D125" s="435"/>
      <c r="E125" s="434"/>
      <c r="F125" s="87"/>
      <c r="G125" s="55">
        <f>SUMIF(JournalsB!D$14:D$920,TrialBalanceB!M125,JournalsB!J$14:J$920)+SUMIF(JournalsB!E$14:E$920,TrialBalanceB!M125,JournalsB!J$14:J$920)</f>
        <v>0</v>
      </c>
      <c r="H125" s="442"/>
      <c r="I125" s="446">
        <f t="shared" si="21"/>
        <v>0</v>
      </c>
      <c r="J125" s="83"/>
      <c r="K125" s="56">
        <f t="shared" si="13"/>
        <v>0</v>
      </c>
      <c r="M125" s="196" t="str">
        <f t="shared" si="14"/>
        <v>3000/130Refreshments</v>
      </c>
      <c r="N125" s="78"/>
      <c r="P125" s="79"/>
      <c r="Q125" s="59"/>
      <c r="R125" s="34"/>
    </row>
    <row r="126" spans="1:18" x14ac:dyDescent="0.2">
      <c r="A126" s="393"/>
      <c r="B126" s="62" t="s">
        <v>332</v>
      </c>
      <c r="C126" s="394" t="s">
        <v>79</v>
      </c>
      <c r="D126" s="435"/>
      <c r="E126" s="434"/>
      <c r="F126" s="87"/>
      <c r="G126" s="55">
        <f>SUMIF(JournalsB!D$14:D$920,TrialBalanceB!M126,JournalsB!J$14:J$920)+SUMIF(JournalsB!E$14:E$920,TrialBalanceB!M126,JournalsB!J$14:J$920)</f>
        <v>0</v>
      </c>
      <c r="H126" s="442"/>
      <c r="I126" s="446">
        <f t="shared" si="21"/>
        <v>0</v>
      </c>
      <c r="J126" s="83"/>
      <c r="K126" s="56">
        <f t="shared" si="13"/>
        <v>0</v>
      </c>
      <c r="M126" s="196" t="str">
        <f t="shared" si="14"/>
        <v>3000/140Salaries</v>
      </c>
      <c r="N126" s="78"/>
      <c r="P126" s="79"/>
      <c r="Q126" s="59"/>
      <c r="R126" s="34"/>
    </row>
    <row r="127" spans="1:18" x14ac:dyDescent="0.2">
      <c r="A127" s="393"/>
      <c r="B127" s="113" t="s">
        <v>333</v>
      </c>
      <c r="C127" s="394" t="s">
        <v>83</v>
      </c>
      <c r="D127" s="435"/>
      <c r="E127" s="434"/>
      <c r="F127" s="87"/>
      <c r="G127" s="55">
        <f>SUMIF(JournalsB!D$14:D$920,TrialBalanceB!M127,JournalsB!J$14:J$920)+SUMIF(JournalsB!E$14:E$920,TrialBalanceB!M127,JournalsB!J$14:J$920)</f>
        <v>0</v>
      </c>
      <c r="H127" s="442"/>
      <c r="I127" s="446">
        <f t="shared" si="21"/>
        <v>0</v>
      </c>
      <c r="J127" s="83"/>
      <c r="K127" s="56">
        <f t="shared" si="13"/>
        <v>0</v>
      </c>
      <c r="M127" s="196" t="str">
        <f t="shared" si="14"/>
        <v>3000/141Casual wages</v>
      </c>
      <c r="N127" s="78"/>
      <c r="P127" s="79"/>
      <c r="Q127" s="59"/>
      <c r="R127" s="34"/>
    </row>
    <row r="128" spans="1:18" x14ac:dyDescent="0.2">
      <c r="A128" s="393"/>
      <c r="B128" s="62" t="s">
        <v>334</v>
      </c>
      <c r="C128" s="394" t="s">
        <v>294</v>
      </c>
      <c r="D128" s="435"/>
      <c r="E128" s="434"/>
      <c r="F128" s="87"/>
      <c r="G128" s="55">
        <f>SUMIF(JournalsB!D$14:D$920,TrialBalanceB!M128,JournalsB!J$14:J$920)+SUMIF(JournalsB!E$14:E$920,TrialBalanceB!M128,JournalsB!J$14:J$920)</f>
        <v>0</v>
      </c>
      <c r="H128" s="442"/>
      <c r="I128" s="446">
        <f t="shared" si="21"/>
        <v>0</v>
      </c>
      <c r="J128" s="83"/>
      <c r="K128" s="56">
        <f t="shared" si="13"/>
        <v>0</v>
      </c>
      <c r="M128" s="196" t="str">
        <f t="shared" si="14"/>
        <v>3000/150Security</v>
      </c>
      <c r="N128" s="78"/>
      <c r="P128" s="79"/>
      <c r="Q128" s="59"/>
      <c r="R128" s="34"/>
    </row>
    <row r="129" spans="1:18" x14ac:dyDescent="0.2">
      <c r="A129" s="393"/>
      <c r="B129" s="62" t="s">
        <v>335</v>
      </c>
      <c r="C129" s="397" t="s">
        <v>875</v>
      </c>
      <c r="D129" s="437"/>
      <c r="E129" s="434"/>
      <c r="F129" s="87"/>
      <c r="G129" s="55">
        <f>SUMIF(JournalsB!D$14:D$920,TrialBalanceB!M129,JournalsB!J$14:J$920)+SUMIF(JournalsB!E$14:E$920,TrialBalanceB!M129,JournalsB!J$14:J$920)</f>
        <v>0</v>
      </c>
      <c r="H129" s="442"/>
      <c r="I129" s="446">
        <f t="shared" si="21"/>
        <v>0</v>
      </c>
      <c r="J129" s="83"/>
      <c r="K129" s="56">
        <f t="shared" si="13"/>
        <v>0</v>
      </c>
      <c r="M129" s="196" t="str">
        <f t="shared" si="14"/>
        <v>3000/160Subscriptions and membership fees</v>
      </c>
      <c r="N129" s="78"/>
      <c r="P129" s="79"/>
      <c r="Q129" s="59"/>
      <c r="R129" s="34"/>
    </row>
    <row r="130" spans="1:18" x14ac:dyDescent="0.2">
      <c r="A130" s="393"/>
      <c r="B130" s="62" t="s">
        <v>362</v>
      </c>
      <c r="C130" s="397" t="s">
        <v>933</v>
      </c>
      <c r="D130" s="435"/>
      <c r="E130" s="434"/>
      <c r="F130" s="87"/>
      <c r="G130" s="55">
        <f>SUMIF(JournalsB!D$14:D$920,TrialBalanceB!M130,JournalsB!J$14:J$920)+SUMIF(JournalsB!E$14:E$920,TrialBalanceB!M130,JournalsB!J$14:J$920)</f>
        <v>0</v>
      </c>
      <c r="H130" s="442"/>
      <c r="I130" s="446">
        <f t="shared" si="21"/>
        <v>0</v>
      </c>
      <c r="J130" s="83"/>
      <c r="K130" s="56">
        <f t="shared" si="13"/>
        <v>0</v>
      </c>
      <c r="M130" s="196" t="str">
        <f t="shared" si="14"/>
        <v>3000/170Penalties and interest - SARS</v>
      </c>
      <c r="N130" s="78"/>
      <c r="P130" s="79"/>
      <c r="Q130" s="59"/>
      <c r="R130" s="34"/>
    </row>
    <row r="131" spans="1:18" x14ac:dyDescent="0.2">
      <c r="A131" s="393"/>
      <c r="B131" s="62" t="s">
        <v>306</v>
      </c>
      <c r="C131" s="429"/>
      <c r="D131" s="434"/>
      <c r="E131" s="434"/>
      <c r="F131" s="87"/>
      <c r="G131" s="55">
        <f>SUMIF(JournalsB!D$14:D$920,TrialBalanceB!M131,JournalsB!J$14:J$920)+SUMIF(JournalsB!E$14:E$920,TrialBalanceB!M131,JournalsB!J$14:J$920)</f>
        <v>0</v>
      </c>
      <c r="H131" s="442"/>
      <c r="I131" s="446">
        <f t="shared" si="21"/>
        <v>0</v>
      </c>
      <c r="J131" s="83"/>
      <c r="K131" s="56">
        <f t="shared" si="13"/>
        <v>0</v>
      </c>
      <c r="M131" s="196" t="str">
        <f t="shared" si="14"/>
        <v>3000/180</v>
      </c>
      <c r="N131" s="78"/>
      <c r="P131" s="79"/>
      <c r="Q131" s="59"/>
      <c r="R131" s="34"/>
    </row>
    <row r="132" spans="1:18" x14ac:dyDescent="0.2">
      <c r="A132" s="393"/>
      <c r="B132" s="62" t="s">
        <v>307</v>
      </c>
      <c r="C132" s="429"/>
      <c r="D132" s="434"/>
      <c r="E132" s="434"/>
      <c r="F132" s="87"/>
      <c r="G132" s="55">
        <f>SUMIF(JournalsB!D$14:D$920,TrialBalanceB!M132,JournalsB!J$14:J$920)+SUMIF(JournalsB!E$14:E$920,TrialBalanceB!M132,JournalsB!J$14:J$920)</f>
        <v>0</v>
      </c>
      <c r="H132" s="442"/>
      <c r="I132" s="446">
        <f t="shared" si="21"/>
        <v>0</v>
      </c>
      <c r="J132" s="83"/>
      <c r="K132" s="56">
        <f t="shared" si="13"/>
        <v>0</v>
      </c>
      <c r="M132" s="196" t="str">
        <f t="shared" si="14"/>
        <v>3000/190</v>
      </c>
      <c r="N132" s="78"/>
      <c r="P132" s="79"/>
      <c r="Q132" s="59"/>
      <c r="R132" s="34"/>
    </row>
    <row r="133" spans="1:18" x14ac:dyDescent="0.2">
      <c r="A133" s="393"/>
      <c r="B133" s="62" t="s">
        <v>308</v>
      </c>
      <c r="C133" s="430"/>
      <c r="D133" s="434"/>
      <c r="E133" s="434"/>
      <c r="F133" s="87"/>
      <c r="G133" s="55">
        <f>SUMIF(JournalsB!D$14:D$920,TrialBalanceB!M133,JournalsB!J$14:J$920)+SUMIF(JournalsB!E$14:E$920,TrialBalanceB!M133,JournalsB!J$14:J$920)</f>
        <v>0</v>
      </c>
      <c r="H133" s="442"/>
      <c r="I133" s="446">
        <f t="shared" si="21"/>
        <v>0</v>
      </c>
      <c r="J133" s="83"/>
      <c r="K133" s="56">
        <f t="shared" si="13"/>
        <v>0</v>
      </c>
      <c r="M133" s="196" t="str">
        <f t="shared" si="14"/>
        <v>3000/200</v>
      </c>
      <c r="N133" s="78"/>
      <c r="P133" s="79"/>
      <c r="Q133" s="59"/>
      <c r="R133" s="34"/>
    </row>
    <row r="134" spans="1:18" x14ac:dyDescent="0.2">
      <c r="A134" s="393"/>
      <c r="B134" s="62" t="s">
        <v>309</v>
      </c>
      <c r="C134" s="430"/>
      <c r="D134" s="427"/>
      <c r="E134" s="434"/>
      <c r="F134" s="87"/>
      <c r="G134" s="55">
        <f>SUMIF(JournalsB!D$14:D$920,TrialBalanceB!M134,JournalsB!J$14:J$920)+SUMIF(JournalsB!E$14:E$920,TrialBalanceB!M134,JournalsB!J$14:J$920)</f>
        <v>0</v>
      </c>
      <c r="H134" s="442"/>
      <c r="I134" s="446">
        <f t="shared" si="21"/>
        <v>0</v>
      </c>
      <c r="J134" s="83"/>
      <c r="K134" s="56">
        <f t="shared" si="13"/>
        <v>0</v>
      </c>
      <c r="M134" s="196" t="str">
        <f t="shared" si="14"/>
        <v>3000/210</v>
      </c>
      <c r="N134" s="78"/>
      <c r="P134" s="79"/>
      <c r="Q134" s="59"/>
      <c r="R134" s="34"/>
    </row>
    <row r="135" spans="1:18" x14ac:dyDescent="0.2">
      <c r="A135" s="393"/>
      <c r="B135" s="62" t="s">
        <v>310</v>
      </c>
      <c r="C135" s="430"/>
      <c r="D135" s="434"/>
      <c r="E135" s="434"/>
      <c r="F135" s="87"/>
      <c r="G135" s="55">
        <f>SUMIF(JournalsB!D$14:D$920,TrialBalanceB!M135,JournalsB!J$14:J$920)+SUMIF(JournalsB!E$14:E$920,TrialBalanceB!M135,JournalsB!J$14:J$920)</f>
        <v>0</v>
      </c>
      <c r="H135" s="442"/>
      <c r="I135" s="446">
        <f t="shared" si="21"/>
        <v>0</v>
      </c>
      <c r="J135" s="83"/>
      <c r="K135" s="56">
        <f t="shared" si="13"/>
        <v>0</v>
      </c>
      <c r="M135" s="196" t="str">
        <f t="shared" si="14"/>
        <v>3000/220</v>
      </c>
      <c r="N135" s="78"/>
      <c r="P135" s="79"/>
      <c r="Q135" s="59"/>
      <c r="R135" s="34"/>
    </row>
    <row r="136" spans="1:18" x14ac:dyDescent="0.2">
      <c r="A136" s="393"/>
      <c r="B136" s="113" t="s">
        <v>573</v>
      </c>
      <c r="C136" s="430"/>
      <c r="D136" s="427"/>
      <c r="E136" s="434"/>
      <c r="F136" s="87"/>
      <c r="G136" s="55">
        <f>SUMIF(JournalsB!D$14:D$920,TrialBalanceB!M136,JournalsB!J$14:J$920)+SUMIF(JournalsB!E$14:E$920,TrialBalanceB!M136,JournalsB!J$14:J$920)</f>
        <v>0</v>
      </c>
      <c r="H136" s="442"/>
      <c r="I136" s="446">
        <f t="shared" si="21"/>
        <v>0</v>
      </c>
      <c r="J136" s="83"/>
      <c r="K136" s="56">
        <f t="shared" si="13"/>
        <v>0</v>
      </c>
      <c r="M136" s="196" t="str">
        <f t="shared" si="14"/>
        <v>3000/230</v>
      </c>
      <c r="N136" s="78"/>
      <c r="P136" s="79"/>
      <c r="Q136" s="59"/>
      <c r="R136" s="34"/>
    </row>
    <row r="137" spans="1:18" x14ac:dyDescent="0.2">
      <c r="A137" s="393"/>
      <c r="B137" s="113" t="s">
        <v>574</v>
      </c>
      <c r="C137" s="430"/>
      <c r="D137" s="427"/>
      <c r="E137" s="434"/>
      <c r="F137" s="87"/>
      <c r="G137" s="55">
        <f>SUMIF(JournalsB!D$14:D$920,TrialBalanceB!M137,JournalsB!J$14:J$920)+SUMIF(JournalsB!E$14:E$920,TrialBalanceB!M137,JournalsB!J$14:J$920)</f>
        <v>0</v>
      </c>
      <c r="H137" s="442"/>
      <c r="I137" s="446">
        <f t="shared" si="21"/>
        <v>0</v>
      </c>
      <c r="J137" s="83"/>
      <c r="K137" s="56">
        <f t="shared" si="13"/>
        <v>0</v>
      </c>
      <c r="M137" s="196" t="str">
        <f t="shared" si="14"/>
        <v>3000/240</v>
      </c>
      <c r="N137" s="78"/>
      <c r="P137" s="79"/>
      <c r="Q137" s="59"/>
      <c r="R137" s="34"/>
    </row>
    <row r="138" spans="1:18" x14ac:dyDescent="0.2">
      <c r="A138" s="393"/>
      <c r="B138" s="113" t="s">
        <v>575</v>
      </c>
      <c r="C138" s="430"/>
      <c r="D138" s="427"/>
      <c r="E138" s="434"/>
      <c r="F138" s="87"/>
      <c r="G138" s="55">
        <f>SUMIF(JournalsB!D$14:D$920,TrialBalanceB!M138,JournalsB!J$14:J$920)+SUMIF(JournalsB!E$14:E$920,TrialBalanceB!M138,JournalsB!J$14:J$920)</f>
        <v>0</v>
      </c>
      <c r="H138" s="442"/>
      <c r="I138" s="446">
        <f t="shared" si="21"/>
        <v>0</v>
      </c>
      <c r="J138" s="83"/>
      <c r="K138" s="56">
        <f t="shared" si="13"/>
        <v>0</v>
      </c>
      <c r="M138" s="196" t="str">
        <f t="shared" si="14"/>
        <v>3000/250</v>
      </c>
      <c r="N138" s="78"/>
      <c r="P138" s="79"/>
      <c r="Q138" s="59"/>
      <c r="R138" s="34"/>
    </row>
    <row r="139" spans="1:18" x14ac:dyDescent="0.2">
      <c r="A139" s="393"/>
      <c r="B139" s="113" t="s">
        <v>576</v>
      </c>
      <c r="C139" s="430"/>
      <c r="D139" s="427"/>
      <c r="E139" s="434"/>
      <c r="F139" s="87"/>
      <c r="G139" s="55">
        <f>SUMIF(JournalsB!D$14:D$920,TrialBalanceB!M139,JournalsB!J$14:J$920)+SUMIF(JournalsB!E$14:E$920,TrialBalanceB!M139,JournalsB!J$14:J$920)</f>
        <v>0</v>
      </c>
      <c r="H139" s="442"/>
      <c r="I139" s="446">
        <f t="shared" si="21"/>
        <v>0</v>
      </c>
      <c r="J139" s="83"/>
      <c r="K139" s="56">
        <f t="shared" ref="K139:K207" si="28">ROUND(SUM(A139),0)</f>
        <v>0</v>
      </c>
      <c r="M139" s="196" t="str">
        <f t="shared" ref="M139:M207" si="29">CONCATENATE(B139,C139)</f>
        <v>3000/260</v>
      </c>
      <c r="N139" s="78"/>
      <c r="P139" s="79"/>
      <c r="Q139" s="59"/>
      <c r="R139" s="34"/>
    </row>
    <row r="140" spans="1:18" x14ac:dyDescent="0.2">
      <c r="A140" s="393"/>
      <c r="B140" s="113" t="s">
        <v>577</v>
      </c>
      <c r="C140" s="395" t="s">
        <v>1255</v>
      </c>
      <c r="D140" s="434"/>
      <c r="E140" s="434"/>
      <c r="F140" s="87"/>
      <c r="G140" s="55">
        <f>SUMIF(JournalsB!D$14:D$920,TrialBalanceB!M140,JournalsB!J$14:J$920)+SUMIF(JournalsB!E$14:E$920,TrialBalanceB!M140,JournalsB!J$14:J$920)</f>
        <v>0</v>
      </c>
      <c r="H140" s="442"/>
      <c r="I140" s="446">
        <f t="shared" si="21"/>
        <v>0</v>
      </c>
      <c r="J140" s="83"/>
      <c r="K140" s="56">
        <f t="shared" si="28"/>
        <v>0</v>
      </c>
      <c r="M140" s="196" t="str">
        <f t="shared" si="29"/>
        <v>3000/270Amortisation of prepaid lease agreement</v>
      </c>
      <c r="N140" s="78"/>
      <c r="P140" s="79"/>
      <c r="Q140" s="59"/>
      <c r="R140" s="34"/>
    </row>
    <row r="141" spans="1:18" x14ac:dyDescent="0.2">
      <c r="A141" s="393"/>
      <c r="B141" s="113" t="s">
        <v>1257</v>
      </c>
      <c r="C141" s="397" t="s">
        <v>1258</v>
      </c>
      <c r="D141" s="434"/>
      <c r="E141" s="434"/>
      <c r="F141" s="87"/>
      <c r="G141" s="55">
        <f>SUMIF(JournalsB!D$14:D$920,TrialBalanceB!M141,JournalsB!J$14:J$920)+SUMIF(JournalsB!E$14:E$920,TrialBalanceB!M141,JournalsB!J$14:J$920)</f>
        <v>0</v>
      </c>
      <c r="H141" s="442"/>
      <c r="I141" s="446">
        <f t="shared" ref="I141" si="30">ROUND(D141-E141+G141+F141,0)</f>
        <v>0</v>
      </c>
      <c r="J141" s="83"/>
      <c r="K141" s="56">
        <f t="shared" ref="K141" si="31">ROUND(SUM(A141),0)</f>
        <v>0</v>
      </c>
      <c r="M141" s="196" t="str">
        <f t="shared" ref="M141" si="32">CONCATENATE(B141,C141)</f>
        <v>3000/280Amortisation of goodwill</v>
      </c>
      <c r="N141" s="78"/>
      <c r="P141" s="79"/>
      <c r="Q141" s="59"/>
      <c r="R141" s="34"/>
    </row>
    <row r="142" spans="1:18" x14ac:dyDescent="0.2">
      <c r="A142" s="393"/>
      <c r="B142" s="62" t="s">
        <v>336</v>
      </c>
      <c r="C142" s="396" t="s">
        <v>126</v>
      </c>
      <c r="D142" s="436"/>
      <c r="E142" s="434"/>
      <c r="F142" s="87"/>
      <c r="G142" s="55">
        <f>SUMIF(JournalsB!D$14:D$920,TrialBalanceB!M142,JournalsB!J$14:J$920)+SUMIF(JournalsB!E$14:E$920,TrialBalanceB!M142,JournalsB!J$14:J$920)</f>
        <v>0</v>
      </c>
      <c r="H142" s="442"/>
      <c r="I142" s="446">
        <f t="shared" si="21"/>
        <v>0</v>
      </c>
      <c r="J142" s="83"/>
      <c r="K142" s="56">
        <f t="shared" si="28"/>
        <v>0</v>
      </c>
      <c r="M142" s="196" t="str">
        <f t="shared" si="29"/>
        <v>4700/000FINANCE COSTS</v>
      </c>
      <c r="N142" s="78"/>
      <c r="P142" s="79"/>
      <c r="Q142" s="59"/>
      <c r="R142" s="34"/>
    </row>
    <row r="143" spans="1:18" x14ac:dyDescent="0.2">
      <c r="A143" s="393"/>
      <c r="B143" s="62" t="s">
        <v>337</v>
      </c>
      <c r="C143" s="396" t="s">
        <v>338</v>
      </c>
      <c r="D143" s="436"/>
      <c r="E143" s="434"/>
      <c r="F143" s="87"/>
      <c r="G143" s="55">
        <f>SUMIF(JournalsB!D$14:D$920,TrialBalanceB!M143,JournalsB!J$14:J$920)+SUMIF(JournalsB!E$14:E$920,TrialBalanceB!M143,JournalsB!J$14:J$920)</f>
        <v>0</v>
      </c>
      <c r="H143" s="442"/>
      <c r="I143" s="446">
        <f t="shared" si="21"/>
        <v>0</v>
      </c>
      <c r="J143" s="83"/>
      <c r="K143" s="56">
        <f t="shared" si="28"/>
        <v>0</v>
      </c>
      <c r="M143" s="196" t="str">
        <f t="shared" si="29"/>
        <v>4700/010Interest paid---------------------------</v>
      </c>
      <c r="N143" s="78"/>
      <c r="P143" s="79"/>
      <c r="Q143" s="59"/>
      <c r="R143" s="34"/>
    </row>
    <row r="144" spans="1:18" x14ac:dyDescent="0.2">
      <c r="A144" s="393"/>
      <c r="B144" s="62" t="s">
        <v>339</v>
      </c>
      <c r="C144" s="429"/>
      <c r="D144" s="434"/>
      <c r="E144" s="434"/>
      <c r="F144" s="87"/>
      <c r="G144" s="55">
        <f>SUMIF(JournalsB!D$14:D$920,TrialBalanceB!M144,JournalsB!J$14:J$920)+SUMIF(JournalsB!E$14:E$920,TrialBalanceB!M144,JournalsB!J$14:J$920)</f>
        <v>0</v>
      </c>
      <c r="H144" s="442"/>
      <c r="I144" s="446">
        <f t="shared" si="21"/>
        <v>0</v>
      </c>
      <c r="J144" s="83"/>
      <c r="K144" s="56">
        <f t="shared" si="28"/>
        <v>0</v>
      </c>
      <c r="M144" s="196" t="str">
        <f t="shared" si="29"/>
        <v>4700/011</v>
      </c>
      <c r="N144" s="78"/>
      <c r="P144" s="79"/>
      <c r="Q144" s="59"/>
      <c r="R144" s="34"/>
    </row>
    <row r="145" spans="1:18" x14ac:dyDescent="0.2">
      <c r="A145" s="393"/>
      <c r="B145" s="62" t="s">
        <v>340</v>
      </c>
      <c r="C145" s="430"/>
      <c r="D145" s="427"/>
      <c r="E145" s="434"/>
      <c r="F145" s="87"/>
      <c r="G145" s="55">
        <f>SUMIF(JournalsB!D$14:D$920,TrialBalanceB!M145,JournalsB!J$14:J$920)+SUMIF(JournalsB!E$14:E$920,TrialBalanceB!M145,JournalsB!J$14:J$920)</f>
        <v>0</v>
      </c>
      <c r="H145" s="442"/>
      <c r="I145" s="446">
        <f t="shared" si="21"/>
        <v>0</v>
      </c>
      <c r="J145" s="83"/>
      <c r="K145" s="56">
        <f t="shared" si="28"/>
        <v>0</v>
      </c>
      <c r="M145" s="196" t="str">
        <f t="shared" si="29"/>
        <v>4700/012</v>
      </c>
      <c r="N145" s="78"/>
      <c r="P145" s="79"/>
      <c r="Q145" s="59"/>
      <c r="R145" s="34"/>
    </row>
    <row r="146" spans="1:18" x14ac:dyDescent="0.2">
      <c r="A146" s="393"/>
      <c r="B146" s="62" t="s">
        <v>341</v>
      </c>
      <c r="C146" s="430"/>
      <c r="D146" s="427"/>
      <c r="E146" s="434"/>
      <c r="F146" s="87"/>
      <c r="G146" s="55">
        <f>SUMIF(JournalsB!D$14:D$920,TrialBalanceB!M146,JournalsB!J$14:J$920)+SUMIF(JournalsB!E$14:E$920,TrialBalanceB!M146,JournalsB!J$14:J$920)</f>
        <v>0</v>
      </c>
      <c r="H146" s="442"/>
      <c r="I146" s="446">
        <f t="shared" si="21"/>
        <v>0</v>
      </c>
      <c r="J146" s="83"/>
      <c r="K146" s="56">
        <f t="shared" si="28"/>
        <v>0</v>
      </c>
      <c r="M146" s="196" t="str">
        <f t="shared" si="29"/>
        <v>4700/013</v>
      </c>
      <c r="N146" s="78"/>
      <c r="P146" s="79"/>
      <c r="Q146" s="59"/>
      <c r="R146" s="34"/>
    </row>
    <row r="147" spans="1:18" x14ac:dyDescent="0.2">
      <c r="A147" s="393"/>
      <c r="B147" s="62" t="s">
        <v>342</v>
      </c>
      <c r="C147" s="430"/>
      <c r="D147" s="427"/>
      <c r="E147" s="434"/>
      <c r="F147" s="87"/>
      <c r="G147" s="55">
        <f>SUMIF(JournalsB!D$14:D$920,TrialBalanceB!M147,JournalsB!J$14:J$920)+SUMIF(JournalsB!E$14:E$920,TrialBalanceB!M147,JournalsB!J$14:J$920)</f>
        <v>0</v>
      </c>
      <c r="H147" s="442"/>
      <c r="I147" s="446">
        <f t="shared" si="21"/>
        <v>0</v>
      </c>
      <c r="J147" s="83"/>
      <c r="K147" s="56">
        <f t="shared" si="28"/>
        <v>0</v>
      </c>
      <c r="M147" s="196" t="str">
        <f t="shared" si="29"/>
        <v>4700/014</v>
      </c>
      <c r="N147" s="78"/>
      <c r="P147" s="79"/>
      <c r="Q147" s="59"/>
      <c r="R147" s="34"/>
    </row>
    <row r="148" spans="1:18" x14ac:dyDescent="0.2">
      <c r="A148" s="393"/>
      <c r="B148" s="62" t="s">
        <v>549</v>
      </c>
      <c r="C148" s="430"/>
      <c r="D148" s="427"/>
      <c r="E148" s="434"/>
      <c r="F148" s="87"/>
      <c r="G148" s="55">
        <f>SUMIF(JournalsB!D$14:D$920,TrialBalanceB!M148,JournalsB!J$14:J$920)+SUMIF(JournalsB!E$14:E$920,TrialBalanceB!M148,JournalsB!J$14:J$920)</f>
        <v>0</v>
      </c>
      <c r="H148" s="442"/>
      <c r="I148" s="446">
        <f t="shared" si="21"/>
        <v>0</v>
      </c>
      <c r="J148" s="83"/>
      <c r="K148" s="56">
        <f t="shared" si="28"/>
        <v>0</v>
      </c>
      <c r="M148" s="196" t="str">
        <f t="shared" si="29"/>
        <v>4700/015</v>
      </c>
      <c r="N148" s="78"/>
      <c r="P148" s="79"/>
      <c r="Q148" s="59"/>
      <c r="R148" s="34"/>
    </row>
    <row r="149" spans="1:18" x14ac:dyDescent="0.2">
      <c r="A149" s="393"/>
      <c r="B149" s="62" t="s">
        <v>559</v>
      </c>
      <c r="C149" s="430"/>
      <c r="D149" s="427"/>
      <c r="E149" s="434"/>
      <c r="F149" s="87"/>
      <c r="G149" s="55">
        <f>SUMIF(JournalsB!D$14:D$920,TrialBalanceB!M149,JournalsB!J$14:J$920)+SUMIF(JournalsB!E$14:E$920,TrialBalanceB!M149,JournalsB!J$14:J$920)</f>
        <v>0</v>
      </c>
      <c r="H149" s="442"/>
      <c r="I149" s="446">
        <f t="shared" si="21"/>
        <v>0</v>
      </c>
      <c r="J149" s="83"/>
      <c r="K149" s="56">
        <f t="shared" si="28"/>
        <v>0</v>
      </c>
      <c r="M149" s="196" t="str">
        <f t="shared" si="29"/>
        <v>4700/016</v>
      </c>
      <c r="N149" s="78"/>
      <c r="P149" s="79"/>
      <c r="Q149" s="59"/>
      <c r="R149" s="34"/>
    </row>
    <row r="150" spans="1:18" x14ac:dyDescent="0.2">
      <c r="A150" s="393"/>
      <c r="B150" s="113" t="s">
        <v>621</v>
      </c>
      <c r="C150" s="430"/>
      <c r="D150" s="427"/>
      <c r="E150" s="434"/>
      <c r="F150" s="87"/>
      <c r="G150" s="55">
        <f>SUMIF(JournalsB!D$14:D$920,TrialBalanceB!M150,JournalsB!J$14:J$920)+SUMIF(JournalsB!E$14:E$920,TrialBalanceB!M150,JournalsB!J$14:J$920)</f>
        <v>0</v>
      </c>
      <c r="H150" s="442"/>
      <c r="I150" s="446">
        <f t="shared" ref="I150:I152" si="33">ROUND(D150-E150+G150+F150,0)</f>
        <v>0</v>
      </c>
      <c r="J150" s="83"/>
      <c r="K150" s="56">
        <f t="shared" ref="K150:K152" si="34">ROUND(SUM(A150),0)</f>
        <v>0</v>
      </c>
      <c r="M150" s="196" t="str">
        <f t="shared" ref="M150:M152" si="35">CONCATENATE(B150,C150)</f>
        <v>4700/017</v>
      </c>
      <c r="N150" s="78"/>
      <c r="P150" s="79"/>
      <c r="Q150" s="59"/>
      <c r="R150" s="34"/>
    </row>
    <row r="151" spans="1:18" x14ac:dyDescent="0.2">
      <c r="A151" s="393"/>
      <c r="B151" s="113" t="s">
        <v>712</v>
      </c>
      <c r="C151" s="430"/>
      <c r="D151" s="427"/>
      <c r="E151" s="434"/>
      <c r="F151" s="87"/>
      <c r="G151" s="55">
        <f>SUMIF(JournalsB!D$14:D$920,TrialBalanceB!M151,JournalsB!J$14:J$920)+SUMIF(JournalsB!E$14:E$920,TrialBalanceB!M151,JournalsB!J$14:J$920)</f>
        <v>0</v>
      </c>
      <c r="H151" s="442"/>
      <c r="I151" s="446">
        <f t="shared" si="33"/>
        <v>0</v>
      </c>
      <c r="J151" s="83"/>
      <c r="K151" s="56">
        <f t="shared" si="34"/>
        <v>0</v>
      </c>
      <c r="M151" s="196" t="str">
        <f t="shared" si="35"/>
        <v>4700/018</v>
      </c>
      <c r="N151" s="78"/>
      <c r="P151" s="79"/>
      <c r="Q151" s="59"/>
      <c r="R151" s="34"/>
    </row>
    <row r="152" spans="1:18" x14ac:dyDescent="0.2">
      <c r="A152" s="393"/>
      <c r="B152" s="113" t="s">
        <v>713</v>
      </c>
      <c r="C152" s="430"/>
      <c r="D152" s="427"/>
      <c r="E152" s="434"/>
      <c r="F152" s="87"/>
      <c r="G152" s="55">
        <f>SUMIF(JournalsB!D$14:D$920,TrialBalanceB!M152,JournalsB!J$14:J$920)+SUMIF(JournalsB!E$14:E$920,TrialBalanceB!M152,JournalsB!J$14:J$920)</f>
        <v>0</v>
      </c>
      <c r="H152" s="442"/>
      <c r="I152" s="446">
        <f t="shared" si="33"/>
        <v>0</v>
      </c>
      <c r="J152" s="83"/>
      <c r="K152" s="56">
        <f t="shared" si="34"/>
        <v>0</v>
      </c>
      <c r="M152" s="196" t="str">
        <f t="shared" si="35"/>
        <v>4700/019</v>
      </c>
      <c r="N152" s="78"/>
      <c r="P152" s="79"/>
      <c r="Q152" s="59"/>
      <c r="R152" s="34"/>
    </row>
    <row r="153" spans="1:18" x14ac:dyDescent="0.2">
      <c r="A153" s="393"/>
      <c r="B153" s="113" t="s">
        <v>343</v>
      </c>
      <c r="C153" s="430"/>
      <c r="D153" s="427"/>
      <c r="E153" s="434"/>
      <c r="F153" s="87"/>
      <c r="G153" s="55">
        <f>SUMIF(JournalsB!D$14:D$920,TrialBalanceB!M153,JournalsB!J$14:J$920)+SUMIF(JournalsB!E$14:E$920,TrialBalanceB!M153,JournalsB!J$14:J$920)</f>
        <v>0</v>
      </c>
      <c r="H153" s="442"/>
      <c r="I153" s="446">
        <f t="shared" si="21"/>
        <v>0</v>
      </c>
      <c r="J153" s="83"/>
      <c r="K153" s="56">
        <f t="shared" si="28"/>
        <v>0</v>
      </c>
      <c r="M153" s="196" t="str">
        <f t="shared" si="29"/>
        <v>4700/020</v>
      </c>
      <c r="N153" s="78"/>
      <c r="P153" s="79"/>
      <c r="Q153" s="59"/>
      <c r="R153" s="34"/>
    </row>
    <row r="154" spans="1:18" x14ac:dyDescent="0.2">
      <c r="A154" s="393"/>
      <c r="B154" s="113" t="s">
        <v>714</v>
      </c>
      <c r="C154" s="394" t="str">
        <f>CONCATENATE("Finance leases - ",Criteria!H15)</f>
        <v>Finance leases - Rental Properties</v>
      </c>
      <c r="D154" s="435"/>
      <c r="E154" s="434"/>
      <c r="F154" s="87"/>
      <c r="G154" s="55">
        <f>SUMIF(JournalsB!D$14:D$920,TrialBalanceB!M154,JournalsB!J$14:J$920)+SUMIF(JournalsB!E$14:E$920,TrialBalanceB!M154,JournalsB!J$14:J$920)</f>
        <v>0</v>
      </c>
      <c r="H154" s="442"/>
      <c r="I154" s="446">
        <f t="shared" si="21"/>
        <v>0</v>
      </c>
      <c r="J154" s="83"/>
      <c r="K154" s="56">
        <f t="shared" si="28"/>
        <v>0</v>
      </c>
      <c r="M154" s="196" t="str">
        <f t="shared" si="29"/>
        <v>4700/021Finance leases - Rental Properties</v>
      </c>
      <c r="N154" s="78"/>
      <c r="P154" s="79"/>
      <c r="Q154" s="59"/>
      <c r="R154" s="34"/>
    </row>
    <row r="155" spans="1:18" x14ac:dyDescent="0.2">
      <c r="A155" s="393"/>
      <c r="B155" s="62" t="s">
        <v>486</v>
      </c>
      <c r="C155" s="396" t="s">
        <v>381</v>
      </c>
      <c r="D155" s="436"/>
      <c r="E155" s="434"/>
      <c r="F155" s="87"/>
      <c r="G155" s="55">
        <f>SUMIF(JournalsB!D$14:D$920,TrialBalanceB!M155,JournalsB!J$14:J$920)+SUMIF(JournalsB!E$14:E$920,TrialBalanceB!M155,JournalsB!J$14:J$920)</f>
        <v>0</v>
      </c>
      <c r="H155" s="442"/>
      <c r="I155" s="446">
        <f t="shared" si="21"/>
        <v>0</v>
      </c>
      <c r="J155" s="83"/>
      <c r="K155" s="56">
        <f t="shared" si="28"/>
        <v>0</v>
      </c>
      <c r="M155" s="196" t="str">
        <f t="shared" si="29"/>
        <v>4750/000OTHER</v>
      </c>
      <c r="N155" s="78"/>
      <c r="P155" s="79"/>
      <c r="Q155" s="59"/>
      <c r="R155" s="34"/>
    </row>
    <row r="156" spans="1:18" x14ac:dyDescent="0.2">
      <c r="A156" s="393"/>
      <c r="B156" s="62" t="s">
        <v>487</v>
      </c>
      <c r="C156" s="395" t="s">
        <v>1256</v>
      </c>
      <c r="D156" s="427"/>
      <c r="E156" s="434"/>
      <c r="F156" s="87"/>
      <c r="G156" s="55">
        <f>SUMIF(JournalsB!D$14:D$920,TrialBalanceB!M156,JournalsB!J$14:J$920)+SUMIF(JournalsB!E$14:E$920,TrialBalanceB!M156,JournalsB!J$14:J$920)</f>
        <v>0</v>
      </c>
      <c r="H156" s="442"/>
      <c r="I156" s="446">
        <f t="shared" si="21"/>
        <v>0</v>
      </c>
      <c r="J156" s="83"/>
      <c r="K156" s="56">
        <f t="shared" si="28"/>
        <v>0</v>
      </c>
      <c r="M156" s="196" t="str">
        <f t="shared" si="29"/>
        <v>4750/010Impairment losses</v>
      </c>
      <c r="N156" s="78"/>
      <c r="P156" s="79"/>
      <c r="Q156" s="59"/>
      <c r="R156" s="34"/>
    </row>
    <row r="157" spans="1:18" x14ac:dyDescent="0.2">
      <c r="A157" s="393"/>
      <c r="B157" s="62" t="s">
        <v>344</v>
      </c>
      <c r="C157" s="396" t="s">
        <v>345</v>
      </c>
      <c r="D157" s="436"/>
      <c r="E157" s="434"/>
      <c r="F157" s="87"/>
      <c r="G157" s="55">
        <f>SUMIF(JournalsB!D$14:D$920,TrialBalanceB!M157,JournalsB!J$14:J$920)+SUMIF(JournalsB!E$14:E$920,TrialBalanceB!M157,JournalsB!J$14:J$920)</f>
        <v>0</v>
      </c>
      <c r="H157" s="442"/>
      <c r="I157" s="446">
        <f t="shared" si="21"/>
        <v>0</v>
      </c>
      <c r="J157" s="83"/>
      <c r="K157" s="56">
        <f t="shared" si="28"/>
        <v>0</v>
      </c>
      <c r="M157" s="196" t="str">
        <f t="shared" si="29"/>
        <v>4800/000NORMAL TAXATION</v>
      </c>
      <c r="N157" s="78"/>
      <c r="P157" s="79"/>
      <c r="Q157" s="59"/>
      <c r="R157" s="34"/>
    </row>
    <row r="158" spans="1:18" x14ac:dyDescent="0.2">
      <c r="A158" s="393"/>
      <c r="B158" s="62" t="s">
        <v>346</v>
      </c>
      <c r="C158" s="394" t="s">
        <v>347</v>
      </c>
      <c r="D158" s="435"/>
      <c r="E158" s="434"/>
      <c r="F158" s="87"/>
      <c r="G158" s="55">
        <f>SUMIF(JournalsB!D$14:D$920,TrialBalanceB!M158,JournalsB!J$14:J$920)+SUMIF(JournalsB!E$14:E$920,TrialBalanceB!M158,JournalsB!J$14:J$920)</f>
        <v>0</v>
      </c>
      <c r="H158" s="442"/>
      <c r="I158" s="446">
        <f t="shared" si="21"/>
        <v>0</v>
      </c>
      <c r="J158" s="83"/>
      <c r="K158" s="56">
        <f t="shared" si="28"/>
        <v>0</v>
      </c>
      <c r="M158" s="196" t="str">
        <f t="shared" si="29"/>
        <v>4800/001Tax provided this year</v>
      </c>
      <c r="N158" s="78"/>
      <c r="P158" s="79"/>
      <c r="Q158" s="59"/>
      <c r="R158" s="34"/>
    </row>
    <row r="159" spans="1:18" x14ac:dyDescent="0.2">
      <c r="A159" s="393"/>
      <c r="B159" s="62" t="s">
        <v>348</v>
      </c>
      <c r="C159" s="394" t="s">
        <v>349</v>
      </c>
      <c r="D159" s="435"/>
      <c r="E159" s="434"/>
      <c r="F159" s="87"/>
      <c r="G159" s="55">
        <f>SUMIF(JournalsB!D$14:D$920,TrialBalanceB!M159,JournalsB!J$14:J$920)+SUMIF(JournalsB!E$14:E$920,TrialBalanceB!M159,JournalsB!J$14:J$920)</f>
        <v>0</v>
      </c>
      <c r="H159" s="442"/>
      <c r="I159" s="446">
        <f t="shared" si="21"/>
        <v>0</v>
      </c>
      <c r="J159" s="83"/>
      <c r="K159" s="56">
        <f t="shared" si="28"/>
        <v>0</v>
      </c>
      <c r="M159" s="196" t="str">
        <f t="shared" si="29"/>
        <v>4800/002Tax adjustment previous year</v>
      </c>
      <c r="N159" s="78"/>
      <c r="P159" s="79"/>
      <c r="Q159" s="59"/>
      <c r="R159" s="34"/>
    </row>
    <row r="160" spans="1:18" x14ac:dyDescent="0.2">
      <c r="A160" s="393"/>
      <c r="B160" s="62" t="s">
        <v>211</v>
      </c>
      <c r="C160" s="396" t="s">
        <v>212</v>
      </c>
      <c r="D160" s="436"/>
      <c r="E160" s="434"/>
      <c r="F160" s="87"/>
      <c r="G160" s="55">
        <f>SUMIF(JournalsB!D$14:D$920,TrialBalanceB!M160,JournalsB!J$14:J$920)+SUMIF(JournalsB!E$14:E$920,TrialBalanceB!M160,JournalsB!J$14:J$920)</f>
        <v>0</v>
      </c>
      <c r="H160" s="442"/>
      <c r="I160" s="446">
        <f t="shared" si="21"/>
        <v>0</v>
      </c>
      <c r="J160" s="83"/>
      <c r="K160" s="56">
        <f t="shared" si="28"/>
        <v>0</v>
      </c>
      <c r="M160" s="196" t="str">
        <f t="shared" si="29"/>
        <v>4820/000DEFERRED TAX</v>
      </c>
      <c r="N160" s="78"/>
      <c r="P160" s="79"/>
      <c r="Q160" s="59"/>
      <c r="R160" s="34"/>
    </row>
    <row r="161" spans="1:18" x14ac:dyDescent="0.2">
      <c r="A161" s="393"/>
      <c r="B161" s="62" t="s">
        <v>213</v>
      </c>
      <c r="C161" s="394" t="s">
        <v>214</v>
      </c>
      <c r="D161" s="435"/>
      <c r="E161" s="434"/>
      <c r="F161" s="87"/>
      <c r="G161" s="55">
        <f>SUMIF(JournalsB!D$14:D$920,TrialBalanceB!M161,JournalsB!J$14:J$920)+SUMIF(JournalsB!E$14:E$920,TrialBalanceB!M161,JournalsB!J$14:J$920)</f>
        <v>0</v>
      </c>
      <c r="H161" s="442"/>
      <c r="I161" s="446">
        <f t="shared" si="21"/>
        <v>0</v>
      </c>
      <c r="J161" s="83"/>
      <c r="K161" s="56">
        <f t="shared" si="28"/>
        <v>0</v>
      </c>
      <c r="M161" s="196" t="str">
        <f t="shared" si="29"/>
        <v>4820/001Deferred tax this year</v>
      </c>
      <c r="N161" s="78"/>
      <c r="P161" s="79"/>
      <c r="Q161" s="59"/>
      <c r="R161" s="34"/>
    </row>
    <row r="162" spans="1:18" x14ac:dyDescent="0.2">
      <c r="A162" s="393"/>
      <c r="B162" s="113" t="s">
        <v>215</v>
      </c>
      <c r="C162" s="397" t="s">
        <v>1344</v>
      </c>
      <c r="D162" s="435"/>
      <c r="E162" s="434"/>
      <c r="F162" s="87"/>
      <c r="G162" s="55">
        <f>SUMIF(JournalsB!D$14:D$920,TrialBalanceB!M162,JournalsB!J$14:J$920)+SUMIF(JournalsB!E$14:E$920,TrialBalanceB!M162,JournalsB!J$14:J$920)</f>
        <v>0</v>
      </c>
      <c r="H162" s="442"/>
      <c r="I162" s="446">
        <f t="shared" ref="I162" si="36">ROUND(D162-E162+G162+F162,0)</f>
        <v>0</v>
      </c>
      <c r="J162" s="83"/>
      <c r="K162" s="56">
        <f t="shared" ref="K162" si="37">ROUND(SUM(A162),0)</f>
        <v>0</v>
      </c>
      <c r="M162" s="196" t="str">
        <f t="shared" ref="M162" si="38">CONCATENATE(B162,C162)</f>
        <v>4820/002Deferred tax adjustment on income tax rate change</v>
      </c>
      <c r="N162" s="78"/>
      <c r="P162" s="79"/>
      <c r="Q162" s="59"/>
      <c r="R162" s="34"/>
    </row>
    <row r="163" spans="1:18" x14ac:dyDescent="0.2">
      <c r="A163" s="393"/>
      <c r="B163" s="113" t="s">
        <v>1345</v>
      </c>
      <c r="C163" s="394" t="s">
        <v>216</v>
      </c>
      <c r="D163" s="435"/>
      <c r="E163" s="434"/>
      <c r="F163" s="87"/>
      <c r="G163" s="55">
        <f>SUMIF(JournalsB!D$14:D$920,TrialBalanceB!M163,JournalsB!J$14:J$920)+SUMIF(JournalsB!E$14:E$920,TrialBalanceB!M163,JournalsB!J$14:J$920)</f>
        <v>0</v>
      </c>
      <c r="H163" s="442"/>
      <c r="I163" s="446">
        <f t="shared" si="21"/>
        <v>0</v>
      </c>
      <c r="J163" s="83"/>
      <c r="K163" s="56">
        <f t="shared" si="28"/>
        <v>0</v>
      </c>
      <c r="M163" s="196" t="str">
        <f t="shared" si="29"/>
        <v>4820/003Deferred tax adjustment previous year</v>
      </c>
      <c r="N163" s="78"/>
      <c r="P163" s="79"/>
      <c r="Q163" s="59"/>
      <c r="R163" s="34"/>
    </row>
    <row r="164" spans="1:18" x14ac:dyDescent="0.2">
      <c r="A164" s="393"/>
      <c r="B164" s="62" t="s">
        <v>217</v>
      </c>
      <c r="C164" s="397" t="s">
        <v>525</v>
      </c>
      <c r="D164" s="435"/>
      <c r="E164" s="434"/>
      <c r="F164" s="87"/>
      <c r="G164" s="55">
        <f>SUMIF(JournalsB!D$14:D$920,TrialBalanceB!M164,JournalsB!J$14:J$920)+SUMIF(JournalsB!E$14:E$920,TrialBalanceB!M164,JournalsB!J$14:J$920)</f>
        <v>0</v>
      </c>
      <c r="H164" s="442"/>
      <c r="I164" s="446">
        <f t="shared" si="21"/>
        <v>0</v>
      </c>
      <c r="J164" s="83"/>
      <c r="K164" s="56">
        <f t="shared" si="28"/>
        <v>0</v>
      </c>
      <c r="M164" s="196" t="str">
        <f t="shared" si="29"/>
        <v>4850/000Dividends declared</v>
      </c>
      <c r="N164" s="78"/>
      <c r="P164" s="79"/>
      <c r="Q164" s="59"/>
      <c r="R164" s="34"/>
    </row>
    <row r="165" spans="1:18" x14ac:dyDescent="0.2">
      <c r="A165" s="393"/>
      <c r="B165" s="62" t="s">
        <v>218</v>
      </c>
      <c r="C165" s="394" t="s">
        <v>244</v>
      </c>
      <c r="D165" s="435"/>
      <c r="E165" s="434"/>
      <c r="F165" s="87"/>
      <c r="G165" s="55">
        <f>SUMIF(JournalsB!D$14:D$920,TrialBalanceB!M165,JournalsB!J$14:J$920)+SUMIF(JournalsB!E$14:E$920,TrialBalanceB!M165,JournalsB!J$14:J$920)</f>
        <v>0</v>
      </c>
      <c r="H165" s="442"/>
      <c r="I165" s="446">
        <f t="shared" si="21"/>
        <v>0</v>
      </c>
      <c r="J165" s="83"/>
      <c r="K165" s="56">
        <f t="shared" si="28"/>
        <v>0</v>
      </c>
      <c r="M165" s="196" t="str">
        <f t="shared" si="29"/>
        <v>4860/000Dividends paid</v>
      </c>
      <c r="N165" s="78"/>
      <c r="P165" s="79"/>
      <c r="Q165" s="59"/>
      <c r="R165" s="34"/>
    </row>
    <row r="166" spans="1:18" x14ac:dyDescent="0.2">
      <c r="A166" s="393"/>
      <c r="B166" s="62" t="s">
        <v>263</v>
      </c>
      <c r="C166" s="394"/>
      <c r="D166" s="435"/>
      <c r="E166" s="427"/>
      <c r="F166" s="87"/>
      <c r="G166" s="55"/>
      <c r="H166" s="442"/>
      <c r="I166" s="446">
        <f t="shared" si="21"/>
        <v>0</v>
      </c>
      <c r="J166" s="83"/>
      <c r="K166" s="56">
        <f t="shared" si="28"/>
        <v>0</v>
      </c>
      <c r="M166" s="196" t="str">
        <f t="shared" si="29"/>
        <v/>
      </c>
      <c r="N166" s="78"/>
      <c r="P166" s="79"/>
      <c r="Q166" s="59"/>
      <c r="R166" s="34"/>
    </row>
    <row r="167" spans="1:18" x14ac:dyDescent="0.2">
      <c r="A167" s="393"/>
      <c r="B167" s="62" t="s">
        <v>263</v>
      </c>
      <c r="C167" s="394" t="s">
        <v>263</v>
      </c>
      <c r="D167" s="435"/>
      <c r="E167" s="427"/>
      <c r="F167" s="87"/>
      <c r="G167" s="55"/>
      <c r="H167" s="442"/>
      <c r="I167" s="446">
        <f t="shared" si="21"/>
        <v>0</v>
      </c>
      <c r="J167" s="83"/>
      <c r="K167" s="56">
        <f t="shared" si="28"/>
        <v>0</v>
      </c>
      <c r="M167" s="196" t="str">
        <f t="shared" si="29"/>
        <v/>
      </c>
      <c r="N167" s="78"/>
      <c r="P167" s="79"/>
      <c r="Q167" s="59"/>
      <c r="R167" s="34"/>
    </row>
    <row r="168" spans="1:18" x14ac:dyDescent="0.2">
      <c r="A168" s="393"/>
      <c r="B168" s="62" t="s">
        <v>263</v>
      </c>
      <c r="C168" s="394"/>
      <c r="D168" s="435"/>
      <c r="E168" s="427"/>
      <c r="F168" s="87"/>
      <c r="G168" s="55"/>
      <c r="H168" s="442"/>
      <c r="I168" s="446">
        <f t="shared" si="21"/>
        <v>0</v>
      </c>
      <c r="J168" s="83"/>
      <c r="K168" s="56">
        <f t="shared" si="28"/>
        <v>0</v>
      </c>
      <c r="M168" s="196" t="str">
        <f t="shared" si="29"/>
        <v/>
      </c>
      <c r="N168" s="78"/>
      <c r="P168" s="79"/>
      <c r="Q168" s="59"/>
      <c r="R168" s="34"/>
    </row>
    <row r="169" spans="1:18" x14ac:dyDescent="0.2">
      <c r="A169" s="393"/>
      <c r="B169" s="62" t="s">
        <v>539</v>
      </c>
      <c r="C169" s="396" t="s">
        <v>529</v>
      </c>
      <c r="D169" s="436"/>
      <c r="E169" s="427"/>
      <c r="F169" s="87"/>
      <c r="G169" s="55">
        <f>SUMIF(JournalsB!D$14:D$920,TrialBalanceB!M169,JournalsB!J$14:J$920)+SUMIF(JournalsB!E$14:E$920,TrialBalanceB!M169,JournalsB!J$14:J$920)</f>
        <v>0</v>
      </c>
      <c r="H169" s="442"/>
      <c r="I169" s="446">
        <f t="shared" si="21"/>
        <v>0</v>
      </c>
      <c r="J169" s="83"/>
      <c r="K169" s="56">
        <f t="shared" si="28"/>
        <v>0</v>
      </c>
      <c r="M169" s="196" t="str">
        <f t="shared" si="29"/>
        <v>5100/000SHARE CAPITAL</v>
      </c>
      <c r="N169" s="78"/>
      <c r="P169" s="79"/>
      <c r="Q169" s="59"/>
      <c r="R169" s="34"/>
    </row>
    <row r="170" spans="1:18" x14ac:dyDescent="0.2">
      <c r="A170" s="393"/>
      <c r="B170" s="62" t="s">
        <v>540</v>
      </c>
      <c r="C170" s="397" t="s">
        <v>936</v>
      </c>
      <c r="D170" s="435"/>
      <c r="E170" s="427"/>
      <c r="F170" s="87">
        <f>SUM(K170:K171)</f>
        <v>0</v>
      </c>
      <c r="G170" s="55">
        <f>SUMIF(JournalsB!D$14:D$920,TrialBalanceB!M170,JournalsB!J$14:J$920)+SUMIF(JournalsB!E$14:E$920,TrialBalanceB!M170,JournalsB!J$14:J$920)</f>
        <v>0</v>
      </c>
      <c r="H170" s="442"/>
      <c r="I170" s="446">
        <f t="shared" si="21"/>
        <v>0</v>
      </c>
      <c r="J170" s="83"/>
      <c r="K170" s="56">
        <f t="shared" si="28"/>
        <v>0</v>
      </c>
      <c r="M170" s="196" t="str">
        <f t="shared" si="29"/>
        <v>5100/001Share capital - balance b/fwd</v>
      </c>
      <c r="N170" s="78"/>
      <c r="P170" s="79"/>
      <c r="Q170" s="59"/>
      <c r="R170" s="34"/>
    </row>
    <row r="171" spans="1:18" x14ac:dyDescent="0.2">
      <c r="A171" s="393"/>
      <c r="B171" s="62" t="s">
        <v>541</v>
      </c>
      <c r="C171" s="397" t="s">
        <v>937</v>
      </c>
      <c r="D171" s="435"/>
      <c r="E171" s="427"/>
      <c r="F171" s="87"/>
      <c r="G171" s="55">
        <f>SUMIF(JournalsB!D$14:D$920,TrialBalanceB!M171,JournalsB!J$14:J$920)+SUMIF(JournalsB!E$14:E$920,TrialBalanceB!M171,JournalsB!J$14:J$920)</f>
        <v>0</v>
      </c>
      <c r="H171" s="442"/>
      <c r="I171" s="446">
        <f t="shared" si="21"/>
        <v>0</v>
      </c>
      <c r="J171" s="83"/>
      <c r="K171" s="56">
        <f t="shared" si="28"/>
        <v>0</v>
      </c>
      <c r="M171" s="196" t="str">
        <f t="shared" si="29"/>
        <v>5100/002Share capital - additions</v>
      </c>
      <c r="N171" s="78"/>
      <c r="P171" s="79"/>
      <c r="Q171" s="59"/>
      <c r="R171" s="34"/>
    </row>
    <row r="172" spans="1:18" x14ac:dyDescent="0.2">
      <c r="A172" s="393"/>
      <c r="B172" s="104" t="s">
        <v>542</v>
      </c>
      <c r="C172" s="433" t="s">
        <v>534</v>
      </c>
      <c r="D172" s="445"/>
      <c r="E172" s="427"/>
      <c r="F172" s="87"/>
      <c r="G172" s="55">
        <f>SUMIF(JournalsB!D$14:D$920,TrialBalanceB!M172,JournalsB!J$14:J$920)+SUMIF(JournalsB!E$14:E$920,TrialBalanceB!M172,JournalsB!J$14:J$920)</f>
        <v>0</v>
      </c>
      <c r="H172" s="442"/>
      <c r="I172" s="446">
        <f t="shared" ref="I172:I253" si="39">ROUND(D172-E172+G172+F172,0)</f>
        <v>0</v>
      </c>
      <c r="J172" s="83"/>
      <c r="K172" s="56">
        <f t="shared" si="28"/>
        <v>0</v>
      </c>
      <c r="M172" s="196" t="str">
        <f t="shared" si="29"/>
        <v>5110/000SHARE PREMIUM</v>
      </c>
      <c r="N172" s="78"/>
      <c r="P172" s="79"/>
      <c r="Q172" s="59"/>
      <c r="R172" s="34"/>
    </row>
    <row r="173" spans="1:18" x14ac:dyDescent="0.2">
      <c r="A173" s="393"/>
      <c r="B173" s="104" t="s">
        <v>543</v>
      </c>
      <c r="C173" s="397" t="s">
        <v>938</v>
      </c>
      <c r="D173" s="440"/>
      <c r="E173" s="427"/>
      <c r="F173" s="87">
        <f>SUM(K173:K175)</f>
        <v>0</v>
      </c>
      <c r="G173" s="55">
        <f>SUMIF(JournalsB!D$14:D$920,TrialBalanceB!M173,JournalsB!J$14:J$920)+SUMIF(JournalsB!E$14:E$920,TrialBalanceB!M173,JournalsB!J$14:J$920)</f>
        <v>0</v>
      </c>
      <c r="H173" s="442"/>
      <c r="I173" s="446">
        <f t="shared" si="39"/>
        <v>0</v>
      </c>
      <c r="J173" s="83"/>
      <c r="K173" s="56">
        <f t="shared" si="28"/>
        <v>0</v>
      </c>
      <c r="M173" s="196" t="str">
        <f t="shared" si="29"/>
        <v>5110/001Share premium - balance b/fwd</v>
      </c>
      <c r="N173" s="78"/>
      <c r="P173" s="79"/>
      <c r="Q173" s="59"/>
      <c r="R173" s="34"/>
    </row>
    <row r="174" spans="1:18" x14ac:dyDescent="0.2">
      <c r="A174" s="393"/>
      <c r="B174" s="104" t="s">
        <v>544</v>
      </c>
      <c r="C174" s="397" t="s">
        <v>939</v>
      </c>
      <c r="D174" s="440"/>
      <c r="E174" s="427"/>
      <c r="F174" s="87"/>
      <c r="G174" s="55">
        <f>SUMIF(JournalsB!D$14:D$920,TrialBalanceB!M174,JournalsB!J$14:J$920)+SUMIF(JournalsB!E$14:E$920,TrialBalanceB!M174,JournalsB!J$14:J$920)</f>
        <v>0</v>
      </c>
      <c r="H174" s="442"/>
      <c r="I174" s="446">
        <f t="shared" si="39"/>
        <v>0</v>
      </c>
      <c r="J174" s="83"/>
      <c r="K174" s="56">
        <f t="shared" si="28"/>
        <v>0</v>
      </c>
      <c r="M174" s="196" t="str">
        <f t="shared" si="29"/>
        <v>5110/002Share premium - additions</v>
      </c>
      <c r="N174" s="78"/>
      <c r="P174" s="79"/>
      <c r="Q174" s="59"/>
      <c r="R174" s="34"/>
    </row>
    <row r="175" spans="1:18" x14ac:dyDescent="0.2">
      <c r="A175" s="393"/>
      <c r="B175" s="104" t="s">
        <v>545</v>
      </c>
      <c r="C175" s="403" t="s">
        <v>546</v>
      </c>
      <c r="D175" s="440"/>
      <c r="E175" s="427"/>
      <c r="F175" s="87"/>
      <c r="G175" s="55">
        <f>SUMIF(JournalsB!D$14:D$920,TrialBalanceB!M175,JournalsB!J$14:J$920)+SUMIF(JournalsB!E$14:E$920,TrialBalanceB!M175,JournalsB!J$14:J$920)</f>
        <v>0</v>
      </c>
      <c r="H175" s="442"/>
      <c r="I175" s="446">
        <f t="shared" si="39"/>
        <v>0</v>
      </c>
      <c r="J175" s="83"/>
      <c r="K175" s="56">
        <f t="shared" si="28"/>
        <v>0</v>
      </c>
      <c r="M175" s="196" t="str">
        <f t="shared" si="29"/>
        <v>5110/003Share premium - transfer</v>
      </c>
      <c r="N175" s="78"/>
      <c r="P175" s="79"/>
      <c r="Q175" s="59"/>
      <c r="R175" s="34"/>
    </row>
    <row r="176" spans="1:18" x14ac:dyDescent="0.2">
      <c r="A176" s="393"/>
      <c r="B176" s="62" t="s">
        <v>496</v>
      </c>
      <c r="C176" s="396" t="s">
        <v>1213</v>
      </c>
      <c r="D176" s="436"/>
      <c r="E176" s="427"/>
      <c r="F176" s="87"/>
      <c r="G176" s="55">
        <f>SUMIF(JournalsB!D$14:D$920,TrialBalanceB!M176,JournalsB!J$14:J$920)+SUMIF(JournalsB!E$14:E$920,TrialBalanceB!M176,JournalsB!J$14:J$920)</f>
        <v>0</v>
      </c>
      <c r="H176" s="442"/>
      <c r="I176" s="446">
        <f t="shared" si="39"/>
        <v>0</v>
      </c>
      <c r="J176" s="83"/>
      <c r="K176" s="56">
        <f t="shared" si="28"/>
        <v>0</v>
      </c>
      <c r="M176" s="196" t="str">
        <f t="shared" si="29"/>
        <v>5120/000REVALUATION RESERVE</v>
      </c>
      <c r="N176" s="78"/>
      <c r="P176" s="79"/>
      <c r="Q176" s="59"/>
      <c r="R176" s="34"/>
    </row>
    <row r="177" spans="1:18" x14ac:dyDescent="0.2">
      <c r="A177" s="393"/>
      <c r="B177" s="62" t="s">
        <v>497</v>
      </c>
      <c r="C177" s="397" t="s">
        <v>1214</v>
      </c>
      <c r="D177" s="435"/>
      <c r="E177" s="427"/>
      <c r="F177" s="87">
        <f>SUM(K177:K179)</f>
        <v>0</v>
      </c>
      <c r="G177" s="55">
        <f>SUMIF(JournalsB!D$14:D$920,TrialBalanceB!M177,JournalsB!J$14:J$920)+SUMIF(JournalsB!E$14:E$920,TrialBalanceB!M177,JournalsB!J$14:J$920)</f>
        <v>0</v>
      </c>
      <c r="H177" s="442"/>
      <c r="I177" s="446">
        <f t="shared" si="39"/>
        <v>0</v>
      </c>
      <c r="J177" s="83"/>
      <c r="K177" s="56">
        <f t="shared" si="28"/>
        <v>0</v>
      </c>
      <c r="M177" s="196" t="str">
        <f t="shared" si="29"/>
        <v>5120/001Revaluation reserve - balance b/fwd</v>
      </c>
      <c r="N177" s="78"/>
      <c r="P177" s="79"/>
      <c r="Q177" s="59"/>
      <c r="R177" s="34"/>
    </row>
    <row r="178" spans="1:18" x14ac:dyDescent="0.2">
      <c r="A178" s="393"/>
      <c r="B178" s="62" t="s">
        <v>498</v>
      </c>
      <c r="C178" s="397" t="s">
        <v>1215</v>
      </c>
      <c r="D178" s="435"/>
      <c r="E178" s="427"/>
      <c r="F178" s="87"/>
      <c r="G178" s="55">
        <f>SUMIF(JournalsB!D$14:D$920,TrialBalanceB!M178,JournalsB!J$14:J$920)+SUMIF(JournalsB!E$14:E$920,TrialBalanceB!M178,JournalsB!J$14:J$920)</f>
        <v>0</v>
      </c>
      <c r="H178" s="442"/>
      <c r="I178" s="446">
        <f t="shared" si="39"/>
        <v>0</v>
      </c>
      <c r="J178" s="83"/>
      <c r="K178" s="56">
        <f t="shared" si="28"/>
        <v>0</v>
      </c>
      <c r="M178" s="196" t="str">
        <f t="shared" si="29"/>
        <v>5120/002Revaluation reserve - additions</v>
      </c>
      <c r="N178" s="78"/>
      <c r="P178" s="79"/>
      <c r="Q178" s="59"/>
      <c r="R178" s="34"/>
    </row>
    <row r="179" spans="1:18" x14ac:dyDescent="0.2">
      <c r="A179" s="393"/>
      <c r="B179" s="62" t="s">
        <v>499</v>
      </c>
      <c r="C179" s="397" t="s">
        <v>1216</v>
      </c>
      <c r="D179" s="435"/>
      <c r="E179" s="427"/>
      <c r="F179" s="87"/>
      <c r="G179" s="55">
        <f>SUMIF(JournalsB!D$14:D$920,TrialBalanceB!M179,JournalsB!J$14:J$920)+SUMIF(JournalsB!E$14:E$920,TrialBalanceB!M179,JournalsB!J$14:J$920)</f>
        <v>0</v>
      </c>
      <c r="H179" s="442"/>
      <c r="I179" s="446">
        <f t="shared" si="39"/>
        <v>0</v>
      </c>
      <c r="J179" s="83"/>
      <c r="K179" s="56">
        <f t="shared" si="28"/>
        <v>0</v>
      </c>
      <c r="M179" s="196" t="str">
        <f t="shared" si="29"/>
        <v>5120/003Revaluation reserve - transfer</v>
      </c>
      <c r="N179" s="78"/>
      <c r="P179" s="79"/>
      <c r="Q179" s="59"/>
      <c r="R179" s="34"/>
    </row>
    <row r="180" spans="1:18" x14ac:dyDescent="0.2">
      <c r="A180" s="393"/>
      <c r="B180" s="62" t="s">
        <v>101</v>
      </c>
      <c r="C180" s="396" t="s">
        <v>283</v>
      </c>
      <c r="D180" s="436"/>
      <c r="E180" s="427"/>
      <c r="F180" s="87"/>
      <c r="G180" s="55">
        <f>SUMIF(JournalsB!D$14:D$920,TrialBalanceB!M180,JournalsB!J$14:J$920)+SUMIF(JournalsB!E$14:E$920,TrialBalanceB!M180,JournalsB!J$14:J$920)</f>
        <v>0</v>
      </c>
      <c r="H180" s="442"/>
      <c r="I180" s="446">
        <f t="shared" si="39"/>
        <v>0</v>
      </c>
      <c r="J180" s="83"/>
      <c r="K180" s="56">
        <f t="shared" si="28"/>
        <v>0</v>
      </c>
      <c r="M180" s="196" t="str">
        <f t="shared" si="29"/>
        <v>5130/000OTHER RESERVES</v>
      </c>
      <c r="N180" s="78"/>
      <c r="P180" s="79"/>
      <c r="Q180" s="59"/>
      <c r="R180" s="34"/>
    </row>
    <row r="181" spans="1:18" x14ac:dyDescent="0.2">
      <c r="A181" s="393"/>
      <c r="B181" s="62" t="s">
        <v>284</v>
      </c>
      <c r="C181" s="397" t="s">
        <v>940</v>
      </c>
      <c r="D181" s="435"/>
      <c r="E181" s="427"/>
      <c r="F181" s="87">
        <f>SUM(K181:K183)</f>
        <v>0</v>
      </c>
      <c r="G181" s="55">
        <f>SUMIF(JournalsB!D$14:D$920,TrialBalanceB!M181,JournalsB!J$14:J$920)+SUMIF(JournalsB!E$14:E$920,TrialBalanceB!M181,JournalsB!J$14:J$920)</f>
        <v>0</v>
      </c>
      <c r="H181" s="442"/>
      <c r="I181" s="446">
        <f t="shared" si="39"/>
        <v>0</v>
      </c>
      <c r="J181" s="83"/>
      <c r="K181" s="56">
        <f t="shared" si="28"/>
        <v>0</v>
      </c>
      <c r="M181" s="196" t="str">
        <f t="shared" si="29"/>
        <v>5130/001Other reserves - balance b/fwd</v>
      </c>
      <c r="N181" s="78"/>
      <c r="P181" s="79"/>
      <c r="Q181" s="59"/>
      <c r="R181" s="34"/>
    </row>
    <row r="182" spans="1:18" x14ac:dyDescent="0.2">
      <c r="A182" s="393"/>
      <c r="B182" s="62" t="s">
        <v>285</v>
      </c>
      <c r="C182" s="397" t="s">
        <v>941</v>
      </c>
      <c r="D182" s="435"/>
      <c r="E182" s="427"/>
      <c r="F182" s="87"/>
      <c r="G182" s="55">
        <f>SUMIF(JournalsB!D$14:D$920,TrialBalanceB!M182,JournalsB!J$14:J$920)+SUMIF(JournalsB!E$14:E$920,TrialBalanceB!M182,JournalsB!J$14:J$920)</f>
        <v>0</v>
      </c>
      <c r="H182" s="442"/>
      <c r="I182" s="446">
        <f t="shared" si="39"/>
        <v>0</v>
      </c>
      <c r="J182" s="83"/>
      <c r="K182" s="56">
        <f t="shared" si="28"/>
        <v>0</v>
      </c>
      <c r="M182" s="196" t="str">
        <f t="shared" si="29"/>
        <v>5130/002Other reserves - additions</v>
      </c>
      <c r="N182" s="78"/>
      <c r="P182" s="79"/>
      <c r="Q182" s="59"/>
      <c r="R182" s="34"/>
    </row>
    <row r="183" spans="1:18" x14ac:dyDescent="0.2">
      <c r="A183" s="393"/>
      <c r="B183" s="62" t="s">
        <v>358</v>
      </c>
      <c r="C183" s="394" t="s">
        <v>423</v>
      </c>
      <c r="D183" s="435"/>
      <c r="E183" s="427"/>
      <c r="F183" s="87"/>
      <c r="G183" s="55">
        <f>SUMIF(JournalsB!D$14:D$920,TrialBalanceB!M183,JournalsB!J$14:J$920)+SUMIF(JournalsB!E$14:E$920,TrialBalanceB!M183,JournalsB!J$14:J$920)</f>
        <v>0</v>
      </c>
      <c r="H183" s="442"/>
      <c r="I183" s="446">
        <f t="shared" si="39"/>
        <v>0</v>
      </c>
      <c r="J183" s="83"/>
      <c r="K183" s="56">
        <f t="shared" si="28"/>
        <v>0</v>
      </c>
      <c r="M183" s="196" t="str">
        <f t="shared" si="29"/>
        <v>5130/003Other reserves - transfer</v>
      </c>
      <c r="N183" s="78"/>
      <c r="P183" s="79"/>
      <c r="Q183" s="59"/>
      <c r="R183" s="34"/>
    </row>
    <row r="184" spans="1:18" x14ac:dyDescent="0.2">
      <c r="A184" s="393"/>
      <c r="B184" s="62" t="s">
        <v>424</v>
      </c>
      <c r="C184" s="396" t="s">
        <v>942</v>
      </c>
      <c r="D184" s="436"/>
      <c r="E184" s="427"/>
      <c r="F184" s="87">
        <f>K184+SUM(K5:K165)</f>
        <v>0</v>
      </c>
      <c r="G184" s="55">
        <f>SUMIF(JournalsB!D$14:D$920,TrialBalanceB!M184,JournalsB!J$14:J$920)+SUMIF(JournalsB!E$14:E$920,TrialBalanceB!M184,JournalsB!J$14:J$920)</f>
        <v>0</v>
      </c>
      <c r="H184" s="442"/>
      <c r="I184" s="446">
        <f t="shared" si="39"/>
        <v>0</v>
      </c>
      <c r="J184" s="83"/>
      <c r="K184" s="56">
        <f t="shared" si="28"/>
        <v>0</v>
      </c>
      <c r="M184" s="196" t="str">
        <f t="shared" si="29"/>
        <v>5200/000(Retained income) / Accumulated loss</v>
      </c>
      <c r="N184" s="78"/>
      <c r="P184" s="79"/>
      <c r="Q184" s="59"/>
      <c r="R184" s="34"/>
    </row>
    <row r="185" spans="1:18" x14ac:dyDescent="0.2">
      <c r="A185" s="393"/>
      <c r="B185" s="62" t="s">
        <v>143</v>
      </c>
      <c r="C185" s="396" t="s">
        <v>144</v>
      </c>
      <c r="D185" s="436"/>
      <c r="E185" s="427"/>
      <c r="F185" s="87"/>
      <c r="G185" s="55">
        <f>SUMIF(JournalsB!D$14:D$920,TrialBalanceB!M185,JournalsB!J$14:J$920)+SUMIF(JournalsB!E$14:E$920,TrialBalanceB!M185,JournalsB!J$14:J$920)</f>
        <v>0</v>
      </c>
      <c r="H185" s="442"/>
      <c r="I185" s="446">
        <f t="shared" si="39"/>
        <v>0</v>
      </c>
      <c r="J185" s="83"/>
      <c r="K185" s="56">
        <f t="shared" si="28"/>
        <v>0</v>
      </c>
      <c r="M185" s="196" t="str">
        <f t="shared" si="29"/>
        <v>5500/000LONG TERM  INTEREST LIABILITIES</v>
      </c>
      <c r="N185" s="78"/>
      <c r="P185" s="79"/>
      <c r="Q185" s="59"/>
      <c r="R185" s="34"/>
    </row>
    <row r="186" spans="1:18" x14ac:dyDescent="0.2">
      <c r="A186" s="393"/>
      <c r="B186" s="62" t="s">
        <v>145</v>
      </c>
      <c r="C186" s="429">
        <f>TrialBalance!C186</f>
        <v>0</v>
      </c>
      <c r="D186" s="434"/>
      <c r="E186" s="427"/>
      <c r="F186" s="87">
        <f>K186</f>
        <v>0</v>
      </c>
      <c r="G186" s="55">
        <f>SUMIF(JournalsB!D$14:D$920,TrialBalanceB!M186,JournalsB!J$14:J$920)+SUMIF(JournalsB!E$14:E$920,TrialBalanceB!M186,JournalsB!J$14:J$920)</f>
        <v>0</v>
      </c>
      <c r="H186" s="442"/>
      <c r="I186" s="446">
        <f t="shared" si="39"/>
        <v>0</v>
      </c>
      <c r="J186" s="83"/>
      <c r="K186" s="56">
        <f t="shared" si="28"/>
        <v>0</v>
      </c>
      <c r="M186" s="196" t="str">
        <f t="shared" si="29"/>
        <v>5500/0010</v>
      </c>
      <c r="N186" s="78"/>
      <c r="P186" s="79"/>
      <c r="Q186" s="59"/>
      <c r="R186" s="34"/>
    </row>
    <row r="187" spans="1:18" x14ac:dyDescent="0.2">
      <c r="A187" s="393"/>
      <c r="B187" s="62" t="s">
        <v>146</v>
      </c>
      <c r="C187" s="429">
        <f>TrialBalance!C187</f>
        <v>0</v>
      </c>
      <c r="D187" s="434"/>
      <c r="E187" s="427"/>
      <c r="F187" s="87">
        <f>K187</f>
        <v>0</v>
      </c>
      <c r="G187" s="55">
        <f>SUMIF(JournalsB!D$14:D$920,TrialBalanceB!M187,JournalsB!J$14:J$920)+SUMIF(JournalsB!E$14:E$920,TrialBalanceB!M187,JournalsB!J$14:J$920)</f>
        <v>0</v>
      </c>
      <c r="H187" s="442"/>
      <c r="I187" s="446">
        <f t="shared" si="39"/>
        <v>0</v>
      </c>
      <c r="J187" s="83"/>
      <c r="K187" s="56">
        <f t="shared" si="28"/>
        <v>0</v>
      </c>
      <c r="M187" s="196" t="str">
        <f t="shared" si="29"/>
        <v>5500/0020</v>
      </c>
      <c r="N187" s="78"/>
      <c r="P187" s="79"/>
      <c r="Q187" s="59"/>
      <c r="R187" s="34"/>
    </row>
    <row r="188" spans="1:18" x14ac:dyDescent="0.2">
      <c r="A188" s="393"/>
      <c r="B188" s="62" t="s">
        <v>147</v>
      </c>
      <c r="C188" s="429">
        <f>TrialBalance!C188</f>
        <v>0</v>
      </c>
      <c r="D188" s="437"/>
      <c r="E188" s="427"/>
      <c r="F188" s="87">
        <f>K188</f>
        <v>0</v>
      </c>
      <c r="G188" s="55">
        <f>SUMIF(JournalsB!D$14:D$920,TrialBalanceB!M188,JournalsB!J$14:J$920)+SUMIF(JournalsB!E$14:E$920,TrialBalanceB!M188,JournalsB!J$14:J$920)</f>
        <v>0</v>
      </c>
      <c r="H188" s="442"/>
      <c r="I188" s="446">
        <f t="shared" si="39"/>
        <v>0</v>
      </c>
      <c r="J188" s="83"/>
      <c r="K188" s="56">
        <f t="shared" si="28"/>
        <v>0</v>
      </c>
      <c r="M188" s="196" t="str">
        <f t="shared" si="29"/>
        <v>5500/0030</v>
      </c>
      <c r="N188" s="78"/>
      <c r="P188" s="79"/>
      <c r="Q188" s="59"/>
      <c r="R188" s="34"/>
    </row>
    <row r="189" spans="1:18" x14ac:dyDescent="0.2">
      <c r="A189" s="393"/>
      <c r="B189" s="62" t="s">
        <v>148</v>
      </c>
      <c r="C189" s="429">
        <f>TrialBalance!C189</f>
        <v>0</v>
      </c>
      <c r="D189" s="435"/>
      <c r="E189" s="427"/>
      <c r="F189" s="87">
        <f>K189</f>
        <v>0</v>
      </c>
      <c r="G189" s="55">
        <f>SUMIF(JournalsB!D$14:D$920,TrialBalanceB!M189,JournalsB!J$14:J$920)+SUMIF(JournalsB!E$14:E$920,TrialBalanceB!M189,JournalsB!J$14:J$920)</f>
        <v>0</v>
      </c>
      <c r="H189" s="442"/>
      <c r="I189" s="446">
        <f t="shared" si="39"/>
        <v>0</v>
      </c>
      <c r="J189" s="83"/>
      <c r="K189" s="56">
        <f t="shared" si="28"/>
        <v>0</v>
      </c>
      <c r="M189" s="196" t="str">
        <f t="shared" si="29"/>
        <v>5500/0040</v>
      </c>
      <c r="N189" s="78"/>
      <c r="P189" s="79"/>
      <c r="Q189" s="59"/>
      <c r="R189" s="34"/>
    </row>
    <row r="190" spans="1:18" x14ac:dyDescent="0.2">
      <c r="A190" s="393"/>
      <c r="B190" s="62" t="s">
        <v>149</v>
      </c>
      <c r="C190" s="429">
        <f>TrialBalance!C190</f>
        <v>0</v>
      </c>
      <c r="D190" s="435"/>
      <c r="E190" s="427"/>
      <c r="F190" s="87">
        <f>K190</f>
        <v>0</v>
      </c>
      <c r="G190" s="55">
        <f>SUMIF(JournalsB!D$14:D$920,TrialBalanceB!M190,JournalsB!J$14:J$920)+SUMIF(JournalsB!E$14:E$920,TrialBalanceB!M190,JournalsB!J$14:J$920)</f>
        <v>0</v>
      </c>
      <c r="H190" s="442"/>
      <c r="I190" s="446">
        <f t="shared" si="39"/>
        <v>0</v>
      </c>
      <c r="J190" s="83"/>
      <c r="K190" s="56">
        <f t="shared" si="28"/>
        <v>0</v>
      </c>
      <c r="M190" s="196" t="str">
        <f t="shared" si="29"/>
        <v>5500/0050</v>
      </c>
      <c r="N190" s="78"/>
      <c r="P190" s="79"/>
      <c r="Q190" s="59"/>
      <c r="R190" s="34"/>
    </row>
    <row r="191" spans="1:18" x14ac:dyDescent="0.2">
      <c r="A191" s="393"/>
      <c r="B191" s="113" t="s">
        <v>654</v>
      </c>
      <c r="C191" s="429">
        <f>TrialBalance!C191</f>
        <v>0</v>
      </c>
      <c r="D191" s="435"/>
      <c r="E191" s="427"/>
      <c r="F191" s="87">
        <f t="shared" ref="F191:F216" si="40">K191</f>
        <v>0</v>
      </c>
      <c r="G191" s="55">
        <f>SUMIF(JournalsB!D$14:D$920,TrialBalanceB!M191,JournalsB!J$14:J$920)+SUMIF(JournalsB!E$14:E$920,TrialBalanceB!M191,JournalsB!J$14:J$920)</f>
        <v>0</v>
      </c>
      <c r="H191" s="442"/>
      <c r="I191" s="446">
        <f t="shared" si="39"/>
        <v>0</v>
      </c>
      <c r="J191" s="83"/>
      <c r="K191" s="56">
        <f t="shared" si="28"/>
        <v>0</v>
      </c>
      <c r="M191" s="196" t="str">
        <f t="shared" si="29"/>
        <v>5500/0060</v>
      </c>
      <c r="N191" s="78"/>
      <c r="P191" s="79"/>
      <c r="Q191" s="59"/>
      <c r="R191" s="34"/>
    </row>
    <row r="192" spans="1:18" x14ac:dyDescent="0.2">
      <c r="A192" s="393"/>
      <c r="B192" s="113" t="s">
        <v>655</v>
      </c>
      <c r="C192" s="429">
        <f>TrialBalance!C192</f>
        <v>0</v>
      </c>
      <c r="D192" s="435"/>
      <c r="E192" s="427"/>
      <c r="F192" s="87">
        <f t="shared" si="40"/>
        <v>0</v>
      </c>
      <c r="G192" s="55">
        <f>SUMIF(JournalsB!D$14:D$920,TrialBalanceB!M192,JournalsB!J$14:J$920)+SUMIF(JournalsB!E$14:E$920,TrialBalanceB!M192,JournalsB!J$14:J$920)</f>
        <v>0</v>
      </c>
      <c r="H192" s="442"/>
      <c r="I192" s="446">
        <f t="shared" si="39"/>
        <v>0</v>
      </c>
      <c r="J192" s="83"/>
      <c r="K192" s="56">
        <f t="shared" si="28"/>
        <v>0</v>
      </c>
      <c r="M192" s="196" t="str">
        <f t="shared" si="29"/>
        <v>5500/0070</v>
      </c>
      <c r="N192" s="78"/>
      <c r="P192" s="79"/>
      <c r="Q192" s="59"/>
      <c r="R192" s="34"/>
    </row>
    <row r="193" spans="1:18" x14ac:dyDescent="0.2">
      <c r="A193" s="393"/>
      <c r="B193" s="113" t="s">
        <v>656</v>
      </c>
      <c r="C193" s="429">
        <f>TrialBalance!C193</f>
        <v>0</v>
      </c>
      <c r="D193" s="435"/>
      <c r="E193" s="427"/>
      <c r="F193" s="87">
        <f t="shared" si="40"/>
        <v>0</v>
      </c>
      <c r="G193" s="55">
        <f>SUMIF(JournalsB!D$14:D$920,TrialBalanceB!M193,JournalsB!J$14:J$920)+SUMIF(JournalsB!E$14:E$920,TrialBalanceB!M193,JournalsB!J$14:J$920)</f>
        <v>0</v>
      </c>
      <c r="H193" s="442"/>
      <c r="I193" s="446">
        <f t="shared" si="39"/>
        <v>0</v>
      </c>
      <c r="J193" s="83"/>
      <c r="K193" s="56">
        <f t="shared" si="28"/>
        <v>0</v>
      </c>
      <c r="M193" s="196" t="str">
        <f t="shared" si="29"/>
        <v>5500/0080</v>
      </c>
      <c r="N193" s="78"/>
      <c r="P193" s="79"/>
      <c r="Q193" s="59"/>
      <c r="R193" s="34"/>
    </row>
    <row r="194" spans="1:18" x14ac:dyDescent="0.2">
      <c r="A194" s="393"/>
      <c r="B194" s="113" t="s">
        <v>657</v>
      </c>
      <c r="C194" s="429">
        <f>TrialBalance!C194</f>
        <v>0</v>
      </c>
      <c r="D194" s="435"/>
      <c r="E194" s="427"/>
      <c r="F194" s="87">
        <f t="shared" si="40"/>
        <v>0</v>
      </c>
      <c r="G194" s="55">
        <f>SUMIF(JournalsB!D$14:D$920,TrialBalanceB!M194,JournalsB!J$14:J$920)+SUMIF(JournalsB!E$14:E$920,TrialBalanceB!M194,JournalsB!J$14:J$920)</f>
        <v>0</v>
      </c>
      <c r="H194" s="442"/>
      <c r="I194" s="446">
        <f t="shared" si="39"/>
        <v>0</v>
      </c>
      <c r="J194" s="83"/>
      <c r="K194" s="56">
        <f t="shared" si="28"/>
        <v>0</v>
      </c>
      <c r="M194" s="196" t="str">
        <f t="shared" si="29"/>
        <v>5500/0090</v>
      </c>
      <c r="N194" s="78"/>
      <c r="P194" s="79"/>
      <c r="Q194" s="59"/>
      <c r="R194" s="34"/>
    </row>
    <row r="195" spans="1:18" x14ac:dyDescent="0.2">
      <c r="A195" s="393"/>
      <c r="B195" s="113" t="s">
        <v>658</v>
      </c>
      <c r="C195" s="429">
        <f>TrialBalance!C195</f>
        <v>0</v>
      </c>
      <c r="D195" s="435"/>
      <c r="E195" s="427"/>
      <c r="F195" s="87">
        <f t="shared" si="40"/>
        <v>0</v>
      </c>
      <c r="G195" s="55">
        <f>SUMIF(JournalsB!D$14:D$920,TrialBalanceB!M195,JournalsB!J$14:J$920)+SUMIF(JournalsB!E$14:E$920,TrialBalanceB!M195,JournalsB!J$14:J$920)</f>
        <v>0</v>
      </c>
      <c r="H195" s="442"/>
      <c r="I195" s="446">
        <f t="shared" si="39"/>
        <v>0</v>
      </c>
      <c r="J195" s="83"/>
      <c r="K195" s="56">
        <f t="shared" si="28"/>
        <v>0</v>
      </c>
      <c r="M195" s="196" t="str">
        <f t="shared" si="29"/>
        <v>5500/0100</v>
      </c>
      <c r="N195" s="78"/>
      <c r="P195" s="79"/>
      <c r="Q195" s="59"/>
      <c r="R195" s="34"/>
    </row>
    <row r="196" spans="1:18" x14ac:dyDescent="0.2">
      <c r="A196" s="393"/>
      <c r="B196" s="113" t="s">
        <v>659</v>
      </c>
      <c r="C196" s="429">
        <f>TrialBalance!C196</f>
        <v>0</v>
      </c>
      <c r="D196" s="435"/>
      <c r="E196" s="427"/>
      <c r="F196" s="87">
        <f t="shared" si="40"/>
        <v>0</v>
      </c>
      <c r="G196" s="55">
        <f>SUMIF(JournalsB!D$14:D$920,TrialBalanceB!M196,JournalsB!J$14:J$920)+SUMIF(JournalsB!E$14:E$920,TrialBalanceB!M196,JournalsB!J$14:J$920)</f>
        <v>0</v>
      </c>
      <c r="H196" s="442"/>
      <c r="I196" s="446">
        <f t="shared" si="39"/>
        <v>0</v>
      </c>
      <c r="J196" s="83"/>
      <c r="K196" s="56">
        <f t="shared" si="28"/>
        <v>0</v>
      </c>
      <c r="M196" s="196" t="str">
        <f t="shared" si="29"/>
        <v>5500/0110</v>
      </c>
      <c r="N196" s="78"/>
      <c r="P196" s="79"/>
      <c r="Q196" s="59"/>
      <c r="R196" s="34"/>
    </row>
    <row r="197" spans="1:18" x14ac:dyDescent="0.2">
      <c r="A197" s="393"/>
      <c r="B197" s="113" t="s">
        <v>660</v>
      </c>
      <c r="C197" s="429">
        <f>TrialBalance!C197</f>
        <v>0</v>
      </c>
      <c r="D197" s="435"/>
      <c r="E197" s="427"/>
      <c r="F197" s="87">
        <f t="shared" si="40"/>
        <v>0</v>
      </c>
      <c r="G197" s="55">
        <f>SUMIF(JournalsB!D$14:D$920,TrialBalanceB!M197,JournalsB!J$14:J$920)+SUMIF(JournalsB!E$14:E$920,TrialBalanceB!M197,JournalsB!J$14:J$920)</f>
        <v>0</v>
      </c>
      <c r="H197" s="442"/>
      <c r="I197" s="446">
        <f t="shared" si="39"/>
        <v>0</v>
      </c>
      <c r="J197" s="83"/>
      <c r="K197" s="56">
        <f t="shared" si="28"/>
        <v>0</v>
      </c>
      <c r="M197" s="196" t="str">
        <f t="shared" si="29"/>
        <v>5500/0120</v>
      </c>
      <c r="N197" s="78"/>
      <c r="P197" s="79"/>
      <c r="Q197" s="59"/>
      <c r="R197" s="34"/>
    </row>
    <row r="198" spans="1:18" x14ac:dyDescent="0.2">
      <c r="A198" s="393"/>
      <c r="B198" s="113" t="s">
        <v>661</v>
      </c>
      <c r="C198" s="429">
        <f>TrialBalance!C198</f>
        <v>0</v>
      </c>
      <c r="D198" s="435"/>
      <c r="E198" s="427"/>
      <c r="F198" s="87">
        <f t="shared" ref="F198:F199" si="41">K198</f>
        <v>0</v>
      </c>
      <c r="G198" s="55">
        <f>SUMIF(JournalsB!D$14:D$920,TrialBalanceB!M198,JournalsB!J$14:J$920)+SUMIF(JournalsB!E$14:E$920,TrialBalanceB!M198,JournalsB!J$14:J$920)</f>
        <v>0</v>
      </c>
      <c r="H198" s="442"/>
      <c r="I198" s="446">
        <f t="shared" ref="I198:I199" si="42">ROUND(D198-E198+G198+F198,0)</f>
        <v>0</v>
      </c>
      <c r="J198" s="83"/>
      <c r="K198" s="56">
        <f t="shared" ref="K198:K199" si="43">ROUND(SUM(A198),0)</f>
        <v>0</v>
      </c>
      <c r="M198" s="196" t="str">
        <f t="shared" ref="M198:M199" si="44">CONCATENATE(B198,C198)</f>
        <v>5500/0130</v>
      </c>
      <c r="N198" s="78"/>
      <c r="P198" s="79"/>
      <c r="Q198" s="59"/>
      <c r="R198" s="34"/>
    </row>
    <row r="199" spans="1:18" x14ac:dyDescent="0.2">
      <c r="A199" s="393"/>
      <c r="B199" s="113" t="s">
        <v>715</v>
      </c>
      <c r="C199" s="429">
        <f>TrialBalance!C199</f>
        <v>0</v>
      </c>
      <c r="D199" s="435"/>
      <c r="E199" s="427"/>
      <c r="F199" s="87">
        <f t="shared" si="41"/>
        <v>0</v>
      </c>
      <c r="G199" s="55">
        <f>SUMIF(JournalsB!D$14:D$920,TrialBalanceB!M199,JournalsB!J$14:J$920)+SUMIF(JournalsB!E$14:E$920,TrialBalanceB!M199,JournalsB!J$14:J$920)</f>
        <v>0</v>
      </c>
      <c r="H199" s="442"/>
      <c r="I199" s="446">
        <f t="shared" si="42"/>
        <v>0</v>
      </c>
      <c r="J199" s="83"/>
      <c r="K199" s="56">
        <f t="shared" si="43"/>
        <v>0</v>
      </c>
      <c r="M199" s="196" t="str">
        <f t="shared" si="44"/>
        <v>5500/0140</v>
      </c>
      <c r="N199" s="78"/>
      <c r="P199" s="79"/>
      <c r="Q199" s="59"/>
      <c r="R199" s="34"/>
    </row>
    <row r="200" spans="1:18" x14ac:dyDescent="0.2">
      <c r="A200" s="393"/>
      <c r="B200" s="113" t="s">
        <v>716</v>
      </c>
      <c r="C200" s="429">
        <f>TrialBalance!C200</f>
        <v>0</v>
      </c>
      <c r="D200" s="435"/>
      <c r="E200" s="427"/>
      <c r="F200" s="87">
        <f t="shared" si="40"/>
        <v>0</v>
      </c>
      <c r="G200" s="55">
        <f>SUMIF(JournalsB!D$14:D$920,TrialBalanceB!M200,JournalsB!J$14:J$920)+SUMIF(JournalsB!E$14:E$920,TrialBalanceB!M200,JournalsB!J$14:J$920)</f>
        <v>0</v>
      </c>
      <c r="H200" s="442"/>
      <c r="I200" s="446">
        <f t="shared" si="39"/>
        <v>0</v>
      </c>
      <c r="J200" s="83"/>
      <c r="K200" s="56">
        <f t="shared" si="28"/>
        <v>0</v>
      </c>
      <c r="M200" s="196" t="str">
        <f t="shared" si="29"/>
        <v>5500/0150</v>
      </c>
      <c r="N200" s="78"/>
      <c r="P200" s="79"/>
      <c r="Q200" s="59"/>
      <c r="R200" s="34"/>
    </row>
    <row r="201" spans="1:18" x14ac:dyDescent="0.2">
      <c r="A201" s="393"/>
      <c r="B201" s="62" t="s">
        <v>150</v>
      </c>
      <c r="C201" s="394" t="s">
        <v>288</v>
      </c>
      <c r="D201" s="435"/>
      <c r="E201" s="427"/>
      <c r="F201" s="87">
        <f t="shared" si="40"/>
        <v>0</v>
      </c>
      <c r="G201" s="55">
        <f>SUMIF(JournalsB!D$14:D$920,TrialBalanceB!M201,JournalsB!J$14:J$920)+SUMIF(JournalsB!E$14:E$920,TrialBalanceB!M201,JournalsB!J$14:J$920)</f>
        <v>0</v>
      </c>
      <c r="H201" s="442"/>
      <c r="I201" s="446">
        <f t="shared" si="39"/>
        <v>0</v>
      </c>
      <c r="J201" s="83"/>
      <c r="K201" s="56">
        <f t="shared" si="28"/>
        <v>0</v>
      </c>
      <c r="M201" s="196" t="str">
        <f t="shared" si="29"/>
        <v>5520/000Short term portion of long term loans</v>
      </c>
      <c r="N201" s="78"/>
      <c r="P201" s="79"/>
      <c r="Q201" s="59"/>
      <c r="R201" s="34"/>
    </row>
    <row r="202" spans="1:18" x14ac:dyDescent="0.2">
      <c r="A202" s="393"/>
      <c r="B202" s="62" t="s">
        <v>152</v>
      </c>
      <c r="C202" s="396" t="s">
        <v>153</v>
      </c>
      <c r="D202" s="436"/>
      <c r="E202" s="427"/>
      <c r="F202" s="87">
        <f t="shared" si="40"/>
        <v>0</v>
      </c>
      <c r="G202" s="55">
        <f>SUMIF(JournalsB!D$14:D$920,TrialBalanceB!M202,JournalsB!J$14:J$920)+SUMIF(JournalsB!E$14:E$920,TrialBalanceB!M202,JournalsB!J$14:J$920)</f>
        <v>0</v>
      </c>
      <c r="H202" s="442"/>
      <c r="I202" s="446">
        <f t="shared" si="39"/>
        <v>0</v>
      </c>
      <c r="J202" s="83"/>
      <c r="K202" s="56">
        <f t="shared" si="28"/>
        <v>0</v>
      </c>
      <c r="M202" s="196" t="str">
        <f t="shared" si="29"/>
        <v>5550/000LONG TERM INTEREST FREE LOANS</v>
      </c>
      <c r="N202" s="78"/>
      <c r="P202" s="79"/>
      <c r="Q202" s="59"/>
      <c r="R202" s="34"/>
    </row>
    <row r="203" spans="1:18" x14ac:dyDescent="0.2">
      <c r="A203" s="393"/>
      <c r="B203" s="62" t="s">
        <v>154</v>
      </c>
      <c r="C203" s="429">
        <f>TrialBalance!C203</f>
        <v>0</v>
      </c>
      <c r="D203" s="427"/>
      <c r="E203" s="427"/>
      <c r="F203" s="87">
        <f t="shared" si="40"/>
        <v>0</v>
      </c>
      <c r="G203" s="55">
        <f>SUMIF(JournalsB!D$14:D$920,TrialBalanceB!M203,JournalsB!J$14:J$920)+SUMIF(JournalsB!E$14:E$920,TrialBalanceB!M203,JournalsB!J$14:J$920)</f>
        <v>0</v>
      </c>
      <c r="H203" s="442"/>
      <c r="I203" s="446">
        <f t="shared" si="39"/>
        <v>0</v>
      </c>
      <c r="J203" s="114"/>
      <c r="K203" s="56">
        <f t="shared" si="28"/>
        <v>0</v>
      </c>
      <c r="M203" s="196" t="str">
        <f t="shared" si="29"/>
        <v>5550/0010</v>
      </c>
      <c r="N203" s="78"/>
      <c r="P203" s="79"/>
      <c r="Q203" s="59"/>
      <c r="R203" s="34"/>
    </row>
    <row r="204" spans="1:18" x14ac:dyDescent="0.2">
      <c r="A204" s="393"/>
      <c r="B204" s="62" t="s">
        <v>155</v>
      </c>
      <c r="C204" s="429">
        <f>TrialBalance!C204</f>
        <v>0</v>
      </c>
      <c r="D204" s="437"/>
      <c r="E204" s="427"/>
      <c r="F204" s="87">
        <f t="shared" si="40"/>
        <v>0</v>
      </c>
      <c r="G204" s="55">
        <f>SUMIF(JournalsB!D$14:D$920,TrialBalanceB!M204,JournalsB!J$14:J$920)+SUMIF(JournalsB!E$14:E$920,TrialBalanceB!M204,JournalsB!J$14:J$920)</f>
        <v>0</v>
      </c>
      <c r="H204" s="442"/>
      <c r="I204" s="446">
        <f t="shared" si="39"/>
        <v>0</v>
      </c>
      <c r="J204" s="83"/>
      <c r="K204" s="56">
        <f t="shared" si="28"/>
        <v>0</v>
      </c>
      <c r="M204" s="196" t="str">
        <f t="shared" si="29"/>
        <v>5550/0020</v>
      </c>
      <c r="N204" s="78"/>
      <c r="P204" s="79"/>
      <c r="Q204" s="59"/>
      <c r="R204" s="34"/>
    </row>
    <row r="205" spans="1:18" x14ac:dyDescent="0.2">
      <c r="A205" s="393"/>
      <c r="B205" s="62" t="s">
        <v>156</v>
      </c>
      <c r="C205" s="429">
        <f>TrialBalance!C205</f>
        <v>0</v>
      </c>
      <c r="D205" s="437"/>
      <c r="E205" s="427"/>
      <c r="F205" s="87">
        <f t="shared" si="40"/>
        <v>0</v>
      </c>
      <c r="G205" s="55">
        <f>SUMIF(JournalsB!D$14:D$920,TrialBalanceB!M205,JournalsB!J$14:J$920)+SUMIF(JournalsB!E$14:E$920,TrialBalanceB!M205,JournalsB!J$14:J$920)</f>
        <v>0</v>
      </c>
      <c r="H205" s="442"/>
      <c r="I205" s="446">
        <f t="shared" si="39"/>
        <v>0</v>
      </c>
      <c r="J205" s="114"/>
      <c r="K205" s="56">
        <f t="shared" si="28"/>
        <v>0</v>
      </c>
      <c r="M205" s="196" t="str">
        <f t="shared" si="29"/>
        <v>5550/0030</v>
      </c>
      <c r="N205" s="78"/>
      <c r="P205" s="79"/>
      <c r="Q205" s="59"/>
      <c r="R205" s="34"/>
    </row>
    <row r="206" spans="1:18" x14ac:dyDescent="0.2">
      <c r="A206" s="393"/>
      <c r="B206" s="62" t="s">
        <v>157</v>
      </c>
      <c r="C206" s="429">
        <f>TrialBalance!C206</f>
        <v>0</v>
      </c>
      <c r="D206" s="437"/>
      <c r="E206" s="427"/>
      <c r="F206" s="87">
        <f t="shared" si="40"/>
        <v>0</v>
      </c>
      <c r="G206" s="55">
        <f>SUMIF(JournalsB!D$14:D$920,TrialBalanceB!M206,JournalsB!J$14:J$920)+SUMIF(JournalsB!E$14:E$920,TrialBalanceB!M206,JournalsB!J$14:J$920)</f>
        <v>0</v>
      </c>
      <c r="H206" s="442"/>
      <c r="I206" s="446">
        <f t="shared" si="39"/>
        <v>0</v>
      </c>
      <c r="J206" s="114"/>
      <c r="K206" s="56">
        <f t="shared" si="28"/>
        <v>0</v>
      </c>
      <c r="M206" s="196" t="str">
        <f t="shared" si="29"/>
        <v>5550/0040</v>
      </c>
      <c r="N206" s="78"/>
      <c r="P206" s="79"/>
      <c r="Q206" s="59"/>
      <c r="R206" s="34"/>
    </row>
    <row r="207" spans="1:18" x14ac:dyDescent="0.2">
      <c r="A207" s="393"/>
      <c r="B207" s="62" t="s">
        <v>158</v>
      </c>
      <c r="C207" s="429">
        <f>TrialBalance!C207</f>
        <v>0</v>
      </c>
      <c r="D207" s="434"/>
      <c r="E207" s="427"/>
      <c r="F207" s="87">
        <f t="shared" si="40"/>
        <v>0</v>
      </c>
      <c r="G207" s="55">
        <f>SUMIF(JournalsB!D$14:D$920,TrialBalanceB!M207,JournalsB!J$14:J$920)+SUMIF(JournalsB!E$14:E$920,TrialBalanceB!M207,JournalsB!J$14:J$920)</f>
        <v>0</v>
      </c>
      <c r="H207" s="442"/>
      <c r="I207" s="446">
        <f t="shared" si="39"/>
        <v>0</v>
      </c>
      <c r="J207" s="83"/>
      <c r="K207" s="56">
        <f t="shared" si="28"/>
        <v>0</v>
      </c>
      <c r="M207" s="196" t="str">
        <f t="shared" si="29"/>
        <v>5550/0050</v>
      </c>
      <c r="N207" s="78"/>
      <c r="P207" s="79"/>
      <c r="Q207" s="59"/>
      <c r="R207" s="34"/>
    </row>
    <row r="208" spans="1:18" x14ac:dyDescent="0.2">
      <c r="A208" s="393"/>
      <c r="B208" s="113" t="s">
        <v>684</v>
      </c>
      <c r="C208" s="429">
        <f>TrialBalance!C208</f>
        <v>0</v>
      </c>
      <c r="D208" s="437"/>
      <c r="E208" s="427"/>
      <c r="F208" s="87">
        <f t="shared" si="40"/>
        <v>0</v>
      </c>
      <c r="G208" s="55">
        <f>SUMIF(JournalsB!D$14:D$920,TrialBalanceB!M208,JournalsB!J$14:J$920)+SUMIF(JournalsB!E$14:E$920,TrialBalanceB!M208,JournalsB!J$14:J$920)</f>
        <v>0</v>
      </c>
      <c r="H208" s="442"/>
      <c r="I208" s="446">
        <f t="shared" si="39"/>
        <v>0</v>
      </c>
      <c r="J208" s="114"/>
      <c r="K208" s="56">
        <f t="shared" ref="K208:K283" si="45">ROUND(SUM(A208),0)</f>
        <v>0</v>
      </c>
      <c r="M208" s="196" t="str">
        <f t="shared" ref="M208:M283" si="46">CONCATENATE(B208,C208)</f>
        <v>5550/0060</v>
      </c>
      <c r="N208" s="78"/>
      <c r="P208" s="79"/>
      <c r="Q208" s="59"/>
      <c r="R208" s="34"/>
    </row>
    <row r="209" spans="1:18" x14ac:dyDescent="0.2">
      <c r="A209" s="393"/>
      <c r="B209" s="113" t="s">
        <v>685</v>
      </c>
      <c r="C209" s="429">
        <f>TrialBalance!C209</f>
        <v>0</v>
      </c>
      <c r="D209" s="434"/>
      <c r="E209" s="427"/>
      <c r="F209" s="87">
        <f t="shared" si="40"/>
        <v>0</v>
      </c>
      <c r="G209" s="55">
        <f>SUMIF(JournalsB!D$14:D$920,TrialBalanceB!M209,JournalsB!J$14:J$920)+SUMIF(JournalsB!E$14:E$920,TrialBalanceB!M209,JournalsB!J$14:J$920)</f>
        <v>0</v>
      </c>
      <c r="H209" s="442"/>
      <c r="I209" s="446">
        <f t="shared" si="39"/>
        <v>0</v>
      </c>
      <c r="J209" s="114"/>
      <c r="K209" s="56">
        <f t="shared" si="45"/>
        <v>0</v>
      </c>
      <c r="M209" s="196" t="str">
        <f t="shared" si="46"/>
        <v>5550/0070</v>
      </c>
      <c r="N209" s="78"/>
      <c r="P209" s="79"/>
      <c r="Q209" s="59"/>
      <c r="R209" s="34"/>
    </row>
    <row r="210" spans="1:18" x14ac:dyDescent="0.2">
      <c r="A210" s="393"/>
      <c r="B210" s="113" t="s">
        <v>686</v>
      </c>
      <c r="C210" s="429">
        <f>TrialBalance!C210</f>
        <v>0</v>
      </c>
      <c r="D210" s="434"/>
      <c r="E210" s="427"/>
      <c r="F210" s="87">
        <f t="shared" si="40"/>
        <v>0</v>
      </c>
      <c r="G210" s="55">
        <f>SUMIF(JournalsB!D$14:D$920,TrialBalanceB!M210,JournalsB!J$14:J$920)+SUMIF(JournalsB!E$14:E$920,TrialBalanceB!M210,JournalsB!J$14:J$920)</f>
        <v>0</v>
      </c>
      <c r="H210" s="442"/>
      <c r="I210" s="446">
        <f>ROUND(D210-E210+G210+F210,0)</f>
        <v>0</v>
      </c>
      <c r="J210" s="83"/>
      <c r="K210" s="56">
        <f t="shared" si="45"/>
        <v>0</v>
      </c>
      <c r="M210" s="196" t="str">
        <f t="shared" si="46"/>
        <v>5550/0080</v>
      </c>
      <c r="N210" s="78"/>
      <c r="P210" s="79"/>
      <c r="Q210" s="59"/>
      <c r="R210" s="34"/>
    </row>
    <row r="211" spans="1:18" x14ac:dyDescent="0.2">
      <c r="A211" s="393"/>
      <c r="B211" s="113" t="s">
        <v>687</v>
      </c>
      <c r="C211" s="429">
        <f>TrialBalance!C211</f>
        <v>0</v>
      </c>
      <c r="D211" s="439"/>
      <c r="E211" s="427"/>
      <c r="F211" s="87">
        <f t="shared" si="40"/>
        <v>0</v>
      </c>
      <c r="G211" s="55">
        <f>SUMIF(JournalsB!D$14:D$920,TrialBalanceB!M211,JournalsB!J$14:J$920)+SUMIF(JournalsB!E$14:E$920,TrialBalanceB!M211,JournalsB!J$14:J$920)</f>
        <v>0</v>
      </c>
      <c r="H211" s="442"/>
      <c r="I211" s="446">
        <f t="shared" si="39"/>
        <v>0</v>
      </c>
      <c r="J211" s="114"/>
      <c r="K211" s="56">
        <f t="shared" si="45"/>
        <v>0</v>
      </c>
      <c r="M211" s="196" t="str">
        <f t="shared" si="46"/>
        <v>5550/0090</v>
      </c>
      <c r="N211" s="78"/>
      <c r="P211" s="79"/>
      <c r="Q211" s="59"/>
      <c r="R211" s="34"/>
    </row>
    <row r="212" spans="1:18" x14ac:dyDescent="0.2">
      <c r="A212" s="393"/>
      <c r="B212" s="113" t="s">
        <v>709</v>
      </c>
      <c r="C212" s="429">
        <f>TrialBalance!C212</f>
        <v>0</v>
      </c>
      <c r="D212" s="441"/>
      <c r="E212" s="427"/>
      <c r="F212" s="87">
        <f t="shared" si="40"/>
        <v>0</v>
      </c>
      <c r="G212" s="55">
        <f>SUMIF(JournalsB!D$14:D$920,TrialBalanceB!M212,JournalsB!J$14:J$920)+SUMIF(JournalsB!E$14:E$920,TrialBalanceB!M212,JournalsB!J$14:J$920)</f>
        <v>0</v>
      </c>
      <c r="H212" s="442"/>
      <c r="I212" s="446">
        <f t="shared" si="39"/>
        <v>0</v>
      </c>
      <c r="J212" s="83"/>
      <c r="K212" s="56">
        <f t="shared" si="45"/>
        <v>0</v>
      </c>
      <c r="M212" s="196" t="str">
        <f t="shared" si="46"/>
        <v>5550/0100</v>
      </c>
      <c r="N212" s="78"/>
      <c r="P212" s="79"/>
      <c r="Q212" s="59"/>
      <c r="R212" s="34"/>
    </row>
    <row r="213" spans="1:18" x14ac:dyDescent="0.2">
      <c r="A213" s="393"/>
      <c r="B213" s="113" t="s">
        <v>722</v>
      </c>
      <c r="C213" s="429">
        <f>TrialBalance!C213</f>
        <v>0</v>
      </c>
      <c r="D213" s="441"/>
      <c r="E213" s="427"/>
      <c r="F213" s="87">
        <f t="shared" si="40"/>
        <v>0</v>
      </c>
      <c r="G213" s="55">
        <f>SUMIF(JournalsB!D$14:D$920,TrialBalanceB!M213,JournalsB!J$14:J$920)+SUMIF(JournalsB!E$14:E$920,TrialBalanceB!M213,JournalsB!J$14:J$920)</f>
        <v>0</v>
      </c>
      <c r="H213" s="442"/>
      <c r="I213" s="446">
        <f t="shared" si="39"/>
        <v>0</v>
      </c>
      <c r="J213" s="83"/>
      <c r="K213" s="56">
        <f t="shared" si="45"/>
        <v>0</v>
      </c>
      <c r="M213" s="196" t="str">
        <f t="shared" si="46"/>
        <v>5550/0110</v>
      </c>
      <c r="N213" s="78"/>
      <c r="P213" s="79"/>
      <c r="Q213" s="59"/>
      <c r="R213" s="34"/>
    </row>
    <row r="214" spans="1:18" x14ac:dyDescent="0.2">
      <c r="A214" s="393"/>
      <c r="B214" s="113" t="s">
        <v>723</v>
      </c>
      <c r="C214" s="429">
        <f>TrialBalance!C214</f>
        <v>0</v>
      </c>
      <c r="D214" s="441"/>
      <c r="E214" s="427"/>
      <c r="F214" s="87">
        <f t="shared" si="40"/>
        <v>0</v>
      </c>
      <c r="G214" s="55">
        <f>SUMIF(JournalsB!D$14:D$920,TrialBalanceB!M214,JournalsB!J$14:J$920)+SUMIF(JournalsB!E$14:E$920,TrialBalanceB!M214,JournalsB!J$14:J$920)</f>
        <v>0</v>
      </c>
      <c r="H214" s="442"/>
      <c r="I214" s="446">
        <f t="shared" si="39"/>
        <v>0</v>
      </c>
      <c r="J214" s="83"/>
      <c r="K214" s="56">
        <f t="shared" si="45"/>
        <v>0</v>
      </c>
      <c r="M214" s="196" t="str">
        <f t="shared" si="46"/>
        <v>5550/0120</v>
      </c>
      <c r="N214" s="78"/>
      <c r="P214" s="79"/>
      <c r="Q214" s="59"/>
      <c r="R214" s="34"/>
    </row>
    <row r="215" spans="1:18" x14ac:dyDescent="0.2">
      <c r="A215" s="393"/>
      <c r="B215" s="113" t="s">
        <v>724</v>
      </c>
      <c r="C215" s="429">
        <f>TrialBalance!C215</f>
        <v>0</v>
      </c>
      <c r="D215" s="441"/>
      <c r="E215" s="427"/>
      <c r="F215" s="87">
        <f t="shared" si="40"/>
        <v>0</v>
      </c>
      <c r="G215" s="55">
        <f>SUMIF(JournalsB!D$14:D$920,TrialBalanceB!M215,JournalsB!J$14:J$920)+SUMIF(JournalsB!E$14:E$920,TrialBalanceB!M215,JournalsB!J$14:J$920)</f>
        <v>0</v>
      </c>
      <c r="H215" s="442"/>
      <c r="I215" s="446">
        <f t="shared" si="39"/>
        <v>0</v>
      </c>
      <c r="J215" s="83"/>
      <c r="K215" s="56">
        <f t="shared" si="45"/>
        <v>0</v>
      </c>
      <c r="M215" s="196" t="str">
        <f t="shared" si="46"/>
        <v>5550/0130</v>
      </c>
      <c r="N215" s="78"/>
      <c r="P215" s="79"/>
      <c r="Q215" s="59"/>
      <c r="R215" s="34"/>
    </row>
    <row r="216" spans="1:18" x14ac:dyDescent="0.2">
      <c r="A216" s="393"/>
      <c r="B216" s="113" t="s">
        <v>725</v>
      </c>
      <c r="C216" s="429">
        <f>TrialBalance!C216</f>
        <v>0</v>
      </c>
      <c r="D216" s="436"/>
      <c r="E216" s="427"/>
      <c r="F216" s="87">
        <f t="shared" si="40"/>
        <v>0</v>
      </c>
      <c r="G216" s="55">
        <f>SUMIF(JournalsB!D$14:D$920,TrialBalanceB!M216,JournalsB!J$14:J$920)+SUMIF(JournalsB!E$14:E$920,TrialBalanceB!M216,JournalsB!J$14:J$920)</f>
        <v>0</v>
      </c>
      <c r="H216" s="442"/>
      <c r="I216" s="446">
        <f t="shared" si="39"/>
        <v>0</v>
      </c>
      <c r="J216" s="83"/>
      <c r="K216" s="56">
        <f t="shared" si="45"/>
        <v>0</v>
      </c>
      <c r="M216" s="196" t="str">
        <f t="shared" si="46"/>
        <v>5550/0140</v>
      </c>
      <c r="N216" s="78"/>
      <c r="P216" s="79"/>
      <c r="Q216" s="59"/>
      <c r="R216" s="34"/>
    </row>
    <row r="217" spans="1:18" x14ac:dyDescent="0.2">
      <c r="A217" s="393"/>
      <c r="B217" s="113" t="s">
        <v>726</v>
      </c>
      <c r="C217" s="429">
        <f>TrialBalance!C217</f>
        <v>0</v>
      </c>
      <c r="D217" s="435"/>
      <c r="E217" s="427"/>
      <c r="F217" s="87">
        <f>K217</f>
        <v>0</v>
      </c>
      <c r="G217" s="55">
        <f>SUMIF(JournalsB!D$14:D$920,TrialBalanceB!M217,JournalsB!J$14:J$920)+SUMIF(JournalsB!E$14:E$920,TrialBalanceB!M217,JournalsB!J$14:J$920)</f>
        <v>0</v>
      </c>
      <c r="H217" s="442"/>
      <c r="I217" s="446">
        <f t="shared" si="39"/>
        <v>0</v>
      </c>
      <c r="J217" s="83"/>
      <c r="K217" s="56">
        <f t="shared" si="45"/>
        <v>0</v>
      </c>
      <c r="M217" s="196" t="str">
        <f t="shared" si="46"/>
        <v>5550/0150</v>
      </c>
      <c r="N217" s="78"/>
      <c r="P217" s="79"/>
      <c r="Q217" s="59"/>
      <c r="R217" s="34"/>
    </row>
    <row r="218" spans="1:18" x14ac:dyDescent="0.2">
      <c r="A218" s="393"/>
      <c r="B218" s="113" t="s">
        <v>727</v>
      </c>
      <c r="C218" s="429">
        <f>TrialBalance!C218</f>
        <v>0</v>
      </c>
      <c r="D218" s="427"/>
      <c r="E218" s="427"/>
      <c r="F218" s="87">
        <f>K218</f>
        <v>0</v>
      </c>
      <c r="G218" s="55">
        <f>SUMIF(JournalsB!D$14:D$920,TrialBalanceB!M218,JournalsB!J$14:J$920)+SUMIF(JournalsB!E$14:E$920,TrialBalanceB!M218,JournalsB!J$14:J$920)</f>
        <v>0</v>
      </c>
      <c r="H218" s="442"/>
      <c r="I218" s="446">
        <f t="shared" si="39"/>
        <v>0</v>
      </c>
      <c r="J218" s="83"/>
      <c r="K218" s="56">
        <f t="shared" si="45"/>
        <v>0</v>
      </c>
      <c r="M218" s="196" t="str">
        <f t="shared" si="46"/>
        <v>5550/0160</v>
      </c>
      <c r="N218" s="78"/>
      <c r="P218" s="79"/>
      <c r="Q218" s="59"/>
      <c r="R218" s="34"/>
    </row>
    <row r="219" spans="1:18" x14ac:dyDescent="0.2">
      <c r="A219" s="393"/>
      <c r="B219" s="113" t="s">
        <v>728</v>
      </c>
      <c r="C219" s="429">
        <f>TrialBalance!C219</f>
        <v>0</v>
      </c>
      <c r="D219" s="439"/>
      <c r="E219" s="427"/>
      <c r="F219" s="87">
        <f>K219</f>
        <v>0</v>
      </c>
      <c r="G219" s="55">
        <f>SUMIF(JournalsB!D$14:D$920,TrialBalanceB!M219,JournalsB!J$14:J$920)+SUMIF(JournalsB!E$14:E$920,TrialBalanceB!M219,JournalsB!J$14:J$920)</f>
        <v>0</v>
      </c>
      <c r="H219" s="442"/>
      <c r="I219" s="446">
        <f t="shared" si="39"/>
        <v>0</v>
      </c>
      <c r="J219" s="83"/>
      <c r="K219" s="56">
        <f t="shared" si="45"/>
        <v>0</v>
      </c>
      <c r="M219" s="196" t="str">
        <f t="shared" si="46"/>
        <v>5550/0170</v>
      </c>
      <c r="N219" s="78"/>
      <c r="P219" s="79"/>
      <c r="Q219" s="59"/>
      <c r="R219" s="34"/>
    </row>
    <row r="220" spans="1:18" x14ac:dyDescent="0.2">
      <c r="A220" s="393"/>
      <c r="B220" s="62" t="s">
        <v>159</v>
      </c>
      <c r="C220" s="394" t="s">
        <v>212</v>
      </c>
      <c r="D220" s="435"/>
      <c r="E220" s="427"/>
      <c r="F220" s="87"/>
      <c r="G220" s="55">
        <f>SUMIF(JournalsB!D$14:D$920,TrialBalanceB!M220,JournalsB!J$14:J$920)+SUMIF(JournalsB!E$14:E$920,TrialBalanceB!M220,JournalsB!J$14:J$920)</f>
        <v>0</v>
      </c>
      <c r="H220" s="442"/>
      <c r="I220" s="446">
        <f t="shared" si="39"/>
        <v>0</v>
      </c>
      <c r="J220" s="83"/>
      <c r="K220" s="56">
        <f t="shared" si="45"/>
        <v>0</v>
      </c>
      <c r="M220" s="196" t="str">
        <f t="shared" si="46"/>
        <v>5700/000DEFERRED TAX</v>
      </c>
      <c r="N220" s="78"/>
      <c r="P220" s="79"/>
      <c r="Q220" s="59"/>
      <c r="R220" s="34"/>
    </row>
    <row r="221" spans="1:18" x14ac:dyDescent="0.2">
      <c r="A221" s="393"/>
      <c r="B221" s="62" t="s">
        <v>160</v>
      </c>
      <c r="C221" s="397" t="s">
        <v>569</v>
      </c>
      <c r="D221" s="437"/>
      <c r="E221" s="427"/>
      <c r="F221" s="87">
        <f>K221+K223+K225+K227</f>
        <v>0</v>
      </c>
      <c r="G221" s="55">
        <f>SUMIF(JournalsB!D$14:D$920,TrialBalanceB!M221,JournalsB!J$14:J$920)+SUMIF(JournalsB!E$14:E$920,TrialBalanceB!M221,JournalsB!J$14:J$920)</f>
        <v>0</v>
      </c>
      <c r="H221" s="442"/>
      <c r="I221" s="446">
        <f t="shared" si="39"/>
        <v>0</v>
      </c>
      <c r="J221" s="83"/>
      <c r="K221" s="56">
        <f t="shared" si="45"/>
        <v>0</v>
      </c>
      <c r="M221" s="196" t="str">
        <f t="shared" si="46"/>
        <v>5700/010Deferred tax balance  depreciation b/fwd</v>
      </c>
      <c r="N221" s="78"/>
      <c r="P221" s="79"/>
      <c r="Q221" s="59"/>
      <c r="R221" s="34"/>
    </row>
    <row r="222" spans="1:18" x14ac:dyDescent="0.2">
      <c r="A222" s="393"/>
      <c r="B222" s="113" t="s">
        <v>688</v>
      </c>
      <c r="C222" s="397" t="s">
        <v>570</v>
      </c>
      <c r="D222" s="437"/>
      <c r="E222" s="427"/>
      <c r="F222" s="87">
        <f>K222+K224+K226+K228</f>
        <v>0</v>
      </c>
      <c r="G222" s="55">
        <f>SUMIF(JournalsB!D$14:D$920,TrialBalanceB!M222,JournalsB!J$14:J$920)+SUMIF(JournalsB!E$14:E$920,TrialBalanceB!M222,JournalsB!J$14:J$920)</f>
        <v>0</v>
      </c>
      <c r="H222" s="442"/>
      <c r="I222" s="446">
        <f t="shared" si="39"/>
        <v>0</v>
      </c>
      <c r="J222" s="83"/>
      <c r="K222" s="56">
        <f t="shared" si="45"/>
        <v>0</v>
      </c>
      <c r="M222" s="196" t="str">
        <f t="shared" si="46"/>
        <v>5700/020Deferred tax balance  tax loss b/fwd</v>
      </c>
      <c r="N222" s="78"/>
      <c r="P222" s="79"/>
      <c r="Q222" s="59"/>
      <c r="R222" s="34"/>
    </row>
    <row r="223" spans="1:18" x14ac:dyDescent="0.2">
      <c r="A223" s="393"/>
      <c r="B223" s="113" t="s">
        <v>1340</v>
      </c>
      <c r="C223" s="397" t="s">
        <v>1341</v>
      </c>
      <c r="D223" s="437"/>
      <c r="E223" s="427"/>
      <c r="F223" s="87"/>
      <c r="G223" s="55">
        <f>SUMIF(JournalsB!D$14:D$920,TrialBalanceB!M223,JournalsB!J$14:J$920)+SUMIF(JournalsB!E$14:E$920,TrialBalanceB!M223,JournalsB!J$14:J$920)</f>
        <v>0</v>
      </c>
      <c r="H223" s="442"/>
      <c r="I223" s="446">
        <f t="shared" ref="I223:I224" si="47">ROUND(D223-E223+G223+F223,0)</f>
        <v>0</v>
      </c>
      <c r="J223" s="83"/>
      <c r="K223" s="56">
        <f t="shared" ref="K223:K224" si="48">ROUND(SUM(A223),0)</f>
        <v>0</v>
      </c>
      <c r="M223" s="196" t="str">
        <f t="shared" ref="M223:M224" si="49">CONCATENATE(B223,C223)</f>
        <v>5700/021Opening balance depreciation tax rate change</v>
      </c>
      <c r="N223" s="78"/>
      <c r="P223" s="79"/>
      <c r="Q223" s="59"/>
      <c r="R223" s="34"/>
    </row>
    <row r="224" spans="1:18" x14ac:dyDescent="0.2">
      <c r="A224" s="393"/>
      <c r="B224" s="113" t="s">
        <v>1342</v>
      </c>
      <c r="C224" s="397" t="s">
        <v>1343</v>
      </c>
      <c r="D224" s="437"/>
      <c r="E224" s="427"/>
      <c r="F224" s="87"/>
      <c r="G224" s="55">
        <f>SUMIF(JournalsB!D$14:D$920,TrialBalanceB!M224,JournalsB!J$14:J$920)+SUMIF(JournalsB!E$14:E$920,TrialBalanceB!M224,JournalsB!J$14:J$920)</f>
        <v>0</v>
      </c>
      <c r="H224" s="442"/>
      <c r="I224" s="446">
        <f t="shared" si="47"/>
        <v>0</v>
      </c>
      <c r="J224" s="83"/>
      <c r="K224" s="56">
        <f t="shared" si="48"/>
        <v>0</v>
      </c>
      <c r="M224" s="196" t="str">
        <f t="shared" si="49"/>
        <v>5700/022Opening balance tax loss tax rate change</v>
      </c>
      <c r="N224" s="78"/>
      <c r="P224" s="79"/>
      <c r="Q224" s="59"/>
      <c r="R224" s="34"/>
    </row>
    <row r="225" spans="1:18" x14ac:dyDescent="0.2">
      <c r="A225" s="393"/>
      <c r="B225" s="113" t="s">
        <v>689</v>
      </c>
      <c r="C225" s="394" t="s">
        <v>161</v>
      </c>
      <c r="D225" s="435"/>
      <c r="E225" s="427"/>
      <c r="F225" s="87"/>
      <c r="G225" s="55">
        <f>SUMIF(JournalsB!D$14:D$920,TrialBalanceB!M225,JournalsB!J$14:J$920)+SUMIF(JournalsB!E$14:E$920,TrialBalanceB!M225,JournalsB!J$14:J$920)</f>
        <v>0</v>
      </c>
      <c r="H225" s="442"/>
      <c r="I225" s="446">
        <f t="shared" si="39"/>
        <v>0</v>
      </c>
      <c r="J225" s="83"/>
      <c r="K225" s="56">
        <f t="shared" si="45"/>
        <v>0</v>
      </c>
      <c r="M225" s="196" t="str">
        <f t="shared" si="46"/>
        <v>5700/030Deferred tax on depreciation for year</v>
      </c>
      <c r="N225" s="78"/>
      <c r="P225" s="79"/>
      <c r="Q225" s="59"/>
      <c r="R225" s="34"/>
    </row>
    <row r="226" spans="1:18" x14ac:dyDescent="0.2">
      <c r="A226" s="393"/>
      <c r="B226" s="113" t="s">
        <v>690</v>
      </c>
      <c r="C226" s="394" t="s">
        <v>162</v>
      </c>
      <c r="D226" s="435"/>
      <c r="E226" s="427"/>
      <c r="F226" s="87"/>
      <c r="G226" s="55">
        <f>SUMIF(JournalsB!D$14:D$920,TrialBalanceB!M226,JournalsB!J$14:J$920)+SUMIF(JournalsB!E$14:E$920,TrialBalanceB!M226,JournalsB!J$14:J$920)</f>
        <v>0</v>
      </c>
      <c r="H226" s="442"/>
      <c r="I226" s="446">
        <f t="shared" si="39"/>
        <v>0</v>
      </c>
      <c r="J226" s="83"/>
      <c r="K226" s="56">
        <f t="shared" si="45"/>
        <v>0</v>
      </c>
      <c r="M226" s="196" t="str">
        <f t="shared" si="46"/>
        <v>5700/040Deferred tax on tax loss for year</v>
      </c>
      <c r="N226" s="78"/>
      <c r="P226" s="79"/>
      <c r="Q226" s="59"/>
      <c r="R226" s="34"/>
    </row>
    <row r="227" spans="1:18" x14ac:dyDescent="0.2">
      <c r="A227" s="393"/>
      <c r="B227" s="113" t="s">
        <v>691</v>
      </c>
      <c r="C227" s="397" t="s">
        <v>670</v>
      </c>
      <c r="D227" s="437"/>
      <c r="E227" s="427"/>
      <c r="F227" s="87"/>
      <c r="G227" s="55">
        <f>SUMIF(JournalsB!D$14:D$920,TrialBalanceB!M227,JournalsB!J$14:J$920)+SUMIF(JournalsB!E$14:E$920,TrialBalanceB!M227,JournalsB!J$14:J$920)</f>
        <v>0</v>
      </c>
      <c r="H227" s="442"/>
      <c r="I227" s="446">
        <f t="shared" si="39"/>
        <v>0</v>
      </c>
      <c r="J227" s="83"/>
      <c r="K227" s="56">
        <f t="shared" si="45"/>
        <v>0</v>
      </c>
      <c r="M227" s="196" t="str">
        <f t="shared" si="46"/>
        <v>5700/050Def tax adj  depreciation previous year</v>
      </c>
      <c r="N227" s="78"/>
      <c r="P227" s="79"/>
      <c r="Q227" s="59"/>
      <c r="R227" s="34"/>
    </row>
    <row r="228" spans="1:18" x14ac:dyDescent="0.2">
      <c r="A228" s="393"/>
      <c r="B228" s="113" t="s">
        <v>692</v>
      </c>
      <c r="C228" s="397" t="s">
        <v>671</v>
      </c>
      <c r="D228" s="437"/>
      <c r="E228" s="427"/>
      <c r="F228" s="87"/>
      <c r="G228" s="55">
        <f>SUMIF(JournalsB!D$14:D$920,TrialBalanceB!M228,JournalsB!J$14:J$920)+SUMIF(JournalsB!E$14:E$920,TrialBalanceB!M228,JournalsB!J$14:J$920)</f>
        <v>0</v>
      </c>
      <c r="H228" s="442"/>
      <c r="I228" s="446">
        <f t="shared" si="39"/>
        <v>0</v>
      </c>
      <c r="J228" s="83"/>
      <c r="K228" s="56">
        <f t="shared" si="45"/>
        <v>0</v>
      </c>
      <c r="M228" s="196" t="str">
        <f t="shared" si="46"/>
        <v>5700/060Def tax adj tax loss previous year</v>
      </c>
      <c r="N228" s="78"/>
      <c r="P228" s="79"/>
      <c r="Q228" s="59"/>
      <c r="R228" s="34"/>
    </row>
    <row r="229" spans="1:18" x14ac:dyDescent="0.2">
      <c r="A229" s="393"/>
      <c r="B229" s="62" t="s">
        <v>163</v>
      </c>
      <c r="C229" s="396" t="s">
        <v>1367</v>
      </c>
      <c r="D229" s="436"/>
      <c r="E229" s="427"/>
      <c r="F229" s="87"/>
      <c r="G229" s="55">
        <f>SUMIF(JournalsB!D$14:D$920,TrialBalanceB!M229,JournalsB!J$14:J$920)+SUMIF(JournalsB!E$14:E$920,TrialBalanceB!M229,JournalsB!J$14:J$920)</f>
        <v>0</v>
      </c>
      <c r="H229" s="442"/>
      <c r="I229" s="446">
        <f t="shared" si="39"/>
        <v>0</v>
      </c>
      <c r="J229" s="83"/>
      <c r="K229" s="56">
        <f t="shared" si="45"/>
        <v>0</v>
      </c>
      <c r="M229" s="196" t="str">
        <f t="shared" si="46"/>
        <v>6100/000PROPERTY - COST</v>
      </c>
      <c r="N229" s="78"/>
      <c r="P229" s="79"/>
      <c r="Q229" s="59"/>
      <c r="R229" s="34"/>
    </row>
    <row r="230" spans="1:18" x14ac:dyDescent="0.2">
      <c r="A230" s="393"/>
      <c r="B230" s="62" t="s">
        <v>164</v>
      </c>
      <c r="C230" s="397" t="s">
        <v>1368</v>
      </c>
      <c r="D230" s="435"/>
      <c r="E230" s="427"/>
      <c r="F230" s="87">
        <f>SUM(K230:K234)</f>
        <v>0</v>
      </c>
      <c r="G230" s="55">
        <f>SUMIF(JournalsB!D$14:D$920,TrialBalanceB!M230,JournalsB!J$14:J$920)+SUMIF(JournalsB!E$14:E$920,TrialBalanceB!M230,JournalsB!J$14:J$920)</f>
        <v>0</v>
      </c>
      <c r="H230" s="442"/>
      <c r="I230" s="446">
        <f t="shared" si="39"/>
        <v>0</v>
      </c>
      <c r="J230" s="83"/>
      <c r="K230" s="56">
        <f t="shared" si="45"/>
        <v>0</v>
      </c>
      <c r="M230" s="196" t="str">
        <f t="shared" si="46"/>
        <v>6100/001Property - cost b/fwd</v>
      </c>
      <c r="N230" s="78"/>
      <c r="P230" s="79"/>
      <c r="Q230" s="59"/>
      <c r="R230" s="34"/>
    </row>
    <row r="231" spans="1:18" x14ac:dyDescent="0.2">
      <c r="A231" s="393"/>
      <c r="B231" s="62" t="s">
        <v>165</v>
      </c>
      <c r="C231" s="397" t="s">
        <v>1369</v>
      </c>
      <c r="D231" s="435"/>
      <c r="E231" s="427"/>
      <c r="F231" s="87"/>
      <c r="G231" s="55">
        <f>SUMIF(JournalsB!D$14:D$920,TrialBalanceB!M231,JournalsB!J$14:J$920)+SUMIF(JournalsB!E$14:E$920,TrialBalanceB!M231,JournalsB!J$14:J$920)</f>
        <v>0</v>
      </c>
      <c r="H231" s="442"/>
      <c r="I231" s="446">
        <f t="shared" si="39"/>
        <v>0</v>
      </c>
      <c r="J231" s="83"/>
      <c r="K231" s="56">
        <f t="shared" si="45"/>
        <v>0</v>
      </c>
      <c r="M231" s="196" t="str">
        <f t="shared" si="46"/>
        <v>6100/002Property - additions</v>
      </c>
      <c r="N231" s="78"/>
      <c r="P231" s="79"/>
      <c r="Q231" s="59"/>
      <c r="R231" s="34"/>
    </row>
    <row r="232" spans="1:18" x14ac:dyDescent="0.2">
      <c r="A232" s="393"/>
      <c r="B232" s="62" t="s">
        <v>166</v>
      </c>
      <c r="C232" s="397" t="s">
        <v>1370</v>
      </c>
      <c r="D232" s="435"/>
      <c r="E232" s="427"/>
      <c r="F232" s="87"/>
      <c r="G232" s="55">
        <f>SUMIF(JournalsB!D$14:D$920,TrialBalanceB!M232,JournalsB!J$14:J$920)+SUMIF(JournalsB!E$14:E$920,TrialBalanceB!M232,JournalsB!J$14:J$920)</f>
        <v>0</v>
      </c>
      <c r="H232" s="442"/>
      <c r="I232" s="446">
        <f t="shared" si="39"/>
        <v>0</v>
      </c>
      <c r="J232" s="83"/>
      <c r="K232" s="56">
        <f t="shared" si="45"/>
        <v>0</v>
      </c>
      <c r="M232" s="196" t="str">
        <f t="shared" si="46"/>
        <v>6100/003Property - cost of sales</v>
      </c>
      <c r="N232" s="78"/>
      <c r="P232" s="79"/>
      <c r="Q232" s="59"/>
      <c r="R232" s="34"/>
    </row>
    <row r="233" spans="1:18" x14ac:dyDescent="0.2">
      <c r="A233" s="393"/>
      <c r="B233" s="113" t="s">
        <v>1238</v>
      </c>
      <c r="C233" s="397" t="s">
        <v>1371</v>
      </c>
      <c r="D233" s="435"/>
      <c r="E233" s="427"/>
      <c r="F233" s="87"/>
      <c r="G233" s="55">
        <f>SUMIF(JournalsB!D$14:D$920,TrialBalanceB!M233,JournalsB!J$14:J$920)+SUMIF(JournalsB!E$14:E$920,TrialBalanceB!M233,JournalsB!J$14:J$920)</f>
        <v>0</v>
      </c>
      <c r="H233" s="442"/>
      <c r="I233" s="446">
        <f t="shared" ref="I233" si="50">ROUND(D233-E233+G233+F233,0)</f>
        <v>0</v>
      </c>
      <c r="J233" s="83"/>
      <c r="K233" s="56">
        <f t="shared" ref="K233" si="51">ROUND(SUM(A233),0)</f>
        <v>0</v>
      </c>
      <c r="M233" s="196" t="str">
        <f t="shared" ref="M233" si="52">CONCATENATE(B233,C233)</f>
        <v>6100/004Property - transfer to investment property</v>
      </c>
      <c r="N233" s="78"/>
      <c r="P233" s="79"/>
      <c r="Q233" s="59"/>
      <c r="R233" s="34"/>
    </row>
    <row r="234" spans="1:18" x14ac:dyDescent="0.2">
      <c r="A234" s="393"/>
      <c r="B234" s="113" t="s">
        <v>1316</v>
      </c>
      <c r="C234" s="397" t="s">
        <v>1372</v>
      </c>
      <c r="D234" s="435"/>
      <c r="E234" s="427"/>
      <c r="F234" s="87"/>
      <c r="G234" s="55">
        <f>SUMIF(JournalsB!D$14:D$920,TrialBalanceB!M234,JournalsB!J$14:J$920)+SUMIF(JournalsB!E$14:E$920,TrialBalanceB!M234,JournalsB!J$14:J$920)</f>
        <v>0</v>
      </c>
      <c r="H234" s="442"/>
      <c r="I234" s="446">
        <f t="shared" ref="I234" si="53">ROUND(D234-E234+G234+F234,0)</f>
        <v>0</v>
      </c>
      <c r="J234" s="83"/>
      <c r="K234" s="56">
        <f t="shared" ref="K234" si="54">ROUND(SUM(A234),0)</f>
        <v>0</v>
      </c>
      <c r="M234" s="196" t="str">
        <f t="shared" ref="M234" si="55">CONCATENATE(B234,C234)</f>
        <v>6100/005Property - transfer from investment property</v>
      </c>
      <c r="N234" s="78"/>
      <c r="P234" s="79"/>
      <c r="Q234" s="59"/>
      <c r="R234" s="34"/>
    </row>
    <row r="235" spans="1:18" x14ac:dyDescent="0.2">
      <c r="A235" s="393"/>
      <c r="B235" s="62" t="s">
        <v>311</v>
      </c>
      <c r="C235" s="396" t="s">
        <v>1373</v>
      </c>
      <c r="D235" s="436"/>
      <c r="E235" s="427"/>
      <c r="F235" s="87"/>
      <c r="G235" s="55">
        <f>SUMIF(JournalsB!D$14:D$920,TrialBalanceB!M235,JournalsB!J$14:J$920)+SUMIF(JournalsB!E$14:E$920,TrialBalanceB!M235,JournalsB!J$14:J$920)</f>
        <v>0</v>
      </c>
      <c r="H235" s="442"/>
      <c r="I235" s="446">
        <f t="shared" si="39"/>
        <v>0</v>
      </c>
      <c r="J235" s="83"/>
      <c r="K235" s="56">
        <f t="shared" si="45"/>
        <v>0</v>
      </c>
      <c r="M235" s="196" t="str">
        <f t="shared" si="46"/>
        <v>6100/020PROPERTY - ACC DEPR</v>
      </c>
      <c r="N235" s="78"/>
      <c r="P235" s="79"/>
      <c r="Q235" s="59"/>
      <c r="R235" s="34"/>
    </row>
    <row r="236" spans="1:18" x14ac:dyDescent="0.2">
      <c r="A236" s="393"/>
      <c r="B236" s="62" t="s">
        <v>312</v>
      </c>
      <c r="C236" s="397" t="s">
        <v>1374</v>
      </c>
      <c r="D236" s="435"/>
      <c r="E236" s="427"/>
      <c r="F236" s="87">
        <f>SUM(K236:K239)</f>
        <v>0</v>
      </c>
      <c r="G236" s="55">
        <f>SUMIF(JournalsB!D$14:D$920,TrialBalanceB!M236,JournalsB!J$14:J$920)+SUMIF(JournalsB!E$14:E$920,TrialBalanceB!M236,JournalsB!J$14:J$920)</f>
        <v>0</v>
      </c>
      <c r="H236" s="442"/>
      <c r="I236" s="446">
        <f t="shared" si="39"/>
        <v>0</v>
      </c>
      <c r="J236" s="83"/>
      <c r="K236" s="56">
        <f t="shared" si="45"/>
        <v>0</v>
      </c>
      <c r="M236" s="196" t="str">
        <f t="shared" si="46"/>
        <v>6100/021Property - acc depr b/fwd</v>
      </c>
      <c r="N236" s="78"/>
      <c r="P236" s="79"/>
      <c r="Q236" s="59"/>
      <c r="R236" s="34"/>
    </row>
    <row r="237" spans="1:18" x14ac:dyDescent="0.2">
      <c r="A237" s="393"/>
      <c r="B237" s="62" t="s">
        <v>313</v>
      </c>
      <c r="C237" s="397" t="s">
        <v>1375</v>
      </c>
      <c r="D237" s="435"/>
      <c r="E237" s="427"/>
      <c r="F237" s="87"/>
      <c r="G237" s="55">
        <f>SUMIF(JournalsB!D$14:D$920,TrialBalanceB!M237,JournalsB!J$14:J$920)+SUMIF(JournalsB!E$14:E$920,TrialBalanceB!M237,JournalsB!J$14:J$920)</f>
        <v>0</v>
      </c>
      <c r="H237" s="442"/>
      <c r="I237" s="446">
        <f t="shared" si="39"/>
        <v>0</v>
      </c>
      <c r="J237" s="83"/>
      <c r="K237" s="56">
        <f t="shared" si="45"/>
        <v>0</v>
      </c>
      <c r="M237" s="196" t="str">
        <f t="shared" si="46"/>
        <v>6100/022Property - depr this year</v>
      </c>
      <c r="N237" s="78"/>
      <c r="P237" s="79"/>
      <c r="Q237" s="59"/>
      <c r="R237" s="34"/>
    </row>
    <row r="238" spans="1:18" x14ac:dyDescent="0.2">
      <c r="A238" s="393"/>
      <c r="B238" s="62" t="s">
        <v>315</v>
      </c>
      <c r="C238" s="397" t="s">
        <v>1376</v>
      </c>
      <c r="D238" s="435"/>
      <c r="E238" s="427"/>
      <c r="F238" s="87"/>
      <c r="G238" s="55">
        <f>SUMIF(JournalsB!D$14:D$920,TrialBalanceB!M238,JournalsB!J$14:J$920)+SUMIF(JournalsB!E$14:E$920,TrialBalanceB!M238,JournalsB!J$14:J$920)</f>
        <v>0</v>
      </c>
      <c r="H238" s="442"/>
      <c r="I238" s="446">
        <f t="shared" si="39"/>
        <v>0</v>
      </c>
      <c r="J238" s="83"/>
      <c r="K238" s="56">
        <f t="shared" si="45"/>
        <v>0</v>
      </c>
      <c r="M238" s="196" t="str">
        <f t="shared" si="46"/>
        <v>6100/023Property - acc depr on sales</v>
      </c>
      <c r="N238" s="78"/>
      <c r="P238" s="79"/>
      <c r="Q238" s="59"/>
      <c r="R238" s="34"/>
    </row>
    <row r="239" spans="1:18" x14ac:dyDescent="0.2">
      <c r="A239" s="393"/>
      <c r="B239" s="113" t="s">
        <v>1307</v>
      </c>
      <c r="C239" s="397" t="s">
        <v>1377</v>
      </c>
      <c r="D239" s="435"/>
      <c r="E239" s="427"/>
      <c r="F239" s="87"/>
      <c r="G239" s="55">
        <f>SUMIF(JournalsB!D$14:D$920,TrialBalanceB!M239,JournalsB!J$14:J$920)+SUMIF(JournalsB!E$14:E$920,TrialBalanceB!M239,JournalsB!J$14:J$920)</f>
        <v>0</v>
      </c>
      <c r="H239" s="442"/>
      <c r="I239" s="446">
        <f t="shared" ref="I239" si="56">ROUND(D239-E239+G239+F239,0)</f>
        <v>0</v>
      </c>
      <c r="J239" s="83"/>
      <c r="K239" s="56">
        <f t="shared" ref="K239" si="57">ROUND(SUM(A239),0)</f>
        <v>0</v>
      </c>
      <c r="M239" s="196" t="str">
        <f t="shared" ref="M239" si="58">CONCATENATE(B239,C239)</f>
        <v>6100/024Property - recoupment of depr</v>
      </c>
      <c r="N239" s="78"/>
      <c r="P239" s="79"/>
      <c r="Q239" s="59"/>
      <c r="R239" s="34"/>
    </row>
    <row r="240" spans="1:18" x14ac:dyDescent="0.2">
      <c r="A240" s="393"/>
      <c r="B240" s="113" t="s">
        <v>805</v>
      </c>
      <c r="C240" s="396" t="s">
        <v>1233</v>
      </c>
      <c r="D240" s="435"/>
      <c r="E240" s="427"/>
      <c r="F240" s="87"/>
      <c r="G240" s="55">
        <f>SUMIF(JournalsB!D$14:D$920,TrialBalanceB!M240,JournalsB!J$14:J$920)+SUMIF(JournalsB!E$14:E$920,TrialBalanceB!M240,JournalsB!J$14:J$920)</f>
        <v>0</v>
      </c>
      <c r="H240" s="442"/>
      <c r="I240" s="446">
        <f t="shared" ref="I240:I244" si="59">ROUND(D240-E240+G240+F240,0)</f>
        <v>0</v>
      </c>
      <c r="J240" s="83"/>
      <c r="K240" s="56">
        <f t="shared" ref="K240:K244" si="60">ROUND(SUM(A240),0)</f>
        <v>0</v>
      </c>
      <c r="M240" s="196" t="str">
        <f t="shared" ref="M240:M244" si="61">CONCATENATE(B240,C240)</f>
        <v>6100/030INVESTMENT PROPERTY - COST</v>
      </c>
      <c r="N240" s="78"/>
      <c r="P240" s="79"/>
      <c r="Q240" s="59"/>
      <c r="R240" s="34"/>
    </row>
    <row r="241" spans="1:18" x14ac:dyDescent="0.2">
      <c r="A241" s="393"/>
      <c r="B241" s="113" t="s">
        <v>806</v>
      </c>
      <c r="C241" s="397" t="s">
        <v>1234</v>
      </c>
      <c r="D241" s="435"/>
      <c r="E241" s="427"/>
      <c r="F241" s="87">
        <f>SUM(K241:K245)</f>
        <v>0</v>
      </c>
      <c r="G241" s="55">
        <f>SUMIF(JournalsB!D$14:D$920,TrialBalanceB!M241,JournalsB!J$14:J$920)+SUMIF(JournalsB!E$14:E$920,TrialBalanceB!M241,JournalsB!J$14:J$920)</f>
        <v>0</v>
      </c>
      <c r="H241" s="442"/>
      <c r="I241" s="446">
        <f t="shared" si="59"/>
        <v>0</v>
      </c>
      <c r="J241" s="83"/>
      <c r="K241" s="56">
        <f t="shared" si="60"/>
        <v>0</v>
      </c>
      <c r="M241" s="196" t="str">
        <f t="shared" si="61"/>
        <v>6100/031Investment property - cost b/fwd</v>
      </c>
      <c r="N241" s="78"/>
      <c r="P241" s="79"/>
      <c r="Q241" s="59"/>
      <c r="R241" s="34"/>
    </row>
    <row r="242" spans="1:18" x14ac:dyDescent="0.2">
      <c r="A242" s="393"/>
      <c r="B242" s="113" t="s">
        <v>807</v>
      </c>
      <c r="C242" s="397" t="s">
        <v>1235</v>
      </c>
      <c r="D242" s="435"/>
      <c r="E242" s="427"/>
      <c r="F242" s="87"/>
      <c r="G242" s="55">
        <f>SUMIF(JournalsB!D$14:D$920,TrialBalanceB!M242,JournalsB!J$14:J$920)+SUMIF(JournalsB!E$14:E$920,TrialBalanceB!M242,JournalsB!J$14:J$920)</f>
        <v>0</v>
      </c>
      <c r="H242" s="442"/>
      <c r="I242" s="446">
        <f t="shared" si="59"/>
        <v>0</v>
      </c>
      <c r="J242" s="83"/>
      <c r="K242" s="56">
        <f t="shared" si="60"/>
        <v>0</v>
      </c>
      <c r="M242" s="196" t="str">
        <f t="shared" si="61"/>
        <v>6100/032Investment property - additions</v>
      </c>
      <c r="N242" s="78"/>
      <c r="P242" s="79"/>
      <c r="Q242" s="59"/>
      <c r="R242" s="34"/>
    </row>
    <row r="243" spans="1:18" x14ac:dyDescent="0.2">
      <c r="A243" s="393"/>
      <c r="B243" s="113" t="s">
        <v>808</v>
      </c>
      <c r="C243" s="397" t="s">
        <v>1236</v>
      </c>
      <c r="D243" s="435"/>
      <c r="E243" s="427"/>
      <c r="F243" s="87"/>
      <c r="G243" s="55">
        <f>SUMIF(JournalsB!D$14:D$920,TrialBalanceB!M243,JournalsB!J$14:J$920)+SUMIF(JournalsB!E$14:E$920,TrialBalanceB!M243,JournalsB!J$14:J$920)</f>
        <v>0</v>
      </c>
      <c r="H243" s="442"/>
      <c r="I243" s="446">
        <f t="shared" si="59"/>
        <v>0</v>
      </c>
      <c r="J243" s="83"/>
      <c r="K243" s="56">
        <f t="shared" si="60"/>
        <v>0</v>
      </c>
      <c r="M243" s="196" t="str">
        <f t="shared" si="61"/>
        <v>6100/033Investment property - cost of sales</v>
      </c>
      <c r="N243" s="78"/>
      <c r="P243" s="79"/>
      <c r="Q243" s="59"/>
      <c r="R243" s="34"/>
    </row>
    <row r="244" spans="1:18" x14ac:dyDescent="0.2">
      <c r="A244" s="393"/>
      <c r="B244" s="113" t="s">
        <v>1299</v>
      </c>
      <c r="C244" s="397" t="s">
        <v>1237</v>
      </c>
      <c r="D244" s="435"/>
      <c r="E244" s="427"/>
      <c r="F244" s="87"/>
      <c r="G244" s="55">
        <f>SUMIF(JournalsB!D$14:D$920,TrialBalanceB!M244,JournalsB!J$14:J$920)+SUMIF(JournalsB!E$14:E$920,TrialBalanceB!M244,JournalsB!J$14:J$920)</f>
        <v>0</v>
      </c>
      <c r="H244" s="442"/>
      <c r="I244" s="446">
        <f t="shared" si="59"/>
        <v>0</v>
      </c>
      <c r="J244" s="83"/>
      <c r="K244" s="56">
        <f t="shared" si="60"/>
        <v>0</v>
      </c>
      <c r="M244" s="196" t="str">
        <f t="shared" si="61"/>
        <v>6100/034Investment property - transfer from property</v>
      </c>
      <c r="N244" s="78"/>
      <c r="P244" s="79"/>
      <c r="Q244" s="59"/>
      <c r="R244" s="34"/>
    </row>
    <row r="245" spans="1:18" x14ac:dyDescent="0.2">
      <c r="A245" s="393"/>
      <c r="B245" s="113" t="s">
        <v>1317</v>
      </c>
      <c r="C245" s="397" t="s">
        <v>1318</v>
      </c>
      <c r="D245" s="435"/>
      <c r="E245" s="427"/>
      <c r="F245" s="87"/>
      <c r="G245" s="55">
        <f>SUMIF(JournalsB!D$14:D$920,TrialBalanceB!M245,JournalsB!J$14:J$920)+SUMIF(JournalsB!E$14:E$920,TrialBalanceB!M245,JournalsB!J$14:J$920)</f>
        <v>0</v>
      </c>
      <c r="H245" s="442"/>
      <c r="I245" s="446">
        <f t="shared" ref="I245" si="62">ROUND(D245-E245+G245+F245,0)</f>
        <v>0</v>
      </c>
      <c r="J245" s="83"/>
      <c r="K245" s="56">
        <f t="shared" ref="K245" si="63">ROUND(SUM(A245),0)</f>
        <v>0</v>
      </c>
      <c r="M245" s="196" t="str">
        <f t="shared" ref="M245" si="64">CONCATENATE(B245,C245)</f>
        <v>6100/035Investment property - transfer to property</v>
      </c>
      <c r="N245" s="78"/>
      <c r="P245" s="79"/>
      <c r="Q245" s="59"/>
      <c r="R245" s="34"/>
    </row>
    <row r="246" spans="1:18" x14ac:dyDescent="0.2">
      <c r="A246" s="393"/>
      <c r="B246" s="113" t="s">
        <v>1300</v>
      </c>
      <c r="C246" s="396" t="s">
        <v>1304</v>
      </c>
      <c r="D246" s="435"/>
      <c r="E246" s="427"/>
      <c r="F246" s="87"/>
      <c r="G246" s="55">
        <f>SUMIF(JournalsB!D$14:D$920,TrialBalanceB!M246,JournalsB!J$14:J$920)+SUMIF(JournalsB!E$14:E$920,TrialBalanceB!M246,JournalsB!J$14:J$920)</f>
        <v>0</v>
      </c>
      <c r="H246" s="442"/>
      <c r="I246" s="446">
        <f t="shared" ref="I246:I250" si="65">ROUND(D246-E246+G246+F246,0)</f>
        <v>0</v>
      </c>
      <c r="J246" s="83"/>
      <c r="K246" s="56">
        <f t="shared" ref="K246:K250" si="66">ROUND(SUM(A246),0)</f>
        <v>0</v>
      </c>
      <c r="M246" s="196" t="str">
        <f t="shared" ref="M246:M250" si="67">CONCATENATE(B246,C246)</f>
        <v>6100/040INVESTMENT PROPERTY - VALUATION</v>
      </c>
      <c r="N246" s="78"/>
      <c r="P246" s="79"/>
      <c r="Q246" s="59"/>
      <c r="R246" s="34"/>
    </row>
    <row r="247" spans="1:18" x14ac:dyDescent="0.2">
      <c r="A247" s="393"/>
      <c r="B247" s="113" t="s">
        <v>1301</v>
      </c>
      <c r="C247" s="397" t="s">
        <v>1305</v>
      </c>
      <c r="D247" s="435"/>
      <c r="E247" s="427"/>
      <c r="F247" s="87">
        <f>SUM(K247:K250)</f>
        <v>0</v>
      </c>
      <c r="G247" s="55">
        <f>SUMIF(JournalsB!D$14:D$920,TrialBalanceB!M247,JournalsB!J$14:J$920)+SUMIF(JournalsB!E$14:E$920,TrialBalanceB!M247,JournalsB!J$14:J$920)</f>
        <v>0</v>
      </c>
      <c r="H247" s="442"/>
      <c r="I247" s="446">
        <f t="shared" si="65"/>
        <v>0</v>
      </c>
      <c r="J247" s="83"/>
      <c r="K247" s="56">
        <f t="shared" si="66"/>
        <v>0</v>
      </c>
      <c r="M247" s="196" t="str">
        <f t="shared" si="67"/>
        <v>6100/041Investment property - valuation b/fwd</v>
      </c>
      <c r="N247" s="78"/>
      <c r="P247" s="79"/>
      <c r="Q247" s="59"/>
      <c r="R247" s="34"/>
    </row>
    <row r="248" spans="1:18" x14ac:dyDescent="0.2">
      <c r="A248" s="393"/>
      <c r="B248" s="113" t="s">
        <v>1302</v>
      </c>
      <c r="C248" s="397" t="s">
        <v>1306</v>
      </c>
      <c r="D248" s="435"/>
      <c r="E248" s="427"/>
      <c r="F248" s="87"/>
      <c r="G248" s="55">
        <f>SUMIF(JournalsB!D$14:D$920,TrialBalanceB!M248,JournalsB!J$14:J$920)+SUMIF(JournalsB!E$14:E$920,TrialBalanceB!M248,JournalsB!J$14:J$920)</f>
        <v>0</v>
      </c>
      <c r="H248" s="442"/>
      <c r="I248" s="446">
        <f t="shared" si="65"/>
        <v>0</v>
      </c>
      <c r="J248" s="83"/>
      <c r="K248" s="56">
        <f t="shared" si="66"/>
        <v>0</v>
      </c>
      <c r="M248" s="196" t="str">
        <f t="shared" si="67"/>
        <v>6100/042Investment property - valuation additions</v>
      </c>
      <c r="N248" s="78"/>
      <c r="P248" s="79"/>
      <c r="Q248" s="59"/>
      <c r="R248" s="34"/>
    </row>
    <row r="249" spans="1:18" x14ac:dyDescent="0.2">
      <c r="A249" s="393"/>
      <c r="B249" s="113" t="s">
        <v>1303</v>
      </c>
      <c r="C249" s="397" t="s">
        <v>1320</v>
      </c>
      <c r="D249" s="435"/>
      <c r="E249" s="427"/>
      <c r="F249" s="87"/>
      <c r="G249" s="55">
        <f>SUMIF(JournalsB!D$14:D$920,TrialBalanceB!M249,JournalsB!J$14:J$920)+SUMIF(JournalsB!E$14:E$920,TrialBalanceB!M249,JournalsB!J$14:J$920)</f>
        <v>0</v>
      </c>
      <c r="H249" s="442"/>
      <c r="I249" s="446">
        <f t="shared" ref="I249" si="68">ROUND(D249-E249+G249+F249,0)</f>
        <v>0</v>
      </c>
      <c r="J249" s="83"/>
      <c r="K249" s="56">
        <f t="shared" ref="K249" si="69">ROUND(SUM(A249),0)</f>
        <v>0</v>
      </c>
      <c r="M249" s="196" t="str">
        <f t="shared" ref="M249" si="70">CONCATENATE(B249,C249)</f>
        <v>6100/043Investment property - valuation reduction on sales</v>
      </c>
      <c r="N249" s="78"/>
      <c r="P249" s="79"/>
      <c r="Q249" s="59"/>
      <c r="R249" s="34"/>
    </row>
    <row r="250" spans="1:18" x14ac:dyDescent="0.2">
      <c r="A250" s="393"/>
      <c r="B250" s="113" t="s">
        <v>1321</v>
      </c>
      <c r="C250" s="397" t="s">
        <v>1322</v>
      </c>
      <c r="D250" s="435"/>
      <c r="E250" s="427"/>
      <c r="F250" s="87"/>
      <c r="G250" s="55">
        <f>SUMIF(JournalsB!D$14:D$920,TrialBalanceB!M250,JournalsB!J$14:J$920)+SUMIF(JournalsB!E$14:E$920,TrialBalanceB!M250,JournalsB!J$14:J$920)</f>
        <v>0</v>
      </c>
      <c r="H250" s="442"/>
      <c r="I250" s="446">
        <f t="shared" si="65"/>
        <v>0</v>
      </c>
      <c r="J250" s="83"/>
      <c r="K250" s="56">
        <f t="shared" si="66"/>
        <v>0</v>
      </c>
      <c r="M250" s="196" t="str">
        <f t="shared" si="67"/>
        <v>6100/044Investment property - valuation reduction on transfers</v>
      </c>
      <c r="N250" s="78"/>
      <c r="P250" s="79"/>
      <c r="Q250" s="59"/>
      <c r="R250" s="34"/>
    </row>
    <row r="251" spans="1:18" x14ac:dyDescent="0.2">
      <c r="A251" s="393"/>
      <c r="B251" s="62" t="s">
        <v>316</v>
      </c>
      <c r="C251" s="396" t="s">
        <v>943</v>
      </c>
      <c r="D251" s="436"/>
      <c r="E251" s="427"/>
      <c r="F251" s="87"/>
      <c r="G251" s="55">
        <f>SUMIF(JournalsB!D$14:D$920,TrialBalanceB!M251,JournalsB!J$14:J$920)+SUMIF(JournalsB!E$14:E$920,TrialBalanceB!M251,JournalsB!J$14:J$920)</f>
        <v>0</v>
      </c>
      <c r="H251" s="442"/>
      <c r="I251" s="446">
        <f t="shared" si="39"/>
        <v>0</v>
      </c>
      <c r="J251" s="83"/>
      <c r="K251" s="56">
        <f t="shared" si="45"/>
        <v>0</v>
      </c>
      <c r="M251" s="196" t="str">
        <f t="shared" si="46"/>
        <v>6150/000PLANT AND MACHINERY - COST</v>
      </c>
      <c r="N251" s="78"/>
      <c r="P251" s="79"/>
      <c r="Q251" s="59"/>
      <c r="R251" s="34"/>
    </row>
    <row r="252" spans="1:18" x14ac:dyDescent="0.2">
      <c r="A252" s="393"/>
      <c r="B252" s="62" t="s">
        <v>41</v>
      </c>
      <c r="C252" s="397" t="s">
        <v>944</v>
      </c>
      <c r="D252" s="435"/>
      <c r="E252" s="427"/>
      <c r="F252" s="87">
        <f>SUM(K252:K254)</f>
        <v>0</v>
      </c>
      <c r="G252" s="55">
        <f>SUMIF(JournalsB!D$14:D$920,TrialBalanceB!M252,JournalsB!J$14:J$920)+SUMIF(JournalsB!E$14:E$920,TrialBalanceB!M252,JournalsB!J$14:J$920)</f>
        <v>0</v>
      </c>
      <c r="H252" s="442"/>
      <c r="I252" s="446">
        <f t="shared" si="39"/>
        <v>0</v>
      </c>
      <c r="J252" s="83"/>
      <c r="K252" s="56">
        <f t="shared" si="45"/>
        <v>0</v>
      </c>
      <c r="M252" s="196" t="str">
        <f t="shared" si="46"/>
        <v>6150/001Plant and machinery - cost b/fwd</v>
      </c>
      <c r="N252" s="78"/>
      <c r="P252" s="79"/>
      <c r="Q252" s="59"/>
      <c r="R252" s="34"/>
    </row>
    <row r="253" spans="1:18" x14ac:dyDescent="0.2">
      <c r="A253" s="393"/>
      <c r="B253" s="62" t="s">
        <v>42</v>
      </c>
      <c r="C253" s="397" t="s">
        <v>945</v>
      </c>
      <c r="D253" s="435"/>
      <c r="E253" s="427"/>
      <c r="F253" s="87"/>
      <c r="G253" s="55">
        <f>SUMIF(JournalsB!D$14:D$920,TrialBalanceB!M253,JournalsB!J$14:J$920)+SUMIF(JournalsB!E$14:E$920,TrialBalanceB!M253,JournalsB!J$14:J$920)</f>
        <v>0</v>
      </c>
      <c r="H253" s="442"/>
      <c r="I253" s="446">
        <f t="shared" si="39"/>
        <v>0</v>
      </c>
      <c r="J253" s="83"/>
      <c r="K253" s="56">
        <f t="shared" si="45"/>
        <v>0</v>
      </c>
      <c r="M253" s="196" t="str">
        <f t="shared" si="46"/>
        <v>6150/002Plant and machinery - additions</v>
      </c>
      <c r="N253" s="78"/>
      <c r="P253" s="79"/>
      <c r="Q253" s="59"/>
      <c r="R253" s="34"/>
    </row>
    <row r="254" spans="1:18" x14ac:dyDescent="0.2">
      <c r="A254" s="393"/>
      <c r="B254" s="62" t="s">
        <v>43</v>
      </c>
      <c r="C254" s="397" t="s">
        <v>946</v>
      </c>
      <c r="D254" s="435"/>
      <c r="E254" s="427"/>
      <c r="F254" s="87"/>
      <c r="G254" s="55">
        <f>SUMIF(JournalsB!D$14:D$920,TrialBalanceB!M254,JournalsB!J$14:J$920)+SUMIF(JournalsB!E$14:E$920,TrialBalanceB!M254,JournalsB!J$14:J$920)</f>
        <v>0</v>
      </c>
      <c r="H254" s="442"/>
      <c r="I254" s="446">
        <f t="shared" ref="I254:I355" si="71">ROUND(D254-E254+G254+F254,0)</f>
        <v>0</v>
      </c>
      <c r="J254" s="83"/>
      <c r="K254" s="56">
        <f t="shared" si="45"/>
        <v>0</v>
      </c>
      <c r="M254" s="196" t="str">
        <f t="shared" si="46"/>
        <v>6150/003Plant and machinery - cost of sales</v>
      </c>
      <c r="N254" s="78"/>
      <c r="P254" s="79"/>
      <c r="Q254" s="59"/>
      <c r="R254" s="34"/>
    </row>
    <row r="255" spans="1:18" x14ac:dyDescent="0.2">
      <c r="A255" s="393"/>
      <c r="B255" s="62" t="s">
        <v>18</v>
      </c>
      <c r="C255" s="396" t="s">
        <v>947</v>
      </c>
      <c r="D255" s="436"/>
      <c r="E255" s="427"/>
      <c r="F255" s="87"/>
      <c r="G255" s="55">
        <f>SUMIF(JournalsB!D$14:D$920,TrialBalanceB!M255,JournalsB!J$14:J$920)+SUMIF(JournalsB!E$14:E$920,TrialBalanceB!M255,JournalsB!J$14:J$920)</f>
        <v>0</v>
      </c>
      <c r="H255" s="442"/>
      <c r="I255" s="446">
        <f t="shared" si="71"/>
        <v>0</v>
      </c>
      <c r="J255" s="83"/>
      <c r="K255" s="56">
        <f t="shared" si="45"/>
        <v>0</v>
      </c>
      <c r="M255" s="196" t="str">
        <f t="shared" si="46"/>
        <v>6150/020PLANT AND MACHINERY - ACC DEPR</v>
      </c>
      <c r="N255" s="78"/>
      <c r="P255" s="79"/>
      <c r="Q255" s="59"/>
      <c r="R255" s="34"/>
    </row>
    <row r="256" spans="1:18" x14ac:dyDescent="0.2">
      <c r="A256" s="393"/>
      <c r="B256" s="62" t="s">
        <v>19</v>
      </c>
      <c r="C256" s="397" t="s">
        <v>948</v>
      </c>
      <c r="D256" s="435"/>
      <c r="E256" s="427"/>
      <c r="F256" s="87">
        <f>SUM(K256:K258)</f>
        <v>0</v>
      </c>
      <c r="G256" s="55">
        <f>SUMIF(JournalsB!D$14:D$920,TrialBalanceB!M256,JournalsB!J$14:J$920)+SUMIF(JournalsB!E$14:E$920,TrialBalanceB!M256,JournalsB!J$14:J$920)</f>
        <v>0</v>
      </c>
      <c r="H256" s="442"/>
      <c r="I256" s="446">
        <f t="shared" si="71"/>
        <v>0</v>
      </c>
      <c r="J256" s="83"/>
      <c r="K256" s="56">
        <f t="shared" si="45"/>
        <v>0</v>
      </c>
      <c r="M256" s="196" t="str">
        <f t="shared" si="46"/>
        <v>6150/021Plant and machinery - acc depr b/fwd</v>
      </c>
      <c r="N256" s="78"/>
      <c r="P256" s="79"/>
      <c r="Q256" s="59"/>
      <c r="R256" s="34"/>
    </row>
    <row r="257" spans="1:18" x14ac:dyDescent="0.2">
      <c r="A257" s="393"/>
      <c r="B257" s="62" t="s">
        <v>35</v>
      </c>
      <c r="C257" s="397" t="s">
        <v>949</v>
      </c>
      <c r="D257" s="435"/>
      <c r="E257" s="427"/>
      <c r="F257" s="87"/>
      <c r="G257" s="55">
        <f>SUMIF(JournalsB!D$14:D$920,TrialBalanceB!M257,JournalsB!J$14:J$920)+SUMIF(JournalsB!E$14:E$920,TrialBalanceB!M257,JournalsB!J$14:J$920)</f>
        <v>0</v>
      </c>
      <c r="H257" s="442"/>
      <c r="I257" s="446">
        <f t="shared" si="71"/>
        <v>0</v>
      </c>
      <c r="J257" s="83"/>
      <c r="K257" s="56">
        <f t="shared" si="45"/>
        <v>0</v>
      </c>
      <c r="M257" s="196" t="str">
        <f t="shared" si="46"/>
        <v>6150/022Plant and machinery - depr this year</v>
      </c>
      <c r="N257" s="78"/>
      <c r="P257" s="79"/>
      <c r="Q257" s="59"/>
      <c r="R257" s="34"/>
    </row>
    <row r="258" spans="1:18" x14ac:dyDescent="0.2">
      <c r="A258" s="393"/>
      <c r="B258" s="62" t="s">
        <v>36</v>
      </c>
      <c r="C258" s="397" t="s">
        <v>950</v>
      </c>
      <c r="D258" s="435"/>
      <c r="E258" s="427"/>
      <c r="F258" s="87"/>
      <c r="G258" s="55">
        <f>SUMIF(JournalsB!D$14:D$920,TrialBalanceB!M258,JournalsB!J$14:J$920)+SUMIF(JournalsB!E$14:E$920,TrialBalanceB!M258,JournalsB!J$14:J$920)</f>
        <v>0</v>
      </c>
      <c r="H258" s="442"/>
      <c r="I258" s="446">
        <f t="shared" si="71"/>
        <v>0</v>
      </c>
      <c r="J258" s="83"/>
      <c r="K258" s="56">
        <f t="shared" si="45"/>
        <v>0</v>
      </c>
      <c r="M258" s="196" t="str">
        <f t="shared" si="46"/>
        <v>6150/023Plant and machinery - acc depr on sales</v>
      </c>
      <c r="N258" s="78"/>
      <c r="P258" s="79"/>
      <c r="Q258" s="59"/>
      <c r="R258" s="34"/>
    </row>
    <row r="259" spans="1:18" x14ac:dyDescent="0.2">
      <c r="A259" s="393"/>
      <c r="B259" s="62" t="s">
        <v>37</v>
      </c>
      <c r="C259" s="396" t="s">
        <v>38</v>
      </c>
      <c r="D259" s="436"/>
      <c r="E259" s="427"/>
      <c r="F259" s="87"/>
      <c r="G259" s="55">
        <f>SUMIF(JournalsB!D$14:D$920,TrialBalanceB!M259,JournalsB!J$14:J$920)+SUMIF(JournalsB!E$14:E$920,TrialBalanceB!M259,JournalsB!J$14:J$920)</f>
        <v>0</v>
      </c>
      <c r="H259" s="442"/>
      <c r="I259" s="446">
        <f t="shared" si="71"/>
        <v>0</v>
      </c>
      <c r="J259" s="83"/>
      <c r="K259" s="56">
        <f t="shared" si="45"/>
        <v>0</v>
      </c>
      <c r="M259" s="196" t="str">
        <f t="shared" si="46"/>
        <v>6200/000MOTOR VEHICLES - COST</v>
      </c>
      <c r="N259" s="78"/>
      <c r="P259" s="79"/>
      <c r="Q259" s="59"/>
      <c r="R259" s="34"/>
    </row>
    <row r="260" spans="1:18" x14ac:dyDescent="0.2">
      <c r="A260" s="393"/>
      <c r="B260" s="62" t="s">
        <v>39</v>
      </c>
      <c r="C260" s="397" t="s">
        <v>951</v>
      </c>
      <c r="D260" s="435"/>
      <c r="E260" s="427"/>
      <c r="F260" s="87">
        <f>SUM(K260:K262)</f>
        <v>0</v>
      </c>
      <c r="G260" s="55">
        <f>SUMIF(JournalsB!D$14:D$920,TrialBalanceB!M260,JournalsB!J$14:J$920)+SUMIF(JournalsB!E$14:E$920,TrialBalanceB!M260,JournalsB!J$14:J$920)</f>
        <v>0</v>
      </c>
      <c r="H260" s="442"/>
      <c r="I260" s="446">
        <f t="shared" si="71"/>
        <v>0</v>
      </c>
      <c r="J260" s="83"/>
      <c r="K260" s="56">
        <f t="shared" si="45"/>
        <v>0</v>
      </c>
      <c r="M260" s="196" t="str">
        <f t="shared" si="46"/>
        <v>6200/001Motor vehicles - cost b/fwd</v>
      </c>
      <c r="N260" s="78"/>
      <c r="P260" s="79"/>
      <c r="Q260" s="59"/>
      <c r="R260" s="34"/>
    </row>
    <row r="261" spans="1:18" x14ac:dyDescent="0.2">
      <c r="A261" s="393"/>
      <c r="B261" s="62" t="s">
        <v>40</v>
      </c>
      <c r="C261" s="397" t="s">
        <v>952</v>
      </c>
      <c r="D261" s="435"/>
      <c r="E261" s="427"/>
      <c r="F261" s="87"/>
      <c r="G261" s="55">
        <f>SUMIF(JournalsB!D$14:D$920,TrialBalanceB!M261,JournalsB!J$14:J$920)+SUMIF(JournalsB!E$14:E$920,TrialBalanceB!M261,JournalsB!J$14:J$920)</f>
        <v>0</v>
      </c>
      <c r="H261" s="442"/>
      <c r="I261" s="446">
        <f t="shared" si="71"/>
        <v>0</v>
      </c>
      <c r="J261" s="83"/>
      <c r="K261" s="56">
        <f t="shared" si="45"/>
        <v>0</v>
      </c>
      <c r="M261" s="196" t="str">
        <f t="shared" si="46"/>
        <v>6200/002Motor vehicles - additions</v>
      </c>
      <c r="N261" s="78"/>
      <c r="P261" s="79"/>
      <c r="Q261" s="59"/>
      <c r="R261" s="34"/>
    </row>
    <row r="262" spans="1:18" x14ac:dyDescent="0.2">
      <c r="A262" s="393"/>
      <c r="B262" s="62" t="s">
        <v>518</v>
      </c>
      <c r="C262" s="397" t="s">
        <v>953</v>
      </c>
      <c r="D262" s="435"/>
      <c r="E262" s="427"/>
      <c r="F262" s="87"/>
      <c r="G262" s="55">
        <f>SUMIF(JournalsB!D$14:D$920,TrialBalanceB!M262,JournalsB!J$14:J$920)+SUMIF(JournalsB!E$14:E$920,TrialBalanceB!M262,JournalsB!J$14:J$920)</f>
        <v>0</v>
      </c>
      <c r="H262" s="442"/>
      <c r="I262" s="446">
        <f t="shared" si="71"/>
        <v>0</v>
      </c>
      <c r="J262" s="83"/>
      <c r="K262" s="56">
        <f t="shared" si="45"/>
        <v>0</v>
      </c>
      <c r="M262" s="196" t="str">
        <f t="shared" si="46"/>
        <v>6200/003Motor vehicles - cost of sales</v>
      </c>
      <c r="N262" s="78"/>
      <c r="P262" s="79"/>
      <c r="Q262" s="59"/>
      <c r="R262" s="34"/>
    </row>
    <row r="263" spans="1:18" x14ac:dyDescent="0.2">
      <c r="A263" s="393"/>
      <c r="B263" s="62" t="s">
        <v>0</v>
      </c>
      <c r="C263" s="396" t="s">
        <v>1</v>
      </c>
      <c r="D263" s="436"/>
      <c r="E263" s="427"/>
      <c r="F263" s="87"/>
      <c r="G263" s="55">
        <f>SUMIF(JournalsB!D$14:D$920,TrialBalanceB!M263,JournalsB!J$14:J$920)+SUMIF(JournalsB!E$14:E$920,TrialBalanceB!M263,JournalsB!J$14:J$920)</f>
        <v>0</v>
      </c>
      <c r="H263" s="442"/>
      <c r="I263" s="446">
        <f t="shared" si="71"/>
        <v>0</v>
      </c>
      <c r="J263" s="83"/>
      <c r="K263" s="56">
        <f t="shared" si="45"/>
        <v>0</v>
      </c>
      <c r="M263" s="196" t="str">
        <f t="shared" si="46"/>
        <v>6200/020MOTOR VEHICLES - ACC DEPR</v>
      </c>
      <c r="N263" s="78"/>
      <c r="P263" s="79"/>
      <c r="Q263" s="59"/>
      <c r="R263" s="34"/>
    </row>
    <row r="264" spans="1:18" x14ac:dyDescent="0.2">
      <c r="A264" s="393"/>
      <c r="B264" s="62" t="s">
        <v>2</v>
      </c>
      <c r="C264" s="397" t="s">
        <v>954</v>
      </c>
      <c r="D264" s="435"/>
      <c r="E264" s="427"/>
      <c r="F264" s="87">
        <f>SUM(K264:K266)</f>
        <v>0</v>
      </c>
      <c r="G264" s="55">
        <f>SUMIF(JournalsB!D$14:D$920,TrialBalanceB!M264,JournalsB!J$14:J$920)+SUMIF(JournalsB!E$14:E$920,TrialBalanceB!M264,JournalsB!J$14:J$920)</f>
        <v>0</v>
      </c>
      <c r="H264" s="442"/>
      <c r="I264" s="446">
        <f t="shared" si="71"/>
        <v>0</v>
      </c>
      <c r="J264" s="83"/>
      <c r="K264" s="56">
        <f t="shared" si="45"/>
        <v>0</v>
      </c>
      <c r="M264" s="196" t="str">
        <f t="shared" si="46"/>
        <v>6200/021Motor vehicles - acc depr b/fwd</v>
      </c>
      <c r="N264" s="78"/>
      <c r="P264" s="79"/>
      <c r="Q264" s="59"/>
      <c r="R264" s="34"/>
    </row>
    <row r="265" spans="1:18" x14ac:dyDescent="0.2">
      <c r="A265" s="393"/>
      <c r="B265" s="62" t="s">
        <v>3</v>
      </c>
      <c r="C265" s="397" t="s">
        <v>955</v>
      </c>
      <c r="D265" s="435"/>
      <c r="E265" s="427"/>
      <c r="F265" s="87"/>
      <c r="G265" s="55">
        <f>SUMIF(JournalsB!D$14:D$920,TrialBalanceB!M265,JournalsB!J$14:J$920)+SUMIF(JournalsB!E$14:E$920,TrialBalanceB!M265,JournalsB!J$14:J$920)</f>
        <v>0</v>
      </c>
      <c r="H265" s="442"/>
      <c r="I265" s="446">
        <f t="shared" si="71"/>
        <v>0</v>
      </c>
      <c r="J265" s="83"/>
      <c r="K265" s="56">
        <f t="shared" si="45"/>
        <v>0</v>
      </c>
      <c r="M265" s="196" t="str">
        <f t="shared" si="46"/>
        <v>6200/022Motor vehicles - depr this year</v>
      </c>
      <c r="N265" s="78"/>
      <c r="P265" s="79"/>
      <c r="Q265" s="59"/>
      <c r="R265" s="34"/>
    </row>
    <row r="266" spans="1:18" x14ac:dyDescent="0.2">
      <c r="A266" s="393"/>
      <c r="B266" s="62" t="s">
        <v>4</v>
      </c>
      <c r="C266" s="397" t="s">
        <v>956</v>
      </c>
      <c r="D266" s="435"/>
      <c r="E266" s="427"/>
      <c r="F266" s="87"/>
      <c r="G266" s="55">
        <f>SUMIF(JournalsB!D$14:D$920,TrialBalanceB!M266,JournalsB!J$14:J$920)+SUMIF(JournalsB!E$14:E$920,TrialBalanceB!M266,JournalsB!J$14:J$920)</f>
        <v>0</v>
      </c>
      <c r="H266" s="442"/>
      <c r="I266" s="446">
        <f t="shared" si="71"/>
        <v>0</v>
      </c>
      <c r="J266" s="83"/>
      <c r="K266" s="56">
        <f t="shared" si="45"/>
        <v>0</v>
      </c>
      <c r="M266" s="196" t="str">
        <f t="shared" si="46"/>
        <v>6200/023Motor vehicles - acc depr on sales</v>
      </c>
      <c r="N266" s="78"/>
      <c r="P266" s="79"/>
      <c r="Q266" s="59"/>
      <c r="R266" s="34"/>
    </row>
    <row r="267" spans="1:18" x14ac:dyDescent="0.2">
      <c r="A267" s="393"/>
      <c r="B267" s="62" t="s">
        <v>5</v>
      </c>
      <c r="C267" s="396" t="s">
        <v>135</v>
      </c>
      <c r="D267" s="436"/>
      <c r="E267" s="427"/>
      <c r="F267" s="87"/>
      <c r="G267" s="55">
        <f>SUMIF(JournalsB!D$14:D$920,TrialBalanceB!M267,JournalsB!J$14:J$920)+SUMIF(JournalsB!E$14:E$920,TrialBalanceB!M267,JournalsB!J$14:J$920)</f>
        <v>0</v>
      </c>
      <c r="H267" s="442"/>
      <c r="I267" s="446">
        <f t="shared" si="71"/>
        <v>0</v>
      </c>
      <c r="J267" s="83"/>
      <c r="K267" s="56">
        <f t="shared" si="45"/>
        <v>0</v>
      </c>
      <c r="M267" s="196" t="str">
        <f t="shared" si="46"/>
        <v>6250/000ELECTRONIC EQUIPMENT - COST</v>
      </c>
      <c r="N267" s="78"/>
      <c r="P267" s="79"/>
      <c r="Q267" s="59"/>
      <c r="R267" s="34"/>
    </row>
    <row r="268" spans="1:18" x14ac:dyDescent="0.2">
      <c r="A268" s="393"/>
      <c r="B268" s="62" t="s">
        <v>6</v>
      </c>
      <c r="C268" s="397" t="s">
        <v>957</v>
      </c>
      <c r="D268" s="435"/>
      <c r="E268" s="427"/>
      <c r="F268" s="87">
        <f>SUM(K268:K270)</f>
        <v>0</v>
      </c>
      <c r="G268" s="55">
        <f>SUMIF(JournalsB!D$14:D$920,TrialBalanceB!M268,JournalsB!J$14:J$920)+SUMIF(JournalsB!E$14:E$920,TrialBalanceB!M268,JournalsB!J$14:J$920)</f>
        <v>0</v>
      </c>
      <c r="H268" s="442"/>
      <c r="I268" s="446">
        <f t="shared" si="71"/>
        <v>0</v>
      </c>
      <c r="J268" s="83"/>
      <c r="K268" s="56">
        <f t="shared" si="45"/>
        <v>0</v>
      </c>
      <c r="M268" s="196" t="str">
        <f t="shared" si="46"/>
        <v>6250/001Electronic equipment - cost b/fwd</v>
      </c>
      <c r="N268" s="78"/>
      <c r="P268" s="79"/>
      <c r="Q268" s="59"/>
      <c r="R268" s="34"/>
    </row>
    <row r="269" spans="1:18" x14ac:dyDescent="0.2">
      <c r="A269" s="393"/>
      <c r="B269" s="62" t="s">
        <v>7</v>
      </c>
      <c r="C269" s="397" t="s">
        <v>958</v>
      </c>
      <c r="D269" s="435"/>
      <c r="E269" s="427"/>
      <c r="F269" s="87"/>
      <c r="G269" s="55">
        <f>SUMIF(JournalsB!D$14:D$920,TrialBalanceB!M269,JournalsB!J$14:J$920)+SUMIF(JournalsB!E$14:E$920,TrialBalanceB!M269,JournalsB!J$14:J$920)</f>
        <v>0</v>
      </c>
      <c r="H269" s="442"/>
      <c r="I269" s="446">
        <f t="shared" si="71"/>
        <v>0</v>
      </c>
      <c r="J269" s="83"/>
      <c r="K269" s="56">
        <f t="shared" si="45"/>
        <v>0</v>
      </c>
      <c r="M269" s="196" t="str">
        <f t="shared" si="46"/>
        <v>6250/002Electronic equipment - additions</v>
      </c>
      <c r="N269" s="78"/>
      <c r="P269" s="79"/>
      <c r="Q269" s="59"/>
      <c r="R269" s="34"/>
    </row>
    <row r="270" spans="1:18" x14ac:dyDescent="0.2">
      <c r="A270" s="393"/>
      <c r="B270" s="62" t="s">
        <v>8</v>
      </c>
      <c r="C270" s="397" t="s">
        <v>959</v>
      </c>
      <c r="D270" s="435"/>
      <c r="E270" s="427"/>
      <c r="F270" s="87"/>
      <c r="G270" s="55">
        <f>SUMIF(JournalsB!D$14:D$920,TrialBalanceB!M270,JournalsB!J$14:J$920)+SUMIF(JournalsB!E$14:E$920,TrialBalanceB!M270,JournalsB!J$14:J$920)</f>
        <v>0</v>
      </c>
      <c r="H270" s="442"/>
      <c r="I270" s="446">
        <f t="shared" si="71"/>
        <v>0</v>
      </c>
      <c r="J270" s="83"/>
      <c r="K270" s="56">
        <f t="shared" si="45"/>
        <v>0</v>
      </c>
      <c r="M270" s="196" t="str">
        <f t="shared" si="46"/>
        <v>6250/003Electronic equipment - cost of sales</v>
      </c>
      <c r="N270" s="78"/>
      <c r="P270" s="79"/>
      <c r="Q270" s="59"/>
      <c r="R270" s="34"/>
    </row>
    <row r="271" spans="1:18" x14ac:dyDescent="0.2">
      <c r="A271" s="393"/>
      <c r="B271" s="62" t="s">
        <v>9</v>
      </c>
      <c r="C271" s="396" t="s">
        <v>136</v>
      </c>
      <c r="D271" s="436"/>
      <c r="E271" s="427"/>
      <c r="F271" s="87"/>
      <c r="G271" s="55">
        <f>SUMIF(JournalsB!D$14:D$920,TrialBalanceB!M271,JournalsB!J$14:J$920)+SUMIF(JournalsB!E$14:E$920,TrialBalanceB!M271,JournalsB!J$14:J$920)</f>
        <v>0</v>
      </c>
      <c r="H271" s="442"/>
      <c r="I271" s="446">
        <f t="shared" si="71"/>
        <v>0</v>
      </c>
      <c r="J271" s="83"/>
      <c r="K271" s="56">
        <f t="shared" si="45"/>
        <v>0</v>
      </c>
      <c r="M271" s="196" t="str">
        <f t="shared" si="46"/>
        <v>6250/020ELECTRONIC EQUIPMENT - ACC DEPR</v>
      </c>
      <c r="N271" s="78"/>
      <c r="P271" s="79"/>
      <c r="Q271" s="59"/>
      <c r="R271" s="34"/>
    </row>
    <row r="272" spans="1:18" x14ac:dyDescent="0.2">
      <c r="A272" s="393"/>
      <c r="B272" s="62" t="s">
        <v>10</v>
      </c>
      <c r="C272" s="397" t="s">
        <v>960</v>
      </c>
      <c r="D272" s="435"/>
      <c r="E272" s="427"/>
      <c r="F272" s="87">
        <f>SUM(K272:K274)</f>
        <v>0</v>
      </c>
      <c r="G272" s="55">
        <f>SUMIF(JournalsB!D$14:D$920,TrialBalanceB!M272,JournalsB!J$14:J$920)+SUMIF(JournalsB!E$14:E$920,TrialBalanceB!M272,JournalsB!J$14:J$920)</f>
        <v>0</v>
      </c>
      <c r="H272" s="442"/>
      <c r="I272" s="446">
        <f t="shared" si="71"/>
        <v>0</v>
      </c>
      <c r="J272" s="83"/>
      <c r="K272" s="56">
        <f t="shared" si="45"/>
        <v>0</v>
      </c>
      <c r="M272" s="196" t="str">
        <f t="shared" si="46"/>
        <v>6250/021Electronic equipment - acc depr b/fwd</v>
      </c>
      <c r="N272" s="78"/>
      <c r="P272" s="79"/>
      <c r="Q272" s="59"/>
      <c r="R272" s="34"/>
    </row>
    <row r="273" spans="1:18" x14ac:dyDescent="0.2">
      <c r="A273" s="393"/>
      <c r="B273" s="62" t="s">
        <v>11</v>
      </c>
      <c r="C273" s="397" t="s">
        <v>961</v>
      </c>
      <c r="D273" s="435"/>
      <c r="E273" s="427"/>
      <c r="F273" s="87"/>
      <c r="G273" s="55">
        <f>SUMIF(JournalsB!D$14:D$920,TrialBalanceB!M273,JournalsB!J$14:J$920)+SUMIF(JournalsB!E$14:E$920,TrialBalanceB!M273,JournalsB!J$14:J$920)</f>
        <v>0</v>
      </c>
      <c r="H273" s="442"/>
      <c r="I273" s="446">
        <f t="shared" si="71"/>
        <v>0</v>
      </c>
      <c r="J273" s="83"/>
      <c r="K273" s="56">
        <f t="shared" si="45"/>
        <v>0</v>
      </c>
      <c r="M273" s="196" t="str">
        <f t="shared" si="46"/>
        <v>6250/022Electronic equipment - depr this year</v>
      </c>
      <c r="N273" s="78"/>
      <c r="P273" s="79"/>
      <c r="Q273" s="59"/>
      <c r="R273" s="34"/>
    </row>
    <row r="274" spans="1:18" x14ac:dyDescent="0.2">
      <c r="A274" s="393"/>
      <c r="B274" s="62" t="s">
        <v>12</v>
      </c>
      <c r="C274" s="397" t="s">
        <v>962</v>
      </c>
      <c r="D274" s="435"/>
      <c r="E274" s="427"/>
      <c r="F274" s="87"/>
      <c r="G274" s="55">
        <f>SUMIF(JournalsB!D$14:D$920,TrialBalanceB!M274,JournalsB!J$14:J$920)+SUMIF(JournalsB!E$14:E$920,TrialBalanceB!M274,JournalsB!J$14:J$920)</f>
        <v>0</v>
      </c>
      <c r="H274" s="442"/>
      <c r="I274" s="446">
        <f t="shared" si="71"/>
        <v>0</v>
      </c>
      <c r="J274" s="83"/>
      <c r="K274" s="56">
        <f t="shared" si="45"/>
        <v>0</v>
      </c>
      <c r="M274" s="196" t="str">
        <f t="shared" si="46"/>
        <v>6250/023Electronic equipment - acc depr on sales</v>
      </c>
      <c r="N274" s="78"/>
      <c r="P274" s="79"/>
      <c r="Q274" s="59"/>
      <c r="R274" s="34"/>
    </row>
    <row r="275" spans="1:18" x14ac:dyDescent="0.2">
      <c r="A275" s="393"/>
      <c r="B275" s="62" t="s">
        <v>14</v>
      </c>
      <c r="C275" s="396" t="s">
        <v>963</v>
      </c>
      <c r="D275" s="436"/>
      <c r="E275" s="427"/>
      <c r="F275" s="87"/>
      <c r="G275" s="55">
        <f>SUMIF(JournalsB!D$14:D$920,TrialBalanceB!M275,JournalsB!J$14:J$920)+SUMIF(JournalsB!E$14:E$920,TrialBalanceB!M275,JournalsB!J$14:J$920)</f>
        <v>0</v>
      </c>
      <c r="H275" s="442"/>
      <c r="I275" s="446">
        <f t="shared" si="71"/>
        <v>0</v>
      </c>
      <c r="J275" s="83"/>
      <c r="K275" s="56">
        <f t="shared" si="45"/>
        <v>0</v>
      </c>
      <c r="M275" s="196" t="str">
        <f t="shared" si="46"/>
        <v>6350/000FURNITURE AND FITTINGS - COST</v>
      </c>
      <c r="N275" s="78"/>
      <c r="P275" s="79"/>
      <c r="Q275" s="59"/>
      <c r="R275" s="34"/>
    </row>
    <row r="276" spans="1:18" x14ac:dyDescent="0.2">
      <c r="A276" s="393"/>
      <c r="B276" s="62" t="s">
        <v>15</v>
      </c>
      <c r="C276" s="397" t="s">
        <v>964</v>
      </c>
      <c r="D276" s="435"/>
      <c r="E276" s="427"/>
      <c r="F276" s="87">
        <f>SUM(K276:K278)</f>
        <v>0</v>
      </c>
      <c r="G276" s="55">
        <f>SUMIF(JournalsB!D$14:D$920,TrialBalanceB!M276,JournalsB!J$14:J$920)+SUMIF(JournalsB!E$14:E$920,TrialBalanceB!M276,JournalsB!J$14:J$920)</f>
        <v>0</v>
      </c>
      <c r="H276" s="442"/>
      <c r="I276" s="446">
        <f t="shared" si="71"/>
        <v>0</v>
      </c>
      <c r="J276" s="83"/>
      <c r="K276" s="56">
        <f t="shared" si="45"/>
        <v>0</v>
      </c>
      <c r="M276" s="196" t="str">
        <f t="shared" si="46"/>
        <v>6350/001Furniture and fittings - cost b/fwd</v>
      </c>
      <c r="N276" s="78"/>
      <c r="P276" s="79"/>
      <c r="Q276" s="59"/>
      <c r="R276" s="34"/>
    </row>
    <row r="277" spans="1:18" x14ac:dyDescent="0.2">
      <c r="A277" s="393"/>
      <c r="B277" s="62" t="s">
        <v>462</v>
      </c>
      <c r="C277" s="397" t="s">
        <v>965</v>
      </c>
      <c r="D277" s="435"/>
      <c r="E277" s="427"/>
      <c r="F277" s="87"/>
      <c r="G277" s="55">
        <f>SUMIF(JournalsB!D$14:D$920,TrialBalanceB!M277,JournalsB!J$14:J$920)+SUMIF(JournalsB!E$14:E$920,TrialBalanceB!M277,JournalsB!J$14:J$920)</f>
        <v>0</v>
      </c>
      <c r="H277" s="442"/>
      <c r="I277" s="446">
        <f t="shared" si="71"/>
        <v>0</v>
      </c>
      <c r="J277" s="83"/>
      <c r="K277" s="56">
        <f t="shared" si="45"/>
        <v>0</v>
      </c>
      <c r="M277" s="196" t="str">
        <f t="shared" si="46"/>
        <v>6350/002Furniture and fittings - additions</v>
      </c>
      <c r="N277" s="78"/>
      <c r="P277" s="79"/>
      <c r="Q277" s="59"/>
      <c r="R277" s="34"/>
    </row>
    <row r="278" spans="1:18" x14ac:dyDescent="0.2">
      <c r="A278" s="393"/>
      <c r="B278" s="62" t="s">
        <v>478</v>
      </c>
      <c r="C278" s="397" t="s">
        <v>966</v>
      </c>
      <c r="D278" s="435"/>
      <c r="E278" s="427"/>
      <c r="F278" s="87"/>
      <c r="G278" s="55">
        <f>SUMIF(JournalsB!D$14:D$920,TrialBalanceB!M278,JournalsB!J$14:J$920)+SUMIF(JournalsB!E$14:E$920,TrialBalanceB!M278,JournalsB!J$14:J$920)</f>
        <v>0</v>
      </c>
      <c r="H278" s="442"/>
      <c r="I278" s="446">
        <f t="shared" si="71"/>
        <v>0</v>
      </c>
      <c r="J278" s="83"/>
      <c r="K278" s="56">
        <f t="shared" si="45"/>
        <v>0</v>
      </c>
      <c r="M278" s="196" t="str">
        <f t="shared" si="46"/>
        <v>6350/003Furniture and fittings - cost of sales</v>
      </c>
      <c r="N278" s="78"/>
      <c r="P278" s="79"/>
      <c r="Q278" s="59"/>
      <c r="R278" s="34"/>
    </row>
    <row r="279" spans="1:18" x14ac:dyDescent="0.2">
      <c r="A279" s="393"/>
      <c r="B279" s="62" t="s">
        <v>300</v>
      </c>
      <c r="C279" s="396" t="s">
        <v>967</v>
      </c>
      <c r="D279" s="436"/>
      <c r="E279" s="427"/>
      <c r="F279" s="87"/>
      <c r="G279" s="55">
        <f>SUMIF(JournalsB!D$14:D$920,TrialBalanceB!M279,JournalsB!J$14:J$920)+SUMIF(JournalsB!E$14:E$920,TrialBalanceB!M279,JournalsB!J$14:J$920)</f>
        <v>0</v>
      </c>
      <c r="H279" s="442"/>
      <c r="I279" s="446">
        <f t="shared" si="71"/>
        <v>0</v>
      </c>
      <c r="J279" s="83"/>
      <c r="K279" s="56">
        <f t="shared" si="45"/>
        <v>0</v>
      </c>
      <c r="M279" s="196" t="str">
        <f t="shared" si="46"/>
        <v>6350/020FURNITURE AND FITTINGS - ACC DEPR</v>
      </c>
      <c r="N279" s="78"/>
      <c r="P279" s="79"/>
      <c r="Q279" s="59"/>
      <c r="R279" s="34"/>
    </row>
    <row r="280" spans="1:18" x14ac:dyDescent="0.2">
      <c r="A280" s="393"/>
      <c r="B280" s="62" t="s">
        <v>168</v>
      </c>
      <c r="C280" s="397" t="s">
        <v>968</v>
      </c>
      <c r="D280" s="435"/>
      <c r="E280" s="427"/>
      <c r="F280" s="87">
        <f>SUM(K280:K282)</f>
        <v>0</v>
      </c>
      <c r="G280" s="55">
        <f>SUMIF(JournalsB!D$14:D$920,TrialBalanceB!M280,JournalsB!J$14:J$920)+SUMIF(JournalsB!E$14:E$920,TrialBalanceB!M280,JournalsB!J$14:J$920)</f>
        <v>0</v>
      </c>
      <c r="H280" s="442"/>
      <c r="I280" s="446">
        <f t="shared" si="71"/>
        <v>0</v>
      </c>
      <c r="J280" s="83"/>
      <c r="K280" s="56">
        <f t="shared" si="45"/>
        <v>0</v>
      </c>
      <c r="M280" s="196" t="str">
        <f t="shared" si="46"/>
        <v>6350/021Furniture and fittings - acc depr b/fwd</v>
      </c>
      <c r="N280" s="78"/>
      <c r="P280" s="79"/>
      <c r="Q280" s="59"/>
      <c r="R280" s="34"/>
    </row>
    <row r="281" spans="1:18" x14ac:dyDescent="0.2">
      <c r="A281" s="393"/>
      <c r="B281" s="62" t="s">
        <v>169</v>
      </c>
      <c r="C281" s="397" t="s">
        <v>969</v>
      </c>
      <c r="D281" s="435"/>
      <c r="E281" s="427"/>
      <c r="F281" s="87"/>
      <c r="G281" s="55">
        <f>SUMIF(JournalsB!D$14:D$920,TrialBalanceB!M281,JournalsB!J$14:J$920)+SUMIF(JournalsB!E$14:E$920,TrialBalanceB!M281,JournalsB!J$14:J$920)</f>
        <v>0</v>
      </c>
      <c r="H281" s="442"/>
      <c r="I281" s="446">
        <f t="shared" si="71"/>
        <v>0</v>
      </c>
      <c r="J281" s="83"/>
      <c r="K281" s="56">
        <f t="shared" si="45"/>
        <v>0</v>
      </c>
      <c r="M281" s="196" t="str">
        <f t="shared" si="46"/>
        <v>6350/022Furniture and fittings - depr this year</v>
      </c>
      <c r="N281" s="78"/>
      <c r="P281" s="79"/>
      <c r="Q281" s="59"/>
      <c r="R281" s="34"/>
    </row>
    <row r="282" spans="1:18" x14ac:dyDescent="0.2">
      <c r="A282" s="393"/>
      <c r="B282" s="62" t="s">
        <v>279</v>
      </c>
      <c r="C282" s="397" t="s">
        <v>970</v>
      </c>
      <c r="D282" s="435"/>
      <c r="E282" s="427"/>
      <c r="F282" s="87"/>
      <c r="G282" s="55">
        <f>SUMIF(JournalsB!D$14:D$920,TrialBalanceB!M282,JournalsB!J$14:J$920)+SUMIF(JournalsB!E$14:E$920,TrialBalanceB!M282,JournalsB!J$14:J$920)</f>
        <v>0</v>
      </c>
      <c r="H282" s="442"/>
      <c r="I282" s="446">
        <f t="shared" si="71"/>
        <v>0</v>
      </c>
      <c r="J282" s="83"/>
      <c r="K282" s="56">
        <f t="shared" si="45"/>
        <v>0</v>
      </c>
      <c r="M282" s="196" t="str">
        <f t="shared" si="46"/>
        <v>6350/023Furniture and fittings - acc depr on sales</v>
      </c>
      <c r="N282" s="78"/>
      <c r="P282" s="79"/>
      <c r="Q282" s="59"/>
      <c r="R282" s="34"/>
    </row>
    <row r="283" spans="1:18" x14ac:dyDescent="0.2">
      <c r="A283" s="393"/>
      <c r="B283" s="62" t="s">
        <v>500</v>
      </c>
      <c r="C283" s="396" t="s">
        <v>55</v>
      </c>
      <c r="D283" s="436"/>
      <c r="E283" s="427"/>
      <c r="F283" s="87"/>
      <c r="G283" s="55">
        <f>SUMIF(JournalsB!D$14:D$920,TrialBalanceB!M283,JournalsB!J$14:J$920)+SUMIF(JournalsB!E$14:E$920,TrialBalanceB!M283,JournalsB!J$14:J$920)</f>
        <v>0</v>
      </c>
      <c r="H283" s="442"/>
      <c r="I283" s="446">
        <f t="shared" si="71"/>
        <v>0</v>
      </c>
      <c r="J283" s="83"/>
      <c r="K283" s="56">
        <f t="shared" si="45"/>
        <v>0</v>
      </c>
      <c r="M283" s="196" t="str">
        <f t="shared" si="46"/>
        <v>7000/000INTANGIBLE ASSETS</v>
      </c>
      <c r="N283" s="78"/>
      <c r="P283" s="79"/>
      <c r="Q283" s="59"/>
      <c r="R283" s="34"/>
    </row>
    <row r="284" spans="1:18" x14ac:dyDescent="0.2">
      <c r="A284" s="393"/>
      <c r="B284" s="113" t="s">
        <v>1259</v>
      </c>
      <c r="C284" s="396" t="s">
        <v>1260</v>
      </c>
      <c r="D284" s="436"/>
      <c r="E284" s="427"/>
      <c r="F284" s="87"/>
      <c r="G284" s="55">
        <f>SUMIF(JournalsB!D$14:D$920,TrialBalanceB!M284,JournalsB!J$14:J$920)+SUMIF(JournalsB!E$14:E$920,TrialBalanceB!M284,JournalsB!J$14:J$920)</f>
        <v>0</v>
      </c>
      <c r="H284" s="442"/>
      <c r="I284" s="446">
        <f t="shared" ref="I284:I300" si="72">ROUND(D284-E284+G284+F284,0)</f>
        <v>0</v>
      </c>
      <c r="J284" s="83"/>
      <c r="K284" s="56">
        <f t="shared" ref="K284:K300" si="73">ROUND(SUM(A284),0)</f>
        <v>0</v>
      </c>
      <c r="M284" s="196" t="str">
        <f t="shared" ref="M284:M301" si="74">CONCATENATE(B284,C284)</f>
        <v>7000/001GOODWILL - COST</v>
      </c>
      <c r="N284" s="78"/>
      <c r="P284" s="79"/>
      <c r="Q284" s="59"/>
      <c r="R284" s="34"/>
    </row>
    <row r="285" spans="1:18" x14ac:dyDescent="0.2">
      <c r="A285" s="393"/>
      <c r="B285" s="113" t="s">
        <v>1261</v>
      </c>
      <c r="C285" s="397" t="s">
        <v>1262</v>
      </c>
      <c r="D285" s="436"/>
      <c r="E285" s="427"/>
      <c r="F285" s="87">
        <f>SUM(K285:K286)</f>
        <v>0</v>
      </c>
      <c r="G285" s="55">
        <f>SUMIF(JournalsB!D$14:D$920,TrialBalanceB!M285,JournalsB!J$14:J$920)+SUMIF(JournalsB!E$14:E$920,TrialBalanceB!M285,JournalsB!J$14:J$920)</f>
        <v>0</v>
      </c>
      <c r="H285" s="442"/>
      <c r="I285" s="446">
        <f t="shared" si="72"/>
        <v>0</v>
      </c>
      <c r="J285" s="83"/>
      <c r="K285" s="56">
        <f t="shared" si="73"/>
        <v>0</v>
      </c>
      <c r="M285" s="196" t="str">
        <f t="shared" si="74"/>
        <v>7000/002Goodwill - cost b/fwd</v>
      </c>
      <c r="N285" s="78"/>
      <c r="P285" s="79"/>
      <c r="Q285" s="59"/>
      <c r="R285" s="34"/>
    </row>
    <row r="286" spans="1:18" x14ac:dyDescent="0.2">
      <c r="A286" s="393"/>
      <c r="B286" s="113" t="s">
        <v>1263</v>
      </c>
      <c r="C286" s="397" t="s">
        <v>1264</v>
      </c>
      <c r="D286" s="436"/>
      <c r="E286" s="427"/>
      <c r="F286" s="87"/>
      <c r="G286" s="55">
        <f>SUMIF(JournalsB!D$14:D$920,TrialBalanceB!M286,JournalsB!J$14:J$920)+SUMIF(JournalsB!E$14:E$920,TrialBalanceB!M286,JournalsB!J$14:J$920)</f>
        <v>0</v>
      </c>
      <c r="H286" s="442"/>
      <c r="I286" s="446">
        <f t="shared" si="72"/>
        <v>0</v>
      </c>
      <c r="J286" s="83"/>
      <c r="K286" s="56">
        <f t="shared" si="73"/>
        <v>0</v>
      </c>
      <c r="M286" s="196" t="str">
        <f t="shared" si="74"/>
        <v>7000/003Goodwill - additions</v>
      </c>
      <c r="N286" s="78"/>
      <c r="P286" s="79"/>
      <c r="Q286" s="59"/>
      <c r="R286" s="34"/>
    </row>
    <row r="287" spans="1:18" x14ac:dyDescent="0.2">
      <c r="A287" s="393"/>
      <c r="B287" s="113" t="s">
        <v>1265</v>
      </c>
      <c r="C287" s="396" t="s">
        <v>1266</v>
      </c>
      <c r="D287" s="436"/>
      <c r="E287" s="427"/>
      <c r="F287" s="87"/>
      <c r="G287" s="55">
        <f>SUMIF(JournalsB!D$14:D$920,TrialBalanceB!M287,JournalsB!J$14:J$920)+SUMIF(JournalsB!E$14:E$920,TrialBalanceB!M287,JournalsB!J$14:J$920)</f>
        <v>0</v>
      </c>
      <c r="H287" s="442"/>
      <c r="I287" s="446">
        <f t="shared" si="72"/>
        <v>0</v>
      </c>
      <c r="J287" s="83"/>
      <c r="K287" s="56">
        <f t="shared" si="73"/>
        <v>0</v>
      </c>
      <c r="M287" s="196" t="str">
        <f t="shared" si="74"/>
        <v>7000/005GOODWILL - ACC AMORTISATION</v>
      </c>
      <c r="N287" s="78"/>
      <c r="P287" s="79"/>
      <c r="Q287" s="59"/>
      <c r="R287" s="34"/>
    </row>
    <row r="288" spans="1:18" x14ac:dyDescent="0.2">
      <c r="A288" s="393"/>
      <c r="B288" s="113" t="s">
        <v>1267</v>
      </c>
      <c r="C288" s="397" t="s">
        <v>1268</v>
      </c>
      <c r="D288" s="436"/>
      <c r="E288" s="427"/>
      <c r="F288" s="87">
        <f>SUM(K288:K289)</f>
        <v>0</v>
      </c>
      <c r="G288" s="55">
        <f>SUMIF(JournalsB!D$14:D$920,TrialBalanceB!M288,JournalsB!J$14:J$920)+SUMIF(JournalsB!E$14:E$920,TrialBalanceB!M288,JournalsB!J$14:J$920)</f>
        <v>0</v>
      </c>
      <c r="H288" s="442"/>
      <c r="I288" s="446">
        <f t="shared" si="72"/>
        <v>0</v>
      </c>
      <c r="J288" s="83"/>
      <c r="K288" s="56">
        <f t="shared" si="73"/>
        <v>0</v>
      </c>
      <c r="M288" s="196" t="str">
        <f t="shared" si="74"/>
        <v>7000/006Goodwill - acc amortisation b/fwd</v>
      </c>
      <c r="N288" s="78"/>
      <c r="P288" s="79"/>
      <c r="Q288" s="59"/>
      <c r="R288" s="34"/>
    </row>
    <row r="289" spans="1:18" x14ac:dyDescent="0.2">
      <c r="A289" s="393"/>
      <c r="B289" s="113" t="s">
        <v>1269</v>
      </c>
      <c r="C289" s="397" t="s">
        <v>1270</v>
      </c>
      <c r="D289" s="436"/>
      <c r="E289" s="427"/>
      <c r="F289" s="87"/>
      <c r="G289" s="55">
        <f>SUMIF(JournalsB!D$14:D$920,TrialBalanceB!M289,JournalsB!J$14:J$920)+SUMIF(JournalsB!E$14:E$920,TrialBalanceB!M289,JournalsB!J$14:J$920)</f>
        <v>0</v>
      </c>
      <c r="H289" s="442"/>
      <c r="I289" s="446">
        <f t="shared" si="72"/>
        <v>0</v>
      </c>
      <c r="J289" s="83"/>
      <c r="K289" s="56">
        <f t="shared" si="73"/>
        <v>0</v>
      </c>
      <c r="M289" s="196" t="str">
        <f t="shared" si="74"/>
        <v>7000/007Goodwill - amortisation this year</v>
      </c>
      <c r="N289" s="78"/>
      <c r="P289" s="79"/>
      <c r="Q289" s="59"/>
      <c r="R289" s="34"/>
    </row>
    <row r="290" spans="1:18" x14ac:dyDescent="0.2">
      <c r="A290" s="393"/>
      <c r="B290" s="113" t="s">
        <v>501</v>
      </c>
      <c r="C290" s="396" t="s">
        <v>1271</v>
      </c>
      <c r="D290" s="436"/>
      <c r="E290" s="427"/>
      <c r="F290" s="87"/>
      <c r="G290" s="55">
        <f>SUMIF(JournalsB!D$14:D$920,TrialBalanceB!M290,JournalsB!J$14:J$920)+SUMIF(JournalsB!E$14:E$920,TrialBalanceB!M290,JournalsB!J$14:J$920)</f>
        <v>0</v>
      </c>
      <c r="H290" s="442"/>
      <c r="I290" s="446">
        <f t="shared" si="72"/>
        <v>0</v>
      </c>
      <c r="J290" s="83"/>
      <c r="K290" s="56">
        <f t="shared" si="73"/>
        <v>0</v>
      </c>
      <c r="M290" s="196" t="str">
        <f t="shared" si="74"/>
        <v>7000/010GOODWILL - IMPAIRMENT</v>
      </c>
      <c r="N290" s="78"/>
      <c r="P290" s="79"/>
      <c r="Q290" s="59"/>
      <c r="R290" s="34"/>
    </row>
    <row r="291" spans="1:18" x14ac:dyDescent="0.2">
      <c r="A291" s="393"/>
      <c r="B291" s="113" t="s">
        <v>707</v>
      </c>
      <c r="C291" s="397" t="s">
        <v>1272</v>
      </c>
      <c r="D291" s="436"/>
      <c r="E291" s="427"/>
      <c r="F291" s="87">
        <f>SUM(K291:K292)</f>
        <v>0</v>
      </c>
      <c r="G291" s="55">
        <f>SUMIF(JournalsB!D$14:D$920,TrialBalanceB!M291,JournalsB!J$14:J$920)+SUMIF(JournalsB!E$14:E$920,TrialBalanceB!M291,JournalsB!J$14:J$920)</f>
        <v>0</v>
      </c>
      <c r="H291" s="442"/>
      <c r="I291" s="446">
        <f t="shared" si="72"/>
        <v>0</v>
      </c>
      <c r="J291" s="83"/>
      <c r="K291" s="56">
        <f t="shared" si="73"/>
        <v>0</v>
      </c>
      <c r="M291" s="196" t="str">
        <f t="shared" si="74"/>
        <v>7000/011Goodwill - impairment loss b/fwd</v>
      </c>
      <c r="N291" s="78"/>
      <c r="P291" s="79"/>
      <c r="Q291" s="59"/>
      <c r="R291" s="34"/>
    </row>
    <row r="292" spans="1:18" x14ac:dyDescent="0.2">
      <c r="A292" s="393"/>
      <c r="B292" s="113" t="s">
        <v>1273</v>
      </c>
      <c r="C292" s="397" t="s">
        <v>1274</v>
      </c>
      <c r="D292" s="436"/>
      <c r="E292" s="427"/>
      <c r="F292" s="87"/>
      <c r="G292" s="55">
        <f>SUMIF(JournalsB!D$14:D$920,TrialBalanceB!M292,JournalsB!J$14:J$920)+SUMIF(JournalsB!E$14:E$920,TrialBalanceB!M292,JournalsB!J$14:J$920)</f>
        <v>0</v>
      </c>
      <c r="H292" s="442"/>
      <c r="I292" s="446">
        <f t="shared" si="72"/>
        <v>0</v>
      </c>
      <c r="J292" s="83"/>
      <c r="K292" s="56">
        <f t="shared" si="73"/>
        <v>0</v>
      </c>
      <c r="M292" s="196" t="str">
        <f t="shared" si="74"/>
        <v>7000/012Goodwill - impairment loss this year</v>
      </c>
      <c r="N292" s="78"/>
      <c r="P292" s="79"/>
      <c r="Q292" s="59"/>
      <c r="R292" s="34"/>
    </row>
    <row r="293" spans="1:18" x14ac:dyDescent="0.2">
      <c r="A293" s="393"/>
      <c r="B293" s="113" t="s">
        <v>1275</v>
      </c>
      <c r="C293" s="396" t="s">
        <v>1276</v>
      </c>
      <c r="D293" s="436"/>
      <c r="E293" s="427"/>
      <c r="F293" s="87"/>
      <c r="G293" s="55">
        <f>SUMIF(JournalsB!D$14:D$920,TrialBalanceB!M293,JournalsB!J$14:J$920)+SUMIF(JournalsB!E$14:E$920,TrialBalanceB!M293,JournalsB!J$14:J$920)</f>
        <v>0</v>
      </c>
      <c r="H293" s="442"/>
      <c r="I293" s="446">
        <f t="shared" si="72"/>
        <v>0</v>
      </c>
      <c r="J293" s="83"/>
      <c r="K293" s="56">
        <f t="shared" si="73"/>
        <v>0</v>
      </c>
      <c r="M293" s="196" t="str">
        <f t="shared" si="74"/>
        <v>7000/021PREPAID LEASE AGREEMENT - COST</v>
      </c>
      <c r="N293" s="78"/>
      <c r="P293" s="79"/>
      <c r="Q293" s="59"/>
      <c r="R293" s="34"/>
    </row>
    <row r="294" spans="1:18" x14ac:dyDescent="0.2">
      <c r="A294" s="393"/>
      <c r="B294" s="113" t="s">
        <v>1277</v>
      </c>
      <c r="C294" s="397" t="s">
        <v>1278</v>
      </c>
      <c r="D294" s="436"/>
      <c r="E294" s="427"/>
      <c r="F294" s="87">
        <f>SUM(K294:K295)</f>
        <v>0</v>
      </c>
      <c r="G294" s="55">
        <f>SUMIF(JournalsB!D$14:D$920,TrialBalanceB!M294,JournalsB!J$14:J$920)+SUMIF(JournalsB!E$14:E$920,TrialBalanceB!M294,JournalsB!J$14:J$920)</f>
        <v>0</v>
      </c>
      <c r="H294" s="442"/>
      <c r="I294" s="446">
        <f t="shared" si="72"/>
        <v>0</v>
      </c>
      <c r="J294" s="83"/>
      <c r="K294" s="56">
        <f t="shared" si="73"/>
        <v>0</v>
      </c>
      <c r="M294" s="196" t="str">
        <f t="shared" si="74"/>
        <v>7000/022Prepaid lease agreement - cost b/fwd</v>
      </c>
      <c r="N294" s="78"/>
      <c r="P294" s="79"/>
      <c r="Q294" s="59"/>
      <c r="R294" s="34"/>
    </row>
    <row r="295" spans="1:18" x14ac:dyDescent="0.2">
      <c r="A295" s="393"/>
      <c r="B295" s="113" t="s">
        <v>1279</v>
      </c>
      <c r="C295" s="397" t="s">
        <v>1280</v>
      </c>
      <c r="D295" s="436"/>
      <c r="E295" s="427"/>
      <c r="F295" s="87"/>
      <c r="G295" s="55">
        <f>SUMIF(JournalsB!D$14:D$920,TrialBalanceB!M295,JournalsB!J$14:J$920)+SUMIF(JournalsB!E$14:E$920,TrialBalanceB!M295,JournalsB!J$14:J$920)</f>
        <v>0</v>
      </c>
      <c r="H295" s="442"/>
      <c r="I295" s="446">
        <f t="shared" si="72"/>
        <v>0</v>
      </c>
      <c r="J295" s="83"/>
      <c r="K295" s="56">
        <f t="shared" si="73"/>
        <v>0</v>
      </c>
      <c r="M295" s="196" t="str">
        <f t="shared" si="74"/>
        <v>7000/023Prepaid lease agreement - additions</v>
      </c>
      <c r="N295" s="78"/>
      <c r="P295" s="79"/>
      <c r="Q295" s="59"/>
      <c r="R295" s="34"/>
    </row>
    <row r="296" spans="1:18" x14ac:dyDescent="0.2">
      <c r="A296" s="393"/>
      <c r="B296" s="113" t="s">
        <v>502</v>
      </c>
      <c r="C296" s="396" t="s">
        <v>1281</v>
      </c>
      <c r="D296" s="436"/>
      <c r="E296" s="427"/>
      <c r="F296" s="87"/>
      <c r="G296" s="55">
        <f>SUMIF(JournalsB!D$14:D$920,TrialBalanceB!M296,JournalsB!J$14:J$920)+SUMIF(JournalsB!E$14:E$920,TrialBalanceB!M296,JournalsB!J$14:J$920)</f>
        <v>0</v>
      </c>
      <c r="H296" s="442"/>
      <c r="I296" s="446">
        <f t="shared" si="72"/>
        <v>0</v>
      </c>
      <c r="J296" s="83"/>
      <c r="K296" s="56">
        <f t="shared" si="73"/>
        <v>0</v>
      </c>
      <c r="M296" s="196" t="str">
        <f t="shared" si="74"/>
        <v>7000/025PREPAID LEASE AGREEMENT - ACC AMORTISATION</v>
      </c>
      <c r="N296" s="78"/>
      <c r="P296" s="79"/>
      <c r="Q296" s="59"/>
      <c r="R296" s="34"/>
    </row>
    <row r="297" spans="1:18" x14ac:dyDescent="0.2">
      <c r="A297" s="393"/>
      <c r="B297" s="113" t="s">
        <v>1282</v>
      </c>
      <c r="C297" s="397" t="s">
        <v>1283</v>
      </c>
      <c r="D297" s="436"/>
      <c r="E297" s="427"/>
      <c r="F297" s="87">
        <f>SUM(K297:K298)</f>
        <v>0</v>
      </c>
      <c r="G297" s="55">
        <f>SUMIF(JournalsB!D$14:D$920,TrialBalanceB!M297,JournalsB!J$14:J$920)+SUMIF(JournalsB!E$14:E$920,TrialBalanceB!M297,JournalsB!J$14:J$920)</f>
        <v>0</v>
      </c>
      <c r="H297" s="442"/>
      <c r="I297" s="446">
        <f t="shared" si="72"/>
        <v>0</v>
      </c>
      <c r="J297" s="83"/>
      <c r="K297" s="56">
        <f t="shared" si="73"/>
        <v>0</v>
      </c>
      <c r="M297" s="196" t="str">
        <f t="shared" si="74"/>
        <v>7000/026Prepaid lease agreement - acc amortisation b/fwd</v>
      </c>
      <c r="N297" s="78"/>
      <c r="P297" s="79"/>
      <c r="Q297" s="59"/>
      <c r="R297" s="34"/>
    </row>
    <row r="298" spans="1:18" x14ac:dyDescent="0.2">
      <c r="A298" s="393"/>
      <c r="B298" s="113" t="s">
        <v>1284</v>
      </c>
      <c r="C298" s="397" t="s">
        <v>1285</v>
      </c>
      <c r="D298" s="436"/>
      <c r="E298" s="427"/>
      <c r="F298" s="87"/>
      <c r="G298" s="55">
        <f>SUMIF(JournalsB!D$14:D$920,TrialBalanceB!M298,JournalsB!J$14:J$920)+SUMIF(JournalsB!E$14:E$920,TrialBalanceB!M298,JournalsB!J$14:J$920)</f>
        <v>0</v>
      </c>
      <c r="H298" s="442"/>
      <c r="I298" s="446">
        <f t="shared" si="72"/>
        <v>0</v>
      </c>
      <c r="J298" s="83"/>
      <c r="K298" s="56">
        <f t="shared" si="73"/>
        <v>0</v>
      </c>
      <c r="M298" s="196" t="str">
        <f t="shared" si="74"/>
        <v>7000/027Prepaid lease agreement - amortisation this year</v>
      </c>
      <c r="N298" s="78"/>
      <c r="P298" s="79"/>
      <c r="Q298" s="59"/>
      <c r="R298" s="34"/>
    </row>
    <row r="299" spans="1:18" x14ac:dyDescent="0.2">
      <c r="A299" s="393"/>
      <c r="B299" s="113" t="s">
        <v>1286</v>
      </c>
      <c r="C299" s="396" t="s">
        <v>1287</v>
      </c>
      <c r="D299" s="436"/>
      <c r="E299" s="427"/>
      <c r="F299" s="87"/>
      <c r="G299" s="55">
        <f>SUMIF(JournalsB!D$14:D$920,TrialBalanceB!M299,JournalsB!J$14:J$920)+SUMIF(JournalsB!E$14:E$920,TrialBalanceB!M299,JournalsB!J$14:J$920)</f>
        <v>0</v>
      </c>
      <c r="H299" s="442"/>
      <c r="I299" s="446">
        <f t="shared" si="72"/>
        <v>0</v>
      </c>
      <c r="J299" s="83"/>
      <c r="K299" s="56">
        <f t="shared" si="73"/>
        <v>0</v>
      </c>
      <c r="M299" s="196" t="str">
        <f t="shared" si="74"/>
        <v>7000/030PREPAID LEASE AGREEMENT - IMPAIRMENT</v>
      </c>
      <c r="N299" s="78"/>
      <c r="P299" s="79"/>
      <c r="Q299" s="59"/>
      <c r="R299" s="34"/>
    </row>
    <row r="300" spans="1:18" x14ac:dyDescent="0.2">
      <c r="A300" s="393"/>
      <c r="B300" s="113" t="s">
        <v>1288</v>
      </c>
      <c r="C300" s="397" t="s">
        <v>1289</v>
      </c>
      <c r="D300" s="436"/>
      <c r="E300" s="427"/>
      <c r="F300" s="87">
        <f>SUM(K300:K301)</f>
        <v>0</v>
      </c>
      <c r="G300" s="55">
        <f>SUMIF(JournalsB!D$14:D$920,TrialBalanceB!M300,JournalsB!J$14:J$920)+SUMIF(JournalsB!E$14:E$920,TrialBalanceB!M300,JournalsB!J$14:J$920)</f>
        <v>0</v>
      </c>
      <c r="H300" s="442"/>
      <c r="I300" s="446">
        <f t="shared" si="72"/>
        <v>0</v>
      </c>
      <c r="J300" s="83"/>
      <c r="K300" s="56">
        <f t="shared" si="73"/>
        <v>0</v>
      </c>
      <c r="M300" s="196" t="str">
        <f t="shared" si="74"/>
        <v>7000/031Prepaid lease agreement - impairment loss b/fwd</v>
      </c>
      <c r="N300" s="78"/>
      <c r="P300" s="79"/>
      <c r="Q300" s="59"/>
      <c r="R300" s="34"/>
    </row>
    <row r="301" spans="1:18" x14ac:dyDescent="0.2">
      <c r="A301" s="393"/>
      <c r="B301" s="113" t="s">
        <v>1290</v>
      </c>
      <c r="C301" s="397" t="s">
        <v>1291</v>
      </c>
      <c r="D301" s="436"/>
      <c r="E301" s="427"/>
      <c r="F301" s="87"/>
      <c r="G301" s="55">
        <f>SUMIF(JournalsB!D$14:D$920,TrialBalanceB!M301,JournalsB!J$14:J$920)+SUMIF(JournalsB!E$14:E$920,TrialBalanceB!M301,JournalsB!J$14:J$920)</f>
        <v>0</v>
      </c>
      <c r="H301" s="442"/>
      <c r="I301" s="446">
        <f>ROUND(D301-E301+G301+F301,0)</f>
        <v>0</v>
      </c>
      <c r="J301" s="83"/>
      <c r="K301" s="56">
        <f>ROUND(SUM(A301),0)</f>
        <v>0</v>
      </c>
      <c r="M301" s="196" t="str">
        <f t="shared" si="74"/>
        <v>7000/032Prepaid lease agreement - impairment loss this year</v>
      </c>
      <c r="N301" s="78"/>
      <c r="P301" s="79"/>
      <c r="Q301" s="59"/>
      <c r="R301" s="34"/>
    </row>
    <row r="302" spans="1:18" x14ac:dyDescent="0.2">
      <c r="A302" s="393"/>
      <c r="B302" s="62" t="s">
        <v>503</v>
      </c>
      <c r="C302" s="396" t="s">
        <v>189</v>
      </c>
      <c r="D302" s="436"/>
      <c r="E302" s="427"/>
      <c r="F302" s="87"/>
      <c r="G302" s="55">
        <f>SUMIF(JournalsB!D$14:D$920,TrialBalanceB!M302,JournalsB!J$14:J$920)+SUMIF(JournalsB!E$14:E$920,TrialBalanceB!M302,JournalsB!J$14:J$920)</f>
        <v>0</v>
      </c>
      <c r="H302" s="442"/>
      <c r="I302" s="446">
        <f t="shared" si="71"/>
        <v>0</v>
      </c>
      <c r="J302" s="83"/>
      <c r="K302" s="56">
        <f t="shared" ref="K302:K389" si="75">ROUND(SUM(A302),0)</f>
        <v>0</v>
      </c>
      <c r="M302" s="196" t="str">
        <f t="shared" ref="M302:M389" si="76">CONCATENATE(B302,C302)</f>
        <v>7100/000INVESTMENTS</v>
      </c>
      <c r="N302" s="78"/>
      <c r="P302" s="79"/>
      <c r="Q302" s="59"/>
      <c r="R302" s="34"/>
    </row>
    <row r="303" spans="1:18" x14ac:dyDescent="0.2">
      <c r="A303" s="393"/>
      <c r="B303" s="113" t="s">
        <v>1209</v>
      </c>
      <c r="C303" s="397" t="s">
        <v>1203</v>
      </c>
      <c r="D303" s="436"/>
      <c r="E303" s="427"/>
      <c r="F303" s="87"/>
      <c r="G303" s="55">
        <f>SUMIF(JournalsB!D$14:D$920,TrialBalanceB!M303,JournalsB!J$14:J$920)+SUMIF(JournalsB!E$14:E$920,TrialBalanceB!M303,JournalsB!J$14:J$920)</f>
        <v>0</v>
      </c>
      <c r="H303" s="442"/>
      <c r="I303" s="446">
        <f t="shared" ref="I303" si="77">ROUND(D303-E303+G303+F303,0)</f>
        <v>0</v>
      </c>
      <c r="J303" s="83"/>
      <c r="K303" s="56">
        <f t="shared" ref="K303" si="78">ROUND(SUM(A303),0)</f>
        <v>0</v>
      </c>
      <c r="M303" s="196" t="str">
        <f t="shared" ref="M303" si="79">CONCATENATE(B303,C303)</f>
        <v>7100/050INVESTMENTS IN ASSOCIATES</v>
      </c>
      <c r="N303" s="78"/>
      <c r="P303" s="79"/>
      <c r="Q303" s="59"/>
      <c r="R303" s="34"/>
    </row>
    <row r="304" spans="1:18" x14ac:dyDescent="0.2">
      <c r="A304" s="393"/>
      <c r="B304" s="113" t="s">
        <v>1210</v>
      </c>
      <c r="C304" s="429" t="str">
        <f>TrialBalance!C304</f>
        <v>30 Shares in ABC Company (Pty) Ltd - 30% interest</v>
      </c>
      <c r="D304" s="405"/>
      <c r="E304" s="406"/>
      <c r="F304" s="87">
        <f>K304</f>
        <v>0</v>
      </c>
      <c r="G304" s="55">
        <f>SUMIF(JournalsB!D$14:D$920,TrialBalanceB!M304,JournalsB!J$14:J$920)+SUMIF(JournalsB!E$14:E$920,TrialBalanceB!M304,JournalsB!J$14:J$920)</f>
        <v>0</v>
      </c>
      <c r="H304" s="442"/>
      <c r="I304" s="446">
        <f t="shared" ref="I304:I306" si="80">ROUND(D304-E304+G304+F304,0)</f>
        <v>0</v>
      </c>
      <c r="J304" s="83"/>
      <c r="K304" s="56">
        <f t="shared" ref="K304:K306" si="81">ROUND(SUM(A304),0)</f>
        <v>0</v>
      </c>
      <c r="M304" s="196" t="str">
        <f t="shared" ref="M304:M306" si="82">CONCATENATE(B304,C304)</f>
        <v>7100/05130 Shares in ABC Company (Pty) Ltd - 30% interest</v>
      </c>
      <c r="N304" s="78"/>
      <c r="P304" s="79"/>
      <c r="Q304" s="59"/>
      <c r="R304" s="34"/>
    </row>
    <row r="305" spans="1:18" x14ac:dyDescent="0.2">
      <c r="A305" s="393"/>
      <c r="B305" s="113" t="s">
        <v>1211</v>
      </c>
      <c r="C305" s="429">
        <f>TrialBalance!C305</f>
        <v>0</v>
      </c>
      <c r="D305" s="405"/>
      <c r="E305" s="406"/>
      <c r="F305" s="87">
        <f>K305</f>
        <v>0</v>
      </c>
      <c r="G305" s="55">
        <f>SUMIF(JournalsB!D$14:D$920,TrialBalanceB!M305,JournalsB!J$14:J$920)+SUMIF(JournalsB!E$14:E$920,TrialBalanceB!M305,JournalsB!J$14:J$920)</f>
        <v>0</v>
      </c>
      <c r="H305" s="442"/>
      <c r="I305" s="446">
        <f t="shared" si="80"/>
        <v>0</v>
      </c>
      <c r="J305" s="83"/>
      <c r="K305" s="56">
        <f t="shared" si="81"/>
        <v>0</v>
      </c>
      <c r="M305" s="196" t="str">
        <f t="shared" si="82"/>
        <v>7100/0520</v>
      </c>
      <c r="N305" s="78"/>
      <c r="P305" s="79"/>
      <c r="Q305" s="59"/>
      <c r="R305" s="34"/>
    </row>
    <row r="306" spans="1:18" x14ac:dyDescent="0.2">
      <c r="A306" s="393"/>
      <c r="B306" s="113" t="s">
        <v>1212</v>
      </c>
      <c r="C306" s="429">
        <f>TrialBalance!C306</f>
        <v>0</v>
      </c>
      <c r="D306" s="405"/>
      <c r="E306" s="406"/>
      <c r="F306" s="87">
        <f t="shared" ref="F306" si="83">K306</f>
        <v>0</v>
      </c>
      <c r="G306" s="55">
        <f>SUMIF(JournalsB!D$14:D$920,TrialBalanceB!M306,JournalsB!J$14:J$920)+SUMIF(JournalsB!E$14:E$920,TrialBalanceB!M306,JournalsB!J$14:J$920)</f>
        <v>0</v>
      </c>
      <c r="H306" s="442"/>
      <c r="I306" s="446">
        <f t="shared" si="80"/>
        <v>0</v>
      </c>
      <c r="J306" s="83"/>
      <c r="K306" s="56">
        <f t="shared" si="81"/>
        <v>0</v>
      </c>
      <c r="M306" s="196" t="str">
        <f t="shared" si="82"/>
        <v>7100/0530</v>
      </c>
      <c r="N306" s="78"/>
      <c r="P306" s="79"/>
      <c r="Q306" s="59"/>
      <c r="R306" s="34"/>
    </row>
    <row r="307" spans="1:18" x14ac:dyDescent="0.2">
      <c r="A307" s="393"/>
      <c r="B307" s="62" t="s">
        <v>504</v>
      </c>
      <c r="C307" s="394" t="s">
        <v>505</v>
      </c>
      <c r="D307" s="435"/>
      <c r="E307" s="427"/>
      <c r="F307" s="87"/>
      <c r="G307" s="55">
        <f>SUMIF(JournalsB!D$14:D$920,TrialBalanceB!M307,JournalsB!J$14:J$920)+SUMIF(JournalsB!E$14:E$920,TrialBalanceB!M307,JournalsB!J$14:J$920)</f>
        <v>0</v>
      </c>
      <c r="H307" s="442"/>
      <c r="I307" s="446">
        <f t="shared" si="71"/>
        <v>0</v>
      </c>
      <c r="J307" s="83"/>
      <c r="K307" s="56">
        <f t="shared" si="75"/>
        <v>0</v>
      </c>
      <c r="M307" s="196" t="str">
        <f t="shared" si="76"/>
        <v>7100/100LISTED INVESTMENTS</v>
      </c>
      <c r="N307" s="78"/>
      <c r="P307" s="79"/>
      <c r="Q307" s="59"/>
      <c r="R307" s="34"/>
    </row>
    <row r="308" spans="1:18" x14ac:dyDescent="0.2">
      <c r="A308" s="393"/>
      <c r="B308" s="62" t="s">
        <v>506</v>
      </c>
      <c r="C308" s="429">
        <f>TrialBalance!C308</f>
        <v>0</v>
      </c>
      <c r="D308" s="435"/>
      <c r="E308" s="427"/>
      <c r="F308" s="87">
        <f>K308</f>
        <v>0</v>
      </c>
      <c r="G308" s="55">
        <f>SUMIF(JournalsB!D$14:D$920,TrialBalanceB!M308,JournalsB!J$14:J$920)+SUMIF(JournalsB!E$14:E$920,TrialBalanceB!M308,JournalsB!J$14:J$920)</f>
        <v>0</v>
      </c>
      <c r="H308" s="442"/>
      <c r="I308" s="446">
        <f t="shared" si="71"/>
        <v>0</v>
      </c>
      <c r="J308" s="83"/>
      <c r="K308" s="56">
        <f t="shared" si="75"/>
        <v>0</v>
      </c>
      <c r="M308" s="196" t="str">
        <f t="shared" si="76"/>
        <v>7100/1010</v>
      </c>
      <c r="N308" s="78"/>
      <c r="P308" s="79"/>
      <c r="Q308" s="59"/>
      <c r="R308" s="34"/>
    </row>
    <row r="309" spans="1:18" x14ac:dyDescent="0.2">
      <c r="A309" s="393"/>
      <c r="B309" s="62" t="s">
        <v>507</v>
      </c>
      <c r="C309" s="429">
        <f>TrialBalance!C309</f>
        <v>0</v>
      </c>
      <c r="D309" s="435"/>
      <c r="E309" s="427"/>
      <c r="F309" s="87">
        <f t="shared" ref="F309:F377" si="84">K309</f>
        <v>0</v>
      </c>
      <c r="G309" s="55">
        <f>SUMIF(JournalsB!D$14:D$920,TrialBalanceB!M309,JournalsB!J$14:J$920)+SUMIF(JournalsB!E$14:E$920,TrialBalanceB!M309,JournalsB!J$14:J$920)</f>
        <v>0</v>
      </c>
      <c r="H309" s="442"/>
      <c r="I309" s="446">
        <f t="shared" si="71"/>
        <v>0</v>
      </c>
      <c r="J309" s="83"/>
      <c r="K309" s="56">
        <f t="shared" si="75"/>
        <v>0</v>
      </c>
      <c r="M309" s="196" t="str">
        <f t="shared" si="76"/>
        <v>7100/1020</v>
      </c>
      <c r="N309" s="78"/>
      <c r="P309" s="79"/>
      <c r="Q309" s="59"/>
      <c r="R309" s="34"/>
    </row>
    <row r="310" spans="1:18" x14ac:dyDescent="0.2">
      <c r="A310" s="393"/>
      <c r="B310" s="62" t="s">
        <v>508</v>
      </c>
      <c r="C310" s="429">
        <f>TrialBalance!C310</f>
        <v>0</v>
      </c>
      <c r="D310" s="435"/>
      <c r="E310" s="427"/>
      <c r="F310" s="87">
        <f t="shared" si="84"/>
        <v>0</v>
      </c>
      <c r="G310" s="55">
        <f>SUMIF(JournalsB!D$14:D$920,TrialBalanceB!M310,JournalsB!J$14:J$920)+SUMIF(JournalsB!E$14:E$920,TrialBalanceB!M310,JournalsB!J$14:J$920)</f>
        <v>0</v>
      </c>
      <c r="H310" s="442"/>
      <c r="I310" s="446">
        <f t="shared" si="71"/>
        <v>0</v>
      </c>
      <c r="J310" s="83"/>
      <c r="K310" s="56">
        <f t="shared" si="75"/>
        <v>0</v>
      </c>
      <c r="M310" s="196" t="str">
        <f t="shared" si="76"/>
        <v>7100/1030</v>
      </c>
      <c r="N310" s="78"/>
      <c r="P310" s="79"/>
      <c r="Q310" s="59"/>
      <c r="R310" s="34"/>
    </row>
    <row r="311" spans="1:18" x14ac:dyDescent="0.2">
      <c r="A311" s="393"/>
      <c r="B311" s="62" t="s">
        <v>509</v>
      </c>
      <c r="C311" s="429">
        <f>TrialBalance!C311</f>
        <v>0</v>
      </c>
      <c r="D311" s="435"/>
      <c r="E311" s="427"/>
      <c r="F311" s="87">
        <f t="shared" si="84"/>
        <v>0</v>
      </c>
      <c r="G311" s="55">
        <f>SUMIF(JournalsB!D$14:D$920,TrialBalanceB!M311,JournalsB!J$14:J$920)+SUMIF(JournalsB!E$14:E$920,TrialBalanceB!M311,JournalsB!J$14:J$920)</f>
        <v>0</v>
      </c>
      <c r="H311" s="442"/>
      <c r="I311" s="446">
        <f t="shared" si="71"/>
        <v>0</v>
      </c>
      <c r="J311" s="83"/>
      <c r="K311" s="56">
        <f t="shared" si="75"/>
        <v>0</v>
      </c>
      <c r="M311" s="196" t="str">
        <f t="shared" si="76"/>
        <v>7100/1040</v>
      </c>
      <c r="N311" s="78"/>
      <c r="P311" s="79"/>
      <c r="Q311" s="59"/>
      <c r="R311" s="34"/>
    </row>
    <row r="312" spans="1:18" x14ac:dyDescent="0.2">
      <c r="A312" s="393"/>
      <c r="B312" s="62" t="s">
        <v>510</v>
      </c>
      <c r="C312" s="429">
        <f>TrialBalance!C312</f>
        <v>0</v>
      </c>
      <c r="D312" s="435"/>
      <c r="E312" s="427"/>
      <c r="F312" s="87">
        <f t="shared" si="84"/>
        <v>0</v>
      </c>
      <c r="G312" s="55">
        <f>SUMIF(JournalsB!D$14:D$920,TrialBalanceB!M312,JournalsB!J$14:J$920)+SUMIF(JournalsB!E$14:E$920,TrialBalanceB!M312,JournalsB!J$14:J$920)</f>
        <v>0</v>
      </c>
      <c r="H312" s="442"/>
      <c r="I312" s="446">
        <f t="shared" si="71"/>
        <v>0</v>
      </c>
      <c r="J312" s="83"/>
      <c r="K312" s="56">
        <f t="shared" si="75"/>
        <v>0</v>
      </c>
      <c r="M312" s="196" t="str">
        <f t="shared" si="76"/>
        <v>7100/1050</v>
      </c>
      <c r="N312" s="78"/>
      <c r="P312" s="79"/>
      <c r="Q312" s="59"/>
      <c r="R312" s="34"/>
    </row>
    <row r="313" spans="1:18" x14ac:dyDescent="0.2">
      <c r="A313" s="393"/>
      <c r="B313" s="62" t="s">
        <v>511</v>
      </c>
      <c r="C313" s="396" t="s">
        <v>411</v>
      </c>
      <c r="D313" s="436"/>
      <c r="E313" s="427"/>
      <c r="F313" s="87"/>
      <c r="G313" s="55">
        <f>SUMIF(JournalsB!D$14:D$920,TrialBalanceB!M313,JournalsB!J$14:J$920)+SUMIF(JournalsB!E$14:E$920,TrialBalanceB!M313,JournalsB!J$14:J$920)</f>
        <v>0</v>
      </c>
      <c r="H313" s="442"/>
      <c r="I313" s="446">
        <f t="shared" si="71"/>
        <v>0</v>
      </c>
      <c r="J313" s="83"/>
      <c r="K313" s="56">
        <f t="shared" si="75"/>
        <v>0</v>
      </c>
      <c r="M313" s="196" t="str">
        <f t="shared" si="76"/>
        <v>7100/200OTHER INVESTMENTS</v>
      </c>
      <c r="N313" s="78"/>
      <c r="P313" s="79"/>
      <c r="Q313" s="59"/>
      <c r="R313" s="34"/>
    </row>
    <row r="314" spans="1:18" x14ac:dyDescent="0.2">
      <c r="A314" s="393"/>
      <c r="B314" s="62" t="s">
        <v>512</v>
      </c>
      <c r="C314" s="429">
        <f>TrialBalance!C314</f>
        <v>0</v>
      </c>
      <c r="D314" s="437"/>
      <c r="E314" s="427"/>
      <c r="F314" s="87">
        <f t="shared" si="84"/>
        <v>0</v>
      </c>
      <c r="G314" s="55">
        <f>SUMIF(JournalsB!D$14:D$920,TrialBalanceB!M314,JournalsB!J$14:J$920)+SUMIF(JournalsB!E$14:E$920,TrialBalanceB!M314,JournalsB!J$14:J$920)</f>
        <v>0</v>
      </c>
      <c r="H314" s="442"/>
      <c r="I314" s="446">
        <f t="shared" si="71"/>
        <v>0</v>
      </c>
      <c r="J314" s="83"/>
      <c r="K314" s="56">
        <f t="shared" si="75"/>
        <v>0</v>
      </c>
      <c r="M314" s="196" t="str">
        <f t="shared" si="76"/>
        <v>7100/2010</v>
      </c>
      <c r="N314" s="78"/>
      <c r="P314" s="79"/>
      <c r="Q314" s="59"/>
      <c r="R314" s="34"/>
    </row>
    <row r="315" spans="1:18" x14ac:dyDescent="0.2">
      <c r="A315" s="393"/>
      <c r="B315" s="62" t="s">
        <v>513</v>
      </c>
      <c r="C315" s="429">
        <f>TrialBalance!C315</f>
        <v>0</v>
      </c>
      <c r="D315" s="437"/>
      <c r="E315" s="427"/>
      <c r="F315" s="87">
        <f t="shared" si="84"/>
        <v>0</v>
      </c>
      <c r="G315" s="55">
        <f>SUMIF(JournalsB!D$14:D$920,TrialBalanceB!M315,JournalsB!J$14:J$920)+SUMIF(JournalsB!E$14:E$920,TrialBalanceB!M315,JournalsB!J$14:J$920)</f>
        <v>0</v>
      </c>
      <c r="H315" s="442"/>
      <c r="I315" s="446">
        <f t="shared" si="71"/>
        <v>0</v>
      </c>
      <c r="J315" s="83"/>
      <c r="K315" s="56">
        <f t="shared" si="75"/>
        <v>0</v>
      </c>
      <c r="M315" s="196" t="str">
        <f t="shared" si="76"/>
        <v>7100/2020</v>
      </c>
      <c r="N315" s="78"/>
      <c r="P315" s="79"/>
      <c r="Q315" s="59"/>
      <c r="R315" s="34"/>
    </row>
    <row r="316" spans="1:18" x14ac:dyDescent="0.2">
      <c r="A316" s="393"/>
      <c r="B316" s="62" t="s">
        <v>514</v>
      </c>
      <c r="C316" s="429">
        <f>TrialBalance!C316</f>
        <v>0</v>
      </c>
      <c r="D316" s="435"/>
      <c r="E316" s="427"/>
      <c r="F316" s="87">
        <f t="shared" si="84"/>
        <v>0</v>
      </c>
      <c r="G316" s="55">
        <f>SUMIF(JournalsB!D$14:D$920,TrialBalanceB!M316,JournalsB!J$14:J$920)+SUMIF(JournalsB!E$14:E$920,TrialBalanceB!M316,JournalsB!J$14:J$920)</f>
        <v>0</v>
      </c>
      <c r="H316" s="442"/>
      <c r="I316" s="446">
        <f t="shared" si="71"/>
        <v>0</v>
      </c>
      <c r="J316" s="83"/>
      <c r="K316" s="56">
        <f t="shared" si="75"/>
        <v>0</v>
      </c>
      <c r="M316" s="196" t="str">
        <f t="shared" si="76"/>
        <v>7100/2030</v>
      </c>
      <c r="N316" s="78"/>
      <c r="P316" s="79"/>
      <c r="Q316" s="59"/>
      <c r="R316" s="34"/>
    </row>
    <row r="317" spans="1:18" x14ac:dyDescent="0.2">
      <c r="A317" s="393"/>
      <c r="B317" s="62" t="s">
        <v>515</v>
      </c>
      <c r="C317" s="429">
        <f>TrialBalance!C317</f>
        <v>0</v>
      </c>
      <c r="D317" s="435"/>
      <c r="E317" s="427"/>
      <c r="F317" s="87">
        <f t="shared" si="84"/>
        <v>0</v>
      </c>
      <c r="G317" s="55">
        <f>SUMIF(JournalsB!D$14:D$920,TrialBalanceB!M317,JournalsB!J$14:J$920)+SUMIF(JournalsB!E$14:E$920,TrialBalanceB!M317,JournalsB!J$14:J$920)</f>
        <v>0</v>
      </c>
      <c r="H317" s="442"/>
      <c r="I317" s="446">
        <f t="shared" si="71"/>
        <v>0</v>
      </c>
      <c r="J317" s="83"/>
      <c r="K317" s="56">
        <f t="shared" si="75"/>
        <v>0</v>
      </c>
      <c r="M317" s="196" t="str">
        <f t="shared" si="76"/>
        <v>7100/2040</v>
      </c>
      <c r="N317" s="78"/>
      <c r="P317" s="79"/>
      <c r="Q317" s="59"/>
      <c r="R317" s="34"/>
    </row>
    <row r="318" spans="1:18" x14ac:dyDescent="0.2">
      <c r="A318" s="393"/>
      <c r="B318" s="62" t="s">
        <v>170</v>
      </c>
      <c r="C318" s="429">
        <f>TrialBalance!C318</f>
        <v>0</v>
      </c>
      <c r="D318" s="435"/>
      <c r="E318" s="427"/>
      <c r="F318" s="87">
        <f t="shared" si="84"/>
        <v>0</v>
      </c>
      <c r="G318" s="55">
        <f>SUMIF(JournalsB!D$14:D$920,TrialBalanceB!M318,JournalsB!J$14:J$920)+SUMIF(JournalsB!E$14:E$920,TrialBalanceB!M318,JournalsB!J$14:J$920)</f>
        <v>0</v>
      </c>
      <c r="H318" s="442"/>
      <c r="I318" s="446">
        <f t="shared" si="71"/>
        <v>0</v>
      </c>
      <c r="J318" s="83"/>
      <c r="K318" s="56">
        <f t="shared" si="75"/>
        <v>0</v>
      </c>
      <c r="M318" s="196" t="str">
        <f t="shared" si="76"/>
        <v>7100/2050</v>
      </c>
      <c r="N318" s="78"/>
      <c r="P318" s="79"/>
      <c r="Q318" s="59"/>
      <c r="R318" s="34"/>
    </row>
    <row r="319" spans="1:18" x14ac:dyDescent="0.2">
      <c r="A319" s="393"/>
      <c r="B319" s="62" t="s">
        <v>171</v>
      </c>
      <c r="C319" s="397" t="s">
        <v>882</v>
      </c>
      <c r="D319" s="435"/>
      <c r="E319" s="427"/>
      <c r="F319" s="87"/>
      <c r="G319" s="55">
        <f>SUMIF(JournalsB!D$14:D$920,TrialBalanceB!M319,JournalsB!J$14:J$920)+SUMIF(JournalsB!E$14:E$920,TrialBalanceB!M319,JournalsB!J$14:J$920)</f>
        <v>0</v>
      </c>
      <c r="H319" s="442"/>
      <c r="I319" s="446">
        <f t="shared" si="71"/>
        <v>0</v>
      </c>
      <c r="J319" s="83"/>
      <c r="K319" s="56">
        <f t="shared" si="75"/>
        <v>0</v>
      </c>
      <c r="M319" s="196" t="str">
        <f t="shared" si="76"/>
        <v>7450/000CONNECTED ENTITIES LOANS</v>
      </c>
      <c r="N319" s="78"/>
      <c r="P319" s="79"/>
      <c r="Q319" s="59"/>
      <c r="R319" s="34"/>
    </row>
    <row r="320" spans="1:18" x14ac:dyDescent="0.2">
      <c r="A320" s="393"/>
      <c r="B320" s="62" t="s">
        <v>171</v>
      </c>
      <c r="C320" s="397" t="s">
        <v>733</v>
      </c>
      <c r="D320" s="435"/>
      <c r="E320" s="427"/>
      <c r="F320" s="87"/>
      <c r="G320" s="55">
        <f>SUMIF(JournalsB!D$14:D$920,TrialBalanceB!M320,JournalsB!J$14:J$920)+SUMIF(JournalsB!E$14:E$920,TrialBalanceB!M320,JournalsB!J$14:J$920)</f>
        <v>0</v>
      </c>
      <c r="H320" s="442"/>
      <c r="I320" s="446">
        <f t="shared" ref="I320" si="85">ROUND(D320-E320+G320+F320,0)</f>
        <v>0</v>
      </c>
      <c r="J320" s="83"/>
      <c r="K320" s="56">
        <f t="shared" ref="K320" si="86">ROUND(SUM(A320),0)</f>
        <v>0</v>
      </c>
      <c r="M320" s="196" t="str">
        <f t="shared" ref="M320" si="87">CONCATENATE(B320,C320)</f>
        <v>7450/000Interest bearing</v>
      </c>
      <c r="N320" s="78"/>
      <c r="P320" s="79"/>
      <c r="Q320" s="59"/>
      <c r="R320" s="34"/>
    </row>
    <row r="321" spans="1:18" x14ac:dyDescent="0.2">
      <c r="A321" s="393"/>
      <c r="B321" s="62" t="s">
        <v>172</v>
      </c>
      <c r="C321" s="429">
        <f>TrialBalance!C321</f>
        <v>0</v>
      </c>
      <c r="D321" s="437"/>
      <c r="E321" s="427"/>
      <c r="F321" s="87">
        <f t="shared" si="84"/>
        <v>0</v>
      </c>
      <c r="G321" s="55">
        <f>SUMIF(JournalsB!D$14:D$920,TrialBalanceB!M321,JournalsB!J$14:J$920)+SUMIF(JournalsB!E$14:E$920,TrialBalanceB!M321,JournalsB!J$14:J$920)</f>
        <v>0</v>
      </c>
      <c r="H321" s="442"/>
      <c r="I321" s="446">
        <f t="shared" si="71"/>
        <v>0</v>
      </c>
      <c r="J321" s="83"/>
      <c r="K321" s="56">
        <f t="shared" si="75"/>
        <v>0</v>
      </c>
      <c r="M321" s="196" t="str">
        <f t="shared" si="76"/>
        <v>7450/0010</v>
      </c>
      <c r="N321" s="78"/>
      <c r="P321" s="79"/>
      <c r="Q321" s="59"/>
      <c r="R321" s="34"/>
    </row>
    <row r="322" spans="1:18" x14ac:dyDescent="0.2">
      <c r="A322" s="393"/>
      <c r="B322" s="62" t="s">
        <v>173</v>
      </c>
      <c r="C322" s="429">
        <f>TrialBalance!C322</f>
        <v>0</v>
      </c>
      <c r="D322" s="437"/>
      <c r="E322" s="427"/>
      <c r="F322" s="87">
        <f t="shared" ref="F322:F323" si="88">K322</f>
        <v>0</v>
      </c>
      <c r="G322" s="55">
        <f>SUMIF(JournalsB!D$14:D$920,TrialBalanceB!M322,JournalsB!J$14:J$920)+SUMIF(JournalsB!E$14:E$920,TrialBalanceB!M322,JournalsB!J$14:J$920)</f>
        <v>0</v>
      </c>
      <c r="H322" s="442"/>
      <c r="I322" s="446">
        <f t="shared" ref="I322:I323" si="89">ROUND(D322-E322+G322+F322,0)</f>
        <v>0</v>
      </c>
      <c r="J322" s="83"/>
      <c r="K322" s="56">
        <f t="shared" ref="K322:K323" si="90">ROUND(SUM(A322),0)</f>
        <v>0</v>
      </c>
      <c r="M322" s="196" t="str">
        <f t="shared" ref="M322:M323" si="91">CONCATENATE(B322,C322)</f>
        <v>7450/0020</v>
      </c>
      <c r="N322" s="78"/>
      <c r="P322" s="79"/>
      <c r="Q322" s="59"/>
      <c r="R322" s="34"/>
    </row>
    <row r="323" spans="1:18" x14ac:dyDescent="0.2">
      <c r="A323" s="393"/>
      <c r="B323" s="113" t="s">
        <v>174</v>
      </c>
      <c r="C323" s="429">
        <f>TrialBalance!C323</f>
        <v>0</v>
      </c>
      <c r="D323" s="437"/>
      <c r="E323" s="427"/>
      <c r="F323" s="87">
        <f t="shared" si="88"/>
        <v>0</v>
      </c>
      <c r="G323" s="55">
        <f>SUMIF(JournalsB!D$14:D$920,TrialBalanceB!M323,JournalsB!J$14:J$920)+SUMIF(JournalsB!E$14:E$920,TrialBalanceB!M323,JournalsB!J$14:J$920)</f>
        <v>0</v>
      </c>
      <c r="H323" s="442"/>
      <c r="I323" s="446">
        <f t="shared" si="89"/>
        <v>0</v>
      </c>
      <c r="J323" s="83"/>
      <c r="K323" s="56">
        <f t="shared" si="90"/>
        <v>0</v>
      </c>
      <c r="M323" s="196" t="str">
        <f t="shared" si="91"/>
        <v>7450/0030</v>
      </c>
      <c r="N323" s="78"/>
      <c r="P323" s="79"/>
      <c r="Q323" s="59"/>
      <c r="R323" s="34"/>
    </row>
    <row r="324" spans="1:18" x14ac:dyDescent="0.2">
      <c r="A324" s="393"/>
      <c r="B324" s="113" t="s">
        <v>461</v>
      </c>
      <c r="C324" s="429">
        <f>TrialBalance!C324</f>
        <v>0</v>
      </c>
      <c r="D324" s="437"/>
      <c r="E324" s="427"/>
      <c r="F324" s="87">
        <f t="shared" ref="F324:F329" si="92">K324</f>
        <v>0</v>
      </c>
      <c r="G324" s="55">
        <f>SUMIF(JournalsB!D$14:D$920,TrialBalanceB!M324,JournalsB!J$14:J$920)+SUMIF(JournalsB!E$14:E$920,TrialBalanceB!M324,JournalsB!J$14:J$920)</f>
        <v>0</v>
      </c>
      <c r="H324" s="442"/>
      <c r="I324" s="446">
        <f t="shared" ref="I324:I329" si="93">ROUND(D324-E324+G324+F324,0)</f>
        <v>0</v>
      </c>
      <c r="J324" s="83"/>
      <c r="K324" s="56">
        <f t="shared" ref="K324:K329" si="94">ROUND(SUM(A324),0)</f>
        <v>0</v>
      </c>
      <c r="M324" s="196" t="str">
        <f t="shared" ref="M324:M329" si="95">CONCATENATE(B324,C324)</f>
        <v>7450/0040</v>
      </c>
      <c r="N324" s="78"/>
      <c r="P324" s="79"/>
      <c r="Q324" s="59"/>
      <c r="R324" s="34"/>
    </row>
    <row r="325" spans="1:18" x14ac:dyDescent="0.2">
      <c r="A325" s="393"/>
      <c r="B325" s="113" t="s">
        <v>317</v>
      </c>
      <c r="C325" s="429">
        <f>TrialBalance!C325</f>
        <v>0</v>
      </c>
      <c r="D325" s="437"/>
      <c r="E325" s="427"/>
      <c r="F325" s="87">
        <f t="shared" si="92"/>
        <v>0</v>
      </c>
      <c r="G325" s="55">
        <f>SUMIF(JournalsB!D$14:D$920,TrialBalanceB!M325,JournalsB!J$14:J$920)+SUMIF(JournalsB!E$14:E$920,TrialBalanceB!M325,JournalsB!J$14:J$920)</f>
        <v>0</v>
      </c>
      <c r="H325" s="442"/>
      <c r="I325" s="446">
        <f t="shared" si="93"/>
        <v>0</v>
      </c>
      <c r="J325" s="83"/>
      <c r="K325" s="56">
        <f t="shared" si="94"/>
        <v>0</v>
      </c>
      <c r="M325" s="196" t="str">
        <f t="shared" si="95"/>
        <v>7450/0050</v>
      </c>
      <c r="N325" s="78"/>
      <c r="P325" s="79"/>
      <c r="Q325" s="59"/>
      <c r="R325" s="34"/>
    </row>
    <row r="326" spans="1:18" x14ac:dyDescent="0.2">
      <c r="A326" s="393"/>
      <c r="B326" s="113" t="s">
        <v>923</v>
      </c>
      <c r="C326" s="429">
        <f>TrialBalance!C326</f>
        <v>0</v>
      </c>
      <c r="D326" s="437"/>
      <c r="E326" s="427"/>
      <c r="F326" s="87">
        <f t="shared" si="92"/>
        <v>0</v>
      </c>
      <c r="G326" s="55">
        <f>SUMIF(JournalsB!D$14:D$920,TrialBalanceB!M326,JournalsB!J$14:J$920)+SUMIF(JournalsB!E$14:E$920,TrialBalanceB!M326,JournalsB!J$14:J$920)</f>
        <v>0</v>
      </c>
      <c r="H326" s="442"/>
      <c r="I326" s="446">
        <f t="shared" si="93"/>
        <v>0</v>
      </c>
      <c r="J326" s="83"/>
      <c r="K326" s="56">
        <f t="shared" si="94"/>
        <v>0</v>
      </c>
      <c r="M326" s="196" t="str">
        <f t="shared" si="95"/>
        <v>7450/0060</v>
      </c>
      <c r="N326" s="78"/>
      <c r="P326" s="79"/>
      <c r="Q326" s="59"/>
      <c r="R326" s="34"/>
    </row>
    <row r="327" spans="1:18" x14ac:dyDescent="0.2">
      <c r="A327" s="393"/>
      <c r="B327" s="113" t="s">
        <v>1168</v>
      </c>
      <c r="C327" s="429">
        <f>TrialBalance!C327</f>
        <v>0</v>
      </c>
      <c r="D327" s="437"/>
      <c r="E327" s="427"/>
      <c r="F327" s="87">
        <f t="shared" si="92"/>
        <v>0</v>
      </c>
      <c r="G327" s="55">
        <f>SUMIF(JournalsB!D$14:D$920,TrialBalanceB!M327,JournalsB!J$14:J$920)+SUMIF(JournalsB!E$14:E$920,TrialBalanceB!M327,JournalsB!J$14:J$920)</f>
        <v>0</v>
      </c>
      <c r="H327" s="442"/>
      <c r="I327" s="446">
        <f t="shared" si="93"/>
        <v>0</v>
      </c>
      <c r="J327" s="83"/>
      <c r="K327" s="56">
        <f t="shared" si="94"/>
        <v>0</v>
      </c>
      <c r="M327" s="196" t="str">
        <f t="shared" si="95"/>
        <v>7450/0070</v>
      </c>
      <c r="N327" s="78"/>
      <c r="P327" s="79"/>
      <c r="Q327" s="59"/>
      <c r="R327" s="34"/>
    </row>
    <row r="328" spans="1:18" x14ac:dyDescent="0.2">
      <c r="A328" s="393"/>
      <c r="B328" s="113" t="s">
        <v>1169</v>
      </c>
      <c r="C328" s="429">
        <f>TrialBalance!C328</f>
        <v>0</v>
      </c>
      <c r="D328" s="437"/>
      <c r="E328" s="427"/>
      <c r="F328" s="87">
        <f t="shared" si="92"/>
        <v>0</v>
      </c>
      <c r="G328" s="55">
        <f>SUMIF(JournalsB!D$14:D$920,TrialBalanceB!M328,JournalsB!J$14:J$920)+SUMIF(JournalsB!E$14:E$920,TrialBalanceB!M328,JournalsB!J$14:J$920)</f>
        <v>0</v>
      </c>
      <c r="H328" s="442"/>
      <c r="I328" s="446">
        <f t="shared" si="93"/>
        <v>0</v>
      </c>
      <c r="J328" s="83"/>
      <c r="K328" s="56">
        <f t="shared" si="94"/>
        <v>0</v>
      </c>
      <c r="M328" s="196" t="str">
        <f t="shared" si="95"/>
        <v>7450/0080</v>
      </c>
      <c r="N328" s="78"/>
      <c r="P328" s="79"/>
      <c r="Q328" s="59"/>
      <c r="R328" s="34"/>
    </row>
    <row r="329" spans="1:18" x14ac:dyDescent="0.2">
      <c r="A329" s="393"/>
      <c r="B329" s="113" t="s">
        <v>1170</v>
      </c>
      <c r="C329" s="429">
        <f>TrialBalance!C329</f>
        <v>0</v>
      </c>
      <c r="D329" s="437"/>
      <c r="E329" s="427"/>
      <c r="F329" s="87">
        <f t="shared" si="92"/>
        <v>0</v>
      </c>
      <c r="G329" s="55">
        <f>SUMIF(JournalsB!D$14:D$920,TrialBalanceB!M329,JournalsB!J$14:J$920)+SUMIF(JournalsB!E$14:E$920,TrialBalanceB!M329,JournalsB!J$14:J$920)</f>
        <v>0</v>
      </c>
      <c r="H329" s="442"/>
      <c r="I329" s="446">
        <f t="shared" si="93"/>
        <v>0</v>
      </c>
      <c r="J329" s="83"/>
      <c r="K329" s="56">
        <f t="shared" si="94"/>
        <v>0</v>
      </c>
      <c r="M329" s="196" t="str">
        <f t="shared" si="95"/>
        <v>7450/0090</v>
      </c>
      <c r="N329" s="78"/>
      <c r="P329" s="79"/>
      <c r="Q329" s="59"/>
      <c r="R329" s="34"/>
    </row>
    <row r="330" spans="1:18" x14ac:dyDescent="0.2">
      <c r="A330" s="393"/>
      <c r="B330" s="113" t="s">
        <v>1171</v>
      </c>
      <c r="C330" s="429">
        <f>TrialBalance!C330</f>
        <v>0</v>
      </c>
      <c r="D330" s="435"/>
      <c r="E330" s="427"/>
      <c r="F330" s="87">
        <f t="shared" si="84"/>
        <v>0</v>
      </c>
      <c r="G330" s="55">
        <f>SUMIF(JournalsB!D$14:D$920,TrialBalanceB!M330,JournalsB!J$14:J$920)+SUMIF(JournalsB!E$14:E$920,TrialBalanceB!M330,JournalsB!J$14:J$920)</f>
        <v>0</v>
      </c>
      <c r="H330" s="442"/>
      <c r="I330" s="446">
        <f t="shared" si="71"/>
        <v>0</v>
      </c>
      <c r="J330" s="83"/>
      <c r="K330" s="56">
        <f t="shared" si="75"/>
        <v>0</v>
      </c>
      <c r="M330" s="196" t="str">
        <f t="shared" si="76"/>
        <v>7450/0100</v>
      </c>
      <c r="N330" s="78"/>
      <c r="P330" s="79"/>
      <c r="Q330" s="59"/>
      <c r="R330" s="34"/>
    </row>
    <row r="331" spans="1:18" x14ac:dyDescent="0.2">
      <c r="A331" s="393"/>
      <c r="B331" s="113" t="s">
        <v>1172</v>
      </c>
      <c r="C331" s="397" t="s">
        <v>732</v>
      </c>
      <c r="D331" s="435"/>
      <c r="E331" s="427"/>
      <c r="F331" s="87"/>
      <c r="G331" s="55">
        <f>SUMIF(JournalsB!D$14:D$920,TrialBalanceB!M331,JournalsB!J$14:J$920)+SUMIF(JournalsB!E$14:E$920,TrialBalanceB!M331,JournalsB!J$14:J$920)</f>
        <v>0</v>
      </c>
      <c r="H331" s="442"/>
      <c r="I331" s="446">
        <f t="shared" ref="I331" si="96">ROUND(D331-E331+G331+F331,0)</f>
        <v>0</v>
      </c>
      <c r="J331" s="83"/>
      <c r="K331" s="56">
        <f t="shared" ref="K331" si="97">ROUND(SUM(A331),0)</f>
        <v>0</v>
      </c>
      <c r="M331" s="196" t="str">
        <f t="shared" ref="M331" si="98">CONCATENATE(B331,C331)</f>
        <v>7455/000Interest free</v>
      </c>
      <c r="N331" s="78"/>
      <c r="P331" s="79"/>
      <c r="Q331" s="59"/>
      <c r="R331" s="34"/>
    </row>
    <row r="332" spans="1:18" x14ac:dyDescent="0.2">
      <c r="A332" s="393"/>
      <c r="B332" s="113" t="s">
        <v>1173</v>
      </c>
      <c r="C332" s="429">
        <f>TrialBalance!C332</f>
        <v>0</v>
      </c>
      <c r="D332" s="435"/>
      <c r="E332" s="427"/>
      <c r="F332" s="87">
        <f t="shared" si="84"/>
        <v>0</v>
      </c>
      <c r="G332" s="55">
        <f>SUMIF(JournalsB!D$14:D$920,TrialBalanceB!M332,JournalsB!J$14:J$920)+SUMIF(JournalsB!E$14:E$920,TrialBalanceB!M332,JournalsB!J$14:J$920)</f>
        <v>0</v>
      </c>
      <c r="H332" s="442"/>
      <c r="I332" s="446">
        <f t="shared" si="71"/>
        <v>0</v>
      </c>
      <c r="J332" s="83"/>
      <c r="K332" s="56">
        <f t="shared" si="75"/>
        <v>0</v>
      </c>
      <c r="M332" s="196" t="str">
        <f t="shared" si="76"/>
        <v>7455/0010</v>
      </c>
      <c r="N332" s="78"/>
      <c r="P332" s="79"/>
      <c r="Q332" s="59"/>
      <c r="R332" s="34"/>
    </row>
    <row r="333" spans="1:18" x14ac:dyDescent="0.2">
      <c r="A333" s="393"/>
      <c r="B333" s="113" t="s">
        <v>1174</v>
      </c>
      <c r="C333" s="429">
        <f>TrialBalance!C333</f>
        <v>0</v>
      </c>
      <c r="D333" s="435"/>
      <c r="E333" s="427"/>
      <c r="F333" s="87">
        <f t="shared" ref="F333" si="99">K333</f>
        <v>0</v>
      </c>
      <c r="G333" s="55">
        <f>SUMIF(JournalsB!D$14:D$920,TrialBalanceB!M333,JournalsB!J$14:J$920)+SUMIF(JournalsB!E$14:E$920,TrialBalanceB!M333,JournalsB!J$14:J$920)</f>
        <v>0</v>
      </c>
      <c r="H333" s="442"/>
      <c r="I333" s="446">
        <f t="shared" ref="I333" si="100">ROUND(D333-E333+G333+F333,0)</f>
        <v>0</v>
      </c>
      <c r="J333" s="83"/>
      <c r="K333" s="56">
        <f t="shared" ref="K333" si="101">ROUND(SUM(A333),0)</f>
        <v>0</v>
      </c>
      <c r="M333" s="196" t="str">
        <f t="shared" ref="M333" si="102">CONCATENATE(B333,C333)</f>
        <v>7455/0020</v>
      </c>
      <c r="N333" s="78"/>
      <c r="P333" s="79"/>
      <c r="Q333" s="59"/>
      <c r="R333" s="34"/>
    </row>
    <row r="334" spans="1:18" x14ac:dyDescent="0.2">
      <c r="A334" s="393"/>
      <c r="B334" s="113" t="s">
        <v>1175</v>
      </c>
      <c r="C334" s="429">
        <f>TrialBalance!C334</f>
        <v>0</v>
      </c>
      <c r="D334" s="435"/>
      <c r="E334" s="427"/>
      <c r="F334" s="87">
        <f t="shared" si="84"/>
        <v>0</v>
      </c>
      <c r="G334" s="55">
        <f>SUMIF(JournalsB!D$14:D$920,TrialBalanceB!M334,JournalsB!J$14:J$920)+SUMIF(JournalsB!E$14:E$920,TrialBalanceB!M334,JournalsB!J$14:J$920)</f>
        <v>0</v>
      </c>
      <c r="H334" s="442"/>
      <c r="I334" s="446">
        <f t="shared" si="71"/>
        <v>0</v>
      </c>
      <c r="J334" s="83"/>
      <c r="K334" s="56">
        <f t="shared" si="75"/>
        <v>0</v>
      </c>
      <c r="M334" s="196" t="str">
        <f t="shared" si="76"/>
        <v>7455/0030</v>
      </c>
      <c r="N334" s="78"/>
      <c r="P334" s="79"/>
      <c r="Q334" s="59"/>
      <c r="R334" s="34"/>
    </row>
    <row r="335" spans="1:18" x14ac:dyDescent="0.2">
      <c r="A335" s="393"/>
      <c r="B335" s="113" t="s">
        <v>1176</v>
      </c>
      <c r="C335" s="429">
        <f>TrialBalance!C335</f>
        <v>0</v>
      </c>
      <c r="D335" s="435"/>
      <c r="E335" s="427"/>
      <c r="F335" s="87">
        <f t="shared" ref="F335:F340" si="103">K335</f>
        <v>0</v>
      </c>
      <c r="G335" s="55">
        <f>SUMIF(JournalsB!D$14:D$920,TrialBalanceB!M335,JournalsB!J$14:J$920)+SUMIF(JournalsB!E$14:E$920,TrialBalanceB!M335,JournalsB!J$14:J$920)</f>
        <v>0</v>
      </c>
      <c r="H335" s="442"/>
      <c r="I335" s="446">
        <f t="shared" ref="I335:I340" si="104">ROUND(D335-E335+G335+F335,0)</f>
        <v>0</v>
      </c>
      <c r="J335" s="83"/>
      <c r="K335" s="56">
        <f t="shared" ref="K335:K340" si="105">ROUND(SUM(A335),0)</f>
        <v>0</v>
      </c>
      <c r="M335" s="196" t="str">
        <f t="shared" ref="M335:M340" si="106">CONCATENATE(B335,C335)</f>
        <v>7455/0040</v>
      </c>
      <c r="N335" s="78"/>
      <c r="P335" s="79"/>
      <c r="Q335" s="59"/>
      <c r="R335" s="34"/>
    </row>
    <row r="336" spans="1:18" x14ac:dyDescent="0.2">
      <c r="A336" s="393"/>
      <c r="B336" s="113" t="s">
        <v>1177</v>
      </c>
      <c r="C336" s="429">
        <f>TrialBalance!C336</f>
        <v>0</v>
      </c>
      <c r="D336" s="435"/>
      <c r="E336" s="427"/>
      <c r="F336" s="87">
        <f t="shared" si="103"/>
        <v>0</v>
      </c>
      <c r="G336" s="55">
        <f>SUMIF(JournalsB!D$14:D$920,TrialBalanceB!M336,JournalsB!J$14:J$920)+SUMIF(JournalsB!E$14:E$920,TrialBalanceB!M336,JournalsB!J$14:J$920)</f>
        <v>0</v>
      </c>
      <c r="H336" s="442"/>
      <c r="I336" s="446">
        <f t="shared" si="104"/>
        <v>0</v>
      </c>
      <c r="J336" s="83"/>
      <c r="K336" s="56">
        <f t="shared" si="105"/>
        <v>0</v>
      </c>
      <c r="M336" s="196" t="str">
        <f t="shared" si="106"/>
        <v>7455/0050</v>
      </c>
      <c r="N336" s="78"/>
      <c r="P336" s="79"/>
      <c r="Q336" s="59"/>
      <c r="R336" s="34"/>
    </row>
    <row r="337" spans="1:18" x14ac:dyDescent="0.2">
      <c r="A337" s="393"/>
      <c r="B337" s="113" t="s">
        <v>1178</v>
      </c>
      <c r="C337" s="429">
        <f>TrialBalance!C337</f>
        <v>0</v>
      </c>
      <c r="D337" s="435"/>
      <c r="E337" s="427"/>
      <c r="F337" s="87">
        <f t="shared" si="103"/>
        <v>0</v>
      </c>
      <c r="G337" s="55">
        <f>SUMIF(JournalsB!D$14:D$920,TrialBalanceB!M337,JournalsB!J$14:J$920)+SUMIF(JournalsB!E$14:E$920,TrialBalanceB!M337,JournalsB!J$14:J$920)</f>
        <v>0</v>
      </c>
      <c r="H337" s="442"/>
      <c r="I337" s="446">
        <f t="shared" si="104"/>
        <v>0</v>
      </c>
      <c r="J337" s="83"/>
      <c r="K337" s="56">
        <f t="shared" si="105"/>
        <v>0</v>
      </c>
      <c r="M337" s="196" t="str">
        <f t="shared" si="106"/>
        <v>7455/0060</v>
      </c>
      <c r="N337" s="78"/>
      <c r="P337" s="79"/>
      <c r="Q337" s="59"/>
      <c r="R337" s="34"/>
    </row>
    <row r="338" spans="1:18" x14ac:dyDescent="0.2">
      <c r="A338" s="393"/>
      <c r="B338" s="113" t="s">
        <v>1179</v>
      </c>
      <c r="C338" s="429">
        <f>TrialBalance!C338</f>
        <v>0</v>
      </c>
      <c r="D338" s="435"/>
      <c r="E338" s="427"/>
      <c r="F338" s="87">
        <f t="shared" si="103"/>
        <v>0</v>
      </c>
      <c r="G338" s="55">
        <f>SUMIF(JournalsB!D$14:D$920,TrialBalanceB!M338,JournalsB!J$14:J$920)+SUMIF(JournalsB!E$14:E$920,TrialBalanceB!M338,JournalsB!J$14:J$920)</f>
        <v>0</v>
      </c>
      <c r="H338" s="442"/>
      <c r="I338" s="446">
        <f t="shared" si="104"/>
        <v>0</v>
      </c>
      <c r="J338" s="83"/>
      <c r="K338" s="56">
        <f t="shared" si="105"/>
        <v>0</v>
      </c>
      <c r="M338" s="196" t="str">
        <f t="shared" si="106"/>
        <v>7455/0070</v>
      </c>
      <c r="N338" s="78"/>
      <c r="P338" s="79"/>
      <c r="Q338" s="59"/>
      <c r="R338" s="34"/>
    </row>
    <row r="339" spans="1:18" x14ac:dyDescent="0.2">
      <c r="A339" s="393"/>
      <c r="B339" s="113" t="s">
        <v>1180</v>
      </c>
      <c r="C339" s="429">
        <f>TrialBalance!C339</f>
        <v>0</v>
      </c>
      <c r="D339" s="435"/>
      <c r="E339" s="427"/>
      <c r="F339" s="87">
        <f t="shared" si="103"/>
        <v>0</v>
      </c>
      <c r="G339" s="55">
        <f>SUMIF(JournalsB!D$14:D$920,TrialBalanceB!M339,JournalsB!J$14:J$920)+SUMIF(JournalsB!E$14:E$920,TrialBalanceB!M339,JournalsB!J$14:J$920)</f>
        <v>0</v>
      </c>
      <c r="H339" s="442"/>
      <c r="I339" s="446">
        <f t="shared" si="104"/>
        <v>0</v>
      </c>
      <c r="J339" s="83"/>
      <c r="K339" s="56">
        <f t="shared" si="105"/>
        <v>0</v>
      </c>
      <c r="M339" s="196" t="str">
        <f t="shared" si="106"/>
        <v>7455/0080</v>
      </c>
      <c r="N339" s="78"/>
      <c r="P339" s="79"/>
      <c r="Q339" s="59"/>
      <c r="R339" s="34"/>
    </row>
    <row r="340" spans="1:18" x14ac:dyDescent="0.2">
      <c r="A340" s="393"/>
      <c r="B340" s="113" t="s">
        <v>1181</v>
      </c>
      <c r="C340" s="429">
        <f>TrialBalance!C340</f>
        <v>0</v>
      </c>
      <c r="D340" s="435"/>
      <c r="E340" s="427"/>
      <c r="F340" s="87">
        <f t="shared" si="103"/>
        <v>0</v>
      </c>
      <c r="G340" s="55">
        <f>SUMIF(JournalsB!D$14:D$920,TrialBalanceB!M340,JournalsB!J$14:J$920)+SUMIF(JournalsB!E$14:E$920,TrialBalanceB!M340,JournalsB!J$14:J$920)</f>
        <v>0</v>
      </c>
      <c r="H340" s="442"/>
      <c r="I340" s="446">
        <f t="shared" si="104"/>
        <v>0</v>
      </c>
      <c r="J340" s="83"/>
      <c r="K340" s="56">
        <f t="shared" si="105"/>
        <v>0</v>
      </c>
      <c r="M340" s="196" t="str">
        <f t="shared" si="106"/>
        <v>7455/0090</v>
      </c>
      <c r="N340" s="78"/>
      <c r="P340" s="79"/>
      <c r="Q340" s="59"/>
      <c r="R340" s="34"/>
    </row>
    <row r="341" spans="1:18" x14ac:dyDescent="0.2">
      <c r="A341" s="393"/>
      <c r="B341" s="113" t="s">
        <v>1182</v>
      </c>
      <c r="C341" s="429">
        <f>TrialBalance!C341</f>
        <v>0</v>
      </c>
      <c r="D341" s="435"/>
      <c r="E341" s="427"/>
      <c r="F341" s="87">
        <f t="shared" si="84"/>
        <v>0</v>
      </c>
      <c r="G341" s="55">
        <f>SUMIF(JournalsB!D$14:D$920,TrialBalanceB!M341,JournalsB!J$14:J$920)+SUMIF(JournalsB!E$14:E$920,TrialBalanceB!M341,JournalsB!J$14:J$920)</f>
        <v>0</v>
      </c>
      <c r="H341" s="442"/>
      <c r="I341" s="446">
        <f t="shared" si="71"/>
        <v>0</v>
      </c>
      <c r="J341" s="83"/>
      <c r="K341" s="56">
        <f t="shared" si="75"/>
        <v>0</v>
      </c>
      <c r="M341" s="196" t="str">
        <f t="shared" si="76"/>
        <v>7455/0100</v>
      </c>
      <c r="N341" s="78"/>
      <c r="P341" s="79"/>
      <c r="Q341" s="59"/>
      <c r="R341" s="34"/>
    </row>
    <row r="342" spans="1:18" x14ac:dyDescent="0.2">
      <c r="A342" s="393"/>
      <c r="B342" s="62" t="s">
        <v>318</v>
      </c>
      <c r="C342" s="395" t="s">
        <v>868</v>
      </c>
      <c r="D342" s="427"/>
      <c r="E342" s="427"/>
      <c r="F342" s="87"/>
      <c r="G342" s="55">
        <f>SUMIF(JournalsB!D$14:D$920,TrialBalanceB!M342,JournalsB!J$14:J$920)+SUMIF(JournalsB!E$14:E$920,TrialBalanceB!M342,JournalsB!J$14:J$920)</f>
        <v>0</v>
      </c>
      <c r="H342" s="442"/>
      <c r="I342" s="446">
        <f t="shared" si="71"/>
        <v>0</v>
      </c>
      <c r="J342" s="83"/>
      <c r="K342" s="56">
        <f t="shared" si="75"/>
        <v>0</v>
      </c>
      <c r="M342" s="196" t="str">
        <f t="shared" si="76"/>
        <v>7460/000OTHER NON - CURRENT RECEIVABLES</v>
      </c>
      <c r="N342" s="78"/>
      <c r="P342" s="79"/>
      <c r="Q342" s="59"/>
      <c r="R342" s="34"/>
    </row>
    <row r="343" spans="1:18" x14ac:dyDescent="0.2">
      <c r="A343" s="393"/>
      <c r="B343" s="62" t="s">
        <v>318</v>
      </c>
      <c r="C343" s="395" t="s">
        <v>733</v>
      </c>
      <c r="D343" s="427"/>
      <c r="E343" s="427"/>
      <c r="F343" s="87"/>
      <c r="G343" s="55">
        <f>SUMIF(JournalsB!D$14:D$920,TrialBalanceB!M343,JournalsB!J$14:J$920)+SUMIF(JournalsB!E$14:E$920,TrialBalanceB!M343,JournalsB!J$14:J$920)</f>
        <v>0</v>
      </c>
      <c r="H343" s="442"/>
      <c r="I343" s="446">
        <f t="shared" ref="I343" si="107">ROUND(D343-E343+G343+F343,0)</f>
        <v>0</v>
      </c>
      <c r="J343" s="83"/>
      <c r="K343" s="56">
        <f t="shared" ref="K343" si="108">ROUND(SUM(A343),0)</f>
        <v>0</v>
      </c>
      <c r="M343" s="196" t="str">
        <f t="shared" ref="M343" si="109">CONCATENATE(B343,C343)</f>
        <v>7460/000Interest bearing</v>
      </c>
      <c r="N343" s="78"/>
      <c r="P343" s="79"/>
      <c r="Q343" s="59"/>
      <c r="R343" s="34"/>
    </row>
    <row r="344" spans="1:18" x14ac:dyDescent="0.2">
      <c r="A344" s="393"/>
      <c r="B344" s="62" t="s">
        <v>320</v>
      </c>
      <c r="C344" s="429">
        <f>TrialBalance!C344</f>
        <v>0</v>
      </c>
      <c r="D344" s="434"/>
      <c r="E344" s="427"/>
      <c r="F344" s="87">
        <f t="shared" si="84"/>
        <v>0</v>
      </c>
      <c r="G344" s="55">
        <f>SUMIF(JournalsB!D$14:D$920,TrialBalanceB!M344,JournalsB!J$14:J$920)+SUMIF(JournalsB!E$14:E$920,TrialBalanceB!M344,JournalsB!J$14:J$920)</f>
        <v>0</v>
      </c>
      <c r="H344" s="442"/>
      <c r="I344" s="446">
        <f t="shared" si="71"/>
        <v>0</v>
      </c>
      <c r="J344" s="83"/>
      <c r="K344" s="56">
        <f t="shared" si="75"/>
        <v>0</v>
      </c>
      <c r="M344" s="196" t="str">
        <f t="shared" si="76"/>
        <v>7460/0010</v>
      </c>
      <c r="N344" s="78"/>
      <c r="P344" s="79"/>
      <c r="Q344" s="59"/>
      <c r="R344" s="34"/>
    </row>
    <row r="345" spans="1:18" x14ac:dyDescent="0.2">
      <c r="A345" s="393"/>
      <c r="B345" s="62" t="s">
        <v>321</v>
      </c>
      <c r="C345" s="429">
        <f>TrialBalance!C345</f>
        <v>0</v>
      </c>
      <c r="D345" s="434"/>
      <c r="E345" s="427"/>
      <c r="F345" s="87">
        <f t="shared" ref="F345" si="110">K345</f>
        <v>0</v>
      </c>
      <c r="G345" s="55">
        <f>SUMIF(JournalsB!D$14:D$920,TrialBalanceB!M345,JournalsB!J$14:J$920)+SUMIF(JournalsB!E$14:E$920,TrialBalanceB!M345,JournalsB!J$14:J$920)</f>
        <v>0</v>
      </c>
      <c r="H345" s="442"/>
      <c r="I345" s="446">
        <f t="shared" ref="I345" si="111">ROUND(D345-E345+G345+F345,0)</f>
        <v>0</v>
      </c>
      <c r="J345" s="83"/>
      <c r="K345" s="56">
        <f t="shared" ref="K345" si="112">ROUND(SUM(A345),0)</f>
        <v>0</v>
      </c>
      <c r="M345" s="196" t="str">
        <f t="shared" ref="M345" si="113">CONCATENATE(B345,C345)</f>
        <v>7460/0020</v>
      </c>
      <c r="N345" s="78"/>
      <c r="P345" s="79"/>
      <c r="Q345" s="59"/>
      <c r="R345" s="34"/>
    </row>
    <row r="346" spans="1:18" x14ac:dyDescent="0.2">
      <c r="A346" s="393"/>
      <c r="B346" s="62" t="s">
        <v>322</v>
      </c>
      <c r="C346" s="429">
        <f>TrialBalance!C346</f>
        <v>0</v>
      </c>
      <c r="D346" s="435"/>
      <c r="E346" s="427"/>
      <c r="F346" s="87">
        <f t="shared" si="84"/>
        <v>0</v>
      </c>
      <c r="G346" s="55">
        <f>SUMIF(JournalsB!D$14:D$920,TrialBalanceB!M346,JournalsB!J$14:J$920)+SUMIF(JournalsB!E$14:E$920,TrialBalanceB!M346,JournalsB!J$14:J$920)</f>
        <v>0</v>
      </c>
      <c r="H346" s="442"/>
      <c r="I346" s="446">
        <f t="shared" si="71"/>
        <v>0</v>
      </c>
      <c r="J346" s="83"/>
      <c r="K346" s="56">
        <f t="shared" si="75"/>
        <v>0</v>
      </c>
      <c r="M346" s="196" t="str">
        <f t="shared" si="76"/>
        <v>7460/0030</v>
      </c>
      <c r="N346" s="78"/>
      <c r="P346" s="79"/>
      <c r="Q346" s="59"/>
      <c r="R346" s="34"/>
    </row>
    <row r="347" spans="1:18" x14ac:dyDescent="0.2">
      <c r="A347" s="393"/>
      <c r="B347" s="113" t="s">
        <v>693</v>
      </c>
      <c r="C347" s="429">
        <f>TrialBalance!C347</f>
        <v>0</v>
      </c>
      <c r="D347" s="435"/>
      <c r="E347" s="427"/>
      <c r="F347" s="87">
        <f t="shared" si="84"/>
        <v>0</v>
      </c>
      <c r="G347" s="55">
        <f>SUMIF(JournalsB!D$14:D$920,TrialBalanceB!M347,JournalsB!J$14:J$920)+SUMIF(JournalsB!E$14:E$920,TrialBalanceB!M347,JournalsB!J$14:J$920)</f>
        <v>0</v>
      </c>
      <c r="H347" s="442"/>
      <c r="I347" s="446">
        <f t="shared" si="71"/>
        <v>0</v>
      </c>
      <c r="J347" s="83"/>
      <c r="K347" s="56">
        <f t="shared" si="75"/>
        <v>0</v>
      </c>
      <c r="M347" s="196" t="str">
        <f t="shared" si="76"/>
        <v>7460/0040</v>
      </c>
      <c r="N347" s="78"/>
      <c r="P347" s="79"/>
      <c r="Q347" s="59"/>
      <c r="R347" s="34"/>
    </row>
    <row r="348" spans="1:18" x14ac:dyDescent="0.2">
      <c r="A348" s="393"/>
      <c r="B348" s="62" t="s">
        <v>318</v>
      </c>
      <c r="C348" s="397" t="s">
        <v>732</v>
      </c>
      <c r="D348" s="435"/>
      <c r="E348" s="427"/>
      <c r="F348" s="87"/>
      <c r="G348" s="55">
        <f>SUMIF(JournalsB!D$14:D$920,TrialBalanceB!M348,JournalsB!J$14:J$920)+SUMIF(JournalsB!E$14:E$920,TrialBalanceB!M348,JournalsB!J$14:J$920)</f>
        <v>0</v>
      </c>
      <c r="H348" s="442"/>
      <c r="I348" s="446">
        <f t="shared" ref="I348" si="114">ROUND(D348-E348+G348+F348,0)</f>
        <v>0</v>
      </c>
      <c r="J348" s="83"/>
      <c r="K348" s="56">
        <f t="shared" ref="K348" si="115">ROUND(SUM(A348),0)</f>
        <v>0</v>
      </c>
      <c r="M348" s="196" t="str">
        <f t="shared" ref="M348" si="116">CONCATENATE(B348,C348)</f>
        <v>7460/000Interest free</v>
      </c>
      <c r="N348" s="78"/>
      <c r="P348" s="79"/>
      <c r="Q348" s="59"/>
      <c r="R348" s="34"/>
    </row>
    <row r="349" spans="1:18" x14ac:dyDescent="0.2">
      <c r="A349" s="393"/>
      <c r="B349" s="113" t="s">
        <v>693</v>
      </c>
      <c r="C349" s="429">
        <f>TrialBalance!C349</f>
        <v>0</v>
      </c>
      <c r="D349" s="435"/>
      <c r="E349" s="427"/>
      <c r="F349" s="87">
        <f t="shared" si="84"/>
        <v>0</v>
      </c>
      <c r="G349" s="55">
        <f>SUMIF(JournalsB!D$14:D$920,TrialBalanceB!M349,JournalsB!J$14:J$920)+SUMIF(JournalsB!E$14:E$920,TrialBalanceB!M349,JournalsB!J$14:J$920)</f>
        <v>0</v>
      </c>
      <c r="H349" s="442"/>
      <c r="I349" s="446">
        <f t="shared" si="71"/>
        <v>0</v>
      </c>
      <c r="J349" s="83"/>
      <c r="K349" s="56">
        <f t="shared" si="75"/>
        <v>0</v>
      </c>
      <c r="M349" s="196" t="str">
        <f t="shared" si="76"/>
        <v>7460/0040</v>
      </c>
      <c r="N349" s="78"/>
      <c r="P349" s="79"/>
      <c r="Q349" s="59"/>
      <c r="R349" s="34"/>
    </row>
    <row r="350" spans="1:18" x14ac:dyDescent="0.2">
      <c r="A350" s="393"/>
      <c r="B350" s="113" t="s">
        <v>694</v>
      </c>
      <c r="C350" s="429">
        <f>TrialBalance!C350</f>
        <v>0</v>
      </c>
      <c r="D350" s="435"/>
      <c r="E350" s="427"/>
      <c r="F350" s="87">
        <f t="shared" si="84"/>
        <v>0</v>
      </c>
      <c r="G350" s="55">
        <f>SUMIF(JournalsB!D$14:D$920,TrialBalanceB!M350,JournalsB!J$14:J$920)+SUMIF(JournalsB!E$14:E$920,TrialBalanceB!M350,JournalsB!J$14:J$920)</f>
        <v>0</v>
      </c>
      <c r="H350" s="442"/>
      <c r="I350" s="446">
        <f t="shared" si="71"/>
        <v>0</v>
      </c>
      <c r="J350" s="83"/>
      <c r="K350" s="56">
        <f t="shared" si="75"/>
        <v>0</v>
      </c>
      <c r="M350" s="196" t="str">
        <f t="shared" si="76"/>
        <v>7460/0050</v>
      </c>
      <c r="N350" s="78"/>
      <c r="P350" s="79"/>
      <c r="Q350" s="59"/>
      <c r="R350" s="34"/>
    </row>
    <row r="351" spans="1:18" x14ac:dyDescent="0.2">
      <c r="A351" s="393"/>
      <c r="B351" s="113" t="s">
        <v>323</v>
      </c>
      <c r="C351" s="429">
        <f>TrialBalance!C351</f>
        <v>0</v>
      </c>
      <c r="D351" s="435"/>
      <c r="E351" s="427"/>
      <c r="F351" s="87">
        <f>K351</f>
        <v>0</v>
      </c>
      <c r="G351" s="55">
        <f>SUMIF(JournalsB!D$14:D$920,TrialBalanceB!M351,JournalsB!J$14:J$920)+SUMIF(JournalsB!E$14:E$920,TrialBalanceB!M351,JournalsB!J$14:J$920)</f>
        <v>0</v>
      </c>
      <c r="H351" s="442"/>
      <c r="I351" s="446">
        <f t="shared" si="71"/>
        <v>0</v>
      </c>
      <c r="J351" s="83"/>
      <c r="K351" s="56">
        <f t="shared" si="75"/>
        <v>0</v>
      </c>
      <c r="M351" s="196" t="str">
        <f t="shared" si="76"/>
        <v>7460/0060</v>
      </c>
      <c r="N351" s="78"/>
      <c r="P351" s="79"/>
      <c r="Q351" s="59"/>
      <c r="R351" s="34"/>
    </row>
    <row r="352" spans="1:18" x14ac:dyDescent="0.2">
      <c r="A352" s="393"/>
      <c r="B352" s="113" t="s">
        <v>324</v>
      </c>
      <c r="C352" s="429">
        <f>TrialBalance!C352</f>
        <v>0</v>
      </c>
      <c r="D352" s="435"/>
      <c r="E352" s="427"/>
      <c r="F352" s="87">
        <f>K352</f>
        <v>0</v>
      </c>
      <c r="G352" s="55">
        <f>SUMIF(JournalsB!D$14:D$920,TrialBalanceB!M352,JournalsB!J$14:J$920)+SUMIF(JournalsB!E$14:E$920,TrialBalanceB!M352,JournalsB!J$14:J$920)</f>
        <v>0</v>
      </c>
      <c r="H352" s="442"/>
      <c r="I352" s="446">
        <f t="shared" si="71"/>
        <v>0</v>
      </c>
      <c r="J352" s="83"/>
      <c r="K352" s="56">
        <f t="shared" si="75"/>
        <v>0</v>
      </c>
      <c r="M352" s="196" t="str">
        <f t="shared" si="76"/>
        <v>7460/0070</v>
      </c>
      <c r="N352" s="78"/>
      <c r="P352" s="79"/>
      <c r="Q352" s="59"/>
      <c r="R352" s="34"/>
    </row>
    <row r="353" spans="1:18" x14ac:dyDescent="0.2">
      <c r="A353" s="393"/>
      <c r="B353" s="113" t="s">
        <v>548</v>
      </c>
      <c r="C353" s="429">
        <f>TrialBalance!C353</f>
        <v>0</v>
      </c>
      <c r="D353" s="435"/>
      <c r="E353" s="427"/>
      <c r="F353" s="87">
        <f>K353</f>
        <v>0</v>
      </c>
      <c r="G353" s="55">
        <f>SUMIF(JournalsB!D$14:D$920,TrialBalanceB!M353,JournalsB!J$14:J$920)+SUMIF(JournalsB!E$14:E$920,TrialBalanceB!M353,JournalsB!J$14:J$920)</f>
        <v>0</v>
      </c>
      <c r="H353" s="442"/>
      <c r="I353" s="446">
        <f t="shared" si="71"/>
        <v>0</v>
      </c>
      <c r="J353" s="83"/>
      <c r="K353" s="56">
        <f t="shared" si="75"/>
        <v>0</v>
      </c>
      <c r="M353" s="196" t="str">
        <f t="shared" si="76"/>
        <v>7460/0080</v>
      </c>
      <c r="N353" s="78"/>
      <c r="P353" s="79"/>
      <c r="Q353" s="59"/>
      <c r="R353" s="34"/>
    </row>
    <row r="354" spans="1:18" x14ac:dyDescent="0.2">
      <c r="A354" s="393"/>
      <c r="B354" s="62" t="s">
        <v>456</v>
      </c>
      <c r="C354" s="396" t="s">
        <v>56</v>
      </c>
      <c r="D354" s="436"/>
      <c r="E354" s="427"/>
      <c r="F354" s="87"/>
      <c r="G354" s="55">
        <f>SUMIF(JournalsB!D$14:D$920,TrialBalanceB!M354,JournalsB!J$14:J$920)+SUMIF(JournalsB!E$14:E$920,TrialBalanceB!M354,JournalsB!J$14:J$920)</f>
        <v>0</v>
      </c>
      <c r="H354" s="442"/>
      <c r="I354" s="446">
        <f t="shared" si="71"/>
        <v>0</v>
      </c>
      <c r="J354" s="83"/>
      <c r="K354" s="56">
        <f t="shared" si="75"/>
        <v>0</v>
      </c>
      <c r="M354" s="196" t="str">
        <f t="shared" si="76"/>
        <v>7500/000INVENTORY</v>
      </c>
      <c r="N354" s="78"/>
      <c r="P354" s="79"/>
      <c r="Q354" s="59"/>
      <c r="R354" s="34"/>
    </row>
    <row r="355" spans="1:18" x14ac:dyDescent="0.2">
      <c r="A355" s="393"/>
      <c r="B355" s="62" t="s">
        <v>457</v>
      </c>
      <c r="C355" s="394" t="s">
        <v>458</v>
      </c>
      <c r="D355" s="435"/>
      <c r="E355" s="427"/>
      <c r="F355" s="87">
        <f t="shared" si="84"/>
        <v>0</v>
      </c>
      <c r="G355" s="55">
        <f>SUMIF(JournalsB!D$14:D$920,TrialBalanceB!M355,JournalsB!J$14:J$920)+SUMIF(JournalsB!E$14:E$920,TrialBalanceB!M355,JournalsB!J$14:J$920)</f>
        <v>0</v>
      </c>
      <c r="H355" s="442"/>
      <c r="I355" s="446">
        <f t="shared" si="71"/>
        <v>0</v>
      </c>
      <c r="J355" s="83"/>
      <c r="K355" s="56">
        <f t="shared" si="75"/>
        <v>0</v>
      </c>
      <c r="M355" s="196" t="str">
        <f t="shared" si="76"/>
        <v>7500/001Raw materials</v>
      </c>
      <c r="N355" s="78"/>
      <c r="P355" s="79"/>
      <c r="Q355" s="59"/>
      <c r="R355" s="34"/>
    </row>
    <row r="356" spans="1:18" x14ac:dyDescent="0.2">
      <c r="A356" s="393"/>
      <c r="B356" s="62" t="s">
        <v>21</v>
      </c>
      <c r="C356" s="394" t="s">
        <v>22</v>
      </c>
      <c r="D356" s="435"/>
      <c r="E356" s="427"/>
      <c r="F356" s="87">
        <f t="shared" si="84"/>
        <v>0</v>
      </c>
      <c r="G356" s="55">
        <f>SUMIF(JournalsB!D$14:D$920,TrialBalanceB!M356,JournalsB!J$14:J$920)+SUMIF(JournalsB!E$14:E$920,TrialBalanceB!M356,JournalsB!J$14:J$920)</f>
        <v>0</v>
      </c>
      <c r="H356" s="442"/>
      <c r="I356" s="446">
        <f t="shared" ref="I356:I401" si="117">ROUND(D356-E356+G356+F356,0)</f>
        <v>0</v>
      </c>
      <c r="J356" s="83"/>
      <c r="K356" s="56">
        <f t="shared" si="75"/>
        <v>0</v>
      </c>
      <c r="M356" s="196" t="str">
        <f t="shared" si="76"/>
        <v>7500/002Work in progress</v>
      </c>
      <c r="N356" s="78"/>
      <c r="P356" s="79"/>
      <c r="Q356" s="59"/>
      <c r="R356" s="34"/>
    </row>
    <row r="357" spans="1:18" x14ac:dyDescent="0.2">
      <c r="A357" s="393"/>
      <c r="B357" s="62" t="s">
        <v>23</v>
      </c>
      <c r="C357" s="394" t="s">
        <v>24</v>
      </c>
      <c r="D357" s="435"/>
      <c r="E357" s="427"/>
      <c r="F357" s="87">
        <f t="shared" si="84"/>
        <v>0</v>
      </c>
      <c r="G357" s="55">
        <f>SUMIF(JournalsB!D$14:D$920,TrialBalanceB!M357,JournalsB!J$14:J$920)+SUMIF(JournalsB!E$14:E$920,TrialBalanceB!M357,JournalsB!J$14:J$920)</f>
        <v>0</v>
      </c>
      <c r="H357" s="442"/>
      <c r="I357" s="446">
        <f t="shared" si="117"/>
        <v>0</v>
      </c>
      <c r="J357" s="83"/>
      <c r="K357" s="56">
        <f t="shared" si="75"/>
        <v>0</v>
      </c>
      <c r="M357" s="196" t="str">
        <f t="shared" si="76"/>
        <v>7500/003Finished goods</v>
      </c>
      <c r="N357" s="78"/>
      <c r="P357" s="79"/>
      <c r="Q357" s="59"/>
      <c r="R357" s="34"/>
    </row>
    <row r="358" spans="1:18" x14ac:dyDescent="0.2">
      <c r="A358" s="393"/>
      <c r="B358" s="62" t="s">
        <v>27</v>
      </c>
      <c r="C358" s="394" t="s">
        <v>28</v>
      </c>
      <c r="D358" s="435"/>
      <c r="E358" s="427"/>
      <c r="F358" s="87">
        <f t="shared" si="84"/>
        <v>0</v>
      </c>
      <c r="G358" s="55">
        <f>SUMIF(JournalsB!D$14:D$920,TrialBalanceB!M358,JournalsB!J$14:J$920)+SUMIF(JournalsB!E$14:E$920,TrialBalanceB!M358,JournalsB!J$14:J$920)</f>
        <v>0</v>
      </c>
      <c r="H358" s="442"/>
      <c r="I358" s="446">
        <f t="shared" si="117"/>
        <v>0</v>
      </c>
      <c r="J358" s="83"/>
      <c r="K358" s="56">
        <f t="shared" si="75"/>
        <v>0</v>
      </c>
      <c r="M358" s="196" t="str">
        <f t="shared" si="76"/>
        <v>7500/004Trading stock</v>
      </c>
      <c r="N358" s="78"/>
      <c r="P358" s="79"/>
      <c r="Q358" s="59"/>
      <c r="R358" s="34"/>
    </row>
    <row r="359" spans="1:18" x14ac:dyDescent="0.2">
      <c r="A359" s="393"/>
      <c r="B359" s="62" t="s">
        <v>30</v>
      </c>
      <c r="C359" s="396" t="s">
        <v>31</v>
      </c>
      <c r="D359" s="436"/>
      <c r="E359" s="427"/>
      <c r="F359" s="87"/>
      <c r="G359" s="55">
        <f>SUMIF(JournalsB!D$14:D$920,TrialBalanceB!M359,JournalsB!J$14:J$920)+SUMIF(JournalsB!E$14:E$920,TrialBalanceB!M359,JournalsB!J$14:J$920)</f>
        <v>0</v>
      </c>
      <c r="H359" s="442"/>
      <c r="I359" s="446">
        <f t="shared" si="117"/>
        <v>0</v>
      </c>
      <c r="J359" s="83"/>
      <c r="K359" s="56">
        <f t="shared" si="75"/>
        <v>0</v>
      </c>
      <c r="M359" s="196" t="str">
        <f t="shared" si="76"/>
        <v>8000/000DEBTORS</v>
      </c>
      <c r="N359" s="78"/>
      <c r="P359" s="79"/>
      <c r="Q359" s="59"/>
      <c r="R359" s="34"/>
    </row>
    <row r="360" spans="1:18" x14ac:dyDescent="0.2">
      <c r="A360" s="393"/>
      <c r="B360" s="62" t="s">
        <v>32</v>
      </c>
      <c r="C360" s="394" t="s">
        <v>33</v>
      </c>
      <c r="D360" s="435"/>
      <c r="E360" s="427"/>
      <c r="F360" s="87">
        <f t="shared" si="84"/>
        <v>0</v>
      </c>
      <c r="G360" s="55">
        <f>SUMIF(JournalsB!D$14:D$920,TrialBalanceB!M360,JournalsB!J$14:J$920)+SUMIF(JournalsB!E$14:E$920,TrialBalanceB!M360,JournalsB!J$14:J$920)</f>
        <v>0</v>
      </c>
      <c r="H360" s="442"/>
      <c r="I360" s="446">
        <f t="shared" si="117"/>
        <v>0</v>
      </c>
      <c r="J360" s="83"/>
      <c r="K360" s="56">
        <f t="shared" si="75"/>
        <v>0</v>
      </c>
      <c r="M360" s="196" t="str">
        <f t="shared" si="76"/>
        <v>8010/000Trade debtors</v>
      </c>
      <c r="N360" s="78"/>
      <c r="P360" s="79"/>
      <c r="Q360" s="59"/>
      <c r="R360" s="34"/>
    </row>
    <row r="361" spans="1:18" x14ac:dyDescent="0.2">
      <c r="A361" s="393"/>
      <c r="B361" s="113" t="s">
        <v>34</v>
      </c>
      <c r="C361" s="397" t="s">
        <v>635</v>
      </c>
      <c r="D361" s="435"/>
      <c r="E361" s="427"/>
      <c r="F361" s="87">
        <f t="shared" si="84"/>
        <v>0</v>
      </c>
      <c r="G361" s="55">
        <f>SUMIF(JournalsB!D$14:D$920,TrialBalanceB!M361,JournalsB!J$14:J$920)+SUMIF(JournalsB!E$14:E$920,TrialBalanceB!M361,JournalsB!J$14:J$920)</f>
        <v>0</v>
      </c>
      <c r="H361" s="442"/>
      <c r="I361" s="446">
        <f t="shared" si="117"/>
        <v>0</v>
      </c>
      <c r="J361" s="83"/>
      <c r="K361" s="56">
        <f t="shared" si="75"/>
        <v>0</v>
      </c>
      <c r="M361" s="196" t="str">
        <f t="shared" si="76"/>
        <v>8020/000Less: Provision for doubtful debts</v>
      </c>
      <c r="N361" s="78"/>
      <c r="P361" s="79"/>
      <c r="Q361" s="59"/>
      <c r="R361" s="34"/>
    </row>
    <row r="362" spans="1:18" x14ac:dyDescent="0.2">
      <c r="A362" s="393"/>
      <c r="B362" s="113" t="s">
        <v>637</v>
      </c>
      <c r="C362" s="394" t="s">
        <v>359</v>
      </c>
      <c r="D362" s="435"/>
      <c r="E362" s="427"/>
      <c r="F362" s="87">
        <f t="shared" si="84"/>
        <v>0</v>
      </c>
      <c r="G362" s="55">
        <f>SUMIF(JournalsB!D$14:D$920,TrialBalanceB!M362,JournalsB!J$14:J$920)+SUMIF(JournalsB!E$14:E$920,TrialBalanceB!M362,JournalsB!J$14:J$920)</f>
        <v>0</v>
      </c>
      <c r="H362" s="442"/>
      <c r="I362" s="446">
        <f t="shared" si="117"/>
        <v>0</v>
      </c>
      <c r="J362" s="83"/>
      <c r="K362" s="56">
        <f t="shared" si="75"/>
        <v>0</v>
      </c>
      <c r="M362" s="196" t="str">
        <f t="shared" si="76"/>
        <v>8030/000Service deposits</v>
      </c>
      <c r="N362" s="78"/>
      <c r="P362" s="79"/>
      <c r="Q362" s="59"/>
      <c r="R362" s="34"/>
    </row>
    <row r="363" spans="1:18" x14ac:dyDescent="0.2">
      <c r="A363" s="393"/>
      <c r="B363" s="62" t="s">
        <v>516</v>
      </c>
      <c r="C363" s="397" t="s">
        <v>971</v>
      </c>
      <c r="D363" s="435"/>
      <c r="E363" s="427"/>
      <c r="F363" s="87">
        <f t="shared" si="84"/>
        <v>0</v>
      </c>
      <c r="G363" s="55">
        <f>SUMIF(JournalsB!D$14:D$920,TrialBalanceB!M363,JournalsB!J$14:J$920)+SUMIF(JournalsB!E$14:E$920,TrialBalanceB!M363,JournalsB!J$14:J$920)</f>
        <v>0</v>
      </c>
      <c r="H363" s="442"/>
      <c r="I363" s="446">
        <f t="shared" si="117"/>
        <v>0</v>
      </c>
      <c r="J363" s="83"/>
      <c r="K363" s="56">
        <f t="shared" si="75"/>
        <v>0</v>
      </c>
      <c r="M363" s="196" t="str">
        <f t="shared" si="76"/>
        <v>8200/000Sundry customers</v>
      </c>
      <c r="N363" s="78"/>
      <c r="P363" s="79"/>
      <c r="Q363" s="59"/>
      <c r="R363" s="34"/>
    </row>
    <row r="364" spans="1:18" x14ac:dyDescent="0.2">
      <c r="A364" s="393"/>
      <c r="B364" s="62" t="s">
        <v>517</v>
      </c>
      <c r="C364" s="394" t="s">
        <v>414</v>
      </c>
      <c r="D364" s="435"/>
      <c r="E364" s="427"/>
      <c r="F364" s="87">
        <f t="shared" si="84"/>
        <v>0</v>
      </c>
      <c r="G364" s="55">
        <f>SUMIF(JournalsB!D$14:D$920,TrialBalanceB!M364,JournalsB!J$14:J$920)+SUMIF(JournalsB!E$14:E$920,TrialBalanceB!M364,JournalsB!J$14:J$920)</f>
        <v>0</v>
      </c>
      <c r="H364" s="442"/>
      <c r="I364" s="446">
        <f t="shared" si="117"/>
        <v>0</v>
      </c>
      <c r="J364" s="83"/>
      <c r="K364" s="56">
        <f t="shared" si="75"/>
        <v>0</v>
      </c>
      <c r="M364" s="196" t="str">
        <f t="shared" si="76"/>
        <v>8200/010Prepayments</v>
      </c>
      <c r="N364" s="78"/>
      <c r="P364" s="79"/>
      <c r="Q364" s="59"/>
      <c r="R364" s="34"/>
    </row>
    <row r="365" spans="1:18" x14ac:dyDescent="0.2">
      <c r="A365" s="393"/>
      <c r="B365" s="62" t="s">
        <v>272</v>
      </c>
      <c r="C365" s="395" t="s">
        <v>606</v>
      </c>
      <c r="D365" s="427"/>
      <c r="E365" s="427"/>
      <c r="F365" s="87">
        <f t="shared" si="84"/>
        <v>0</v>
      </c>
      <c r="G365" s="55">
        <f>SUMIF(JournalsB!D$14:D$920,TrialBalanceB!M365,JournalsB!J$14:J$920)+SUMIF(JournalsB!E$14:E$920,TrialBalanceB!M365,JournalsB!J$14:J$920)</f>
        <v>0</v>
      </c>
      <c r="H365" s="442"/>
      <c r="I365" s="446">
        <f t="shared" si="117"/>
        <v>0</v>
      </c>
      <c r="J365" s="83"/>
      <c r="K365" s="56">
        <f t="shared" si="75"/>
        <v>0</v>
      </c>
      <c r="M365" s="196" t="str">
        <f t="shared" si="76"/>
        <v>8200/020Staff loans</v>
      </c>
      <c r="N365" s="78"/>
      <c r="P365" s="79"/>
      <c r="Q365" s="59"/>
      <c r="R365" s="34"/>
    </row>
    <row r="366" spans="1:18" x14ac:dyDescent="0.2">
      <c r="A366" s="393"/>
      <c r="B366" s="62" t="s">
        <v>273</v>
      </c>
      <c r="C366" s="399" t="s">
        <v>139</v>
      </c>
      <c r="D366" s="425"/>
      <c r="E366" s="427"/>
      <c r="F366" s="87"/>
      <c r="G366" s="55">
        <f>SUMIF(JournalsB!D$14:D$920,TrialBalanceB!M366,JournalsB!J$14:J$920)+SUMIF(JournalsB!E$14:E$920,TrialBalanceB!M366,JournalsB!J$14:J$920)</f>
        <v>0</v>
      </c>
      <c r="H366" s="442"/>
      <c r="I366" s="446">
        <f t="shared" si="117"/>
        <v>0</v>
      </c>
      <c r="J366" s="83"/>
      <c r="K366" s="56">
        <f t="shared" si="75"/>
        <v>0</v>
      </c>
      <c r="M366" s="196" t="str">
        <f t="shared" si="76"/>
        <v>8400/000BANK ACCOUNTS</v>
      </c>
      <c r="N366" s="78"/>
      <c r="P366" s="79"/>
      <c r="Q366" s="59"/>
      <c r="R366" s="34"/>
    </row>
    <row r="367" spans="1:18" x14ac:dyDescent="0.2">
      <c r="A367" s="393"/>
      <c r="B367" s="62" t="s">
        <v>274</v>
      </c>
      <c r="C367" s="429">
        <f>TrialBalance!C367</f>
        <v>0</v>
      </c>
      <c r="D367" s="434"/>
      <c r="E367" s="427"/>
      <c r="F367" s="87">
        <f t="shared" si="84"/>
        <v>0</v>
      </c>
      <c r="G367" s="55">
        <f>SUMIF(JournalsB!D$14:D$920,TrialBalanceB!M367,JournalsB!J$14:J$920)+SUMIF(JournalsB!E$14:E$920,TrialBalanceB!M367,JournalsB!J$14:J$920)</f>
        <v>0</v>
      </c>
      <c r="H367" s="442"/>
      <c r="I367" s="446">
        <f t="shared" si="117"/>
        <v>0</v>
      </c>
      <c r="J367" s="83"/>
      <c r="K367" s="56">
        <f t="shared" si="75"/>
        <v>0</v>
      </c>
      <c r="M367" s="196" t="str">
        <f t="shared" si="76"/>
        <v>8410/0000</v>
      </c>
      <c r="N367" s="78"/>
      <c r="P367" s="79"/>
      <c r="Q367" s="59"/>
      <c r="R367" s="34"/>
    </row>
    <row r="368" spans="1:18" x14ac:dyDescent="0.2">
      <c r="A368" s="393"/>
      <c r="B368" s="62" t="s">
        <v>275</v>
      </c>
      <c r="C368" s="429">
        <f>TrialBalance!C368</f>
        <v>0</v>
      </c>
      <c r="D368" s="434"/>
      <c r="E368" s="427"/>
      <c r="F368" s="87">
        <f t="shared" si="84"/>
        <v>0</v>
      </c>
      <c r="G368" s="55">
        <f>SUMIF(JournalsB!D$14:D$920,TrialBalanceB!M368,JournalsB!J$14:J$920)+SUMIF(JournalsB!E$14:E$920,TrialBalanceB!M368,JournalsB!J$14:J$920)</f>
        <v>0</v>
      </c>
      <c r="H368" s="442"/>
      <c r="I368" s="446">
        <f t="shared" si="117"/>
        <v>0</v>
      </c>
      <c r="J368" s="83"/>
      <c r="K368" s="56">
        <f t="shared" si="75"/>
        <v>0</v>
      </c>
      <c r="M368" s="196" t="str">
        <f t="shared" si="76"/>
        <v>8420/0000</v>
      </c>
      <c r="N368" s="78"/>
      <c r="P368" s="79"/>
      <c r="Q368" s="59"/>
      <c r="R368" s="34"/>
    </row>
    <row r="369" spans="1:18" x14ac:dyDescent="0.2">
      <c r="A369" s="393"/>
      <c r="B369" s="62" t="s">
        <v>276</v>
      </c>
      <c r="C369" s="429">
        <f>TrialBalance!C369</f>
        <v>0</v>
      </c>
      <c r="D369" s="427"/>
      <c r="E369" s="427"/>
      <c r="F369" s="87">
        <f t="shared" si="84"/>
        <v>0</v>
      </c>
      <c r="G369" s="55">
        <f>SUMIF(JournalsB!D$14:D$920,TrialBalanceB!M369,JournalsB!J$14:J$920)+SUMIF(JournalsB!E$14:E$920,TrialBalanceB!M369,JournalsB!J$14:J$920)</f>
        <v>0</v>
      </c>
      <c r="H369" s="442"/>
      <c r="I369" s="446">
        <f t="shared" si="117"/>
        <v>0</v>
      </c>
      <c r="J369" s="83"/>
      <c r="K369" s="56">
        <f t="shared" si="75"/>
        <v>0</v>
      </c>
      <c r="M369" s="196" t="str">
        <f t="shared" si="76"/>
        <v>8430/0000</v>
      </c>
      <c r="N369" s="78"/>
      <c r="P369" s="79"/>
      <c r="Q369" s="59"/>
      <c r="R369" s="34"/>
    </row>
    <row r="370" spans="1:18" x14ac:dyDescent="0.2">
      <c r="A370" s="393"/>
      <c r="B370" s="62" t="s">
        <v>277</v>
      </c>
      <c r="C370" s="429">
        <f>TrialBalance!C370</f>
        <v>0</v>
      </c>
      <c r="D370" s="435"/>
      <c r="E370" s="427"/>
      <c r="F370" s="87">
        <f t="shared" si="84"/>
        <v>0</v>
      </c>
      <c r="G370" s="55">
        <f>SUMIF(JournalsB!D$14:D$920,TrialBalanceB!M370,JournalsB!J$14:J$920)+SUMIF(JournalsB!E$14:E$920,TrialBalanceB!M370,JournalsB!J$14:J$920)</f>
        <v>0</v>
      </c>
      <c r="H370" s="442"/>
      <c r="I370" s="446">
        <f t="shared" si="117"/>
        <v>0</v>
      </c>
      <c r="J370" s="83"/>
      <c r="K370" s="56">
        <f t="shared" si="75"/>
        <v>0</v>
      </c>
      <c r="M370" s="196" t="str">
        <f t="shared" si="76"/>
        <v>8440/0000</v>
      </c>
      <c r="N370" s="78"/>
      <c r="P370" s="79"/>
      <c r="Q370" s="59"/>
      <c r="R370" s="34"/>
    </row>
    <row r="371" spans="1:18" x14ac:dyDescent="0.2">
      <c r="A371" s="393"/>
      <c r="B371" s="62" t="s">
        <v>278</v>
      </c>
      <c r="C371" s="429">
        <f>TrialBalance!C371</f>
        <v>0</v>
      </c>
      <c r="D371" s="435"/>
      <c r="E371" s="427"/>
      <c r="F371" s="87">
        <f t="shared" si="84"/>
        <v>0</v>
      </c>
      <c r="G371" s="55">
        <f>SUMIF(JournalsB!D$14:D$920,TrialBalanceB!M371,JournalsB!J$14:J$920)+SUMIF(JournalsB!E$14:E$920,TrialBalanceB!M371,JournalsB!J$14:J$920)</f>
        <v>0</v>
      </c>
      <c r="H371" s="442"/>
      <c r="I371" s="446">
        <f t="shared" si="117"/>
        <v>0</v>
      </c>
      <c r="J371" s="83"/>
      <c r="K371" s="56">
        <f t="shared" si="75"/>
        <v>0</v>
      </c>
      <c r="M371" s="196" t="str">
        <f t="shared" si="76"/>
        <v>8450/0000</v>
      </c>
      <c r="N371" s="78"/>
      <c r="P371" s="79"/>
      <c r="Q371" s="59"/>
      <c r="R371" s="34"/>
    </row>
    <row r="372" spans="1:18" x14ac:dyDescent="0.2">
      <c r="A372" s="393"/>
      <c r="B372" s="62" t="s">
        <v>140</v>
      </c>
      <c r="C372" s="429">
        <f>TrialBalance!C372</f>
        <v>0</v>
      </c>
      <c r="D372" s="435"/>
      <c r="E372" s="427"/>
      <c r="F372" s="87">
        <f t="shared" si="84"/>
        <v>0</v>
      </c>
      <c r="G372" s="55">
        <f>SUMIF(JournalsB!D$14:D$920,TrialBalanceB!M372,JournalsB!J$14:J$920)+SUMIF(JournalsB!E$14:E$920,TrialBalanceB!M372,JournalsB!J$14:J$920)</f>
        <v>0</v>
      </c>
      <c r="H372" s="442"/>
      <c r="I372" s="446">
        <f t="shared" si="117"/>
        <v>0</v>
      </c>
      <c r="J372" s="83"/>
      <c r="K372" s="56">
        <f t="shared" si="75"/>
        <v>0</v>
      </c>
      <c r="M372" s="196" t="str">
        <f t="shared" si="76"/>
        <v>8460/0000</v>
      </c>
      <c r="N372" s="78"/>
      <c r="P372" s="79"/>
      <c r="Q372" s="59"/>
      <c r="R372" s="34"/>
    </row>
    <row r="373" spans="1:18" x14ac:dyDescent="0.2">
      <c r="A373" s="393"/>
      <c r="B373" s="62" t="s">
        <v>463</v>
      </c>
      <c r="C373" s="401" t="s">
        <v>464</v>
      </c>
      <c r="D373" s="427"/>
      <c r="E373" s="427"/>
      <c r="F373" s="87">
        <f t="shared" si="84"/>
        <v>0</v>
      </c>
      <c r="G373" s="55">
        <f>SUMIF(JournalsB!D$14:D$920,TrialBalanceB!M373,JournalsB!J$14:J$920)+SUMIF(JournalsB!E$14:E$920,TrialBalanceB!M373,JournalsB!J$14:J$920)</f>
        <v>0</v>
      </c>
      <c r="H373" s="442"/>
      <c r="I373" s="446">
        <f t="shared" si="117"/>
        <v>0</v>
      </c>
      <c r="J373" s="83"/>
      <c r="K373" s="56">
        <f t="shared" si="75"/>
        <v>0</v>
      </c>
      <c r="M373" s="196" t="str">
        <f t="shared" si="76"/>
        <v>8500/000Cash on hand</v>
      </c>
      <c r="N373" s="78"/>
      <c r="P373" s="79"/>
      <c r="Q373" s="59"/>
      <c r="R373" s="34"/>
    </row>
    <row r="374" spans="1:18" x14ac:dyDescent="0.2">
      <c r="A374" s="393"/>
      <c r="B374" s="62" t="s">
        <v>465</v>
      </c>
      <c r="C374" s="399" t="s">
        <v>314</v>
      </c>
      <c r="D374" s="425"/>
      <c r="E374" s="427"/>
      <c r="F374" s="87"/>
      <c r="G374" s="55">
        <f>SUMIF(JournalsB!D$14:D$920,TrialBalanceB!M374,JournalsB!J$14:J$920)+SUMIF(JournalsB!E$14:E$920,TrialBalanceB!M374,JournalsB!J$14:J$920)</f>
        <v>0</v>
      </c>
      <c r="H374" s="442"/>
      <c r="I374" s="446">
        <f t="shared" si="117"/>
        <v>0</v>
      </c>
      <c r="J374" s="83"/>
      <c r="K374" s="56">
        <f t="shared" si="75"/>
        <v>0</v>
      </c>
      <c r="M374" s="196" t="str">
        <f t="shared" si="76"/>
        <v>8900/000SHORT TERM LOANS</v>
      </c>
      <c r="N374" s="78"/>
      <c r="P374" s="79"/>
      <c r="Q374" s="59"/>
      <c r="R374" s="34"/>
    </row>
    <row r="375" spans="1:18" x14ac:dyDescent="0.2">
      <c r="A375" s="393"/>
      <c r="B375" s="62" t="s">
        <v>466</v>
      </c>
      <c r="C375" s="429">
        <f>TrialBalance!C375</f>
        <v>0</v>
      </c>
      <c r="D375" s="427"/>
      <c r="E375" s="427"/>
      <c r="F375" s="87">
        <f t="shared" si="84"/>
        <v>0</v>
      </c>
      <c r="G375" s="55">
        <f>SUMIF(JournalsB!D$14:D$920,TrialBalanceB!M375,JournalsB!J$14:J$920)+SUMIF(JournalsB!E$14:E$920,TrialBalanceB!M375,JournalsB!J$14:J$920)</f>
        <v>0</v>
      </c>
      <c r="H375" s="442"/>
      <c r="I375" s="446">
        <f t="shared" si="117"/>
        <v>0</v>
      </c>
      <c r="J375" s="83"/>
      <c r="K375" s="56">
        <f t="shared" si="75"/>
        <v>0</v>
      </c>
      <c r="M375" s="196" t="str">
        <f t="shared" si="76"/>
        <v>8900/0010</v>
      </c>
      <c r="N375" s="78"/>
      <c r="P375" s="79"/>
      <c r="Q375" s="59"/>
      <c r="R375" s="34"/>
    </row>
    <row r="376" spans="1:18" x14ac:dyDescent="0.2">
      <c r="A376" s="393"/>
      <c r="B376" s="62" t="s">
        <v>467</v>
      </c>
      <c r="C376" s="429">
        <f>TrialBalance!C376</f>
        <v>0</v>
      </c>
      <c r="D376" s="435"/>
      <c r="E376" s="427"/>
      <c r="F376" s="87">
        <f t="shared" si="84"/>
        <v>0</v>
      </c>
      <c r="G376" s="55">
        <f>SUMIF(JournalsB!D$14:D$920,TrialBalanceB!M376,JournalsB!J$14:J$920)+SUMIF(JournalsB!E$14:E$920,TrialBalanceB!M376,JournalsB!J$14:J$920)</f>
        <v>0</v>
      </c>
      <c r="H376" s="442"/>
      <c r="I376" s="446">
        <f t="shared" si="117"/>
        <v>0</v>
      </c>
      <c r="J376" s="83"/>
      <c r="K376" s="56">
        <f t="shared" si="75"/>
        <v>0</v>
      </c>
      <c r="M376" s="196" t="str">
        <f t="shared" si="76"/>
        <v>8900/0020</v>
      </c>
      <c r="N376" s="78"/>
      <c r="P376" s="79"/>
      <c r="Q376" s="59"/>
      <c r="R376" s="34"/>
    </row>
    <row r="377" spans="1:18" x14ac:dyDescent="0.2">
      <c r="A377" s="393"/>
      <c r="B377" s="62" t="s">
        <v>468</v>
      </c>
      <c r="C377" s="429">
        <f>TrialBalance!C377</f>
        <v>0</v>
      </c>
      <c r="D377" s="435"/>
      <c r="E377" s="427"/>
      <c r="F377" s="87">
        <f t="shared" si="84"/>
        <v>0</v>
      </c>
      <c r="G377" s="55">
        <f>SUMIF(JournalsB!D$14:D$920,TrialBalanceB!M377,JournalsB!J$14:J$920)+SUMIF(JournalsB!E$14:E$920,TrialBalanceB!M377,JournalsB!J$14:J$920)</f>
        <v>0</v>
      </c>
      <c r="H377" s="442"/>
      <c r="I377" s="446">
        <f t="shared" si="117"/>
        <v>0</v>
      </c>
      <c r="J377" s="83"/>
      <c r="K377" s="56">
        <f t="shared" si="75"/>
        <v>0</v>
      </c>
      <c r="M377" s="196" t="str">
        <f t="shared" si="76"/>
        <v>8900/0030</v>
      </c>
      <c r="N377" s="78"/>
      <c r="P377" s="79"/>
      <c r="Q377" s="59"/>
      <c r="R377" s="34"/>
    </row>
    <row r="378" spans="1:18" x14ac:dyDescent="0.2">
      <c r="A378" s="393"/>
      <c r="B378" s="62" t="s">
        <v>469</v>
      </c>
      <c r="C378" s="396" t="s">
        <v>288</v>
      </c>
      <c r="D378" s="436"/>
      <c r="E378" s="427"/>
      <c r="F378" s="87"/>
      <c r="G378" s="55">
        <f>SUMIF(JournalsB!D$14:D$920,TrialBalanceB!M378,JournalsB!J$14:J$920)+SUMIF(JournalsB!E$14:E$920,TrialBalanceB!M378,JournalsB!J$14:J$920)</f>
        <v>0</v>
      </c>
      <c r="H378" s="442"/>
      <c r="I378" s="446">
        <f t="shared" si="117"/>
        <v>0</v>
      </c>
      <c r="J378" s="83"/>
      <c r="K378" s="56">
        <f t="shared" si="75"/>
        <v>0</v>
      </c>
      <c r="M378" s="196" t="str">
        <f t="shared" si="76"/>
        <v>8900/004Short term portion of long term loans</v>
      </c>
      <c r="N378" s="78"/>
      <c r="P378" s="79"/>
      <c r="Q378" s="59"/>
      <c r="R378" s="34"/>
    </row>
    <row r="379" spans="1:18" x14ac:dyDescent="0.2">
      <c r="A379" s="393"/>
      <c r="B379" s="62" t="s">
        <v>470</v>
      </c>
      <c r="C379" s="396" t="s">
        <v>471</v>
      </c>
      <c r="D379" s="436"/>
      <c r="E379" s="427"/>
      <c r="F379" s="87"/>
      <c r="G379" s="55">
        <f>SUMIF(JournalsB!D$14:D$920,TrialBalanceB!M379,JournalsB!J$14:J$920)+SUMIF(JournalsB!E$14:E$920,TrialBalanceB!M379,JournalsB!J$14:J$920)</f>
        <v>0</v>
      </c>
      <c r="H379" s="442"/>
      <c r="I379" s="446">
        <f t="shared" si="117"/>
        <v>0</v>
      </c>
      <c r="J379" s="83"/>
      <c r="K379" s="56">
        <f t="shared" si="75"/>
        <v>0</v>
      </c>
      <c r="M379" s="196" t="str">
        <f t="shared" si="76"/>
        <v>9000/000CREDITORS</v>
      </c>
      <c r="N379" s="78"/>
      <c r="P379" s="79"/>
      <c r="Q379" s="59"/>
      <c r="R379" s="34"/>
    </row>
    <row r="380" spans="1:18" x14ac:dyDescent="0.2">
      <c r="A380" s="393"/>
      <c r="B380" s="62" t="s">
        <v>472</v>
      </c>
      <c r="C380" s="394" t="s">
        <v>473</v>
      </c>
      <c r="D380" s="435"/>
      <c r="E380" s="427"/>
      <c r="F380" s="87">
        <f>K380</f>
        <v>0</v>
      </c>
      <c r="G380" s="55">
        <f>SUMIF(JournalsB!D$14:D$920,TrialBalanceB!M380,JournalsB!J$14:J$920)+SUMIF(JournalsB!E$14:E$920,TrialBalanceB!M380,JournalsB!J$14:J$920)</f>
        <v>0</v>
      </c>
      <c r="H380" s="442"/>
      <c r="I380" s="446">
        <f t="shared" si="117"/>
        <v>0</v>
      </c>
      <c r="J380" s="83"/>
      <c r="K380" s="56">
        <f t="shared" si="75"/>
        <v>0</v>
      </c>
      <c r="M380" s="196" t="str">
        <f t="shared" si="76"/>
        <v>9010/000Trade creditors</v>
      </c>
      <c r="N380" s="78"/>
      <c r="P380" s="79"/>
      <c r="Q380" s="59"/>
      <c r="R380" s="34"/>
    </row>
    <row r="381" spans="1:18" x14ac:dyDescent="0.2">
      <c r="A381" s="393"/>
      <c r="B381" s="62" t="s">
        <v>474</v>
      </c>
      <c r="C381" s="397" t="s">
        <v>622</v>
      </c>
      <c r="D381" s="435"/>
      <c r="E381" s="427"/>
      <c r="F381" s="87">
        <f>K381</f>
        <v>0</v>
      </c>
      <c r="G381" s="55">
        <f>SUMIF(JournalsB!D$14:D$920,TrialBalanceB!M381,JournalsB!J$14:J$920)+SUMIF(JournalsB!E$14:E$920,TrialBalanceB!M381,JournalsB!J$14:J$920)</f>
        <v>0</v>
      </c>
      <c r="H381" s="442"/>
      <c r="I381" s="446">
        <f t="shared" si="117"/>
        <v>0</v>
      </c>
      <c r="J381" s="83"/>
      <c r="K381" s="56">
        <f t="shared" si="75"/>
        <v>0</v>
      </c>
      <c r="M381" s="196" t="str">
        <f t="shared" si="76"/>
        <v>9200/000Sundry suppliers</v>
      </c>
      <c r="N381" s="78"/>
      <c r="P381" s="79"/>
      <c r="Q381" s="59"/>
      <c r="R381" s="34"/>
    </row>
    <row r="382" spans="1:18" x14ac:dyDescent="0.2">
      <c r="A382" s="393"/>
      <c r="B382" s="62" t="s">
        <v>475</v>
      </c>
      <c r="C382" s="397" t="s">
        <v>921</v>
      </c>
      <c r="D382" s="437"/>
      <c r="E382" s="427"/>
      <c r="F382" s="87">
        <f>K382</f>
        <v>0</v>
      </c>
      <c r="G382" s="55">
        <f>SUMIF(JournalsB!D$14:D$920,TrialBalanceB!M382,JournalsB!J$14:J$920)+SUMIF(JournalsB!E$14:E$920,TrialBalanceB!M382,JournalsB!J$14:J$920)</f>
        <v>0</v>
      </c>
      <c r="H382" s="442"/>
      <c r="I382" s="446">
        <f t="shared" si="117"/>
        <v>0</v>
      </c>
      <c r="J382" s="83"/>
      <c r="K382" s="56">
        <f t="shared" si="75"/>
        <v>0</v>
      </c>
      <c r="M382" s="196" t="str">
        <f t="shared" si="76"/>
        <v>9200/010Audit and accounting fee accrual</v>
      </c>
      <c r="N382" s="78"/>
      <c r="P382" s="79"/>
      <c r="Q382" s="59"/>
      <c r="R382" s="34"/>
    </row>
    <row r="383" spans="1:18" x14ac:dyDescent="0.2">
      <c r="A383" s="393"/>
      <c r="B383" s="62" t="s">
        <v>476</v>
      </c>
      <c r="C383" s="397" t="s">
        <v>623</v>
      </c>
      <c r="D383" s="435"/>
      <c r="E383" s="427"/>
      <c r="F383" s="87">
        <f>K383</f>
        <v>0</v>
      </c>
      <c r="G383" s="55">
        <f>SUMIF(JournalsB!D$14:D$920,TrialBalanceB!M383,JournalsB!J$14:J$920)+SUMIF(JournalsB!E$14:E$920,TrialBalanceB!M383,JournalsB!J$14:J$920)</f>
        <v>0</v>
      </c>
      <c r="H383" s="442"/>
      <c r="I383" s="446">
        <f t="shared" si="117"/>
        <v>0</v>
      </c>
      <c r="J383" s="83"/>
      <c r="K383" s="56">
        <f t="shared" si="75"/>
        <v>0</v>
      </c>
      <c r="M383" s="196" t="str">
        <f t="shared" si="76"/>
        <v>9200/020Other accruals</v>
      </c>
      <c r="N383" s="78"/>
      <c r="P383" s="79"/>
      <c r="Q383" s="59"/>
      <c r="R383" s="34"/>
    </row>
    <row r="384" spans="1:18" x14ac:dyDescent="0.2">
      <c r="A384" s="393"/>
      <c r="B384" s="62" t="s">
        <v>477</v>
      </c>
      <c r="C384" s="397" t="s">
        <v>900</v>
      </c>
      <c r="D384" s="435"/>
      <c r="E384" s="427"/>
      <c r="F384" s="87">
        <f>K384</f>
        <v>0</v>
      </c>
      <c r="G384" s="55">
        <f>SUMIF(JournalsB!D$14:D$920,TrialBalanceB!M384,JournalsB!J$14:J$920)+SUMIF(JournalsB!E$14:E$920,TrialBalanceB!M384,JournalsB!J$14:J$920)</f>
        <v>0</v>
      </c>
      <c r="H384" s="442"/>
      <c r="I384" s="446">
        <f t="shared" si="117"/>
        <v>0</v>
      </c>
      <c r="J384" s="83"/>
      <c r="K384" s="56">
        <f t="shared" si="75"/>
        <v>0</v>
      </c>
      <c r="M384" s="196" t="str">
        <f t="shared" si="76"/>
        <v>9250/000Salary and wages control</v>
      </c>
      <c r="N384" s="78"/>
      <c r="P384" s="79"/>
      <c r="Q384" s="59"/>
      <c r="R384" s="34"/>
    </row>
    <row r="385" spans="1:18" x14ac:dyDescent="0.2">
      <c r="A385" s="393"/>
      <c r="B385" s="62" t="s">
        <v>368</v>
      </c>
      <c r="C385" s="396" t="s">
        <v>127</v>
      </c>
      <c r="D385" s="436"/>
      <c r="E385" s="427"/>
      <c r="F385" s="87"/>
      <c r="G385" s="55">
        <f>SUMIF(JournalsB!D$14:D$920,TrialBalanceB!M385,JournalsB!J$14:J$920)+SUMIF(JournalsB!E$14:E$920,TrialBalanceB!M385,JournalsB!J$14:J$920)</f>
        <v>0</v>
      </c>
      <c r="H385" s="442"/>
      <c r="I385" s="446">
        <f t="shared" si="117"/>
        <v>0</v>
      </c>
      <c r="J385" s="83"/>
      <c r="K385" s="56">
        <f t="shared" si="75"/>
        <v>0</v>
      </c>
      <c r="M385" s="196" t="str">
        <f t="shared" si="76"/>
        <v>9300/000TAXATION</v>
      </c>
      <c r="N385" s="78"/>
      <c r="P385" s="79"/>
      <c r="Q385" s="59"/>
      <c r="R385" s="34"/>
    </row>
    <row r="386" spans="1:18" x14ac:dyDescent="0.2">
      <c r="A386" s="393"/>
      <c r="B386" s="62" t="s">
        <v>488</v>
      </c>
      <c r="C386" s="394" t="s">
        <v>98</v>
      </c>
      <c r="D386" s="435"/>
      <c r="E386" s="427"/>
      <c r="F386" s="87">
        <f>SUM(K386:K393)</f>
        <v>0</v>
      </c>
      <c r="G386" s="55">
        <f>SUMIF(JournalsB!D$14:D$920,TrialBalanceB!M386,JournalsB!J$14:J$920)+SUMIF(JournalsB!E$14:E$920,TrialBalanceB!M386,JournalsB!J$14:J$920)</f>
        <v>0</v>
      </c>
      <c r="H386" s="442"/>
      <c r="I386" s="446">
        <f t="shared" si="117"/>
        <v>0</v>
      </c>
      <c r="J386" s="83"/>
      <c r="K386" s="56">
        <f t="shared" si="75"/>
        <v>0</v>
      </c>
      <c r="M386" s="196" t="str">
        <f t="shared" si="76"/>
        <v>9300/010Balance b/fwd</v>
      </c>
      <c r="N386" s="78"/>
      <c r="P386" s="79"/>
      <c r="Q386" s="59"/>
      <c r="R386" s="34"/>
    </row>
    <row r="387" spans="1:18" x14ac:dyDescent="0.2">
      <c r="A387" s="393"/>
      <c r="B387" s="62" t="s">
        <v>489</v>
      </c>
      <c r="C387" s="401" t="s">
        <v>137</v>
      </c>
      <c r="D387" s="427"/>
      <c r="E387" s="427"/>
      <c r="F387" s="87"/>
      <c r="G387" s="55">
        <f>SUMIF(JournalsB!D$14:D$920,TrialBalanceB!M387,JournalsB!J$14:J$920)+SUMIF(JournalsB!E$14:E$920,TrialBalanceB!M387,JournalsB!J$14:J$920)</f>
        <v>0</v>
      </c>
      <c r="H387" s="442"/>
      <c r="I387" s="446">
        <f t="shared" si="117"/>
        <v>0</v>
      </c>
      <c r="J387" s="83"/>
      <c r="K387" s="56">
        <f t="shared" si="75"/>
        <v>0</v>
      </c>
      <c r="M387" s="196" t="str">
        <f t="shared" si="76"/>
        <v>9300/020Tax provision this year</v>
      </c>
      <c r="N387" s="78"/>
      <c r="P387" s="79"/>
      <c r="Q387" s="59"/>
      <c r="R387" s="34"/>
    </row>
    <row r="388" spans="1:18" x14ac:dyDescent="0.2">
      <c r="A388" s="393"/>
      <c r="B388" s="62" t="s">
        <v>490</v>
      </c>
      <c r="C388" s="397" t="s">
        <v>1094</v>
      </c>
      <c r="D388" s="435"/>
      <c r="E388" s="427"/>
      <c r="F388" s="87"/>
      <c r="G388" s="55">
        <f>SUMIF(JournalsB!D$14:D$920,TrialBalanceB!M388,JournalsB!J$14:J$920)+SUMIF(JournalsB!E$14:E$920,TrialBalanceB!M388,JournalsB!J$14:J$920)</f>
        <v>0</v>
      </c>
      <c r="H388" s="442"/>
      <c r="I388" s="446">
        <f t="shared" si="117"/>
        <v>0</v>
      </c>
      <c r="J388" s="83"/>
      <c r="K388" s="56">
        <f t="shared" si="75"/>
        <v>0</v>
      </c>
      <c r="M388" s="196" t="str">
        <f t="shared" si="76"/>
        <v>9300/030Over-/(Under) provision previous year</v>
      </c>
      <c r="N388" s="78"/>
      <c r="P388" s="79"/>
      <c r="Q388" s="59"/>
      <c r="R388" s="34"/>
    </row>
    <row r="389" spans="1:18" x14ac:dyDescent="0.2">
      <c r="A389" s="393"/>
      <c r="B389" s="62" t="s">
        <v>491</v>
      </c>
      <c r="C389" s="397" t="s">
        <v>1095</v>
      </c>
      <c r="D389" s="435"/>
      <c r="E389" s="427"/>
      <c r="F389" s="87"/>
      <c r="G389" s="55">
        <f>SUMIF(JournalsB!D$14:D$920,TrialBalanceB!M389,JournalsB!J$14:J$920)+SUMIF(JournalsB!E$14:E$920,TrialBalanceB!M389,JournalsB!J$14:J$920)</f>
        <v>0</v>
      </c>
      <c r="H389" s="442"/>
      <c r="I389" s="446">
        <f t="shared" si="117"/>
        <v>0</v>
      </c>
      <c r="J389" s="83"/>
      <c r="K389" s="56">
        <f t="shared" si="75"/>
        <v>0</v>
      </c>
      <c r="M389" s="196" t="str">
        <f t="shared" si="76"/>
        <v>9300/040Tax paid/(refund) for previous year provisions</v>
      </c>
      <c r="N389" s="78"/>
      <c r="P389" s="79"/>
      <c r="Q389" s="59"/>
      <c r="R389" s="34"/>
    </row>
    <row r="390" spans="1:18" x14ac:dyDescent="0.2">
      <c r="A390" s="393"/>
      <c r="B390" s="62" t="s">
        <v>492</v>
      </c>
      <c r="C390" s="397" t="s">
        <v>972</v>
      </c>
      <c r="D390" s="435"/>
      <c r="E390" s="427"/>
      <c r="F390" s="87"/>
      <c r="G390" s="55">
        <f>SUMIF(JournalsB!D$14:D$920,TrialBalanceB!M390,JournalsB!J$14:J$920)+SUMIF(JournalsB!E$14:E$920,TrialBalanceB!M390,JournalsB!J$14:J$920)</f>
        <v>0</v>
      </c>
      <c r="H390" s="442"/>
      <c r="I390" s="446">
        <f t="shared" si="117"/>
        <v>0</v>
      </c>
      <c r="J390" s="83"/>
      <c r="K390" s="56">
        <f t="shared" ref="K390:K401" si="118">ROUND(SUM(A390),0)</f>
        <v>0</v>
      </c>
      <c r="M390" s="196" t="str">
        <f t="shared" ref="M390:M401" si="119">CONCATENATE(B390,C390)</f>
        <v>9300/0501st Provisional paid</v>
      </c>
      <c r="N390" s="78"/>
      <c r="P390" s="79"/>
      <c r="Q390" s="59"/>
      <c r="R390" s="34"/>
    </row>
    <row r="391" spans="1:18" x14ac:dyDescent="0.2">
      <c r="A391" s="393"/>
      <c r="B391" s="62" t="s">
        <v>493</v>
      </c>
      <c r="C391" s="397" t="s">
        <v>973</v>
      </c>
      <c r="D391" s="435"/>
      <c r="E391" s="427"/>
      <c r="F391" s="87"/>
      <c r="G391" s="55">
        <f>SUMIF(JournalsB!D$14:D$920,TrialBalanceB!M391,JournalsB!J$14:J$920)+SUMIF(JournalsB!E$14:E$920,TrialBalanceB!M391,JournalsB!J$14:J$920)</f>
        <v>0</v>
      </c>
      <c r="H391" s="442"/>
      <c r="I391" s="446">
        <f t="shared" si="117"/>
        <v>0</v>
      </c>
      <c r="J391" s="83"/>
      <c r="K391" s="56">
        <f t="shared" si="118"/>
        <v>0</v>
      </c>
      <c r="M391" s="196" t="str">
        <f t="shared" si="119"/>
        <v>9300/0602nd Provisional paid</v>
      </c>
      <c r="N391" s="78"/>
      <c r="P391" s="79"/>
      <c r="Q391" s="59"/>
      <c r="R391" s="34"/>
    </row>
    <row r="392" spans="1:18" x14ac:dyDescent="0.2">
      <c r="A392" s="393"/>
      <c r="B392" s="62" t="s">
        <v>494</v>
      </c>
      <c r="C392" s="394" t="s">
        <v>138</v>
      </c>
      <c r="D392" s="435"/>
      <c r="E392" s="427"/>
      <c r="F392" s="87"/>
      <c r="G392" s="55">
        <f>SUMIF(JournalsB!D$14:D$920,TrialBalanceB!M392,JournalsB!J$14:J$920)+SUMIF(JournalsB!E$14:E$920,TrialBalanceB!M392,JournalsB!J$14:J$920)</f>
        <v>0</v>
      </c>
      <c r="H392" s="442"/>
      <c r="I392" s="446">
        <f t="shared" si="117"/>
        <v>0</v>
      </c>
      <c r="J392" s="83"/>
      <c r="K392" s="56">
        <f t="shared" si="118"/>
        <v>0</v>
      </c>
      <c r="M392" s="196" t="str">
        <f t="shared" si="119"/>
        <v>9300/0703rd Provisional paid</v>
      </c>
      <c r="N392" s="78"/>
      <c r="P392" s="79"/>
      <c r="Q392" s="59"/>
      <c r="R392" s="34"/>
    </row>
    <row r="393" spans="1:18" x14ac:dyDescent="0.2">
      <c r="A393" s="393"/>
      <c r="B393" s="62" t="s">
        <v>495</v>
      </c>
      <c r="C393" s="397" t="s">
        <v>1097</v>
      </c>
      <c r="D393" s="435"/>
      <c r="E393" s="427"/>
      <c r="F393" s="87"/>
      <c r="G393" s="55">
        <f>SUMIF(JournalsB!D$14:D$920,TrialBalanceB!M393,JournalsB!J$14:J$920)+SUMIF(JournalsB!E$14:E$920,TrialBalanceB!M393,JournalsB!J$14:J$920)</f>
        <v>0</v>
      </c>
      <c r="H393" s="442"/>
      <c r="I393" s="446">
        <f t="shared" si="117"/>
        <v>0</v>
      </c>
      <c r="J393" s="83"/>
      <c r="K393" s="56">
        <f t="shared" si="118"/>
        <v>0</v>
      </c>
      <c r="M393" s="196" t="str">
        <f t="shared" si="119"/>
        <v>9300/090Dividends tax provision</v>
      </c>
      <c r="N393" s="78"/>
      <c r="P393" s="79"/>
      <c r="Q393" s="59"/>
      <c r="R393" s="34"/>
    </row>
    <row r="394" spans="1:18" x14ac:dyDescent="0.2">
      <c r="A394" s="393"/>
      <c r="B394" s="62" t="s">
        <v>369</v>
      </c>
      <c r="C394" s="397" t="s">
        <v>608</v>
      </c>
      <c r="D394" s="435"/>
      <c r="E394" s="427"/>
      <c r="F394" s="87">
        <f>K394</f>
        <v>0</v>
      </c>
      <c r="G394" s="55">
        <f>SUMIF(JournalsB!D$14:D$920,TrialBalanceB!M394,JournalsB!J$14:J$920)+SUMIF(JournalsB!E$14:E$920,TrialBalanceB!M394,JournalsB!J$14:J$920)</f>
        <v>0</v>
      </c>
      <c r="H394" s="442"/>
      <c r="I394" s="446">
        <f t="shared" si="117"/>
        <v>0</v>
      </c>
      <c r="J394" s="83"/>
      <c r="K394" s="56">
        <f t="shared" si="118"/>
        <v>0</v>
      </c>
      <c r="M394" s="196" t="str">
        <f t="shared" si="119"/>
        <v>9350/000Dividends payable</v>
      </c>
      <c r="N394" s="78"/>
      <c r="P394" s="79"/>
      <c r="Q394" s="59"/>
      <c r="R394" s="34"/>
    </row>
    <row r="395" spans="1:18" x14ac:dyDescent="0.2">
      <c r="A395" s="393"/>
      <c r="B395" s="62" t="s">
        <v>370</v>
      </c>
      <c r="C395" s="397" t="s">
        <v>609</v>
      </c>
      <c r="D395" s="435"/>
      <c r="E395" s="427"/>
      <c r="F395" s="87">
        <f>K395</f>
        <v>0</v>
      </c>
      <c r="G395" s="55">
        <f>SUMIF(JournalsB!D$14:D$920,TrialBalanceB!M395,JournalsB!J$14:J$920)+SUMIF(JournalsB!E$14:E$920,TrialBalanceB!M395,JournalsB!J$14:J$920)</f>
        <v>0</v>
      </c>
      <c r="H395" s="442"/>
      <c r="I395" s="446">
        <f t="shared" si="117"/>
        <v>0</v>
      </c>
      <c r="J395" s="83"/>
      <c r="K395" s="56">
        <f t="shared" si="118"/>
        <v>0</v>
      </c>
      <c r="M395" s="196" t="str">
        <f t="shared" si="119"/>
        <v>9400/000Provision for future expenses</v>
      </c>
      <c r="N395" s="78"/>
      <c r="P395" s="79"/>
      <c r="Q395" s="59"/>
      <c r="R395" s="34"/>
    </row>
    <row r="396" spans="1:18" x14ac:dyDescent="0.2">
      <c r="A396" s="393"/>
      <c r="B396" s="62" t="s">
        <v>371</v>
      </c>
      <c r="C396" s="397" t="s">
        <v>610</v>
      </c>
      <c r="D396" s="435"/>
      <c r="E396" s="427"/>
      <c r="F396" s="87">
        <f>K396</f>
        <v>0</v>
      </c>
      <c r="G396" s="55">
        <f>SUMIF(JournalsB!D$14:D$920,TrialBalanceB!M396,JournalsB!J$14:J$920)+SUMIF(JournalsB!E$14:E$920,TrialBalanceB!M396,JournalsB!J$14:J$920)</f>
        <v>0</v>
      </c>
      <c r="H396" s="442"/>
      <c r="I396" s="446">
        <f t="shared" si="117"/>
        <v>0</v>
      </c>
      <c r="J396" s="83"/>
      <c r="K396" s="56">
        <f t="shared" si="118"/>
        <v>0</v>
      </c>
      <c r="M396" s="196" t="str">
        <f t="shared" si="119"/>
        <v>9400/010Provision for insurance</v>
      </c>
      <c r="N396" s="78"/>
      <c r="P396" s="79"/>
      <c r="Q396" s="59"/>
      <c r="R396" s="34"/>
    </row>
    <row r="397" spans="1:18" x14ac:dyDescent="0.2">
      <c r="A397" s="393"/>
      <c r="B397" s="62" t="s">
        <v>372</v>
      </c>
      <c r="C397" s="397" t="s">
        <v>611</v>
      </c>
      <c r="D397" s="435"/>
      <c r="E397" s="427"/>
      <c r="F397" s="87">
        <f>K397</f>
        <v>0</v>
      </c>
      <c r="G397" s="55">
        <f>SUMIF(JournalsB!D$14:D$920,TrialBalanceB!M397,JournalsB!J$14:J$920)+SUMIF(JournalsB!E$14:E$920,TrialBalanceB!M397,JournalsB!J$14:J$920)</f>
        <v>0</v>
      </c>
      <c r="H397" s="442"/>
      <c r="I397" s="446">
        <f t="shared" si="117"/>
        <v>0</v>
      </c>
      <c r="J397" s="83"/>
      <c r="K397" s="56">
        <f t="shared" si="118"/>
        <v>0</v>
      </c>
      <c r="M397" s="196" t="str">
        <f t="shared" si="119"/>
        <v>9400/020Provision for salary bonus</v>
      </c>
      <c r="N397" s="78"/>
      <c r="P397" s="79"/>
      <c r="Q397" s="59"/>
      <c r="R397" s="34"/>
    </row>
    <row r="398" spans="1:18" x14ac:dyDescent="0.2">
      <c r="A398" s="393"/>
      <c r="B398" s="62" t="s">
        <v>373</v>
      </c>
      <c r="C398" s="396" t="s">
        <v>374</v>
      </c>
      <c r="D398" s="436"/>
      <c r="E398" s="427"/>
      <c r="F398" s="87"/>
      <c r="G398" s="55">
        <f>SUMIF(JournalsB!D$14:D$920,TrialBalanceB!M398,JournalsB!J$14:J$920)+SUMIF(JournalsB!E$14:E$920,TrialBalanceB!M398,JournalsB!J$14:J$920)</f>
        <v>0</v>
      </c>
      <c r="H398" s="442"/>
      <c r="I398" s="446">
        <f t="shared" si="117"/>
        <v>0</v>
      </c>
      <c r="J398" s="83"/>
      <c r="K398" s="56">
        <f t="shared" si="118"/>
        <v>0</v>
      </c>
      <c r="M398" s="196" t="str">
        <f t="shared" si="119"/>
        <v>9500/000VALUE ADDED TAX</v>
      </c>
      <c r="N398" s="78"/>
      <c r="P398" s="79"/>
      <c r="Q398" s="59"/>
      <c r="R398" s="34"/>
    </row>
    <row r="399" spans="1:18" x14ac:dyDescent="0.2">
      <c r="A399" s="393"/>
      <c r="B399" s="62" t="s">
        <v>375</v>
      </c>
      <c r="C399" s="394" t="s">
        <v>376</v>
      </c>
      <c r="D399" s="435"/>
      <c r="E399" s="427"/>
      <c r="F399" s="87">
        <f>K399</f>
        <v>0</v>
      </c>
      <c r="G399" s="55">
        <f>SUMIF(JournalsB!D$14:D$920,TrialBalanceB!M399,JournalsB!J$14:J$920)+SUMIF(JournalsB!E$14:E$920,TrialBalanceB!M399,JournalsB!J$14:J$920)</f>
        <v>0</v>
      </c>
      <c r="H399" s="442"/>
      <c r="I399" s="446">
        <f t="shared" si="117"/>
        <v>0</v>
      </c>
      <c r="J399" s="83"/>
      <c r="K399" s="56">
        <f t="shared" si="118"/>
        <v>0</v>
      </c>
      <c r="M399" s="196" t="str">
        <f t="shared" si="119"/>
        <v>9501/000VAT account</v>
      </c>
      <c r="N399" s="78"/>
      <c r="P399" s="79"/>
      <c r="Q399" s="59"/>
      <c r="R399" s="34"/>
    </row>
    <row r="400" spans="1:18" x14ac:dyDescent="0.2">
      <c r="A400" s="393"/>
      <c r="B400" s="62" t="s">
        <v>377</v>
      </c>
      <c r="C400" s="394" t="s">
        <v>29</v>
      </c>
      <c r="D400" s="435"/>
      <c r="E400" s="427"/>
      <c r="F400" s="87"/>
      <c r="G400" s="55">
        <f>SUMIF(JournalsB!D$14:D$920,TrialBalanceB!M400,JournalsB!J$14:J$920)+SUMIF(JournalsB!E$14:E$920,TrialBalanceB!M400,JournalsB!J$14:J$920)</f>
        <v>0</v>
      </c>
      <c r="H400" s="442"/>
      <c r="I400" s="446">
        <f t="shared" si="117"/>
        <v>0</v>
      </c>
      <c r="J400" s="83"/>
      <c r="K400" s="56">
        <f t="shared" si="118"/>
        <v>0</v>
      </c>
      <c r="M400" s="196" t="str">
        <f t="shared" si="119"/>
        <v>9510/000----------------------------------------</v>
      </c>
      <c r="N400" s="78"/>
      <c r="P400" s="79"/>
      <c r="Q400" s="59"/>
      <c r="R400" s="34"/>
    </row>
    <row r="401" spans="1:18" x14ac:dyDescent="0.2">
      <c r="A401" s="393"/>
      <c r="B401" s="62" t="s">
        <v>378</v>
      </c>
      <c r="C401" s="396" t="s">
        <v>974</v>
      </c>
      <c r="D401" s="436"/>
      <c r="E401" s="427"/>
      <c r="F401" s="87">
        <f>K401</f>
        <v>0</v>
      </c>
      <c r="G401" s="55">
        <f>SUMIF(JournalsB!D$14:D$920,TrialBalanceB!M401,JournalsB!J$14:J$920)+SUMIF(JournalsB!E$14:E$920,TrialBalanceB!M401,JournalsB!J$14:J$920)</f>
        <v>0</v>
      </c>
      <c r="H401" s="442"/>
      <c r="I401" s="446">
        <f t="shared" si="117"/>
        <v>0</v>
      </c>
      <c r="J401" s="83"/>
      <c r="K401" s="56">
        <f t="shared" si="118"/>
        <v>0</v>
      </c>
      <c r="M401" s="196" t="str">
        <f t="shared" si="119"/>
        <v>9990/000Suspense account</v>
      </c>
      <c r="N401" s="78"/>
      <c r="P401" s="79"/>
      <c r="Q401" s="59"/>
      <c r="R401" s="34"/>
    </row>
    <row r="402" spans="1:18" x14ac:dyDescent="0.2">
      <c r="A402" s="393"/>
      <c r="B402" s="62"/>
      <c r="C402" s="62"/>
      <c r="D402" s="435"/>
      <c r="E402" s="427"/>
      <c r="F402" s="87"/>
      <c r="G402" s="55"/>
      <c r="H402" s="442"/>
      <c r="I402" s="446"/>
      <c r="J402" s="83"/>
      <c r="K402" s="56"/>
      <c r="M402" s="196"/>
      <c r="N402" s="78"/>
      <c r="P402" s="79"/>
      <c r="Q402" s="59"/>
      <c r="R402" s="34"/>
    </row>
    <row r="403" spans="1:18" x14ac:dyDescent="0.2">
      <c r="A403" s="393"/>
      <c r="B403" s="62" t="s">
        <v>263</v>
      </c>
      <c r="C403" s="63" t="s">
        <v>263</v>
      </c>
      <c r="D403" s="418"/>
      <c r="E403" s="418"/>
      <c r="F403" s="90"/>
      <c r="G403" s="55"/>
      <c r="H403" s="442"/>
      <c r="I403" s="446"/>
      <c r="J403" s="83"/>
      <c r="K403" s="56"/>
      <c r="M403" s="196">
        <v>0</v>
      </c>
      <c r="N403" s="78"/>
      <c r="P403" s="81"/>
      <c r="Q403" s="81"/>
      <c r="R403" s="34"/>
    </row>
    <row r="404" spans="1:18" ht="13.5" thickBot="1" x14ac:dyDescent="0.25">
      <c r="A404" s="49">
        <f>SUM(A5:A403)</f>
        <v>0</v>
      </c>
      <c r="B404" s="62" t="s">
        <v>263</v>
      </c>
      <c r="C404" s="63" t="s">
        <v>263</v>
      </c>
      <c r="D404" s="49">
        <f>SUM(D5:D403)</f>
        <v>0</v>
      </c>
      <c r="E404" s="49">
        <f>SUM(E5:E403)</f>
        <v>0</v>
      </c>
      <c r="F404" s="49">
        <f>SUM(F5:F403)</f>
        <v>0</v>
      </c>
      <c r="G404" s="49">
        <f>SUM(G5:G403)</f>
        <v>0</v>
      </c>
      <c r="H404" s="49"/>
      <c r="I404" s="166">
        <f>SUM(I5:I403)</f>
        <v>0</v>
      </c>
      <c r="J404" s="49"/>
      <c r="K404" s="49">
        <f>SUM(K5:K403)</f>
        <v>0</v>
      </c>
      <c r="M404" s="196">
        <v>0</v>
      </c>
      <c r="N404" s="82"/>
      <c r="O404" s="82"/>
      <c r="P404" s="82"/>
      <c r="Q404" s="82"/>
      <c r="R404" s="82"/>
    </row>
    <row r="405" spans="1:18" ht="13.5" thickTop="1" x14ac:dyDescent="0.2">
      <c r="A405" s="46"/>
      <c r="B405" s="50"/>
      <c r="C405" s="53"/>
      <c r="D405" s="47"/>
      <c r="E405" s="47"/>
      <c r="F405" s="47"/>
      <c r="G405" s="47"/>
      <c r="H405" s="47"/>
      <c r="I405" s="59"/>
      <c r="J405" s="67"/>
      <c r="K405" s="46"/>
      <c r="P405" s="47"/>
      <c r="Q405" s="47"/>
    </row>
    <row r="406" spans="1:18" x14ac:dyDescent="0.2">
      <c r="A406" s="46"/>
      <c r="B406" s="50"/>
      <c r="C406" s="53"/>
      <c r="D406" s="47"/>
      <c r="E406" s="47"/>
      <c r="F406" s="47"/>
      <c r="G406" s="47"/>
      <c r="H406" s="47"/>
      <c r="K406" s="50"/>
      <c r="P406" s="47"/>
      <c r="Q406" s="47"/>
    </row>
    <row r="407" spans="1:18" x14ac:dyDescent="0.2">
      <c r="A407" s="46"/>
      <c r="B407" s="50"/>
      <c r="C407" s="53"/>
      <c r="D407" s="47"/>
      <c r="E407" s="47"/>
      <c r="F407" s="47"/>
      <c r="G407" s="47"/>
      <c r="H407" s="47"/>
      <c r="K407" s="50"/>
      <c r="P407" s="47"/>
      <c r="Q407" s="47"/>
    </row>
    <row r="408" spans="1:18" x14ac:dyDescent="0.2">
      <c r="A408" s="46"/>
      <c r="B408" s="50"/>
      <c r="C408" s="53"/>
      <c r="D408" s="47"/>
      <c r="E408" s="47"/>
      <c r="F408" s="47"/>
      <c r="G408" s="47"/>
      <c r="H408" s="47"/>
      <c r="K408" s="50"/>
      <c r="P408" s="47"/>
      <c r="Q408" s="47"/>
    </row>
    <row r="409" spans="1:18" x14ac:dyDescent="0.2">
      <c r="A409" s="46"/>
      <c r="B409" s="50"/>
      <c r="C409" s="53"/>
      <c r="D409" s="47"/>
      <c r="E409" s="47"/>
      <c r="F409" s="47"/>
      <c r="G409" s="47"/>
      <c r="H409" s="47"/>
      <c r="K409" s="50"/>
      <c r="P409" s="47"/>
      <c r="Q409" s="47"/>
    </row>
    <row r="410" spans="1:18" x14ac:dyDescent="0.2">
      <c r="A410" s="46"/>
      <c r="B410" s="50"/>
      <c r="C410" s="53"/>
      <c r="D410" s="47"/>
      <c r="E410" s="47"/>
      <c r="F410" s="47"/>
      <c r="G410" s="47"/>
      <c r="H410" s="47"/>
      <c r="K410" s="50"/>
      <c r="P410" s="47"/>
      <c r="Q410" s="47"/>
    </row>
    <row r="411" spans="1:18" x14ac:dyDescent="0.2">
      <c r="A411" s="46"/>
      <c r="B411" s="50"/>
      <c r="C411" s="53"/>
      <c r="D411" s="47"/>
      <c r="E411" s="47"/>
      <c r="F411" s="47"/>
      <c r="G411" s="47"/>
      <c r="H411" s="47"/>
      <c r="K411" s="50"/>
      <c r="P411" s="47"/>
      <c r="Q411" s="47"/>
    </row>
    <row r="412" spans="1:18" x14ac:dyDescent="0.2">
      <c r="A412" s="46"/>
      <c r="B412" s="50"/>
      <c r="C412" s="53"/>
      <c r="D412" s="47"/>
      <c r="E412" s="47"/>
      <c r="F412" s="47"/>
      <c r="G412" s="47"/>
      <c r="H412" s="47"/>
      <c r="K412" s="50"/>
      <c r="P412" s="47" t="s">
        <v>111</v>
      </c>
      <c r="Q412" s="47" t="s">
        <v>111</v>
      </c>
    </row>
    <row r="413" spans="1:18" x14ac:dyDescent="0.2">
      <c r="A413" s="46"/>
      <c r="B413" s="50"/>
      <c r="C413" s="53"/>
      <c r="D413" s="47"/>
      <c r="E413" s="47"/>
      <c r="F413" s="47"/>
      <c r="G413" s="47"/>
      <c r="H413" s="47"/>
      <c r="K413" s="50"/>
      <c r="P413" s="47" t="s">
        <v>111</v>
      </c>
      <c r="Q413" s="47" t="s">
        <v>111</v>
      </c>
    </row>
    <row r="414" spans="1:18" x14ac:dyDescent="0.2">
      <c r="A414" s="46"/>
      <c r="B414" s="50"/>
      <c r="C414" s="53"/>
      <c r="D414" s="47"/>
      <c r="E414" s="47"/>
      <c r="F414" s="47"/>
      <c r="G414" s="47"/>
      <c r="H414" s="47"/>
      <c r="K414" s="50"/>
      <c r="P414" s="47" t="s">
        <v>111</v>
      </c>
      <c r="Q414" s="47" t="s">
        <v>111</v>
      </c>
    </row>
    <row r="415" spans="1:18" x14ac:dyDescent="0.2">
      <c r="A415" s="46"/>
      <c r="B415" s="50"/>
      <c r="C415" s="53"/>
      <c r="D415" s="47"/>
      <c r="E415" s="47"/>
      <c r="F415" s="47"/>
      <c r="G415" s="47"/>
      <c r="H415" s="47"/>
      <c r="K415" s="50"/>
      <c r="P415" s="47" t="s">
        <v>111</v>
      </c>
      <c r="Q415" s="47" t="s">
        <v>111</v>
      </c>
    </row>
    <row r="416" spans="1:18" x14ac:dyDescent="0.2">
      <c r="A416" s="46"/>
      <c r="B416" s="50"/>
      <c r="C416" s="53"/>
      <c r="D416" s="47"/>
      <c r="E416" s="47"/>
      <c r="F416" s="47"/>
      <c r="G416" s="47"/>
      <c r="H416" s="47"/>
      <c r="K416" s="50"/>
      <c r="P416" s="47" t="s">
        <v>111</v>
      </c>
      <c r="Q416" s="47" t="s">
        <v>111</v>
      </c>
    </row>
    <row r="417" spans="1:17" x14ac:dyDescent="0.2">
      <c r="A417" s="46"/>
      <c r="B417" s="50"/>
      <c r="C417" s="53"/>
      <c r="D417" s="47"/>
      <c r="E417" s="47"/>
      <c r="F417" s="47"/>
      <c r="G417" s="47"/>
      <c r="H417" s="47"/>
      <c r="K417" s="50"/>
      <c r="P417" s="47"/>
      <c r="Q417" s="47"/>
    </row>
    <row r="418" spans="1:17" x14ac:dyDescent="0.2">
      <c r="A418" s="46"/>
      <c r="B418" s="50"/>
      <c r="C418" s="53"/>
      <c r="D418" s="47"/>
      <c r="E418" s="47"/>
      <c r="F418" s="47"/>
      <c r="G418" s="47"/>
      <c r="H418" s="47"/>
      <c r="K418" s="50"/>
      <c r="P418" s="47"/>
      <c r="Q418" s="47"/>
    </row>
    <row r="419" spans="1:17" x14ac:dyDescent="0.2">
      <c r="A419" s="46"/>
      <c r="B419" s="50"/>
      <c r="C419" s="53"/>
      <c r="D419" s="47"/>
      <c r="E419" s="47"/>
      <c r="F419" s="47"/>
      <c r="G419" s="47"/>
      <c r="H419" s="47"/>
      <c r="K419" s="50"/>
      <c r="P419" s="47"/>
      <c r="Q419" s="47"/>
    </row>
    <row r="420" spans="1:17" x14ac:dyDescent="0.2">
      <c r="A420" s="46"/>
      <c r="B420" s="50"/>
      <c r="C420" s="53"/>
      <c r="D420" s="47"/>
      <c r="E420" s="47"/>
      <c r="F420" s="47"/>
      <c r="G420" s="47"/>
      <c r="H420" s="47"/>
      <c r="K420" s="50"/>
      <c r="P420" s="47"/>
      <c r="Q420" s="47"/>
    </row>
    <row r="421" spans="1:17" x14ac:dyDescent="0.2">
      <c r="A421" s="46"/>
      <c r="B421" s="50"/>
      <c r="C421" s="53"/>
      <c r="D421" s="47"/>
      <c r="E421" s="47"/>
      <c r="F421" s="47"/>
      <c r="G421" s="47"/>
      <c r="H421" s="47"/>
      <c r="K421" s="50"/>
      <c r="P421" s="47"/>
      <c r="Q421" s="47"/>
    </row>
    <row r="422" spans="1:17" x14ac:dyDescent="0.2">
      <c r="A422" s="46"/>
      <c r="B422" s="50"/>
      <c r="C422" s="53"/>
      <c r="D422" s="47"/>
      <c r="E422" s="47"/>
      <c r="F422" s="47"/>
      <c r="G422" s="47"/>
      <c r="H422" s="47"/>
      <c r="K422" s="50"/>
      <c r="P422" s="47"/>
      <c r="Q422" s="47"/>
    </row>
    <row r="423" spans="1:17" x14ac:dyDescent="0.2">
      <c r="A423" s="46"/>
      <c r="B423" s="50"/>
      <c r="C423" s="53"/>
      <c r="D423" s="47"/>
      <c r="E423" s="47"/>
      <c r="F423" s="47"/>
      <c r="G423" s="47"/>
      <c r="H423" s="47"/>
      <c r="K423" s="50"/>
      <c r="P423" s="47"/>
      <c r="Q423" s="47"/>
    </row>
    <row r="424" spans="1:17" x14ac:dyDescent="0.2">
      <c r="A424" s="46"/>
      <c r="B424" s="50"/>
      <c r="C424" s="53"/>
      <c r="D424" s="47"/>
      <c r="E424" s="47"/>
      <c r="F424" s="47"/>
      <c r="G424" s="47"/>
      <c r="H424" s="47"/>
      <c r="K424" s="50"/>
      <c r="P424" s="47"/>
      <c r="Q424" s="47"/>
    </row>
    <row r="425" spans="1:17" x14ac:dyDescent="0.2">
      <c r="A425" s="46"/>
      <c r="B425" s="50"/>
      <c r="C425" s="53"/>
      <c r="D425" s="47"/>
      <c r="E425" s="47"/>
      <c r="F425" s="47"/>
      <c r="G425" s="47"/>
      <c r="H425" s="47"/>
      <c r="K425" s="50"/>
      <c r="P425" s="47"/>
      <c r="Q425" s="47"/>
    </row>
    <row r="426" spans="1:17" x14ac:dyDescent="0.2">
      <c r="A426" s="46"/>
      <c r="B426" s="50"/>
      <c r="C426" s="53"/>
      <c r="D426" s="47"/>
      <c r="E426" s="47"/>
      <c r="F426" s="47"/>
      <c r="G426" s="47"/>
      <c r="H426" s="47"/>
      <c r="K426" s="50"/>
      <c r="P426" s="47"/>
      <c r="Q426" s="47"/>
    </row>
    <row r="427" spans="1:17" x14ac:dyDescent="0.2">
      <c r="A427" s="46"/>
      <c r="B427" s="50"/>
      <c r="C427" s="53"/>
      <c r="D427" s="47"/>
      <c r="E427" s="47"/>
      <c r="F427" s="47"/>
      <c r="G427" s="47"/>
      <c r="H427" s="47"/>
      <c r="K427" s="50"/>
      <c r="P427" s="47"/>
      <c r="Q427" s="47"/>
    </row>
    <row r="428" spans="1:17" x14ac:dyDescent="0.2">
      <c r="A428" s="46"/>
      <c r="B428" s="50"/>
      <c r="C428" s="53"/>
      <c r="D428" s="47"/>
      <c r="E428" s="47"/>
      <c r="F428" s="47"/>
      <c r="G428" s="47"/>
      <c r="H428" s="47"/>
      <c r="K428" s="50"/>
      <c r="P428" s="47"/>
      <c r="Q428" s="47"/>
    </row>
    <row r="429" spans="1:17" x14ac:dyDescent="0.2">
      <c r="A429" s="46"/>
      <c r="B429" s="50"/>
      <c r="C429" s="53"/>
      <c r="D429" s="47"/>
      <c r="E429" s="47"/>
      <c r="F429" s="47"/>
      <c r="G429" s="47"/>
      <c r="H429" s="47"/>
      <c r="K429" s="50"/>
      <c r="P429" s="47"/>
      <c r="Q429" s="47"/>
    </row>
    <row r="430" spans="1:17" x14ac:dyDescent="0.2">
      <c r="A430" s="46"/>
      <c r="B430" s="50"/>
      <c r="C430" s="53"/>
      <c r="D430" s="47"/>
      <c r="E430" s="47"/>
      <c r="F430" s="47"/>
      <c r="G430" s="47"/>
      <c r="H430" s="47"/>
      <c r="K430" s="50"/>
      <c r="P430" s="47"/>
      <c r="Q430" s="47"/>
    </row>
    <row r="431" spans="1:17" x14ac:dyDescent="0.2">
      <c r="A431" s="46"/>
      <c r="B431" s="50"/>
      <c r="C431" s="53"/>
      <c r="G431" s="47"/>
      <c r="H431" s="47"/>
      <c r="K431" s="50"/>
      <c r="P431" s="47"/>
      <c r="Q431" s="47"/>
    </row>
    <row r="432" spans="1:17" x14ac:dyDescent="0.2">
      <c r="P432" s="16"/>
      <c r="Q432" s="16"/>
    </row>
  </sheetData>
  <sheetProtection algorithmName="SHA-512" hashValue="y43tvaWkvugapihpq0Cp0kTF2E7ggMbonCbBbKH4M/bvi68p/b0U4PndGtJXfADp0u1KUevHckH2Vl7b8u4UUQ==" saltValue="PW2ta9c4cCaAZOuGXB47LQ==" spinCount="100000" sheet="1" objects="1" scenarios="1" formatColumns="0" selectLockedCells="1"/>
  <mergeCells count="1">
    <mergeCell ref="D2:E2"/>
  </mergeCells>
  <hyperlinks>
    <hyperlink ref="B17" location="bank2!A1" display="2000/010" xr:uid="{8B825FBE-AB4B-4184-B57E-A4A09432A284}"/>
    <hyperlink ref="B18" location="bank2!A1" display="2000/011" xr:uid="{27BF5E4B-EC80-4791-9FBE-6F8F34941F26}"/>
    <hyperlink ref="C1" location="TrialBalance!A1" display="TrialBalance!A1" xr:uid="{DC1A1368-7AC6-43A4-8190-CDE48DEADF7F}"/>
    <hyperlink ref="B5" location="bank2!A1" display="1000/001" xr:uid="{B25F0E52-5D87-4985-A14E-3E666AEE5279}"/>
  </hyperlinks>
  <pageMargins left="0.75" right="0.75" top="1" bottom="1" header="0.5" footer="0.5"/>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62CAD-A86E-468F-9EEB-78097FBBD92E}">
  <dimension ref="A1:M486"/>
  <sheetViews>
    <sheetView view="pageBreakPreview" zoomScale="85" zoomScaleNormal="85" zoomScaleSheetLayoutView="85" workbookViewId="0">
      <pane ySplit="13" topLeftCell="A14" activePane="bottomLeft" state="frozen"/>
      <selection pane="bottomLeft" activeCell="D15" sqref="D15"/>
    </sheetView>
  </sheetViews>
  <sheetFormatPr defaultColWidth="11.28515625" defaultRowHeight="15.75" x14ac:dyDescent="0.25"/>
  <cols>
    <col min="1" max="1" width="12.28515625" style="2" bestFit="1" customWidth="1"/>
    <col min="2" max="2" width="5.85546875" style="5" customWidth="1"/>
    <col min="3" max="3" width="38.42578125" style="2" customWidth="1"/>
    <col min="4" max="4" width="30" style="2" customWidth="1"/>
    <col min="5" max="5" width="35.42578125" style="2" customWidth="1"/>
    <col min="6" max="6" width="16.85546875" style="4" customWidth="1"/>
    <col min="7" max="7" width="16.140625" style="4" bestFit="1" customWidth="1"/>
    <col min="8" max="8" width="15.7109375" style="4" bestFit="1" customWidth="1"/>
    <col min="9" max="9" width="16.140625" style="4" bestFit="1" customWidth="1"/>
    <col min="10" max="10" width="15.7109375" style="2" bestFit="1" customWidth="1"/>
    <col min="11" max="13" width="11.28515625" style="2" bestFit="1" customWidth="1"/>
    <col min="14" max="255" width="11.28515625" bestFit="1" customWidth="1"/>
  </cols>
  <sheetData>
    <row r="1" spans="1:13" x14ac:dyDescent="0.25">
      <c r="H1" s="43"/>
      <c r="I1" s="43"/>
    </row>
    <row r="2" spans="1:13" x14ac:dyDescent="0.25">
      <c r="C2" s="3" t="str">
        <f>Criteria!E9</f>
        <v>ABC COMPANY (PROPRIETARY) LIMITED</v>
      </c>
    </row>
    <row r="3" spans="1:13" x14ac:dyDescent="0.25">
      <c r="H3" s="85" t="s">
        <v>96</v>
      </c>
      <c r="I3" s="85"/>
    </row>
    <row r="4" spans="1:13" x14ac:dyDescent="0.25">
      <c r="C4" s="3" t="s">
        <v>95</v>
      </c>
      <c r="D4" s="43" t="str">
        <f>Criteria!E20</f>
        <v>28 FEBRUARY 2026</v>
      </c>
    </row>
    <row r="5" spans="1:13" x14ac:dyDescent="0.25">
      <c r="H5" s="85" t="s">
        <v>97</v>
      </c>
      <c r="I5" s="85"/>
    </row>
    <row r="6" spans="1:13" x14ac:dyDescent="0.25">
      <c r="C6" s="3" t="s">
        <v>184</v>
      </c>
      <c r="H6" s="43"/>
      <c r="I6" s="43"/>
    </row>
    <row r="7" spans="1:13" x14ac:dyDescent="0.25">
      <c r="C7" s="7"/>
      <c r="D7" s="7"/>
      <c r="E7" s="7"/>
      <c r="F7" s="86"/>
      <c r="G7" s="86"/>
      <c r="H7" s="86"/>
      <c r="I7" s="86"/>
    </row>
    <row r="8" spans="1:13" x14ac:dyDescent="0.25">
      <c r="D8" s="9" t="str">
        <f>IF(F8=0," ","OUT OF BALANCE")</f>
        <v xml:space="preserve"> </v>
      </c>
      <c r="E8" s="9"/>
      <c r="F8" s="4">
        <f>ROUND(F484-G484+H484-I484,2)</f>
        <v>0</v>
      </c>
    </row>
    <row r="9" spans="1:13" x14ac:dyDescent="0.25">
      <c r="D9" s="9" t="s">
        <v>319</v>
      </c>
      <c r="E9" s="9"/>
      <c r="F9" s="4">
        <f>F486</f>
        <v>0</v>
      </c>
    </row>
    <row r="10" spans="1:13" x14ac:dyDescent="0.25">
      <c r="D10" s="9"/>
      <c r="E10" s="9"/>
    </row>
    <row r="11" spans="1:13" x14ac:dyDescent="0.25">
      <c r="A11" s="42" t="s">
        <v>297</v>
      </c>
      <c r="F11" s="684"/>
      <c r="G11" s="684"/>
      <c r="H11" s="684"/>
      <c r="I11" s="684"/>
    </row>
    <row r="12" spans="1:13" x14ac:dyDescent="0.25">
      <c r="A12" s="42" t="s">
        <v>717</v>
      </c>
      <c r="F12" s="684" t="s">
        <v>382</v>
      </c>
      <c r="G12" s="684"/>
      <c r="H12" s="684" t="s">
        <v>110</v>
      </c>
      <c r="I12" s="684"/>
    </row>
    <row r="13" spans="1:13" x14ac:dyDescent="0.25">
      <c r="A13" s="42" t="s">
        <v>298</v>
      </c>
      <c r="B13" s="35" t="s">
        <v>825</v>
      </c>
      <c r="C13" s="35" t="s">
        <v>261</v>
      </c>
      <c r="D13" s="35" t="s">
        <v>280</v>
      </c>
      <c r="E13" s="35" t="s">
        <v>454</v>
      </c>
      <c r="F13" s="25" t="s">
        <v>264</v>
      </c>
      <c r="G13" s="25" t="s">
        <v>265</v>
      </c>
      <c r="H13" s="25" t="s">
        <v>264</v>
      </c>
      <c r="I13" s="25" t="s">
        <v>265</v>
      </c>
    </row>
    <row r="14" spans="1:13" x14ac:dyDescent="0.25">
      <c r="A14" s="42"/>
    </row>
    <row r="15" spans="1:13" x14ac:dyDescent="0.25">
      <c r="A15" s="42" t="str">
        <f t="shared" ref="A15:A78" si="0">IF(COUNTIF(K15:M15,"ERROR")&gt;0,"ERROR"," ")</f>
        <v xml:space="preserve"> </v>
      </c>
      <c r="B15" s="5">
        <v>1</v>
      </c>
      <c r="D15" s="41"/>
      <c r="E15" s="41"/>
      <c r="J15" s="17">
        <f>F15-G15+H15-I15</f>
        <v>0</v>
      </c>
      <c r="K15" s="2" t="str">
        <f>IF(COUNTA(D15:E15)=2,"ERROR"," ")</f>
        <v xml:space="preserve"> </v>
      </c>
      <c r="L15" s="2" t="str">
        <f t="shared" ref="L15:L78" si="1">IF(D15=0," ",IF(COUNTIF(ProfitLoss3,D15)&gt;0," ","ERROR"))</f>
        <v xml:space="preserve"> </v>
      </c>
      <c r="M15" s="2" t="str">
        <f t="shared" ref="M15:M78" si="2">IF(E15=0," ",IF(COUNTIF(BalanceSheet3,E15)&gt;0," ","ERROR"))</f>
        <v xml:space="preserve"> </v>
      </c>
    </row>
    <row r="16" spans="1:13" x14ac:dyDescent="0.25">
      <c r="A16" s="42" t="str">
        <f t="shared" si="0"/>
        <v xml:space="preserve"> </v>
      </c>
      <c r="B16" s="28"/>
      <c r="D16" s="41"/>
      <c r="E16" s="41"/>
      <c r="J16" s="17">
        <f t="shared" ref="J16:J79" si="3">F16-G16+H16-I16</f>
        <v>0</v>
      </c>
      <c r="K16" s="2" t="str">
        <f t="shared" ref="K16:K79" si="4">IF(COUNTA(D16:E16)=2,"ERROR"," ")</f>
        <v xml:space="preserve"> </v>
      </c>
      <c r="L16" s="2" t="str">
        <f t="shared" si="1"/>
        <v xml:space="preserve"> </v>
      </c>
      <c r="M16" s="2" t="str">
        <f t="shared" si="2"/>
        <v xml:space="preserve"> </v>
      </c>
    </row>
    <row r="17" spans="1:13" x14ac:dyDescent="0.25">
      <c r="A17" s="42" t="str">
        <f t="shared" si="0"/>
        <v xml:space="preserve"> </v>
      </c>
      <c r="D17" s="41"/>
      <c r="E17" s="41"/>
      <c r="J17" s="17">
        <f t="shared" si="3"/>
        <v>0</v>
      </c>
      <c r="K17" s="2" t="str">
        <f t="shared" si="4"/>
        <v xml:space="preserve"> </v>
      </c>
      <c r="L17" s="2" t="str">
        <f t="shared" si="1"/>
        <v xml:space="preserve"> </v>
      </c>
      <c r="M17" s="2" t="str">
        <f t="shared" si="2"/>
        <v xml:space="preserve"> </v>
      </c>
    </row>
    <row r="18" spans="1:13" x14ac:dyDescent="0.25">
      <c r="A18" s="42" t="str">
        <f t="shared" si="0"/>
        <v xml:space="preserve"> </v>
      </c>
      <c r="D18" s="41"/>
      <c r="E18" s="41"/>
      <c r="J18" s="17">
        <f t="shared" si="3"/>
        <v>0</v>
      </c>
      <c r="K18" s="2" t="str">
        <f t="shared" si="4"/>
        <v xml:space="preserve"> </v>
      </c>
      <c r="L18" s="2" t="str">
        <f t="shared" si="1"/>
        <v xml:space="preserve"> </v>
      </c>
      <c r="M18" s="2" t="str">
        <f t="shared" si="2"/>
        <v xml:space="preserve"> </v>
      </c>
    </row>
    <row r="19" spans="1:13" x14ac:dyDescent="0.25">
      <c r="A19" s="42" t="str">
        <f t="shared" si="0"/>
        <v xml:space="preserve"> </v>
      </c>
      <c r="D19" s="41"/>
      <c r="E19" s="41"/>
      <c r="J19" s="17">
        <f t="shared" si="3"/>
        <v>0</v>
      </c>
      <c r="K19" s="2" t="str">
        <f t="shared" si="4"/>
        <v xml:space="preserve"> </v>
      </c>
      <c r="L19" s="2" t="str">
        <f t="shared" si="1"/>
        <v xml:space="preserve"> </v>
      </c>
      <c r="M19" s="2" t="str">
        <f t="shared" si="2"/>
        <v xml:space="preserve"> </v>
      </c>
    </row>
    <row r="20" spans="1:13" x14ac:dyDescent="0.25">
      <c r="A20" s="42" t="str">
        <f t="shared" si="0"/>
        <v xml:space="preserve"> </v>
      </c>
      <c r="D20" s="41"/>
      <c r="E20" s="41"/>
      <c r="J20" s="17">
        <f t="shared" si="3"/>
        <v>0</v>
      </c>
      <c r="K20" s="2" t="str">
        <f t="shared" si="4"/>
        <v xml:space="preserve"> </v>
      </c>
      <c r="L20" s="2" t="str">
        <f t="shared" si="1"/>
        <v xml:space="preserve"> </v>
      </c>
      <c r="M20" s="2" t="str">
        <f t="shared" si="2"/>
        <v xml:space="preserve"> </v>
      </c>
    </row>
    <row r="21" spans="1:13" x14ac:dyDescent="0.25">
      <c r="A21" s="42" t="str">
        <f t="shared" si="0"/>
        <v xml:space="preserve"> </v>
      </c>
      <c r="D21" s="41"/>
      <c r="E21" s="41"/>
      <c r="J21" s="17">
        <f t="shared" si="3"/>
        <v>0</v>
      </c>
      <c r="K21" s="2" t="str">
        <f t="shared" si="4"/>
        <v xml:space="preserve"> </v>
      </c>
      <c r="L21" s="2" t="str">
        <f t="shared" si="1"/>
        <v xml:space="preserve"> </v>
      </c>
      <c r="M21" s="2" t="str">
        <f t="shared" si="2"/>
        <v xml:space="preserve"> </v>
      </c>
    </row>
    <row r="22" spans="1:13" x14ac:dyDescent="0.25">
      <c r="A22" s="42" t="str">
        <f t="shared" si="0"/>
        <v xml:space="preserve"> </v>
      </c>
      <c r="D22" s="41"/>
      <c r="E22" s="41"/>
      <c r="J22" s="17">
        <f t="shared" si="3"/>
        <v>0</v>
      </c>
      <c r="K22" s="2" t="str">
        <f t="shared" si="4"/>
        <v xml:space="preserve"> </v>
      </c>
      <c r="L22" s="2" t="str">
        <f t="shared" si="1"/>
        <v xml:space="preserve"> </v>
      </c>
      <c r="M22" s="2" t="str">
        <f t="shared" si="2"/>
        <v xml:space="preserve"> </v>
      </c>
    </row>
    <row r="23" spans="1:13" x14ac:dyDescent="0.25">
      <c r="A23" s="42" t="str">
        <f t="shared" si="0"/>
        <v xml:space="preserve"> </v>
      </c>
      <c r="D23" s="41"/>
      <c r="E23" s="41"/>
      <c r="J23" s="17">
        <f t="shared" si="3"/>
        <v>0</v>
      </c>
      <c r="K23" s="2" t="str">
        <f t="shared" si="4"/>
        <v xml:space="preserve"> </v>
      </c>
      <c r="L23" s="2" t="str">
        <f t="shared" si="1"/>
        <v xml:space="preserve"> </v>
      </c>
      <c r="M23" s="2" t="str">
        <f t="shared" si="2"/>
        <v xml:space="preserve"> </v>
      </c>
    </row>
    <row r="24" spans="1:13" x14ac:dyDescent="0.25">
      <c r="A24" s="42" t="str">
        <f t="shared" si="0"/>
        <v xml:space="preserve"> </v>
      </c>
      <c r="D24" s="41"/>
      <c r="E24" s="41"/>
      <c r="J24" s="17">
        <f t="shared" si="3"/>
        <v>0</v>
      </c>
      <c r="K24" s="2" t="str">
        <f t="shared" si="4"/>
        <v xml:space="preserve"> </v>
      </c>
      <c r="L24" s="2" t="str">
        <f t="shared" si="1"/>
        <v xml:space="preserve"> </v>
      </c>
      <c r="M24" s="2" t="str">
        <f t="shared" si="2"/>
        <v xml:space="preserve"> </v>
      </c>
    </row>
    <row r="25" spans="1:13" x14ac:dyDescent="0.25">
      <c r="A25" s="42" t="str">
        <f t="shared" si="0"/>
        <v xml:space="preserve"> </v>
      </c>
      <c r="C25" s="60"/>
      <c r="D25" s="41"/>
      <c r="E25" s="41"/>
      <c r="J25" s="17">
        <f t="shared" si="3"/>
        <v>0</v>
      </c>
      <c r="K25" s="2" t="str">
        <f t="shared" si="4"/>
        <v xml:space="preserve"> </v>
      </c>
      <c r="L25" s="2" t="str">
        <f t="shared" si="1"/>
        <v xml:space="preserve"> </v>
      </c>
      <c r="M25" s="2" t="str">
        <f t="shared" si="2"/>
        <v xml:space="preserve"> </v>
      </c>
    </row>
    <row r="26" spans="1:13" x14ac:dyDescent="0.25">
      <c r="A26" s="42" t="str">
        <f t="shared" si="0"/>
        <v xml:space="preserve"> </v>
      </c>
      <c r="D26" s="41"/>
      <c r="E26" s="41"/>
      <c r="J26" s="17">
        <f t="shared" si="3"/>
        <v>0</v>
      </c>
      <c r="K26" s="2" t="str">
        <f t="shared" si="4"/>
        <v xml:space="preserve"> </v>
      </c>
      <c r="L26" s="2" t="str">
        <f t="shared" si="1"/>
        <v xml:space="preserve"> </v>
      </c>
      <c r="M26" s="2" t="str">
        <f t="shared" si="2"/>
        <v xml:space="preserve"> </v>
      </c>
    </row>
    <row r="27" spans="1:13" x14ac:dyDescent="0.25">
      <c r="A27" s="42" t="str">
        <f t="shared" si="0"/>
        <v xml:space="preserve"> </v>
      </c>
      <c r="D27" s="41"/>
      <c r="E27" s="41"/>
      <c r="J27" s="17">
        <f t="shared" si="3"/>
        <v>0</v>
      </c>
      <c r="K27" s="2" t="str">
        <f t="shared" si="4"/>
        <v xml:space="preserve"> </v>
      </c>
      <c r="L27" s="2" t="str">
        <f t="shared" si="1"/>
        <v xml:space="preserve"> </v>
      </c>
      <c r="M27" s="2" t="str">
        <f t="shared" si="2"/>
        <v xml:space="preserve"> </v>
      </c>
    </row>
    <row r="28" spans="1:13" x14ac:dyDescent="0.25">
      <c r="A28" s="42" t="str">
        <f t="shared" si="0"/>
        <v xml:space="preserve"> </v>
      </c>
      <c r="D28" s="41"/>
      <c r="E28" s="41"/>
      <c r="J28" s="17">
        <f t="shared" si="3"/>
        <v>0</v>
      </c>
      <c r="K28" s="2" t="str">
        <f t="shared" si="4"/>
        <v xml:space="preserve"> </v>
      </c>
      <c r="L28" s="2" t="str">
        <f t="shared" si="1"/>
        <v xml:space="preserve"> </v>
      </c>
      <c r="M28" s="2" t="str">
        <f t="shared" si="2"/>
        <v xml:space="preserve"> </v>
      </c>
    </row>
    <row r="29" spans="1:13" x14ac:dyDescent="0.25">
      <c r="A29" s="42" t="str">
        <f t="shared" si="0"/>
        <v xml:space="preserve"> </v>
      </c>
      <c r="D29" s="41"/>
      <c r="E29" s="41"/>
      <c r="J29" s="17">
        <f t="shared" si="3"/>
        <v>0</v>
      </c>
      <c r="K29" s="2" t="str">
        <f t="shared" si="4"/>
        <v xml:space="preserve"> </v>
      </c>
      <c r="L29" s="2" t="str">
        <f t="shared" si="1"/>
        <v xml:space="preserve"> </v>
      </c>
      <c r="M29" s="2" t="str">
        <f t="shared" si="2"/>
        <v xml:space="preserve"> </v>
      </c>
    </row>
    <row r="30" spans="1:13" x14ac:dyDescent="0.25">
      <c r="A30" s="42" t="str">
        <f t="shared" si="0"/>
        <v xml:space="preserve"> </v>
      </c>
      <c r="D30" s="41"/>
      <c r="E30" s="41"/>
      <c r="J30" s="17">
        <f t="shared" si="3"/>
        <v>0</v>
      </c>
      <c r="K30" s="2" t="str">
        <f t="shared" si="4"/>
        <v xml:space="preserve"> </v>
      </c>
      <c r="L30" s="2" t="str">
        <f t="shared" si="1"/>
        <v xml:space="preserve"> </v>
      </c>
      <c r="M30" s="2" t="str">
        <f t="shared" si="2"/>
        <v xml:space="preserve"> </v>
      </c>
    </row>
    <row r="31" spans="1:13" x14ac:dyDescent="0.25">
      <c r="A31" s="42" t="str">
        <f t="shared" si="0"/>
        <v xml:space="preserve"> </v>
      </c>
      <c r="D31" s="41"/>
      <c r="E31" s="41"/>
      <c r="J31" s="17">
        <f t="shared" si="3"/>
        <v>0</v>
      </c>
      <c r="K31" s="2" t="str">
        <f t="shared" si="4"/>
        <v xml:space="preserve"> </v>
      </c>
      <c r="L31" s="2" t="str">
        <f t="shared" si="1"/>
        <v xml:space="preserve"> </v>
      </c>
      <c r="M31" s="2" t="str">
        <f t="shared" si="2"/>
        <v xml:space="preserve"> </v>
      </c>
    </row>
    <row r="32" spans="1:13" x14ac:dyDescent="0.25">
      <c r="A32" s="42" t="str">
        <f t="shared" si="0"/>
        <v xml:space="preserve"> </v>
      </c>
      <c r="D32" s="41"/>
      <c r="E32" s="41"/>
      <c r="J32" s="17">
        <f t="shared" si="3"/>
        <v>0</v>
      </c>
      <c r="K32" s="2" t="str">
        <f t="shared" si="4"/>
        <v xml:space="preserve"> </v>
      </c>
      <c r="L32" s="2" t="str">
        <f t="shared" si="1"/>
        <v xml:space="preserve"> </v>
      </c>
      <c r="M32" s="2" t="str">
        <f t="shared" si="2"/>
        <v xml:space="preserve"> </v>
      </c>
    </row>
    <row r="33" spans="1:13" x14ac:dyDescent="0.25">
      <c r="A33" s="42" t="str">
        <f t="shared" si="0"/>
        <v xml:space="preserve"> </v>
      </c>
      <c r="D33" s="41"/>
      <c r="E33" s="41"/>
      <c r="J33" s="17">
        <f t="shared" si="3"/>
        <v>0</v>
      </c>
      <c r="K33" s="2" t="str">
        <f t="shared" si="4"/>
        <v xml:space="preserve"> </v>
      </c>
      <c r="L33" s="2" t="str">
        <f t="shared" si="1"/>
        <v xml:space="preserve"> </v>
      </c>
      <c r="M33" s="2" t="str">
        <f t="shared" si="2"/>
        <v xml:space="preserve"> </v>
      </c>
    </row>
    <row r="34" spans="1:13" x14ac:dyDescent="0.25">
      <c r="A34" s="42" t="str">
        <f t="shared" si="0"/>
        <v xml:space="preserve"> </v>
      </c>
      <c r="D34" s="41"/>
      <c r="E34" s="41"/>
      <c r="J34" s="17">
        <f t="shared" si="3"/>
        <v>0</v>
      </c>
      <c r="K34" s="2" t="str">
        <f t="shared" si="4"/>
        <v xml:space="preserve"> </v>
      </c>
      <c r="L34" s="2" t="str">
        <f t="shared" si="1"/>
        <v xml:space="preserve"> </v>
      </c>
      <c r="M34" s="2" t="str">
        <f t="shared" si="2"/>
        <v xml:space="preserve"> </v>
      </c>
    </row>
    <row r="35" spans="1:13" x14ac:dyDescent="0.25">
      <c r="A35" s="42" t="str">
        <f t="shared" si="0"/>
        <v xml:space="preserve"> </v>
      </c>
      <c r="D35" s="41"/>
      <c r="E35" s="41"/>
      <c r="J35" s="17">
        <f t="shared" si="3"/>
        <v>0</v>
      </c>
      <c r="K35" s="2" t="str">
        <f t="shared" si="4"/>
        <v xml:space="preserve"> </v>
      </c>
      <c r="L35" s="2" t="str">
        <f t="shared" si="1"/>
        <v xml:space="preserve"> </v>
      </c>
      <c r="M35" s="2" t="str">
        <f t="shared" si="2"/>
        <v xml:space="preserve"> </v>
      </c>
    </row>
    <row r="36" spans="1:13" x14ac:dyDescent="0.25">
      <c r="A36" s="42" t="str">
        <f t="shared" si="0"/>
        <v xml:space="preserve"> </v>
      </c>
      <c r="D36" s="41"/>
      <c r="E36" s="41"/>
      <c r="J36" s="17">
        <f t="shared" si="3"/>
        <v>0</v>
      </c>
      <c r="K36" s="2" t="str">
        <f t="shared" si="4"/>
        <v xml:space="preserve"> </v>
      </c>
      <c r="L36" s="2" t="str">
        <f t="shared" si="1"/>
        <v xml:space="preserve"> </v>
      </c>
      <c r="M36" s="2" t="str">
        <f t="shared" si="2"/>
        <v xml:space="preserve"> </v>
      </c>
    </row>
    <row r="37" spans="1:13" x14ac:dyDescent="0.25">
      <c r="A37" s="42" t="str">
        <f t="shared" si="0"/>
        <v xml:space="preserve"> </v>
      </c>
      <c r="D37" s="41"/>
      <c r="E37" s="41"/>
      <c r="J37" s="17">
        <f t="shared" si="3"/>
        <v>0</v>
      </c>
      <c r="K37" s="2" t="str">
        <f t="shared" si="4"/>
        <v xml:space="preserve"> </v>
      </c>
      <c r="L37" s="2" t="str">
        <f t="shared" si="1"/>
        <v xml:space="preserve"> </v>
      </c>
      <c r="M37" s="2" t="str">
        <f t="shared" si="2"/>
        <v xml:space="preserve"> </v>
      </c>
    </row>
    <row r="38" spans="1:13" x14ac:dyDescent="0.25">
      <c r="A38" s="42" t="str">
        <f t="shared" si="0"/>
        <v xml:space="preserve"> </v>
      </c>
      <c r="D38" s="41"/>
      <c r="E38" s="41"/>
      <c r="J38" s="17">
        <f t="shared" si="3"/>
        <v>0</v>
      </c>
      <c r="K38" s="2" t="str">
        <f t="shared" si="4"/>
        <v xml:space="preserve"> </v>
      </c>
      <c r="L38" s="2" t="str">
        <f t="shared" si="1"/>
        <v xml:space="preserve"> </v>
      </c>
      <c r="M38" s="2" t="str">
        <f t="shared" si="2"/>
        <v xml:space="preserve"> </v>
      </c>
    </row>
    <row r="39" spans="1:13" x14ac:dyDescent="0.25">
      <c r="A39" s="42" t="str">
        <f t="shared" si="0"/>
        <v xml:space="preserve"> </v>
      </c>
      <c r="D39" s="41"/>
      <c r="E39" s="41"/>
      <c r="J39" s="17">
        <f t="shared" si="3"/>
        <v>0</v>
      </c>
      <c r="K39" s="2" t="str">
        <f t="shared" si="4"/>
        <v xml:space="preserve"> </v>
      </c>
      <c r="L39" s="2" t="str">
        <f t="shared" si="1"/>
        <v xml:space="preserve"> </v>
      </c>
      <c r="M39" s="2" t="str">
        <f t="shared" si="2"/>
        <v xml:space="preserve"> </v>
      </c>
    </row>
    <row r="40" spans="1:13" x14ac:dyDescent="0.25">
      <c r="A40" s="42" t="str">
        <f t="shared" si="0"/>
        <v xml:space="preserve"> </v>
      </c>
      <c r="D40" s="41"/>
      <c r="E40" s="41"/>
      <c r="J40" s="17">
        <f t="shared" si="3"/>
        <v>0</v>
      </c>
      <c r="K40" s="2" t="str">
        <f t="shared" si="4"/>
        <v xml:space="preserve"> </v>
      </c>
      <c r="L40" s="2" t="str">
        <f t="shared" si="1"/>
        <v xml:space="preserve"> </v>
      </c>
      <c r="M40" s="2" t="str">
        <f t="shared" si="2"/>
        <v xml:space="preserve"> </v>
      </c>
    </row>
    <row r="41" spans="1:13" x14ac:dyDescent="0.25">
      <c r="A41" s="42" t="str">
        <f t="shared" si="0"/>
        <v xml:space="preserve"> </v>
      </c>
      <c r="D41" s="41"/>
      <c r="E41" s="41"/>
      <c r="J41" s="17">
        <f t="shared" si="3"/>
        <v>0</v>
      </c>
      <c r="K41" s="2" t="str">
        <f t="shared" si="4"/>
        <v xml:space="preserve"> </v>
      </c>
      <c r="L41" s="2" t="str">
        <f t="shared" si="1"/>
        <v xml:space="preserve"> </v>
      </c>
      <c r="M41" s="2" t="str">
        <f t="shared" si="2"/>
        <v xml:space="preserve"> </v>
      </c>
    </row>
    <row r="42" spans="1:13" x14ac:dyDescent="0.25">
      <c r="A42" s="42" t="str">
        <f t="shared" si="0"/>
        <v xml:space="preserve"> </v>
      </c>
      <c r="D42" s="41"/>
      <c r="E42" s="41"/>
      <c r="J42" s="17">
        <f t="shared" si="3"/>
        <v>0</v>
      </c>
      <c r="K42" s="2" t="str">
        <f t="shared" si="4"/>
        <v xml:space="preserve"> </v>
      </c>
      <c r="L42" s="2" t="str">
        <f t="shared" si="1"/>
        <v xml:space="preserve"> </v>
      </c>
      <c r="M42" s="2" t="str">
        <f t="shared" si="2"/>
        <v xml:space="preserve"> </v>
      </c>
    </row>
    <row r="43" spans="1:13" x14ac:dyDescent="0.25">
      <c r="A43" s="42" t="str">
        <f t="shared" si="0"/>
        <v xml:space="preserve"> </v>
      </c>
      <c r="D43" s="41"/>
      <c r="E43" s="41"/>
      <c r="J43" s="17">
        <f t="shared" si="3"/>
        <v>0</v>
      </c>
      <c r="K43" s="2" t="str">
        <f t="shared" si="4"/>
        <v xml:space="preserve"> </v>
      </c>
      <c r="L43" s="2" t="str">
        <f t="shared" si="1"/>
        <v xml:space="preserve"> </v>
      </c>
      <c r="M43" s="2" t="str">
        <f t="shared" si="2"/>
        <v xml:space="preserve"> </v>
      </c>
    </row>
    <row r="44" spans="1:13" x14ac:dyDescent="0.25">
      <c r="A44" s="42" t="str">
        <f t="shared" si="0"/>
        <v xml:space="preserve"> </v>
      </c>
      <c r="D44" s="41"/>
      <c r="E44" s="41"/>
      <c r="J44" s="17">
        <f t="shared" si="3"/>
        <v>0</v>
      </c>
      <c r="K44" s="2" t="str">
        <f t="shared" si="4"/>
        <v xml:space="preserve"> </v>
      </c>
      <c r="L44" s="2" t="str">
        <f t="shared" si="1"/>
        <v xml:space="preserve"> </v>
      </c>
      <c r="M44" s="2" t="str">
        <f t="shared" si="2"/>
        <v xml:space="preserve"> </v>
      </c>
    </row>
    <row r="45" spans="1:13" x14ac:dyDescent="0.25">
      <c r="A45" s="42" t="str">
        <f t="shared" si="0"/>
        <v xml:space="preserve"> </v>
      </c>
      <c r="D45" s="41"/>
      <c r="E45" s="41"/>
      <c r="J45" s="17">
        <f t="shared" si="3"/>
        <v>0</v>
      </c>
      <c r="K45" s="2" t="str">
        <f t="shared" si="4"/>
        <v xml:space="preserve"> </v>
      </c>
      <c r="L45" s="2" t="str">
        <f t="shared" si="1"/>
        <v xml:space="preserve"> </v>
      </c>
      <c r="M45" s="2" t="str">
        <f t="shared" si="2"/>
        <v xml:space="preserve"> </v>
      </c>
    </row>
    <row r="46" spans="1:13" x14ac:dyDescent="0.25">
      <c r="A46" s="42" t="str">
        <f t="shared" si="0"/>
        <v xml:space="preserve"> </v>
      </c>
      <c r="D46" s="41"/>
      <c r="E46" s="41"/>
      <c r="J46" s="17">
        <f t="shared" si="3"/>
        <v>0</v>
      </c>
      <c r="K46" s="2" t="str">
        <f t="shared" si="4"/>
        <v xml:space="preserve"> </v>
      </c>
      <c r="L46" s="2" t="str">
        <f t="shared" si="1"/>
        <v xml:space="preserve"> </v>
      </c>
      <c r="M46" s="2" t="str">
        <f t="shared" si="2"/>
        <v xml:space="preserve"> </v>
      </c>
    </row>
    <row r="47" spans="1:13" x14ac:dyDescent="0.25">
      <c r="A47" s="42" t="str">
        <f t="shared" si="0"/>
        <v xml:space="preserve"> </v>
      </c>
      <c r="D47" s="41"/>
      <c r="E47" s="41"/>
      <c r="J47" s="17">
        <f t="shared" si="3"/>
        <v>0</v>
      </c>
      <c r="K47" s="2" t="str">
        <f t="shared" si="4"/>
        <v xml:space="preserve"> </v>
      </c>
      <c r="L47" s="2" t="str">
        <f t="shared" si="1"/>
        <v xml:space="preserve"> </v>
      </c>
      <c r="M47" s="2" t="str">
        <f t="shared" si="2"/>
        <v xml:space="preserve"> </v>
      </c>
    </row>
    <row r="48" spans="1:13" x14ac:dyDescent="0.25">
      <c r="A48" s="42" t="str">
        <f t="shared" si="0"/>
        <v xml:space="preserve"> </v>
      </c>
      <c r="D48" s="41"/>
      <c r="E48" s="41"/>
      <c r="J48" s="17">
        <f t="shared" si="3"/>
        <v>0</v>
      </c>
      <c r="K48" s="2" t="str">
        <f t="shared" si="4"/>
        <v xml:space="preserve"> </v>
      </c>
      <c r="L48" s="2" t="str">
        <f t="shared" si="1"/>
        <v xml:space="preserve"> </v>
      </c>
      <c r="M48" s="2" t="str">
        <f t="shared" si="2"/>
        <v xml:space="preserve"> </v>
      </c>
    </row>
    <row r="49" spans="1:13" x14ac:dyDescent="0.25">
      <c r="A49" s="42" t="str">
        <f t="shared" si="0"/>
        <v xml:space="preserve"> </v>
      </c>
      <c r="D49" s="41"/>
      <c r="E49" s="41"/>
      <c r="J49" s="17">
        <f t="shared" si="3"/>
        <v>0</v>
      </c>
      <c r="K49" s="2" t="str">
        <f t="shared" si="4"/>
        <v xml:space="preserve"> </v>
      </c>
      <c r="L49" s="2" t="str">
        <f t="shared" si="1"/>
        <v xml:space="preserve"> </v>
      </c>
      <c r="M49" s="2" t="str">
        <f t="shared" si="2"/>
        <v xml:space="preserve"> </v>
      </c>
    </row>
    <row r="50" spans="1:13" x14ac:dyDescent="0.25">
      <c r="A50" s="42" t="str">
        <f t="shared" si="0"/>
        <v xml:space="preserve"> </v>
      </c>
      <c r="D50" s="41"/>
      <c r="E50" s="41"/>
      <c r="J50" s="17">
        <f t="shared" si="3"/>
        <v>0</v>
      </c>
      <c r="K50" s="2" t="str">
        <f t="shared" si="4"/>
        <v xml:space="preserve"> </v>
      </c>
      <c r="L50" s="2" t="str">
        <f t="shared" si="1"/>
        <v xml:space="preserve"> </v>
      </c>
      <c r="M50" s="2" t="str">
        <f t="shared" si="2"/>
        <v xml:space="preserve"> </v>
      </c>
    </row>
    <row r="51" spans="1:13" x14ac:dyDescent="0.25">
      <c r="A51" s="42" t="str">
        <f t="shared" si="0"/>
        <v xml:space="preserve"> </v>
      </c>
      <c r="D51" s="41"/>
      <c r="E51" s="41"/>
      <c r="J51" s="17">
        <f t="shared" si="3"/>
        <v>0</v>
      </c>
      <c r="K51" s="2" t="str">
        <f t="shared" si="4"/>
        <v xml:space="preserve"> </v>
      </c>
      <c r="L51" s="2" t="str">
        <f t="shared" si="1"/>
        <v xml:space="preserve"> </v>
      </c>
      <c r="M51" s="2" t="str">
        <f t="shared" si="2"/>
        <v xml:space="preserve"> </v>
      </c>
    </row>
    <row r="52" spans="1:13" x14ac:dyDescent="0.25">
      <c r="A52" s="42" t="str">
        <f t="shared" si="0"/>
        <v xml:space="preserve"> </v>
      </c>
      <c r="D52" s="41"/>
      <c r="E52" s="41"/>
      <c r="J52" s="17">
        <f t="shared" si="3"/>
        <v>0</v>
      </c>
      <c r="K52" s="2" t="str">
        <f t="shared" si="4"/>
        <v xml:space="preserve"> </v>
      </c>
      <c r="L52" s="2" t="str">
        <f t="shared" si="1"/>
        <v xml:space="preserve"> </v>
      </c>
      <c r="M52" s="2" t="str">
        <f t="shared" si="2"/>
        <v xml:space="preserve"> </v>
      </c>
    </row>
    <row r="53" spans="1:13" x14ac:dyDescent="0.25">
      <c r="A53" s="42" t="str">
        <f t="shared" si="0"/>
        <v xml:space="preserve"> </v>
      </c>
      <c r="D53" s="41"/>
      <c r="E53" s="41"/>
      <c r="J53" s="17">
        <f t="shared" si="3"/>
        <v>0</v>
      </c>
      <c r="K53" s="2" t="str">
        <f t="shared" si="4"/>
        <v xml:space="preserve"> </v>
      </c>
      <c r="L53" s="2" t="str">
        <f t="shared" si="1"/>
        <v xml:space="preserve"> </v>
      </c>
      <c r="M53" s="2" t="str">
        <f t="shared" si="2"/>
        <v xml:space="preserve"> </v>
      </c>
    </row>
    <row r="54" spans="1:13" x14ac:dyDescent="0.25">
      <c r="A54" s="42" t="str">
        <f t="shared" si="0"/>
        <v xml:space="preserve"> </v>
      </c>
      <c r="D54" s="41"/>
      <c r="E54" s="41"/>
      <c r="J54" s="17">
        <f t="shared" si="3"/>
        <v>0</v>
      </c>
      <c r="K54" s="2" t="str">
        <f t="shared" si="4"/>
        <v xml:space="preserve"> </v>
      </c>
      <c r="L54" s="2" t="str">
        <f t="shared" si="1"/>
        <v xml:space="preserve"> </v>
      </c>
      <c r="M54" s="2" t="str">
        <f t="shared" si="2"/>
        <v xml:space="preserve"> </v>
      </c>
    </row>
    <row r="55" spans="1:13" x14ac:dyDescent="0.25">
      <c r="A55" s="42" t="str">
        <f t="shared" si="0"/>
        <v xml:space="preserve"> </v>
      </c>
      <c r="D55" s="41"/>
      <c r="E55" s="41"/>
      <c r="J55" s="17">
        <f t="shared" si="3"/>
        <v>0</v>
      </c>
      <c r="K55" s="2" t="str">
        <f t="shared" si="4"/>
        <v xml:space="preserve"> </v>
      </c>
      <c r="L55" s="2" t="str">
        <f t="shared" si="1"/>
        <v xml:space="preserve"> </v>
      </c>
      <c r="M55" s="2" t="str">
        <f t="shared" si="2"/>
        <v xml:space="preserve"> </v>
      </c>
    </row>
    <row r="56" spans="1:13" x14ac:dyDescent="0.25">
      <c r="A56" s="42" t="str">
        <f t="shared" si="0"/>
        <v xml:space="preserve"> </v>
      </c>
      <c r="D56" s="41"/>
      <c r="E56" s="41"/>
      <c r="J56" s="17">
        <f t="shared" si="3"/>
        <v>0</v>
      </c>
      <c r="K56" s="2" t="str">
        <f t="shared" si="4"/>
        <v xml:space="preserve"> </v>
      </c>
      <c r="L56" s="2" t="str">
        <f t="shared" si="1"/>
        <v xml:space="preserve"> </v>
      </c>
      <c r="M56" s="2" t="str">
        <f t="shared" si="2"/>
        <v xml:space="preserve"> </v>
      </c>
    </row>
    <row r="57" spans="1:13" x14ac:dyDescent="0.25">
      <c r="A57" s="42" t="str">
        <f t="shared" si="0"/>
        <v xml:space="preserve"> </v>
      </c>
      <c r="D57" s="41"/>
      <c r="E57" s="41"/>
      <c r="J57" s="17">
        <f t="shared" si="3"/>
        <v>0</v>
      </c>
      <c r="K57" s="2" t="str">
        <f t="shared" si="4"/>
        <v xml:space="preserve"> </v>
      </c>
      <c r="L57" s="2" t="str">
        <f t="shared" si="1"/>
        <v xml:space="preserve"> </v>
      </c>
      <c r="M57" s="2" t="str">
        <f t="shared" si="2"/>
        <v xml:space="preserve"> </v>
      </c>
    </row>
    <row r="58" spans="1:13" x14ac:dyDescent="0.25">
      <c r="A58" s="42" t="str">
        <f t="shared" si="0"/>
        <v xml:space="preserve"> </v>
      </c>
      <c r="D58" s="41"/>
      <c r="E58" s="41"/>
      <c r="J58" s="17">
        <f t="shared" si="3"/>
        <v>0</v>
      </c>
      <c r="K58" s="2" t="str">
        <f t="shared" si="4"/>
        <v xml:space="preserve"> </v>
      </c>
      <c r="L58" s="2" t="str">
        <f t="shared" si="1"/>
        <v xml:space="preserve"> </v>
      </c>
      <c r="M58" s="2" t="str">
        <f t="shared" si="2"/>
        <v xml:space="preserve"> </v>
      </c>
    </row>
    <row r="59" spans="1:13" x14ac:dyDescent="0.25">
      <c r="A59" s="42" t="str">
        <f t="shared" si="0"/>
        <v xml:space="preserve"> </v>
      </c>
      <c r="D59" s="41"/>
      <c r="E59" s="41"/>
      <c r="J59" s="17">
        <f t="shared" si="3"/>
        <v>0</v>
      </c>
      <c r="K59" s="2" t="str">
        <f t="shared" si="4"/>
        <v xml:space="preserve"> </v>
      </c>
      <c r="L59" s="2" t="str">
        <f t="shared" si="1"/>
        <v xml:space="preserve"> </v>
      </c>
      <c r="M59" s="2" t="str">
        <f t="shared" si="2"/>
        <v xml:space="preserve"> </v>
      </c>
    </row>
    <row r="60" spans="1:13" x14ac:dyDescent="0.25">
      <c r="A60" s="42" t="str">
        <f t="shared" si="0"/>
        <v xml:space="preserve"> </v>
      </c>
      <c r="D60" s="41"/>
      <c r="E60" s="41"/>
      <c r="J60" s="17">
        <f t="shared" si="3"/>
        <v>0</v>
      </c>
      <c r="K60" s="2" t="str">
        <f t="shared" si="4"/>
        <v xml:space="preserve"> </v>
      </c>
      <c r="L60" s="2" t="str">
        <f t="shared" si="1"/>
        <v xml:space="preserve"> </v>
      </c>
      <c r="M60" s="2" t="str">
        <f t="shared" si="2"/>
        <v xml:space="preserve"> </v>
      </c>
    </row>
    <row r="61" spans="1:13" x14ac:dyDescent="0.25">
      <c r="A61" s="42" t="str">
        <f t="shared" si="0"/>
        <v xml:space="preserve"> </v>
      </c>
      <c r="D61" s="41"/>
      <c r="E61" s="41"/>
      <c r="J61" s="17">
        <f t="shared" si="3"/>
        <v>0</v>
      </c>
      <c r="K61" s="2" t="str">
        <f t="shared" si="4"/>
        <v xml:space="preserve"> </v>
      </c>
      <c r="L61" s="2" t="str">
        <f t="shared" si="1"/>
        <v xml:space="preserve"> </v>
      </c>
      <c r="M61" s="2" t="str">
        <f t="shared" si="2"/>
        <v xml:space="preserve"> </v>
      </c>
    </row>
    <row r="62" spans="1:13" x14ac:dyDescent="0.25">
      <c r="A62" s="42" t="str">
        <f t="shared" si="0"/>
        <v xml:space="preserve"> </v>
      </c>
      <c r="D62" s="41"/>
      <c r="E62" s="41"/>
      <c r="J62" s="17">
        <f t="shared" si="3"/>
        <v>0</v>
      </c>
      <c r="K62" s="2" t="str">
        <f t="shared" si="4"/>
        <v xml:space="preserve"> </v>
      </c>
      <c r="L62" s="2" t="str">
        <f t="shared" si="1"/>
        <v xml:space="preserve"> </v>
      </c>
      <c r="M62" s="2" t="str">
        <f t="shared" si="2"/>
        <v xml:space="preserve"> </v>
      </c>
    </row>
    <row r="63" spans="1:13" x14ac:dyDescent="0.25">
      <c r="A63" s="42" t="str">
        <f t="shared" si="0"/>
        <v xml:space="preserve"> </v>
      </c>
      <c r="D63" s="41"/>
      <c r="E63" s="41"/>
      <c r="J63" s="17">
        <f t="shared" si="3"/>
        <v>0</v>
      </c>
      <c r="K63" s="2" t="str">
        <f t="shared" si="4"/>
        <v xml:space="preserve"> </v>
      </c>
      <c r="L63" s="2" t="str">
        <f t="shared" si="1"/>
        <v xml:space="preserve"> </v>
      </c>
      <c r="M63" s="2" t="str">
        <f t="shared" si="2"/>
        <v xml:space="preserve"> </v>
      </c>
    </row>
    <row r="64" spans="1:13" x14ac:dyDescent="0.25">
      <c r="A64" s="42" t="str">
        <f t="shared" si="0"/>
        <v xml:space="preserve"> </v>
      </c>
      <c r="D64" s="41"/>
      <c r="E64" s="41"/>
      <c r="J64" s="17">
        <f t="shared" si="3"/>
        <v>0</v>
      </c>
      <c r="K64" s="2" t="str">
        <f t="shared" si="4"/>
        <v xml:space="preserve"> </v>
      </c>
      <c r="L64" s="2" t="str">
        <f t="shared" si="1"/>
        <v xml:space="preserve"> </v>
      </c>
      <c r="M64" s="2" t="str">
        <f t="shared" si="2"/>
        <v xml:space="preserve"> </v>
      </c>
    </row>
    <row r="65" spans="1:13" x14ac:dyDescent="0.25">
      <c r="A65" s="42" t="str">
        <f t="shared" si="0"/>
        <v xml:space="preserve"> </v>
      </c>
      <c r="D65" s="41"/>
      <c r="E65" s="41"/>
      <c r="J65" s="17">
        <f t="shared" si="3"/>
        <v>0</v>
      </c>
      <c r="K65" s="2" t="str">
        <f t="shared" si="4"/>
        <v xml:space="preserve"> </v>
      </c>
      <c r="L65" s="2" t="str">
        <f t="shared" si="1"/>
        <v xml:space="preserve"> </v>
      </c>
      <c r="M65" s="2" t="str">
        <f t="shared" si="2"/>
        <v xml:space="preserve"> </v>
      </c>
    </row>
    <row r="66" spans="1:13" x14ac:dyDescent="0.25">
      <c r="A66" s="42" t="str">
        <f t="shared" si="0"/>
        <v xml:space="preserve"> </v>
      </c>
      <c r="D66" s="41"/>
      <c r="E66" s="41"/>
      <c r="J66" s="17">
        <f t="shared" si="3"/>
        <v>0</v>
      </c>
      <c r="K66" s="2" t="str">
        <f t="shared" si="4"/>
        <v xml:space="preserve"> </v>
      </c>
      <c r="L66" s="2" t="str">
        <f t="shared" si="1"/>
        <v xml:space="preserve"> </v>
      </c>
      <c r="M66" s="2" t="str">
        <f t="shared" si="2"/>
        <v xml:space="preserve"> </v>
      </c>
    </row>
    <row r="67" spans="1:13" x14ac:dyDescent="0.25">
      <c r="A67" s="42" t="str">
        <f t="shared" si="0"/>
        <v xml:space="preserve"> </v>
      </c>
      <c r="D67" s="41"/>
      <c r="E67" s="41"/>
      <c r="J67" s="17">
        <f t="shared" si="3"/>
        <v>0</v>
      </c>
      <c r="K67" s="2" t="str">
        <f t="shared" si="4"/>
        <v xml:space="preserve"> </v>
      </c>
      <c r="L67" s="2" t="str">
        <f t="shared" si="1"/>
        <v xml:space="preserve"> </v>
      </c>
      <c r="M67" s="2" t="str">
        <f t="shared" si="2"/>
        <v xml:space="preserve"> </v>
      </c>
    </row>
    <row r="68" spans="1:13" x14ac:dyDescent="0.25">
      <c r="A68" s="42" t="str">
        <f t="shared" si="0"/>
        <v xml:space="preserve"> </v>
      </c>
      <c r="D68" s="41"/>
      <c r="E68" s="41"/>
      <c r="J68" s="17">
        <f t="shared" si="3"/>
        <v>0</v>
      </c>
      <c r="K68" s="2" t="str">
        <f t="shared" si="4"/>
        <v xml:space="preserve"> </v>
      </c>
      <c r="L68" s="2" t="str">
        <f t="shared" si="1"/>
        <v xml:space="preserve"> </v>
      </c>
      <c r="M68" s="2" t="str">
        <f t="shared" si="2"/>
        <v xml:space="preserve"> </v>
      </c>
    </row>
    <row r="69" spans="1:13" x14ac:dyDescent="0.25">
      <c r="A69" s="42" t="str">
        <f t="shared" si="0"/>
        <v xml:space="preserve"> </v>
      </c>
      <c r="D69" s="41"/>
      <c r="E69" s="41"/>
      <c r="J69" s="17">
        <f t="shared" si="3"/>
        <v>0</v>
      </c>
      <c r="K69" s="2" t="str">
        <f t="shared" si="4"/>
        <v xml:space="preserve"> </v>
      </c>
      <c r="L69" s="2" t="str">
        <f t="shared" si="1"/>
        <v xml:space="preserve"> </v>
      </c>
      <c r="M69" s="2" t="str">
        <f t="shared" si="2"/>
        <v xml:space="preserve"> </v>
      </c>
    </row>
    <row r="70" spans="1:13" x14ac:dyDescent="0.25">
      <c r="A70" s="42" t="str">
        <f t="shared" si="0"/>
        <v xml:space="preserve"> </v>
      </c>
      <c r="D70" s="41"/>
      <c r="E70" s="41"/>
      <c r="J70" s="17">
        <f t="shared" si="3"/>
        <v>0</v>
      </c>
      <c r="K70" s="2" t="str">
        <f t="shared" si="4"/>
        <v xml:space="preserve"> </v>
      </c>
      <c r="L70" s="2" t="str">
        <f t="shared" si="1"/>
        <v xml:space="preserve"> </v>
      </c>
      <c r="M70" s="2" t="str">
        <f t="shared" si="2"/>
        <v xml:space="preserve"> </v>
      </c>
    </row>
    <row r="71" spans="1:13" x14ac:dyDescent="0.25">
      <c r="A71" s="42" t="str">
        <f t="shared" si="0"/>
        <v xml:space="preserve"> </v>
      </c>
      <c r="D71" s="41"/>
      <c r="E71" s="41"/>
      <c r="J71" s="17">
        <f t="shared" si="3"/>
        <v>0</v>
      </c>
      <c r="K71" s="2" t="str">
        <f t="shared" si="4"/>
        <v xml:space="preserve"> </v>
      </c>
      <c r="L71" s="2" t="str">
        <f t="shared" si="1"/>
        <v xml:space="preserve"> </v>
      </c>
      <c r="M71" s="2" t="str">
        <f t="shared" si="2"/>
        <v xml:space="preserve"> </v>
      </c>
    </row>
    <row r="72" spans="1:13" x14ac:dyDescent="0.25">
      <c r="A72" s="42" t="str">
        <f t="shared" si="0"/>
        <v xml:space="preserve"> </v>
      </c>
      <c r="D72" s="41"/>
      <c r="E72" s="41"/>
      <c r="J72" s="17">
        <f t="shared" si="3"/>
        <v>0</v>
      </c>
      <c r="K72" s="2" t="str">
        <f t="shared" si="4"/>
        <v xml:space="preserve"> </v>
      </c>
      <c r="L72" s="2" t="str">
        <f t="shared" si="1"/>
        <v xml:space="preserve"> </v>
      </c>
      <c r="M72" s="2" t="str">
        <f t="shared" si="2"/>
        <v xml:space="preserve"> </v>
      </c>
    </row>
    <row r="73" spans="1:13" x14ac:dyDescent="0.25">
      <c r="A73" s="42" t="str">
        <f t="shared" si="0"/>
        <v xml:space="preserve"> </v>
      </c>
      <c r="D73" s="41"/>
      <c r="E73" s="41"/>
      <c r="J73" s="17">
        <f t="shared" si="3"/>
        <v>0</v>
      </c>
      <c r="K73" s="2" t="str">
        <f t="shared" si="4"/>
        <v xml:space="preserve"> </v>
      </c>
      <c r="L73" s="2" t="str">
        <f t="shared" si="1"/>
        <v xml:space="preserve"> </v>
      </c>
      <c r="M73" s="2" t="str">
        <f t="shared" si="2"/>
        <v xml:space="preserve"> </v>
      </c>
    </row>
    <row r="74" spans="1:13" x14ac:dyDescent="0.25">
      <c r="A74" s="42" t="str">
        <f t="shared" si="0"/>
        <v xml:space="preserve"> </v>
      </c>
      <c r="D74" s="41"/>
      <c r="E74" s="41"/>
      <c r="J74" s="17">
        <f t="shared" si="3"/>
        <v>0</v>
      </c>
      <c r="K74" s="2" t="str">
        <f t="shared" si="4"/>
        <v xml:space="preserve"> </v>
      </c>
      <c r="L74" s="2" t="str">
        <f t="shared" si="1"/>
        <v xml:space="preserve"> </v>
      </c>
      <c r="M74" s="2" t="str">
        <f t="shared" si="2"/>
        <v xml:space="preserve"> </v>
      </c>
    </row>
    <row r="75" spans="1:13" x14ac:dyDescent="0.25">
      <c r="A75" s="42" t="str">
        <f t="shared" si="0"/>
        <v xml:space="preserve"> </v>
      </c>
      <c r="D75" s="41"/>
      <c r="E75" s="41"/>
      <c r="J75" s="17">
        <f t="shared" si="3"/>
        <v>0</v>
      </c>
      <c r="K75" s="2" t="str">
        <f t="shared" si="4"/>
        <v xml:space="preserve"> </v>
      </c>
      <c r="L75" s="2" t="str">
        <f t="shared" si="1"/>
        <v xml:space="preserve"> </v>
      </c>
      <c r="M75" s="2" t="str">
        <f t="shared" si="2"/>
        <v xml:space="preserve"> </v>
      </c>
    </row>
    <row r="76" spans="1:13" x14ac:dyDescent="0.25">
      <c r="A76" s="42" t="str">
        <f t="shared" si="0"/>
        <v xml:space="preserve"> </v>
      </c>
      <c r="D76" s="41"/>
      <c r="E76" s="41"/>
      <c r="J76" s="17">
        <f t="shared" si="3"/>
        <v>0</v>
      </c>
      <c r="K76" s="2" t="str">
        <f t="shared" si="4"/>
        <v xml:space="preserve"> </v>
      </c>
      <c r="L76" s="2" t="str">
        <f t="shared" si="1"/>
        <v xml:space="preserve"> </v>
      </c>
      <c r="M76" s="2" t="str">
        <f t="shared" si="2"/>
        <v xml:space="preserve"> </v>
      </c>
    </row>
    <row r="77" spans="1:13" x14ac:dyDescent="0.25">
      <c r="A77" s="42" t="str">
        <f t="shared" si="0"/>
        <v xml:space="preserve"> </v>
      </c>
      <c r="D77" s="41"/>
      <c r="E77" s="41"/>
      <c r="J77" s="17">
        <f t="shared" si="3"/>
        <v>0</v>
      </c>
      <c r="K77" s="2" t="str">
        <f t="shared" si="4"/>
        <v xml:space="preserve"> </v>
      </c>
      <c r="L77" s="2" t="str">
        <f t="shared" si="1"/>
        <v xml:space="preserve"> </v>
      </c>
      <c r="M77" s="2" t="str">
        <f t="shared" si="2"/>
        <v xml:space="preserve"> </v>
      </c>
    </row>
    <row r="78" spans="1:13" x14ac:dyDescent="0.25">
      <c r="A78" s="42" t="str">
        <f t="shared" si="0"/>
        <v xml:space="preserve"> </v>
      </c>
      <c r="D78" s="41"/>
      <c r="E78" s="41"/>
      <c r="J78" s="17">
        <f t="shared" si="3"/>
        <v>0</v>
      </c>
      <c r="K78" s="2" t="str">
        <f t="shared" si="4"/>
        <v xml:space="preserve"> </v>
      </c>
      <c r="L78" s="2" t="str">
        <f t="shared" si="1"/>
        <v xml:space="preserve"> </v>
      </c>
      <c r="M78" s="2" t="str">
        <f t="shared" si="2"/>
        <v xml:space="preserve"> </v>
      </c>
    </row>
    <row r="79" spans="1:13" x14ac:dyDescent="0.25">
      <c r="A79" s="42" t="str">
        <f t="shared" ref="A79:A142" si="5">IF(COUNTIF(K79:M79,"ERROR")&gt;0,"ERROR"," ")</f>
        <v xml:space="preserve"> </v>
      </c>
      <c r="D79" s="41"/>
      <c r="E79" s="41"/>
      <c r="J79" s="17">
        <f t="shared" si="3"/>
        <v>0</v>
      </c>
      <c r="K79" s="2" t="str">
        <f t="shared" si="4"/>
        <v xml:space="preserve"> </v>
      </c>
      <c r="L79" s="2" t="str">
        <f t="shared" ref="L79:L142" si="6">IF(D79=0," ",IF(COUNTIF(ProfitLoss3,D79)&gt;0," ","ERROR"))</f>
        <v xml:space="preserve"> </v>
      </c>
      <c r="M79" s="2" t="str">
        <f t="shared" ref="M79:M142" si="7">IF(E79=0," ",IF(COUNTIF(BalanceSheet3,E79)&gt;0," ","ERROR"))</f>
        <v xml:space="preserve"> </v>
      </c>
    </row>
    <row r="80" spans="1:13" x14ac:dyDescent="0.25">
      <c r="A80" s="42" t="str">
        <f t="shared" si="5"/>
        <v xml:space="preserve"> </v>
      </c>
      <c r="D80" s="41"/>
      <c r="E80" s="41"/>
      <c r="J80" s="17">
        <f t="shared" ref="J80:J143" si="8">F80-G80+H80-I80</f>
        <v>0</v>
      </c>
      <c r="K80" s="2" t="str">
        <f t="shared" ref="K80:K143" si="9">IF(COUNTA(D80:E80)=2,"ERROR"," ")</f>
        <v xml:space="preserve"> </v>
      </c>
      <c r="L80" s="2" t="str">
        <f t="shared" si="6"/>
        <v xml:space="preserve"> </v>
      </c>
      <c r="M80" s="2" t="str">
        <f t="shared" si="7"/>
        <v xml:space="preserve"> </v>
      </c>
    </row>
    <row r="81" spans="1:13" x14ac:dyDescent="0.25">
      <c r="A81" s="42" t="str">
        <f t="shared" si="5"/>
        <v xml:space="preserve"> </v>
      </c>
      <c r="D81" s="41"/>
      <c r="E81" s="41"/>
      <c r="J81" s="17">
        <f t="shared" si="8"/>
        <v>0</v>
      </c>
      <c r="K81" s="2" t="str">
        <f t="shared" si="9"/>
        <v xml:space="preserve"> </v>
      </c>
      <c r="L81" s="2" t="str">
        <f t="shared" si="6"/>
        <v xml:space="preserve"> </v>
      </c>
      <c r="M81" s="2" t="str">
        <f t="shared" si="7"/>
        <v xml:space="preserve"> </v>
      </c>
    </row>
    <row r="82" spans="1:13" x14ac:dyDescent="0.25">
      <c r="A82" s="42" t="str">
        <f t="shared" si="5"/>
        <v xml:space="preserve"> </v>
      </c>
      <c r="D82" s="41"/>
      <c r="E82" s="41"/>
      <c r="J82" s="17">
        <f t="shared" si="8"/>
        <v>0</v>
      </c>
      <c r="K82" s="2" t="str">
        <f t="shared" si="9"/>
        <v xml:space="preserve"> </v>
      </c>
      <c r="L82" s="2" t="str">
        <f t="shared" si="6"/>
        <v xml:space="preserve"> </v>
      </c>
      <c r="M82" s="2" t="str">
        <f t="shared" si="7"/>
        <v xml:space="preserve"> </v>
      </c>
    </row>
    <row r="83" spans="1:13" x14ac:dyDescent="0.25">
      <c r="A83" s="42" t="str">
        <f t="shared" si="5"/>
        <v xml:space="preserve"> </v>
      </c>
      <c r="D83" s="41"/>
      <c r="E83" s="41"/>
      <c r="J83" s="17">
        <f t="shared" si="8"/>
        <v>0</v>
      </c>
      <c r="K83" s="2" t="str">
        <f t="shared" si="9"/>
        <v xml:space="preserve"> </v>
      </c>
      <c r="L83" s="2" t="str">
        <f t="shared" si="6"/>
        <v xml:space="preserve"> </v>
      </c>
      <c r="M83" s="2" t="str">
        <f t="shared" si="7"/>
        <v xml:space="preserve"> </v>
      </c>
    </row>
    <row r="84" spans="1:13" x14ac:dyDescent="0.25">
      <c r="A84" s="42" t="str">
        <f t="shared" si="5"/>
        <v xml:space="preserve"> </v>
      </c>
      <c r="D84" s="41"/>
      <c r="E84" s="41"/>
      <c r="J84" s="17">
        <f t="shared" si="8"/>
        <v>0</v>
      </c>
      <c r="K84" s="2" t="str">
        <f t="shared" si="9"/>
        <v xml:space="preserve"> </v>
      </c>
      <c r="L84" s="2" t="str">
        <f t="shared" si="6"/>
        <v xml:space="preserve"> </v>
      </c>
      <c r="M84" s="2" t="str">
        <f t="shared" si="7"/>
        <v xml:space="preserve"> </v>
      </c>
    </row>
    <row r="85" spans="1:13" x14ac:dyDescent="0.25">
      <c r="A85" s="42" t="str">
        <f t="shared" si="5"/>
        <v xml:space="preserve"> </v>
      </c>
      <c r="D85" s="41"/>
      <c r="E85" s="41"/>
      <c r="J85" s="17">
        <f t="shared" si="8"/>
        <v>0</v>
      </c>
      <c r="K85" s="2" t="str">
        <f t="shared" si="9"/>
        <v xml:space="preserve"> </v>
      </c>
      <c r="L85" s="2" t="str">
        <f t="shared" si="6"/>
        <v xml:space="preserve"> </v>
      </c>
      <c r="M85" s="2" t="str">
        <f t="shared" si="7"/>
        <v xml:space="preserve"> </v>
      </c>
    </row>
    <row r="86" spans="1:13" x14ac:dyDescent="0.25">
      <c r="A86" s="42" t="str">
        <f t="shared" si="5"/>
        <v xml:space="preserve"> </v>
      </c>
      <c r="D86" s="41"/>
      <c r="E86" s="41"/>
      <c r="J86" s="17">
        <f t="shared" si="8"/>
        <v>0</v>
      </c>
      <c r="K86" s="2" t="str">
        <f t="shared" si="9"/>
        <v xml:space="preserve"> </v>
      </c>
      <c r="L86" s="2" t="str">
        <f t="shared" si="6"/>
        <v xml:space="preserve"> </v>
      </c>
      <c r="M86" s="2" t="str">
        <f t="shared" si="7"/>
        <v xml:space="preserve"> </v>
      </c>
    </row>
    <row r="87" spans="1:13" x14ac:dyDescent="0.25">
      <c r="A87" s="42" t="str">
        <f t="shared" si="5"/>
        <v xml:space="preserve"> </v>
      </c>
      <c r="D87" s="41"/>
      <c r="E87" s="41"/>
      <c r="J87" s="17">
        <f t="shared" si="8"/>
        <v>0</v>
      </c>
      <c r="K87" s="2" t="str">
        <f t="shared" si="9"/>
        <v xml:space="preserve"> </v>
      </c>
      <c r="L87" s="2" t="str">
        <f t="shared" si="6"/>
        <v xml:space="preserve"> </v>
      </c>
      <c r="M87" s="2" t="str">
        <f t="shared" si="7"/>
        <v xml:space="preserve"> </v>
      </c>
    </row>
    <row r="88" spans="1:13" x14ac:dyDescent="0.25">
      <c r="A88" s="42" t="str">
        <f t="shared" si="5"/>
        <v xml:space="preserve"> </v>
      </c>
      <c r="D88" s="41"/>
      <c r="E88" s="41"/>
      <c r="J88" s="17">
        <f t="shared" si="8"/>
        <v>0</v>
      </c>
      <c r="K88" s="2" t="str">
        <f t="shared" si="9"/>
        <v xml:space="preserve"> </v>
      </c>
      <c r="L88" s="2" t="str">
        <f t="shared" si="6"/>
        <v xml:space="preserve"> </v>
      </c>
      <c r="M88" s="2" t="str">
        <f t="shared" si="7"/>
        <v xml:space="preserve"> </v>
      </c>
    </row>
    <row r="89" spans="1:13" x14ac:dyDescent="0.25">
      <c r="A89" s="42" t="str">
        <f t="shared" si="5"/>
        <v xml:space="preserve"> </v>
      </c>
      <c r="D89" s="41"/>
      <c r="E89" s="41"/>
      <c r="J89" s="17">
        <f t="shared" si="8"/>
        <v>0</v>
      </c>
      <c r="K89" s="2" t="str">
        <f t="shared" si="9"/>
        <v xml:space="preserve"> </v>
      </c>
      <c r="L89" s="2" t="str">
        <f t="shared" si="6"/>
        <v xml:space="preserve"> </v>
      </c>
      <c r="M89" s="2" t="str">
        <f t="shared" si="7"/>
        <v xml:space="preserve"> </v>
      </c>
    </row>
    <row r="90" spans="1:13" x14ac:dyDescent="0.25">
      <c r="A90" s="42" t="str">
        <f t="shared" si="5"/>
        <v xml:space="preserve"> </v>
      </c>
      <c r="D90" s="41"/>
      <c r="E90" s="41"/>
      <c r="J90" s="17">
        <f t="shared" si="8"/>
        <v>0</v>
      </c>
      <c r="K90" s="2" t="str">
        <f t="shared" si="9"/>
        <v xml:space="preserve"> </v>
      </c>
      <c r="L90" s="2" t="str">
        <f t="shared" si="6"/>
        <v xml:space="preserve"> </v>
      </c>
      <c r="M90" s="2" t="str">
        <f t="shared" si="7"/>
        <v xml:space="preserve"> </v>
      </c>
    </row>
    <row r="91" spans="1:13" x14ac:dyDescent="0.25">
      <c r="A91" s="42" t="str">
        <f t="shared" si="5"/>
        <v xml:space="preserve"> </v>
      </c>
      <c r="D91" s="41"/>
      <c r="E91" s="41"/>
      <c r="J91" s="17">
        <f t="shared" si="8"/>
        <v>0</v>
      </c>
      <c r="K91" s="2" t="str">
        <f t="shared" si="9"/>
        <v xml:space="preserve"> </v>
      </c>
      <c r="L91" s="2" t="str">
        <f t="shared" si="6"/>
        <v xml:space="preserve"> </v>
      </c>
      <c r="M91" s="2" t="str">
        <f t="shared" si="7"/>
        <v xml:space="preserve"> </v>
      </c>
    </row>
    <row r="92" spans="1:13" x14ac:dyDescent="0.25">
      <c r="A92" s="42" t="str">
        <f t="shared" si="5"/>
        <v xml:space="preserve"> </v>
      </c>
      <c r="D92" s="41"/>
      <c r="E92" s="41"/>
      <c r="J92" s="17">
        <f t="shared" si="8"/>
        <v>0</v>
      </c>
      <c r="K92" s="2" t="str">
        <f t="shared" si="9"/>
        <v xml:space="preserve"> </v>
      </c>
      <c r="L92" s="2" t="str">
        <f t="shared" si="6"/>
        <v xml:space="preserve"> </v>
      </c>
      <c r="M92" s="2" t="str">
        <f t="shared" si="7"/>
        <v xml:space="preserve"> </v>
      </c>
    </row>
    <row r="93" spans="1:13" x14ac:dyDescent="0.25">
      <c r="A93" s="42" t="str">
        <f t="shared" si="5"/>
        <v xml:space="preserve"> </v>
      </c>
      <c r="D93" s="41"/>
      <c r="E93" s="41"/>
      <c r="J93" s="17">
        <f t="shared" si="8"/>
        <v>0</v>
      </c>
      <c r="K93" s="2" t="str">
        <f t="shared" si="9"/>
        <v xml:space="preserve"> </v>
      </c>
      <c r="L93" s="2" t="str">
        <f t="shared" si="6"/>
        <v xml:space="preserve"> </v>
      </c>
      <c r="M93" s="2" t="str">
        <f t="shared" si="7"/>
        <v xml:space="preserve"> </v>
      </c>
    </row>
    <row r="94" spans="1:13" x14ac:dyDescent="0.25">
      <c r="A94" s="42" t="str">
        <f t="shared" si="5"/>
        <v xml:space="preserve"> </v>
      </c>
      <c r="D94" s="41"/>
      <c r="E94" s="41"/>
      <c r="J94" s="17">
        <f t="shared" si="8"/>
        <v>0</v>
      </c>
      <c r="K94" s="2" t="str">
        <f t="shared" si="9"/>
        <v xml:space="preserve"> </v>
      </c>
      <c r="L94" s="2" t="str">
        <f t="shared" si="6"/>
        <v xml:space="preserve"> </v>
      </c>
      <c r="M94" s="2" t="str">
        <f t="shared" si="7"/>
        <v xml:space="preserve"> </v>
      </c>
    </row>
    <row r="95" spans="1:13" x14ac:dyDescent="0.25">
      <c r="A95" s="42" t="str">
        <f t="shared" si="5"/>
        <v xml:space="preserve"> </v>
      </c>
      <c r="D95" s="41"/>
      <c r="E95" s="41"/>
      <c r="J95" s="17">
        <f t="shared" si="8"/>
        <v>0</v>
      </c>
      <c r="K95" s="2" t="str">
        <f t="shared" si="9"/>
        <v xml:space="preserve"> </v>
      </c>
      <c r="L95" s="2" t="str">
        <f t="shared" si="6"/>
        <v xml:space="preserve"> </v>
      </c>
      <c r="M95" s="2" t="str">
        <f t="shared" si="7"/>
        <v xml:space="preserve"> </v>
      </c>
    </row>
    <row r="96" spans="1:13" x14ac:dyDescent="0.25">
      <c r="A96" s="42" t="str">
        <f t="shared" si="5"/>
        <v xml:space="preserve"> </v>
      </c>
      <c r="D96" s="41"/>
      <c r="E96" s="41"/>
      <c r="J96" s="17">
        <f t="shared" si="8"/>
        <v>0</v>
      </c>
      <c r="K96" s="2" t="str">
        <f t="shared" si="9"/>
        <v xml:space="preserve"> </v>
      </c>
      <c r="L96" s="2" t="str">
        <f t="shared" si="6"/>
        <v xml:space="preserve"> </v>
      </c>
      <c r="M96" s="2" t="str">
        <f t="shared" si="7"/>
        <v xml:space="preserve"> </v>
      </c>
    </row>
    <row r="97" spans="1:13" x14ac:dyDescent="0.25">
      <c r="A97" s="42" t="str">
        <f t="shared" si="5"/>
        <v xml:space="preserve"> </v>
      </c>
      <c r="D97" s="41"/>
      <c r="E97" s="41"/>
      <c r="J97" s="17">
        <f t="shared" si="8"/>
        <v>0</v>
      </c>
      <c r="K97" s="2" t="str">
        <f t="shared" si="9"/>
        <v xml:space="preserve"> </v>
      </c>
      <c r="L97" s="2" t="str">
        <f t="shared" si="6"/>
        <v xml:space="preserve"> </v>
      </c>
      <c r="M97" s="2" t="str">
        <f t="shared" si="7"/>
        <v xml:space="preserve"> </v>
      </c>
    </row>
    <row r="98" spans="1:13" x14ac:dyDescent="0.25">
      <c r="A98" s="42" t="str">
        <f t="shared" si="5"/>
        <v xml:space="preserve"> </v>
      </c>
      <c r="D98" s="41"/>
      <c r="E98" s="41"/>
      <c r="J98" s="17">
        <f t="shared" si="8"/>
        <v>0</v>
      </c>
      <c r="K98" s="2" t="str">
        <f t="shared" si="9"/>
        <v xml:space="preserve"> </v>
      </c>
      <c r="L98" s="2" t="str">
        <f t="shared" si="6"/>
        <v xml:space="preserve"> </v>
      </c>
      <c r="M98" s="2" t="str">
        <f t="shared" si="7"/>
        <v xml:space="preserve"> </v>
      </c>
    </row>
    <row r="99" spans="1:13" x14ac:dyDescent="0.25">
      <c r="A99" s="42" t="str">
        <f t="shared" si="5"/>
        <v xml:space="preserve"> </v>
      </c>
      <c r="D99" s="41"/>
      <c r="E99" s="41"/>
      <c r="J99" s="17">
        <f t="shared" si="8"/>
        <v>0</v>
      </c>
      <c r="K99" s="2" t="str">
        <f t="shared" si="9"/>
        <v xml:space="preserve"> </v>
      </c>
      <c r="L99" s="2" t="str">
        <f t="shared" si="6"/>
        <v xml:space="preserve"> </v>
      </c>
      <c r="M99" s="2" t="str">
        <f t="shared" si="7"/>
        <v xml:space="preserve"> </v>
      </c>
    </row>
    <row r="100" spans="1:13" x14ac:dyDescent="0.25">
      <c r="A100" s="42" t="str">
        <f t="shared" si="5"/>
        <v xml:space="preserve"> </v>
      </c>
      <c r="D100" s="41"/>
      <c r="E100" s="41"/>
      <c r="J100" s="17">
        <f t="shared" si="8"/>
        <v>0</v>
      </c>
      <c r="K100" s="2" t="str">
        <f t="shared" si="9"/>
        <v xml:space="preserve"> </v>
      </c>
      <c r="L100" s="2" t="str">
        <f t="shared" si="6"/>
        <v xml:space="preserve"> </v>
      </c>
      <c r="M100" s="2" t="str">
        <f t="shared" si="7"/>
        <v xml:space="preserve"> </v>
      </c>
    </row>
    <row r="101" spans="1:13" x14ac:dyDescent="0.25">
      <c r="A101" s="42" t="str">
        <f t="shared" si="5"/>
        <v xml:space="preserve"> </v>
      </c>
      <c r="D101" s="41"/>
      <c r="E101" s="41"/>
      <c r="J101" s="17">
        <f t="shared" si="8"/>
        <v>0</v>
      </c>
      <c r="K101" s="2" t="str">
        <f t="shared" si="9"/>
        <v xml:space="preserve"> </v>
      </c>
      <c r="L101" s="2" t="str">
        <f t="shared" si="6"/>
        <v xml:space="preserve"> </v>
      </c>
      <c r="M101" s="2" t="str">
        <f t="shared" si="7"/>
        <v xml:space="preserve"> </v>
      </c>
    </row>
    <row r="102" spans="1:13" x14ac:dyDescent="0.25">
      <c r="A102" s="42" t="str">
        <f t="shared" si="5"/>
        <v xml:space="preserve"> </v>
      </c>
      <c r="D102" s="41"/>
      <c r="E102" s="41"/>
      <c r="J102" s="17">
        <f t="shared" si="8"/>
        <v>0</v>
      </c>
      <c r="K102" s="2" t="str">
        <f t="shared" si="9"/>
        <v xml:space="preserve"> </v>
      </c>
      <c r="L102" s="2" t="str">
        <f t="shared" si="6"/>
        <v xml:space="preserve"> </v>
      </c>
      <c r="M102" s="2" t="str">
        <f t="shared" si="7"/>
        <v xml:space="preserve"> </v>
      </c>
    </row>
    <row r="103" spans="1:13" x14ac:dyDescent="0.25">
      <c r="A103" s="42" t="str">
        <f t="shared" si="5"/>
        <v xml:space="preserve"> </v>
      </c>
      <c r="D103" s="41"/>
      <c r="E103" s="41"/>
      <c r="J103" s="17">
        <f t="shared" si="8"/>
        <v>0</v>
      </c>
      <c r="K103" s="2" t="str">
        <f t="shared" si="9"/>
        <v xml:space="preserve"> </v>
      </c>
      <c r="L103" s="2" t="str">
        <f t="shared" si="6"/>
        <v xml:space="preserve"> </v>
      </c>
      <c r="M103" s="2" t="str">
        <f t="shared" si="7"/>
        <v xml:space="preserve"> </v>
      </c>
    </row>
    <row r="104" spans="1:13" x14ac:dyDescent="0.25">
      <c r="A104" s="42" t="str">
        <f t="shared" si="5"/>
        <v xml:space="preserve"> </v>
      </c>
      <c r="D104" s="41"/>
      <c r="E104" s="41"/>
      <c r="J104" s="17">
        <f t="shared" si="8"/>
        <v>0</v>
      </c>
      <c r="K104" s="2" t="str">
        <f t="shared" si="9"/>
        <v xml:space="preserve"> </v>
      </c>
      <c r="L104" s="2" t="str">
        <f t="shared" si="6"/>
        <v xml:space="preserve"> </v>
      </c>
      <c r="M104" s="2" t="str">
        <f t="shared" si="7"/>
        <v xml:space="preserve"> </v>
      </c>
    </row>
    <row r="105" spans="1:13" x14ac:dyDescent="0.25">
      <c r="A105" s="42" t="str">
        <f t="shared" si="5"/>
        <v xml:space="preserve"> </v>
      </c>
      <c r="D105" s="41"/>
      <c r="E105" s="41"/>
      <c r="J105" s="17">
        <f t="shared" si="8"/>
        <v>0</v>
      </c>
      <c r="K105" s="2" t="str">
        <f t="shared" si="9"/>
        <v xml:space="preserve"> </v>
      </c>
      <c r="L105" s="2" t="str">
        <f t="shared" si="6"/>
        <v xml:space="preserve"> </v>
      </c>
      <c r="M105" s="2" t="str">
        <f t="shared" si="7"/>
        <v xml:space="preserve"> </v>
      </c>
    </row>
    <row r="106" spans="1:13" x14ac:dyDescent="0.25">
      <c r="A106" s="42" t="str">
        <f t="shared" si="5"/>
        <v xml:space="preserve"> </v>
      </c>
      <c r="D106" s="41"/>
      <c r="E106" s="41"/>
      <c r="J106" s="17">
        <f t="shared" si="8"/>
        <v>0</v>
      </c>
      <c r="K106" s="2" t="str">
        <f t="shared" si="9"/>
        <v xml:space="preserve"> </v>
      </c>
      <c r="L106" s="2" t="str">
        <f t="shared" si="6"/>
        <v xml:space="preserve"> </v>
      </c>
      <c r="M106" s="2" t="str">
        <f t="shared" si="7"/>
        <v xml:space="preserve"> </v>
      </c>
    </row>
    <row r="107" spans="1:13" x14ac:dyDescent="0.25">
      <c r="A107" s="42" t="str">
        <f t="shared" si="5"/>
        <v xml:space="preserve"> </v>
      </c>
      <c r="D107" s="41"/>
      <c r="E107" s="41"/>
      <c r="J107" s="17">
        <f t="shared" si="8"/>
        <v>0</v>
      </c>
      <c r="K107" s="2" t="str">
        <f t="shared" si="9"/>
        <v xml:space="preserve"> </v>
      </c>
      <c r="L107" s="2" t="str">
        <f t="shared" si="6"/>
        <v xml:space="preserve"> </v>
      </c>
      <c r="M107" s="2" t="str">
        <f t="shared" si="7"/>
        <v xml:space="preserve"> </v>
      </c>
    </row>
    <row r="108" spans="1:13" x14ac:dyDescent="0.25">
      <c r="A108" s="42" t="str">
        <f t="shared" si="5"/>
        <v xml:space="preserve"> </v>
      </c>
      <c r="D108" s="41"/>
      <c r="E108" s="41"/>
      <c r="J108" s="17">
        <f t="shared" si="8"/>
        <v>0</v>
      </c>
      <c r="K108" s="2" t="str">
        <f t="shared" si="9"/>
        <v xml:space="preserve"> </v>
      </c>
      <c r="L108" s="2" t="str">
        <f t="shared" si="6"/>
        <v xml:space="preserve"> </v>
      </c>
      <c r="M108" s="2" t="str">
        <f t="shared" si="7"/>
        <v xml:space="preserve"> </v>
      </c>
    </row>
    <row r="109" spans="1:13" x14ac:dyDescent="0.25">
      <c r="A109" s="42" t="str">
        <f t="shared" si="5"/>
        <v xml:space="preserve"> </v>
      </c>
      <c r="D109" s="41"/>
      <c r="E109" s="41"/>
      <c r="J109" s="17">
        <f t="shared" si="8"/>
        <v>0</v>
      </c>
      <c r="K109" s="2" t="str">
        <f t="shared" si="9"/>
        <v xml:space="preserve"> </v>
      </c>
      <c r="L109" s="2" t="str">
        <f t="shared" si="6"/>
        <v xml:space="preserve"> </v>
      </c>
      <c r="M109" s="2" t="str">
        <f t="shared" si="7"/>
        <v xml:space="preserve"> </v>
      </c>
    </row>
    <row r="110" spans="1:13" x14ac:dyDescent="0.25">
      <c r="A110" s="42" t="str">
        <f t="shared" si="5"/>
        <v xml:space="preserve"> </v>
      </c>
      <c r="B110" s="20"/>
      <c r="D110" s="41"/>
      <c r="E110" s="41"/>
      <c r="J110" s="17">
        <f t="shared" si="8"/>
        <v>0</v>
      </c>
      <c r="K110" s="2" t="str">
        <f t="shared" si="9"/>
        <v xml:space="preserve"> </v>
      </c>
      <c r="L110" s="2" t="str">
        <f t="shared" si="6"/>
        <v xml:space="preserve"> </v>
      </c>
      <c r="M110" s="2" t="str">
        <f t="shared" si="7"/>
        <v xml:space="preserve"> </v>
      </c>
    </row>
    <row r="111" spans="1:13" x14ac:dyDescent="0.25">
      <c r="A111" s="42" t="str">
        <f t="shared" si="5"/>
        <v xml:space="preserve"> </v>
      </c>
      <c r="D111" s="41"/>
      <c r="E111" s="41"/>
      <c r="J111" s="17">
        <f t="shared" si="8"/>
        <v>0</v>
      </c>
      <c r="K111" s="2" t="str">
        <f t="shared" si="9"/>
        <v xml:space="preserve"> </v>
      </c>
      <c r="L111" s="2" t="str">
        <f t="shared" si="6"/>
        <v xml:space="preserve"> </v>
      </c>
      <c r="M111" s="2" t="str">
        <f t="shared" si="7"/>
        <v xml:space="preserve"> </v>
      </c>
    </row>
    <row r="112" spans="1:13" x14ac:dyDescent="0.25">
      <c r="A112" s="42" t="str">
        <f t="shared" si="5"/>
        <v xml:space="preserve"> </v>
      </c>
      <c r="D112" s="41"/>
      <c r="E112" s="41"/>
      <c r="J112" s="17">
        <f t="shared" si="8"/>
        <v>0</v>
      </c>
      <c r="K112" s="2" t="str">
        <f t="shared" si="9"/>
        <v xml:space="preserve"> </v>
      </c>
      <c r="L112" s="2" t="str">
        <f t="shared" si="6"/>
        <v xml:space="preserve"> </v>
      </c>
      <c r="M112" s="2" t="str">
        <f t="shared" si="7"/>
        <v xml:space="preserve"> </v>
      </c>
    </row>
    <row r="113" spans="1:13" x14ac:dyDescent="0.25">
      <c r="A113" s="42" t="str">
        <f t="shared" si="5"/>
        <v xml:space="preserve"> </v>
      </c>
      <c r="D113" s="41"/>
      <c r="E113" s="41"/>
      <c r="J113" s="17">
        <f t="shared" si="8"/>
        <v>0</v>
      </c>
      <c r="K113" s="2" t="str">
        <f t="shared" si="9"/>
        <v xml:space="preserve"> </v>
      </c>
      <c r="L113" s="2" t="str">
        <f t="shared" si="6"/>
        <v xml:space="preserve"> </v>
      </c>
      <c r="M113" s="2" t="str">
        <f t="shared" si="7"/>
        <v xml:space="preserve"> </v>
      </c>
    </row>
    <row r="114" spans="1:13" x14ac:dyDescent="0.25">
      <c r="A114" s="42" t="str">
        <f t="shared" si="5"/>
        <v xml:space="preserve"> </v>
      </c>
      <c r="D114" s="41"/>
      <c r="E114" s="41"/>
      <c r="J114" s="17">
        <f t="shared" si="8"/>
        <v>0</v>
      </c>
      <c r="K114" s="2" t="str">
        <f t="shared" si="9"/>
        <v xml:space="preserve"> </v>
      </c>
      <c r="L114" s="2" t="str">
        <f t="shared" si="6"/>
        <v xml:space="preserve"> </v>
      </c>
      <c r="M114" s="2" t="str">
        <f t="shared" si="7"/>
        <v xml:space="preserve"> </v>
      </c>
    </row>
    <row r="115" spans="1:13" x14ac:dyDescent="0.25">
      <c r="A115" s="42" t="str">
        <f t="shared" si="5"/>
        <v xml:space="preserve"> </v>
      </c>
      <c r="D115" s="41"/>
      <c r="E115" s="41"/>
      <c r="J115" s="17">
        <f t="shared" si="8"/>
        <v>0</v>
      </c>
      <c r="K115" s="2" t="str">
        <f t="shared" si="9"/>
        <v xml:space="preserve"> </v>
      </c>
      <c r="L115" s="2" t="str">
        <f t="shared" si="6"/>
        <v xml:space="preserve"> </v>
      </c>
      <c r="M115" s="2" t="str">
        <f t="shared" si="7"/>
        <v xml:space="preserve"> </v>
      </c>
    </row>
    <row r="116" spans="1:13" x14ac:dyDescent="0.25">
      <c r="A116" s="42" t="str">
        <f t="shared" si="5"/>
        <v xml:space="preserve"> </v>
      </c>
      <c r="D116" s="41"/>
      <c r="E116" s="41"/>
      <c r="J116" s="17">
        <f t="shared" si="8"/>
        <v>0</v>
      </c>
      <c r="K116" s="2" t="str">
        <f t="shared" si="9"/>
        <v xml:space="preserve"> </v>
      </c>
      <c r="L116" s="2" t="str">
        <f t="shared" si="6"/>
        <v xml:space="preserve"> </v>
      </c>
      <c r="M116" s="2" t="str">
        <f t="shared" si="7"/>
        <v xml:space="preserve"> </v>
      </c>
    </row>
    <row r="117" spans="1:13" x14ac:dyDescent="0.25">
      <c r="A117" s="42" t="str">
        <f t="shared" si="5"/>
        <v xml:space="preserve"> </v>
      </c>
      <c r="D117" s="41"/>
      <c r="E117" s="41"/>
      <c r="J117" s="17">
        <f t="shared" si="8"/>
        <v>0</v>
      </c>
      <c r="K117" s="2" t="str">
        <f t="shared" si="9"/>
        <v xml:space="preserve"> </v>
      </c>
      <c r="L117" s="2" t="str">
        <f t="shared" si="6"/>
        <v xml:space="preserve"> </v>
      </c>
      <c r="M117" s="2" t="str">
        <f t="shared" si="7"/>
        <v xml:space="preserve"> </v>
      </c>
    </row>
    <row r="118" spans="1:13" x14ac:dyDescent="0.25">
      <c r="A118" s="42" t="str">
        <f t="shared" si="5"/>
        <v xml:space="preserve"> </v>
      </c>
      <c r="D118" s="41"/>
      <c r="E118" s="41"/>
      <c r="J118" s="17">
        <f t="shared" si="8"/>
        <v>0</v>
      </c>
      <c r="K118" s="2" t="str">
        <f t="shared" si="9"/>
        <v xml:space="preserve"> </v>
      </c>
      <c r="L118" s="2" t="str">
        <f t="shared" si="6"/>
        <v xml:space="preserve"> </v>
      </c>
      <c r="M118" s="2" t="str">
        <f t="shared" si="7"/>
        <v xml:space="preserve"> </v>
      </c>
    </row>
    <row r="119" spans="1:13" x14ac:dyDescent="0.25">
      <c r="A119" s="42" t="str">
        <f t="shared" si="5"/>
        <v xml:space="preserve"> </v>
      </c>
      <c r="D119" s="41"/>
      <c r="E119" s="41"/>
      <c r="J119" s="17">
        <f t="shared" si="8"/>
        <v>0</v>
      </c>
      <c r="K119" s="2" t="str">
        <f t="shared" si="9"/>
        <v xml:space="preserve"> </v>
      </c>
      <c r="L119" s="2" t="str">
        <f t="shared" si="6"/>
        <v xml:space="preserve"> </v>
      </c>
      <c r="M119" s="2" t="str">
        <f t="shared" si="7"/>
        <v xml:space="preserve"> </v>
      </c>
    </row>
    <row r="120" spans="1:13" x14ac:dyDescent="0.25">
      <c r="A120" s="42" t="str">
        <f t="shared" si="5"/>
        <v xml:space="preserve"> </v>
      </c>
      <c r="D120" s="41"/>
      <c r="E120" s="41"/>
      <c r="J120" s="17">
        <f t="shared" si="8"/>
        <v>0</v>
      </c>
      <c r="K120" s="2" t="str">
        <f t="shared" si="9"/>
        <v xml:space="preserve"> </v>
      </c>
      <c r="L120" s="2" t="str">
        <f t="shared" si="6"/>
        <v xml:space="preserve"> </v>
      </c>
      <c r="M120" s="2" t="str">
        <f t="shared" si="7"/>
        <v xml:space="preserve"> </v>
      </c>
    </row>
    <row r="121" spans="1:13" x14ac:dyDescent="0.25">
      <c r="A121" s="42" t="str">
        <f t="shared" si="5"/>
        <v xml:space="preserve"> </v>
      </c>
      <c r="D121" s="41"/>
      <c r="E121" s="41"/>
      <c r="J121" s="17">
        <f t="shared" si="8"/>
        <v>0</v>
      </c>
      <c r="K121" s="2" t="str">
        <f t="shared" si="9"/>
        <v xml:space="preserve"> </v>
      </c>
      <c r="L121" s="2" t="str">
        <f t="shared" si="6"/>
        <v xml:space="preserve"> </v>
      </c>
      <c r="M121" s="2" t="str">
        <f t="shared" si="7"/>
        <v xml:space="preserve"> </v>
      </c>
    </row>
    <row r="122" spans="1:13" x14ac:dyDescent="0.25">
      <c r="A122" s="42" t="str">
        <f t="shared" si="5"/>
        <v xml:space="preserve"> </v>
      </c>
      <c r="D122" s="41"/>
      <c r="E122" s="41"/>
      <c r="J122" s="17">
        <f t="shared" si="8"/>
        <v>0</v>
      </c>
      <c r="K122" s="2" t="str">
        <f t="shared" si="9"/>
        <v xml:space="preserve"> </v>
      </c>
      <c r="L122" s="2" t="str">
        <f t="shared" si="6"/>
        <v xml:space="preserve"> </v>
      </c>
      <c r="M122" s="2" t="str">
        <f t="shared" si="7"/>
        <v xml:space="preserve"> </v>
      </c>
    </row>
    <row r="123" spans="1:13" x14ac:dyDescent="0.25">
      <c r="A123" s="42" t="str">
        <f t="shared" si="5"/>
        <v xml:space="preserve"> </v>
      </c>
      <c r="D123" s="41"/>
      <c r="E123" s="41"/>
      <c r="J123" s="17">
        <f t="shared" si="8"/>
        <v>0</v>
      </c>
      <c r="K123" s="2" t="str">
        <f t="shared" si="9"/>
        <v xml:space="preserve"> </v>
      </c>
      <c r="L123" s="2" t="str">
        <f t="shared" si="6"/>
        <v xml:space="preserve"> </v>
      </c>
      <c r="M123" s="2" t="str">
        <f t="shared" si="7"/>
        <v xml:space="preserve"> </v>
      </c>
    </row>
    <row r="124" spans="1:13" x14ac:dyDescent="0.25">
      <c r="A124" s="42" t="str">
        <f t="shared" si="5"/>
        <v xml:space="preserve"> </v>
      </c>
      <c r="C124" s="48"/>
      <c r="D124" s="41"/>
      <c r="E124" s="41"/>
      <c r="J124" s="17">
        <f t="shared" si="8"/>
        <v>0</v>
      </c>
      <c r="K124" s="2" t="str">
        <f t="shared" si="9"/>
        <v xml:space="preserve"> </v>
      </c>
      <c r="L124" s="2" t="str">
        <f t="shared" si="6"/>
        <v xml:space="preserve"> </v>
      </c>
      <c r="M124" s="2" t="str">
        <f t="shared" si="7"/>
        <v xml:space="preserve"> </v>
      </c>
    </row>
    <row r="125" spans="1:13" x14ac:dyDescent="0.25">
      <c r="A125" s="42" t="str">
        <f t="shared" si="5"/>
        <v xml:space="preserve"> </v>
      </c>
      <c r="D125" s="41"/>
      <c r="E125" s="41"/>
      <c r="J125" s="17">
        <f t="shared" si="8"/>
        <v>0</v>
      </c>
      <c r="K125" s="2" t="str">
        <f t="shared" si="9"/>
        <v xml:space="preserve"> </v>
      </c>
      <c r="L125" s="2" t="str">
        <f t="shared" si="6"/>
        <v xml:space="preserve"> </v>
      </c>
      <c r="M125" s="2" t="str">
        <f t="shared" si="7"/>
        <v xml:space="preserve"> </v>
      </c>
    </row>
    <row r="126" spans="1:13" x14ac:dyDescent="0.25">
      <c r="A126" s="42" t="str">
        <f t="shared" si="5"/>
        <v xml:space="preserve"> </v>
      </c>
      <c r="D126" s="41"/>
      <c r="E126" s="41"/>
      <c r="J126" s="17">
        <f t="shared" si="8"/>
        <v>0</v>
      </c>
      <c r="K126" s="2" t="str">
        <f t="shared" si="9"/>
        <v xml:space="preserve"> </v>
      </c>
      <c r="L126" s="2" t="str">
        <f t="shared" si="6"/>
        <v xml:space="preserve"> </v>
      </c>
      <c r="M126" s="2" t="str">
        <f t="shared" si="7"/>
        <v xml:space="preserve"> </v>
      </c>
    </row>
    <row r="127" spans="1:13" x14ac:dyDescent="0.25">
      <c r="A127" s="42" t="str">
        <f t="shared" si="5"/>
        <v xml:space="preserve"> </v>
      </c>
      <c r="D127" s="41"/>
      <c r="E127" s="41"/>
      <c r="J127" s="17">
        <f t="shared" si="8"/>
        <v>0</v>
      </c>
      <c r="K127" s="2" t="str">
        <f t="shared" si="9"/>
        <v xml:space="preserve"> </v>
      </c>
      <c r="L127" s="2" t="str">
        <f t="shared" si="6"/>
        <v xml:space="preserve"> </v>
      </c>
      <c r="M127" s="2" t="str">
        <f t="shared" si="7"/>
        <v xml:space="preserve"> </v>
      </c>
    </row>
    <row r="128" spans="1:13" x14ac:dyDescent="0.25">
      <c r="A128" s="42" t="str">
        <f t="shared" si="5"/>
        <v xml:space="preserve"> </v>
      </c>
      <c r="D128" s="41"/>
      <c r="E128" s="41"/>
      <c r="J128" s="17">
        <f t="shared" si="8"/>
        <v>0</v>
      </c>
      <c r="K128" s="2" t="str">
        <f t="shared" si="9"/>
        <v xml:space="preserve"> </v>
      </c>
      <c r="L128" s="2" t="str">
        <f t="shared" si="6"/>
        <v xml:space="preserve"> </v>
      </c>
      <c r="M128" s="2" t="str">
        <f t="shared" si="7"/>
        <v xml:space="preserve"> </v>
      </c>
    </row>
    <row r="129" spans="1:13" x14ac:dyDescent="0.25">
      <c r="A129" s="42" t="str">
        <f t="shared" si="5"/>
        <v xml:space="preserve"> </v>
      </c>
      <c r="D129" s="41"/>
      <c r="E129" s="41"/>
      <c r="J129" s="17">
        <f t="shared" si="8"/>
        <v>0</v>
      </c>
      <c r="K129" s="2" t="str">
        <f t="shared" si="9"/>
        <v xml:space="preserve"> </v>
      </c>
      <c r="L129" s="2" t="str">
        <f t="shared" si="6"/>
        <v xml:space="preserve"> </v>
      </c>
      <c r="M129" s="2" t="str">
        <f t="shared" si="7"/>
        <v xml:space="preserve"> </v>
      </c>
    </row>
    <row r="130" spans="1:13" x14ac:dyDescent="0.25">
      <c r="A130" s="42" t="str">
        <f t="shared" si="5"/>
        <v xml:space="preserve"> </v>
      </c>
      <c r="D130" s="41"/>
      <c r="E130" s="41"/>
      <c r="J130" s="17">
        <f t="shared" si="8"/>
        <v>0</v>
      </c>
      <c r="K130" s="2" t="str">
        <f t="shared" si="9"/>
        <v xml:space="preserve"> </v>
      </c>
      <c r="L130" s="2" t="str">
        <f t="shared" si="6"/>
        <v xml:space="preserve"> </v>
      </c>
      <c r="M130" s="2" t="str">
        <f t="shared" si="7"/>
        <v xml:space="preserve"> </v>
      </c>
    </row>
    <row r="131" spans="1:13" x14ac:dyDescent="0.25">
      <c r="A131" s="42" t="str">
        <f t="shared" si="5"/>
        <v xml:space="preserve"> </v>
      </c>
      <c r="D131" s="41"/>
      <c r="E131" s="41"/>
      <c r="J131" s="17">
        <f t="shared" si="8"/>
        <v>0</v>
      </c>
      <c r="K131" s="2" t="str">
        <f t="shared" si="9"/>
        <v xml:space="preserve"> </v>
      </c>
      <c r="L131" s="2" t="str">
        <f t="shared" si="6"/>
        <v xml:space="preserve"> </v>
      </c>
      <c r="M131" s="2" t="str">
        <f t="shared" si="7"/>
        <v xml:space="preserve"> </v>
      </c>
    </row>
    <row r="132" spans="1:13" x14ac:dyDescent="0.25">
      <c r="A132" s="42" t="str">
        <f t="shared" si="5"/>
        <v xml:space="preserve"> </v>
      </c>
      <c r="D132" s="41"/>
      <c r="E132" s="41"/>
      <c r="J132" s="17">
        <f t="shared" si="8"/>
        <v>0</v>
      </c>
      <c r="K132" s="2" t="str">
        <f t="shared" si="9"/>
        <v xml:space="preserve"> </v>
      </c>
      <c r="L132" s="2" t="str">
        <f t="shared" si="6"/>
        <v xml:space="preserve"> </v>
      </c>
      <c r="M132" s="2" t="str">
        <f t="shared" si="7"/>
        <v xml:space="preserve"> </v>
      </c>
    </row>
    <row r="133" spans="1:13" x14ac:dyDescent="0.25">
      <c r="A133" s="42" t="str">
        <f t="shared" si="5"/>
        <v xml:space="preserve"> </v>
      </c>
      <c r="D133" s="41"/>
      <c r="E133" s="41"/>
      <c r="J133" s="17">
        <f t="shared" si="8"/>
        <v>0</v>
      </c>
      <c r="K133" s="2" t="str">
        <f t="shared" si="9"/>
        <v xml:space="preserve"> </v>
      </c>
      <c r="L133" s="2" t="str">
        <f t="shared" si="6"/>
        <v xml:space="preserve"> </v>
      </c>
      <c r="M133" s="2" t="str">
        <f t="shared" si="7"/>
        <v xml:space="preserve"> </v>
      </c>
    </row>
    <row r="134" spans="1:13" x14ac:dyDescent="0.25">
      <c r="A134" s="42" t="str">
        <f t="shared" si="5"/>
        <v xml:space="preserve"> </v>
      </c>
      <c r="D134" s="41"/>
      <c r="E134" s="41"/>
      <c r="J134" s="17">
        <f t="shared" si="8"/>
        <v>0</v>
      </c>
      <c r="K134" s="2" t="str">
        <f t="shared" si="9"/>
        <v xml:space="preserve"> </v>
      </c>
      <c r="L134" s="2" t="str">
        <f t="shared" si="6"/>
        <v xml:space="preserve"> </v>
      </c>
      <c r="M134" s="2" t="str">
        <f t="shared" si="7"/>
        <v xml:space="preserve"> </v>
      </c>
    </row>
    <row r="135" spans="1:13" x14ac:dyDescent="0.25">
      <c r="A135" s="42" t="str">
        <f t="shared" si="5"/>
        <v xml:space="preserve"> </v>
      </c>
      <c r="D135" s="41"/>
      <c r="E135" s="41"/>
      <c r="J135" s="17">
        <f t="shared" si="8"/>
        <v>0</v>
      </c>
      <c r="K135" s="2" t="str">
        <f t="shared" si="9"/>
        <v xml:space="preserve"> </v>
      </c>
      <c r="L135" s="2" t="str">
        <f t="shared" si="6"/>
        <v xml:space="preserve"> </v>
      </c>
      <c r="M135" s="2" t="str">
        <f t="shared" si="7"/>
        <v xml:space="preserve"> </v>
      </c>
    </row>
    <row r="136" spans="1:13" x14ac:dyDescent="0.25">
      <c r="A136" s="42" t="str">
        <f t="shared" si="5"/>
        <v xml:space="preserve"> </v>
      </c>
      <c r="D136" s="41"/>
      <c r="E136" s="41"/>
      <c r="J136" s="17">
        <f t="shared" si="8"/>
        <v>0</v>
      </c>
      <c r="K136" s="2" t="str">
        <f t="shared" si="9"/>
        <v xml:space="preserve"> </v>
      </c>
      <c r="L136" s="2" t="str">
        <f t="shared" si="6"/>
        <v xml:space="preserve"> </v>
      </c>
      <c r="M136" s="2" t="str">
        <f t="shared" si="7"/>
        <v xml:space="preserve"> </v>
      </c>
    </row>
    <row r="137" spans="1:13" x14ac:dyDescent="0.25">
      <c r="A137" s="42" t="str">
        <f t="shared" si="5"/>
        <v xml:space="preserve"> </v>
      </c>
      <c r="D137" s="41"/>
      <c r="E137" s="41"/>
      <c r="J137" s="17">
        <f t="shared" si="8"/>
        <v>0</v>
      </c>
      <c r="K137" s="2" t="str">
        <f t="shared" si="9"/>
        <v xml:space="preserve"> </v>
      </c>
      <c r="L137" s="2" t="str">
        <f t="shared" si="6"/>
        <v xml:space="preserve"> </v>
      </c>
      <c r="M137" s="2" t="str">
        <f t="shared" si="7"/>
        <v xml:space="preserve"> </v>
      </c>
    </row>
    <row r="138" spans="1:13" x14ac:dyDescent="0.25">
      <c r="A138" s="42" t="str">
        <f t="shared" si="5"/>
        <v xml:space="preserve"> </v>
      </c>
      <c r="D138" s="41"/>
      <c r="E138" s="41"/>
      <c r="J138" s="17">
        <f t="shared" si="8"/>
        <v>0</v>
      </c>
      <c r="K138" s="2" t="str">
        <f t="shared" si="9"/>
        <v xml:space="preserve"> </v>
      </c>
      <c r="L138" s="2" t="str">
        <f t="shared" si="6"/>
        <v xml:space="preserve"> </v>
      </c>
      <c r="M138" s="2" t="str">
        <f t="shared" si="7"/>
        <v xml:space="preserve"> </v>
      </c>
    </row>
    <row r="139" spans="1:13" x14ac:dyDescent="0.25">
      <c r="A139" s="42" t="str">
        <f t="shared" si="5"/>
        <v xml:space="preserve"> </v>
      </c>
      <c r="D139" s="41"/>
      <c r="E139" s="41"/>
      <c r="J139" s="17">
        <f t="shared" si="8"/>
        <v>0</v>
      </c>
      <c r="K139" s="2" t="str">
        <f t="shared" si="9"/>
        <v xml:space="preserve"> </v>
      </c>
      <c r="L139" s="2" t="str">
        <f t="shared" si="6"/>
        <v xml:space="preserve"> </v>
      </c>
      <c r="M139" s="2" t="str">
        <f t="shared" si="7"/>
        <v xml:space="preserve"> </v>
      </c>
    </row>
    <row r="140" spans="1:13" x14ac:dyDescent="0.25">
      <c r="A140" s="42" t="str">
        <f t="shared" si="5"/>
        <v xml:space="preserve"> </v>
      </c>
      <c r="D140" s="41"/>
      <c r="E140" s="41"/>
      <c r="J140" s="17">
        <f t="shared" si="8"/>
        <v>0</v>
      </c>
      <c r="K140" s="2" t="str">
        <f t="shared" si="9"/>
        <v xml:space="preserve"> </v>
      </c>
      <c r="L140" s="2" t="str">
        <f t="shared" si="6"/>
        <v xml:space="preserve"> </v>
      </c>
      <c r="M140" s="2" t="str">
        <f t="shared" si="7"/>
        <v xml:space="preserve"> </v>
      </c>
    </row>
    <row r="141" spans="1:13" x14ac:dyDescent="0.25">
      <c r="A141" s="42" t="str">
        <f t="shared" si="5"/>
        <v xml:space="preserve"> </v>
      </c>
      <c r="D141" s="41"/>
      <c r="E141" s="41"/>
      <c r="J141" s="17">
        <f t="shared" si="8"/>
        <v>0</v>
      </c>
      <c r="K141" s="2" t="str">
        <f t="shared" si="9"/>
        <v xml:space="preserve"> </v>
      </c>
      <c r="L141" s="2" t="str">
        <f t="shared" si="6"/>
        <v xml:space="preserve"> </v>
      </c>
      <c r="M141" s="2" t="str">
        <f t="shared" si="7"/>
        <v xml:space="preserve"> </v>
      </c>
    </row>
    <row r="142" spans="1:13" x14ac:dyDescent="0.25">
      <c r="A142" s="42" t="str">
        <f t="shared" si="5"/>
        <v xml:space="preserve"> </v>
      </c>
      <c r="D142" s="41"/>
      <c r="E142" s="41"/>
      <c r="J142" s="17">
        <f t="shared" si="8"/>
        <v>0</v>
      </c>
      <c r="K142" s="2" t="str">
        <f t="shared" si="9"/>
        <v xml:space="preserve"> </v>
      </c>
      <c r="L142" s="2" t="str">
        <f t="shared" si="6"/>
        <v xml:space="preserve"> </v>
      </c>
      <c r="M142" s="2" t="str">
        <f t="shared" si="7"/>
        <v xml:space="preserve"> </v>
      </c>
    </row>
    <row r="143" spans="1:13" x14ac:dyDescent="0.25">
      <c r="A143" s="42" t="str">
        <f t="shared" ref="A143:A206" si="10">IF(COUNTIF(K143:M143,"ERROR")&gt;0,"ERROR"," ")</f>
        <v xml:space="preserve"> </v>
      </c>
      <c r="D143" s="41"/>
      <c r="E143" s="41"/>
      <c r="J143" s="17">
        <f t="shared" si="8"/>
        <v>0</v>
      </c>
      <c r="K143" s="2" t="str">
        <f t="shared" si="9"/>
        <v xml:space="preserve"> </v>
      </c>
      <c r="L143" s="2" t="str">
        <f t="shared" ref="L143:L206" si="11">IF(D143=0," ",IF(COUNTIF(ProfitLoss3,D143)&gt;0," ","ERROR"))</f>
        <v xml:space="preserve"> </v>
      </c>
      <c r="M143" s="2" t="str">
        <f t="shared" ref="M143:M206" si="12">IF(E143=0," ",IF(COUNTIF(BalanceSheet3,E143)&gt;0," ","ERROR"))</f>
        <v xml:space="preserve"> </v>
      </c>
    </row>
    <row r="144" spans="1:13" x14ac:dyDescent="0.25">
      <c r="A144" s="42" t="str">
        <f t="shared" si="10"/>
        <v xml:space="preserve"> </v>
      </c>
      <c r="D144" s="41"/>
      <c r="E144" s="41"/>
      <c r="J144" s="17">
        <f t="shared" ref="J144:J207" si="13">F144-G144+H144-I144</f>
        <v>0</v>
      </c>
      <c r="K144" s="2" t="str">
        <f t="shared" ref="K144:K207" si="14">IF(COUNTA(D144:E144)=2,"ERROR"," ")</f>
        <v xml:space="preserve"> </v>
      </c>
      <c r="L144" s="2" t="str">
        <f t="shared" si="11"/>
        <v xml:space="preserve"> </v>
      </c>
      <c r="M144" s="2" t="str">
        <f t="shared" si="12"/>
        <v xml:space="preserve"> </v>
      </c>
    </row>
    <row r="145" spans="1:13" x14ac:dyDescent="0.25">
      <c r="A145" s="42" t="str">
        <f t="shared" si="10"/>
        <v xml:space="preserve"> </v>
      </c>
      <c r="D145" s="41"/>
      <c r="E145" s="41"/>
      <c r="J145" s="17">
        <f t="shared" si="13"/>
        <v>0</v>
      </c>
      <c r="K145" s="2" t="str">
        <f t="shared" si="14"/>
        <v xml:space="preserve"> </v>
      </c>
      <c r="L145" s="2" t="str">
        <f t="shared" si="11"/>
        <v xml:space="preserve"> </v>
      </c>
      <c r="M145" s="2" t="str">
        <f t="shared" si="12"/>
        <v xml:space="preserve"> </v>
      </c>
    </row>
    <row r="146" spans="1:13" x14ac:dyDescent="0.25">
      <c r="A146" s="42" t="str">
        <f t="shared" si="10"/>
        <v xml:space="preserve"> </v>
      </c>
      <c r="D146" s="41"/>
      <c r="E146" s="41"/>
      <c r="J146" s="17">
        <f t="shared" si="13"/>
        <v>0</v>
      </c>
      <c r="K146" s="2" t="str">
        <f t="shared" si="14"/>
        <v xml:space="preserve"> </v>
      </c>
      <c r="L146" s="2" t="str">
        <f t="shared" si="11"/>
        <v xml:space="preserve"> </v>
      </c>
      <c r="M146" s="2" t="str">
        <f t="shared" si="12"/>
        <v xml:space="preserve"> </v>
      </c>
    </row>
    <row r="147" spans="1:13" x14ac:dyDescent="0.25">
      <c r="A147" s="42" t="str">
        <f t="shared" si="10"/>
        <v xml:space="preserve"> </v>
      </c>
      <c r="D147" s="41"/>
      <c r="E147" s="41"/>
      <c r="J147" s="17">
        <f t="shared" si="13"/>
        <v>0</v>
      </c>
      <c r="K147" s="2" t="str">
        <f t="shared" si="14"/>
        <v xml:space="preserve"> </v>
      </c>
      <c r="L147" s="2" t="str">
        <f t="shared" si="11"/>
        <v xml:space="preserve"> </v>
      </c>
      <c r="M147" s="2" t="str">
        <f t="shared" si="12"/>
        <v xml:space="preserve"> </v>
      </c>
    </row>
    <row r="148" spans="1:13" x14ac:dyDescent="0.25">
      <c r="A148" s="42" t="str">
        <f t="shared" si="10"/>
        <v xml:space="preserve"> </v>
      </c>
      <c r="D148" s="41"/>
      <c r="E148" s="41"/>
      <c r="J148" s="17">
        <f t="shared" si="13"/>
        <v>0</v>
      </c>
      <c r="K148" s="2" t="str">
        <f t="shared" si="14"/>
        <v xml:space="preserve"> </v>
      </c>
      <c r="L148" s="2" t="str">
        <f t="shared" si="11"/>
        <v xml:space="preserve"> </v>
      </c>
      <c r="M148" s="2" t="str">
        <f t="shared" si="12"/>
        <v xml:space="preserve"> </v>
      </c>
    </row>
    <row r="149" spans="1:13" x14ac:dyDescent="0.25">
      <c r="A149" s="42" t="str">
        <f t="shared" si="10"/>
        <v xml:space="preserve"> </v>
      </c>
      <c r="D149" s="41"/>
      <c r="E149" s="41"/>
      <c r="J149" s="17">
        <f t="shared" si="13"/>
        <v>0</v>
      </c>
      <c r="K149" s="2" t="str">
        <f t="shared" si="14"/>
        <v xml:space="preserve"> </v>
      </c>
      <c r="L149" s="2" t="str">
        <f t="shared" si="11"/>
        <v xml:space="preserve"> </v>
      </c>
      <c r="M149" s="2" t="str">
        <f t="shared" si="12"/>
        <v xml:space="preserve"> </v>
      </c>
    </row>
    <row r="150" spans="1:13" x14ac:dyDescent="0.25">
      <c r="A150" s="42" t="str">
        <f t="shared" si="10"/>
        <v xml:space="preserve"> </v>
      </c>
      <c r="D150" s="41"/>
      <c r="E150" s="41"/>
      <c r="J150" s="17">
        <f t="shared" si="13"/>
        <v>0</v>
      </c>
      <c r="K150" s="2" t="str">
        <f t="shared" si="14"/>
        <v xml:space="preserve"> </v>
      </c>
      <c r="L150" s="2" t="str">
        <f t="shared" si="11"/>
        <v xml:space="preserve"> </v>
      </c>
      <c r="M150" s="2" t="str">
        <f t="shared" si="12"/>
        <v xml:space="preserve"> </v>
      </c>
    </row>
    <row r="151" spans="1:13" x14ac:dyDescent="0.25">
      <c r="A151" s="42" t="str">
        <f t="shared" si="10"/>
        <v xml:space="preserve"> </v>
      </c>
      <c r="D151" s="41"/>
      <c r="E151" s="41"/>
      <c r="J151" s="17">
        <f t="shared" si="13"/>
        <v>0</v>
      </c>
      <c r="K151" s="2" t="str">
        <f t="shared" si="14"/>
        <v xml:space="preserve"> </v>
      </c>
      <c r="L151" s="2" t="str">
        <f t="shared" si="11"/>
        <v xml:space="preserve"> </v>
      </c>
      <c r="M151" s="2" t="str">
        <f t="shared" si="12"/>
        <v xml:space="preserve"> </v>
      </c>
    </row>
    <row r="152" spans="1:13" x14ac:dyDescent="0.25">
      <c r="A152" s="42" t="str">
        <f t="shared" si="10"/>
        <v xml:space="preserve"> </v>
      </c>
      <c r="D152" s="41"/>
      <c r="E152" s="41"/>
      <c r="J152" s="17">
        <f t="shared" si="13"/>
        <v>0</v>
      </c>
      <c r="K152" s="2" t="str">
        <f t="shared" si="14"/>
        <v xml:space="preserve"> </v>
      </c>
      <c r="L152" s="2" t="str">
        <f t="shared" si="11"/>
        <v xml:space="preserve"> </v>
      </c>
      <c r="M152" s="2" t="str">
        <f t="shared" si="12"/>
        <v xml:space="preserve"> </v>
      </c>
    </row>
    <row r="153" spans="1:13" x14ac:dyDescent="0.25">
      <c r="A153" s="42" t="str">
        <f t="shared" si="10"/>
        <v xml:space="preserve"> </v>
      </c>
      <c r="D153" s="41"/>
      <c r="E153" s="41"/>
      <c r="J153" s="17">
        <f t="shared" si="13"/>
        <v>0</v>
      </c>
      <c r="K153" s="2" t="str">
        <f t="shared" si="14"/>
        <v xml:space="preserve"> </v>
      </c>
      <c r="L153" s="2" t="str">
        <f t="shared" si="11"/>
        <v xml:space="preserve"> </v>
      </c>
      <c r="M153" s="2" t="str">
        <f t="shared" si="12"/>
        <v xml:space="preserve"> </v>
      </c>
    </row>
    <row r="154" spans="1:13" x14ac:dyDescent="0.25">
      <c r="A154" s="42" t="str">
        <f t="shared" si="10"/>
        <v xml:space="preserve"> </v>
      </c>
      <c r="D154" s="41"/>
      <c r="E154" s="41"/>
      <c r="J154" s="17">
        <f t="shared" si="13"/>
        <v>0</v>
      </c>
      <c r="K154" s="2" t="str">
        <f t="shared" si="14"/>
        <v xml:space="preserve"> </v>
      </c>
      <c r="L154" s="2" t="str">
        <f t="shared" si="11"/>
        <v xml:space="preserve"> </v>
      </c>
      <c r="M154" s="2" t="str">
        <f t="shared" si="12"/>
        <v xml:space="preserve"> </v>
      </c>
    </row>
    <row r="155" spans="1:13" x14ac:dyDescent="0.25">
      <c r="A155" s="42" t="str">
        <f t="shared" si="10"/>
        <v xml:space="preserve"> </v>
      </c>
      <c r="D155" s="41"/>
      <c r="E155" s="41"/>
      <c r="J155" s="17">
        <f t="shared" si="13"/>
        <v>0</v>
      </c>
      <c r="K155" s="2" t="str">
        <f t="shared" si="14"/>
        <v xml:space="preserve"> </v>
      </c>
      <c r="L155" s="2" t="str">
        <f t="shared" si="11"/>
        <v xml:space="preserve"> </v>
      </c>
      <c r="M155" s="2" t="str">
        <f t="shared" si="12"/>
        <v xml:space="preserve"> </v>
      </c>
    </row>
    <row r="156" spans="1:13" x14ac:dyDescent="0.25">
      <c r="A156" s="42" t="str">
        <f t="shared" si="10"/>
        <v xml:space="preserve"> </v>
      </c>
      <c r="D156" s="41"/>
      <c r="E156" s="41"/>
      <c r="J156" s="17">
        <f t="shared" si="13"/>
        <v>0</v>
      </c>
      <c r="K156" s="2" t="str">
        <f t="shared" si="14"/>
        <v xml:space="preserve"> </v>
      </c>
      <c r="L156" s="2" t="str">
        <f t="shared" si="11"/>
        <v xml:space="preserve"> </v>
      </c>
      <c r="M156" s="2" t="str">
        <f t="shared" si="12"/>
        <v xml:space="preserve"> </v>
      </c>
    </row>
    <row r="157" spans="1:13" x14ac:dyDescent="0.25">
      <c r="A157" s="42" t="str">
        <f t="shared" si="10"/>
        <v xml:space="preserve"> </v>
      </c>
      <c r="D157" s="41"/>
      <c r="E157" s="41"/>
      <c r="J157" s="17">
        <f t="shared" si="13"/>
        <v>0</v>
      </c>
      <c r="K157" s="2" t="str">
        <f t="shared" si="14"/>
        <v xml:space="preserve"> </v>
      </c>
      <c r="L157" s="2" t="str">
        <f t="shared" si="11"/>
        <v xml:space="preserve"> </v>
      </c>
      <c r="M157" s="2" t="str">
        <f t="shared" si="12"/>
        <v xml:space="preserve"> </v>
      </c>
    </row>
    <row r="158" spans="1:13" x14ac:dyDescent="0.25">
      <c r="A158" s="42" t="str">
        <f t="shared" si="10"/>
        <v xml:space="preserve"> </v>
      </c>
      <c r="D158" s="41"/>
      <c r="E158" s="41"/>
      <c r="J158" s="17">
        <f t="shared" si="13"/>
        <v>0</v>
      </c>
      <c r="K158" s="2" t="str">
        <f t="shared" si="14"/>
        <v xml:space="preserve"> </v>
      </c>
      <c r="L158" s="2" t="str">
        <f t="shared" si="11"/>
        <v xml:space="preserve"> </v>
      </c>
      <c r="M158" s="2" t="str">
        <f t="shared" si="12"/>
        <v xml:space="preserve"> </v>
      </c>
    </row>
    <row r="159" spans="1:13" x14ac:dyDescent="0.25">
      <c r="A159" s="42" t="str">
        <f t="shared" si="10"/>
        <v xml:space="preserve"> </v>
      </c>
      <c r="D159" s="41"/>
      <c r="E159" s="41"/>
      <c r="J159" s="17">
        <f t="shared" si="13"/>
        <v>0</v>
      </c>
      <c r="K159" s="2" t="str">
        <f t="shared" si="14"/>
        <v xml:space="preserve"> </v>
      </c>
      <c r="L159" s="2" t="str">
        <f t="shared" si="11"/>
        <v xml:space="preserve"> </v>
      </c>
      <c r="M159" s="2" t="str">
        <f t="shared" si="12"/>
        <v xml:space="preserve"> </v>
      </c>
    </row>
    <row r="160" spans="1:13" x14ac:dyDescent="0.25">
      <c r="A160" s="42" t="str">
        <f t="shared" si="10"/>
        <v xml:space="preserve"> </v>
      </c>
      <c r="D160" s="41"/>
      <c r="E160" s="41"/>
      <c r="J160" s="17">
        <f t="shared" si="13"/>
        <v>0</v>
      </c>
      <c r="K160" s="2" t="str">
        <f t="shared" si="14"/>
        <v xml:space="preserve"> </v>
      </c>
      <c r="L160" s="2" t="str">
        <f t="shared" si="11"/>
        <v xml:space="preserve"> </v>
      </c>
      <c r="M160" s="2" t="str">
        <f t="shared" si="12"/>
        <v xml:space="preserve"> </v>
      </c>
    </row>
    <row r="161" spans="1:13" x14ac:dyDescent="0.25">
      <c r="A161" s="42" t="str">
        <f t="shared" si="10"/>
        <v xml:space="preserve"> </v>
      </c>
      <c r="D161" s="41"/>
      <c r="E161" s="41"/>
      <c r="J161" s="17">
        <f t="shared" si="13"/>
        <v>0</v>
      </c>
      <c r="K161" s="2" t="str">
        <f t="shared" si="14"/>
        <v xml:space="preserve"> </v>
      </c>
      <c r="L161" s="2" t="str">
        <f t="shared" si="11"/>
        <v xml:space="preserve"> </v>
      </c>
      <c r="M161" s="2" t="str">
        <f t="shared" si="12"/>
        <v xml:space="preserve"> </v>
      </c>
    </row>
    <row r="162" spans="1:13" x14ac:dyDescent="0.25">
      <c r="A162" s="42" t="str">
        <f t="shared" si="10"/>
        <v xml:space="preserve"> </v>
      </c>
      <c r="D162" s="41"/>
      <c r="E162" s="41"/>
      <c r="J162" s="17">
        <f t="shared" si="13"/>
        <v>0</v>
      </c>
      <c r="K162" s="2" t="str">
        <f t="shared" si="14"/>
        <v xml:space="preserve"> </v>
      </c>
      <c r="L162" s="2" t="str">
        <f t="shared" si="11"/>
        <v xml:space="preserve"> </v>
      </c>
      <c r="M162" s="2" t="str">
        <f t="shared" si="12"/>
        <v xml:space="preserve"> </v>
      </c>
    </row>
    <row r="163" spans="1:13" x14ac:dyDescent="0.25">
      <c r="A163" s="42" t="str">
        <f t="shared" si="10"/>
        <v xml:space="preserve"> </v>
      </c>
      <c r="D163" s="41"/>
      <c r="E163" s="41"/>
      <c r="J163" s="17">
        <f t="shared" si="13"/>
        <v>0</v>
      </c>
      <c r="K163" s="2" t="str">
        <f t="shared" si="14"/>
        <v xml:space="preserve"> </v>
      </c>
      <c r="L163" s="2" t="str">
        <f t="shared" si="11"/>
        <v xml:space="preserve"> </v>
      </c>
      <c r="M163" s="2" t="str">
        <f t="shared" si="12"/>
        <v xml:space="preserve"> </v>
      </c>
    </row>
    <row r="164" spans="1:13" x14ac:dyDescent="0.25">
      <c r="A164" s="42" t="str">
        <f t="shared" si="10"/>
        <v xml:space="preserve"> </v>
      </c>
      <c r="D164" s="41"/>
      <c r="E164" s="41"/>
      <c r="J164" s="17">
        <f t="shared" si="13"/>
        <v>0</v>
      </c>
      <c r="K164" s="2" t="str">
        <f t="shared" si="14"/>
        <v xml:space="preserve"> </v>
      </c>
      <c r="L164" s="2" t="str">
        <f t="shared" si="11"/>
        <v xml:space="preserve"> </v>
      </c>
      <c r="M164" s="2" t="str">
        <f t="shared" si="12"/>
        <v xml:space="preserve"> </v>
      </c>
    </row>
    <row r="165" spans="1:13" x14ac:dyDescent="0.25">
      <c r="A165" s="42" t="str">
        <f t="shared" si="10"/>
        <v xml:space="preserve"> </v>
      </c>
      <c r="D165" s="41"/>
      <c r="E165" s="41"/>
      <c r="J165" s="17">
        <f t="shared" si="13"/>
        <v>0</v>
      </c>
      <c r="K165" s="2" t="str">
        <f t="shared" si="14"/>
        <v xml:space="preserve"> </v>
      </c>
      <c r="L165" s="2" t="str">
        <f t="shared" si="11"/>
        <v xml:space="preserve"> </v>
      </c>
      <c r="M165" s="2" t="str">
        <f t="shared" si="12"/>
        <v xml:space="preserve"> </v>
      </c>
    </row>
    <row r="166" spans="1:13" x14ac:dyDescent="0.25">
      <c r="A166" s="42" t="str">
        <f t="shared" si="10"/>
        <v xml:space="preserve"> </v>
      </c>
      <c r="D166" s="41"/>
      <c r="E166" s="41"/>
      <c r="J166" s="17">
        <f t="shared" si="13"/>
        <v>0</v>
      </c>
      <c r="K166" s="2" t="str">
        <f t="shared" si="14"/>
        <v xml:space="preserve"> </v>
      </c>
      <c r="L166" s="2" t="str">
        <f t="shared" si="11"/>
        <v xml:space="preserve"> </v>
      </c>
      <c r="M166" s="2" t="str">
        <f t="shared" si="12"/>
        <v xml:space="preserve"> </v>
      </c>
    </row>
    <row r="167" spans="1:13" x14ac:dyDescent="0.25">
      <c r="A167" s="42" t="str">
        <f t="shared" si="10"/>
        <v xml:space="preserve"> </v>
      </c>
      <c r="D167" s="41"/>
      <c r="E167" s="41"/>
      <c r="J167" s="17">
        <f t="shared" si="13"/>
        <v>0</v>
      </c>
      <c r="K167" s="2" t="str">
        <f t="shared" si="14"/>
        <v xml:space="preserve"> </v>
      </c>
      <c r="L167" s="2" t="str">
        <f t="shared" si="11"/>
        <v xml:space="preserve"> </v>
      </c>
      <c r="M167" s="2" t="str">
        <f t="shared" si="12"/>
        <v xml:space="preserve"> </v>
      </c>
    </row>
    <row r="168" spans="1:13" x14ac:dyDescent="0.25">
      <c r="A168" s="42" t="str">
        <f t="shared" si="10"/>
        <v xml:space="preserve"> </v>
      </c>
      <c r="D168" s="41"/>
      <c r="E168" s="41"/>
      <c r="J168" s="17">
        <f t="shared" si="13"/>
        <v>0</v>
      </c>
      <c r="K168" s="2" t="str">
        <f t="shared" si="14"/>
        <v xml:space="preserve"> </v>
      </c>
      <c r="L168" s="2" t="str">
        <f t="shared" si="11"/>
        <v xml:space="preserve"> </v>
      </c>
      <c r="M168" s="2" t="str">
        <f t="shared" si="12"/>
        <v xml:space="preserve"> </v>
      </c>
    </row>
    <row r="169" spans="1:13" x14ac:dyDescent="0.25">
      <c r="A169" s="42" t="str">
        <f t="shared" si="10"/>
        <v xml:space="preserve"> </v>
      </c>
      <c r="D169" s="41"/>
      <c r="E169" s="41"/>
      <c r="J169" s="17">
        <f t="shared" si="13"/>
        <v>0</v>
      </c>
      <c r="K169" s="2" t="str">
        <f t="shared" si="14"/>
        <v xml:space="preserve"> </v>
      </c>
      <c r="L169" s="2" t="str">
        <f t="shared" si="11"/>
        <v xml:space="preserve"> </v>
      </c>
      <c r="M169" s="2" t="str">
        <f t="shared" si="12"/>
        <v xml:space="preserve"> </v>
      </c>
    </row>
    <row r="170" spans="1:13" x14ac:dyDescent="0.25">
      <c r="A170" s="42" t="str">
        <f t="shared" si="10"/>
        <v xml:space="preserve"> </v>
      </c>
      <c r="D170" s="41"/>
      <c r="E170" s="41"/>
      <c r="J170" s="17">
        <f t="shared" si="13"/>
        <v>0</v>
      </c>
      <c r="K170" s="2" t="str">
        <f t="shared" si="14"/>
        <v xml:space="preserve"> </v>
      </c>
      <c r="L170" s="2" t="str">
        <f t="shared" si="11"/>
        <v xml:space="preserve"> </v>
      </c>
      <c r="M170" s="2" t="str">
        <f t="shared" si="12"/>
        <v xml:space="preserve"> </v>
      </c>
    </row>
    <row r="171" spans="1:13" x14ac:dyDescent="0.25">
      <c r="A171" s="42" t="str">
        <f t="shared" si="10"/>
        <v xml:space="preserve"> </v>
      </c>
      <c r="D171" s="41"/>
      <c r="E171" s="41"/>
      <c r="J171" s="17">
        <f t="shared" si="13"/>
        <v>0</v>
      </c>
      <c r="K171" s="2" t="str">
        <f t="shared" si="14"/>
        <v xml:space="preserve"> </v>
      </c>
      <c r="L171" s="2" t="str">
        <f t="shared" si="11"/>
        <v xml:space="preserve"> </v>
      </c>
      <c r="M171" s="2" t="str">
        <f t="shared" si="12"/>
        <v xml:space="preserve"> </v>
      </c>
    </row>
    <row r="172" spans="1:13" x14ac:dyDescent="0.25">
      <c r="A172" s="42" t="str">
        <f t="shared" si="10"/>
        <v xml:space="preserve"> </v>
      </c>
      <c r="D172" s="41"/>
      <c r="E172" s="41"/>
      <c r="J172" s="17">
        <f t="shared" si="13"/>
        <v>0</v>
      </c>
      <c r="K172" s="2" t="str">
        <f t="shared" si="14"/>
        <v xml:space="preserve"> </v>
      </c>
      <c r="L172" s="2" t="str">
        <f t="shared" si="11"/>
        <v xml:space="preserve"> </v>
      </c>
      <c r="M172" s="2" t="str">
        <f t="shared" si="12"/>
        <v xml:space="preserve"> </v>
      </c>
    </row>
    <row r="173" spans="1:13" x14ac:dyDescent="0.25">
      <c r="A173" s="42" t="str">
        <f t="shared" si="10"/>
        <v xml:space="preserve"> </v>
      </c>
      <c r="D173" s="41"/>
      <c r="E173" s="41"/>
      <c r="J173" s="17">
        <f t="shared" si="13"/>
        <v>0</v>
      </c>
      <c r="K173" s="2" t="str">
        <f t="shared" si="14"/>
        <v xml:space="preserve"> </v>
      </c>
      <c r="L173" s="2" t="str">
        <f t="shared" si="11"/>
        <v xml:space="preserve"> </v>
      </c>
      <c r="M173" s="2" t="str">
        <f t="shared" si="12"/>
        <v xml:space="preserve"> </v>
      </c>
    </row>
    <row r="174" spans="1:13" x14ac:dyDescent="0.25">
      <c r="A174" s="42" t="str">
        <f t="shared" si="10"/>
        <v xml:space="preserve"> </v>
      </c>
      <c r="D174" s="41"/>
      <c r="E174" s="41"/>
      <c r="J174" s="17">
        <f t="shared" si="13"/>
        <v>0</v>
      </c>
      <c r="K174" s="2" t="str">
        <f t="shared" si="14"/>
        <v xml:space="preserve"> </v>
      </c>
      <c r="L174" s="2" t="str">
        <f t="shared" si="11"/>
        <v xml:space="preserve"> </v>
      </c>
      <c r="M174" s="2" t="str">
        <f t="shared" si="12"/>
        <v xml:space="preserve"> </v>
      </c>
    </row>
    <row r="175" spans="1:13" x14ac:dyDescent="0.25">
      <c r="A175" s="42" t="str">
        <f t="shared" si="10"/>
        <v xml:space="preserve"> </v>
      </c>
      <c r="D175" s="41"/>
      <c r="E175" s="41"/>
      <c r="J175" s="17">
        <f t="shared" si="13"/>
        <v>0</v>
      </c>
      <c r="K175" s="2" t="str">
        <f t="shared" si="14"/>
        <v xml:space="preserve"> </v>
      </c>
      <c r="L175" s="2" t="str">
        <f t="shared" si="11"/>
        <v xml:space="preserve"> </v>
      </c>
      <c r="M175" s="2" t="str">
        <f t="shared" si="12"/>
        <v xml:space="preserve"> </v>
      </c>
    </row>
    <row r="176" spans="1:13" x14ac:dyDescent="0.25">
      <c r="A176" s="42" t="str">
        <f t="shared" si="10"/>
        <v xml:space="preserve"> </v>
      </c>
      <c r="D176" s="41"/>
      <c r="E176" s="41"/>
      <c r="J176" s="17">
        <f t="shared" si="13"/>
        <v>0</v>
      </c>
      <c r="K176" s="2" t="str">
        <f t="shared" si="14"/>
        <v xml:space="preserve"> </v>
      </c>
      <c r="L176" s="2" t="str">
        <f t="shared" si="11"/>
        <v xml:space="preserve"> </v>
      </c>
      <c r="M176" s="2" t="str">
        <f t="shared" si="12"/>
        <v xml:space="preserve"> </v>
      </c>
    </row>
    <row r="177" spans="1:13" x14ac:dyDescent="0.25">
      <c r="A177" s="42" t="str">
        <f t="shared" si="10"/>
        <v xml:space="preserve"> </v>
      </c>
      <c r="D177" s="41"/>
      <c r="E177" s="41"/>
      <c r="J177" s="17">
        <f t="shared" si="13"/>
        <v>0</v>
      </c>
      <c r="K177" s="2" t="str">
        <f t="shared" si="14"/>
        <v xml:space="preserve"> </v>
      </c>
      <c r="L177" s="2" t="str">
        <f t="shared" si="11"/>
        <v xml:space="preserve"> </v>
      </c>
      <c r="M177" s="2" t="str">
        <f t="shared" si="12"/>
        <v xml:space="preserve"> </v>
      </c>
    </row>
    <row r="178" spans="1:13" x14ac:dyDescent="0.25">
      <c r="A178" s="42" t="str">
        <f t="shared" si="10"/>
        <v xml:space="preserve"> </v>
      </c>
      <c r="D178" s="41"/>
      <c r="E178" s="41"/>
      <c r="J178" s="17">
        <f t="shared" si="13"/>
        <v>0</v>
      </c>
      <c r="K178" s="2" t="str">
        <f t="shared" si="14"/>
        <v xml:space="preserve"> </v>
      </c>
      <c r="L178" s="2" t="str">
        <f t="shared" si="11"/>
        <v xml:space="preserve"> </v>
      </c>
      <c r="M178" s="2" t="str">
        <f t="shared" si="12"/>
        <v xml:space="preserve"> </v>
      </c>
    </row>
    <row r="179" spans="1:13" x14ac:dyDescent="0.25">
      <c r="A179" s="42" t="str">
        <f t="shared" si="10"/>
        <v xml:space="preserve"> </v>
      </c>
      <c r="D179" s="41"/>
      <c r="E179" s="41"/>
      <c r="J179" s="17">
        <f t="shared" si="13"/>
        <v>0</v>
      </c>
      <c r="K179" s="2" t="str">
        <f t="shared" si="14"/>
        <v xml:space="preserve"> </v>
      </c>
      <c r="L179" s="2" t="str">
        <f t="shared" si="11"/>
        <v xml:space="preserve"> </v>
      </c>
      <c r="M179" s="2" t="str">
        <f t="shared" si="12"/>
        <v xml:space="preserve"> </v>
      </c>
    </row>
    <row r="180" spans="1:13" x14ac:dyDescent="0.25">
      <c r="A180" s="42" t="str">
        <f t="shared" si="10"/>
        <v xml:space="preserve"> </v>
      </c>
      <c r="D180" s="41"/>
      <c r="E180" s="41"/>
      <c r="J180" s="17">
        <f t="shared" si="13"/>
        <v>0</v>
      </c>
      <c r="K180" s="2" t="str">
        <f t="shared" si="14"/>
        <v xml:space="preserve"> </v>
      </c>
      <c r="L180" s="2" t="str">
        <f t="shared" si="11"/>
        <v xml:space="preserve"> </v>
      </c>
      <c r="M180" s="2" t="str">
        <f t="shared" si="12"/>
        <v xml:space="preserve"> </v>
      </c>
    </row>
    <row r="181" spans="1:13" x14ac:dyDescent="0.25">
      <c r="A181" s="42" t="str">
        <f t="shared" si="10"/>
        <v xml:space="preserve"> </v>
      </c>
      <c r="D181" s="41"/>
      <c r="E181" s="41"/>
      <c r="J181" s="17">
        <f t="shared" si="13"/>
        <v>0</v>
      </c>
      <c r="K181" s="2" t="str">
        <f t="shared" si="14"/>
        <v xml:space="preserve"> </v>
      </c>
      <c r="L181" s="2" t="str">
        <f t="shared" si="11"/>
        <v xml:space="preserve"> </v>
      </c>
      <c r="M181" s="2" t="str">
        <f t="shared" si="12"/>
        <v xml:space="preserve"> </v>
      </c>
    </row>
    <row r="182" spans="1:13" x14ac:dyDescent="0.25">
      <c r="A182" s="42" t="str">
        <f t="shared" si="10"/>
        <v xml:space="preserve"> </v>
      </c>
      <c r="D182" s="41"/>
      <c r="E182" s="41"/>
      <c r="J182" s="17">
        <f t="shared" si="13"/>
        <v>0</v>
      </c>
      <c r="K182" s="2" t="str">
        <f t="shared" si="14"/>
        <v xml:space="preserve"> </v>
      </c>
      <c r="L182" s="2" t="str">
        <f t="shared" si="11"/>
        <v xml:space="preserve"> </v>
      </c>
      <c r="M182" s="2" t="str">
        <f t="shared" si="12"/>
        <v xml:space="preserve"> </v>
      </c>
    </row>
    <row r="183" spans="1:13" x14ac:dyDescent="0.25">
      <c r="A183" s="42" t="str">
        <f t="shared" si="10"/>
        <v xml:space="preserve"> </v>
      </c>
      <c r="D183" s="41"/>
      <c r="E183" s="41"/>
      <c r="J183" s="17">
        <f t="shared" si="13"/>
        <v>0</v>
      </c>
      <c r="K183" s="2" t="str">
        <f t="shared" si="14"/>
        <v xml:space="preserve"> </v>
      </c>
      <c r="L183" s="2" t="str">
        <f t="shared" si="11"/>
        <v xml:space="preserve"> </v>
      </c>
      <c r="M183" s="2" t="str">
        <f t="shared" si="12"/>
        <v xml:space="preserve"> </v>
      </c>
    </row>
    <row r="184" spans="1:13" x14ac:dyDescent="0.25">
      <c r="A184" s="42" t="str">
        <f t="shared" si="10"/>
        <v xml:space="preserve"> </v>
      </c>
      <c r="D184" s="41"/>
      <c r="E184" s="41"/>
      <c r="J184" s="17">
        <f t="shared" si="13"/>
        <v>0</v>
      </c>
      <c r="K184" s="2" t="str">
        <f t="shared" si="14"/>
        <v xml:space="preserve"> </v>
      </c>
      <c r="L184" s="2" t="str">
        <f t="shared" si="11"/>
        <v xml:space="preserve"> </v>
      </c>
      <c r="M184" s="2" t="str">
        <f t="shared" si="12"/>
        <v xml:space="preserve"> </v>
      </c>
    </row>
    <row r="185" spans="1:13" x14ac:dyDescent="0.25">
      <c r="A185" s="42" t="str">
        <f t="shared" si="10"/>
        <v xml:space="preserve"> </v>
      </c>
      <c r="D185" s="41"/>
      <c r="E185" s="41"/>
      <c r="J185" s="17">
        <f t="shared" si="13"/>
        <v>0</v>
      </c>
      <c r="K185" s="2" t="str">
        <f t="shared" si="14"/>
        <v xml:space="preserve"> </v>
      </c>
      <c r="L185" s="2" t="str">
        <f t="shared" si="11"/>
        <v xml:space="preserve"> </v>
      </c>
      <c r="M185" s="2" t="str">
        <f t="shared" si="12"/>
        <v xml:space="preserve"> </v>
      </c>
    </row>
    <row r="186" spans="1:13" x14ac:dyDescent="0.25">
      <c r="A186" s="42" t="str">
        <f t="shared" si="10"/>
        <v xml:space="preserve"> </v>
      </c>
      <c r="D186" s="41"/>
      <c r="E186" s="41"/>
      <c r="J186" s="17">
        <f t="shared" si="13"/>
        <v>0</v>
      </c>
      <c r="K186" s="2" t="str">
        <f t="shared" si="14"/>
        <v xml:space="preserve"> </v>
      </c>
      <c r="L186" s="2" t="str">
        <f t="shared" si="11"/>
        <v xml:space="preserve"> </v>
      </c>
      <c r="M186" s="2" t="str">
        <f t="shared" si="12"/>
        <v xml:space="preserve"> </v>
      </c>
    </row>
    <row r="187" spans="1:13" x14ac:dyDescent="0.25">
      <c r="A187" s="42" t="str">
        <f t="shared" si="10"/>
        <v xml:space="preserve"> </v>
      </c>
      <c r="D187" s="41"/>
      <c r="E187" s="41"/>
      <c r="J187" s="17">
        <f t="shared" si="13"/>
        <v>0</v>
      </c>
      <c r="K187" s="2" t="str">
        <f t="shared" si="14"/>
        <v xml:space="preserve"> </v>
      </c>
      <c r="L187" s="2" t="str">
        <f t="shared" si="11"/>
        <v xml:space="preserve"> </v>
      </c>
      <c r="M187" s="2" t="str">
        <f t="shared" si="12"/>
        <v xml:space="preserve"> </v>
      </c>
    </row>
    <row r="188" spans="1:13" x14ac:dyDescent="0.25">
      <c r="A188" s="42" t="str">
        <f t="shared" si="10"/>
        <v xml:space="preserve"> </v>
      </c>
      <c r="D188" s="41"/>
      <c r="E188" s="41"/>
      <c r="J188" s="17">
        <f t="shared" si="13"/>
        <v>0</v>
      </c>
      <c r="K188" s="2" t="str">
        <f t="shared" si="14"/>
        <v xml:space="preserve"> </v>
      </c>
      <c r="L188" s="2" t="str">
        <f t="shared" si="11"/>
        <v xml:space="preserve"> </v>
      </c>
      <c r="M188" s="2" t="str">
        <f t="shared" si="12"/>
        <v xml:space="preserve"> </v>
      </c>
    </row>
    <row r="189" spans="1:13" x14ac:dyDescent="0.25">
      <c r="A189" s="42" t="str">
        <f t="shared" si="10"/>
        <v xml:space="preserve"> </v>
      </c>
      <c r="D189" s="41"/>
      <c r="E189" s="41"/>
      <c r="J189" s="17">
        <f t="shared" si="13"/>
        <v>0</v>
      </c>
      <c r="K189" s="2" t="str">
        <f t="shared" si="14"/>
        <v xml:space="preserve"> </v>
      </c>
      <c r="L189" s="2" t="str">
        <f t="shared" si="11"/>
        <v xml:space="preserve"> </v>
      </c>
      <c r="M189" s="2" t="str">
        <f t="shared" si="12"/>
        <v xml:space="preserve"> </v>
      </c>
    </row>
    <row r="190" spans="1:13" x14ac:dyDescent="0.25">
      <c r="A190" s="42" t="str">
        <f t="shared" si="10"/>
        <v xml:space="preserve"> </v>
      </c>
      <c r="D190" s="41"/>
      <c r="E190" s="41"/>
      <c r="J190" s="17">
        <f t="shared" si="13"/>
        <v>0</v>
      </c>
      <c r="K190" s="2" t="str">
        <f t="shared" si="14"/>
        <v xml:space="preserve"> </v>
      </c>
      <c r="L190" s="2" t="str">
        <f t="shared" si="11"/>
        <v xml:space="preserve"> </v>
      </c>
      <c r="M190" s="2" t="str">
        <f t="shared" si="12"/>
        <v xml:space="preserve"> </v>
      </c>
    </row>
    <row r="191" spans="1:13" x14ac:dyDescent="0.25">
      <c r="A191" s="42" t="str">
        <f t="shared" si="10"/>
        <v xml:space="preserve"> </v>
      </c>
      <c r="D191" s="41"/>
      <c r="E191" s="41"/>
      <c r="J191" s="17">
        <f t="shared" si="13"/>
        <v>0</v>
      </c>
      <c r="K191" s="2" t="str">
        <f t="shared" si="14"/>
        <v xml:space="preserve"> </v>
      </c>
      <c r="L191" s="2" t="str">
        <f t="shared" si="11"/>
        <v xml:space="preserve"> </v>
      </c>
      <c r="M191" s="2" t="str">
        <f t="shared" si="12"/>
        <v xml:space="preserve"> </v>
      </c>
    </row>
    <row r="192" spans="1:13" x14ac:dyDescent="0.25">
      <c r="A192" s="42" t="str">
        <f t="shared" si="10"/>
        <v xml:space="preserve"> </v>
      </c>
      <c r="D192" s="41"/>
      <c r="E192" s="41"/>
      <c r="J192" s="17">
        <f t="shared" si="13"/>
        <v>0</v>
      </c>
      <c r="K192" s="2" t="str">
        <f t="shared" si="14"/>
        <v xml:space="preserve"> </v>
      </c>
      <c r="L192" s="2" t="str">
        <f t="shared" si="11"/>
        <v xml:space="preserve"> </v>
      </c>
      <c r="M192" s="2" t="str">
        <f t="shared" si="12"/>
        <v xml:space="preserve"> </v>
      </c>
    </row>
    <row r="193" spans="1:13" x14ac:dyDescent="0.25">
      <c r="A193" s="42" t="str">
        <f t="shared" si="10"/>
        <v xml:space="preserve"> </v>
      </c>
      <c r="D193" s="41"/>
      <c r="E193" s="41"/>
      <c r="J193" s="17">
        <f t="shared" si="13"/>
        <v>0</v>
      </c>
      <c r="K193" s="2" t="str">
        <f t="shared" si="14"/>
        <v xml:space="preserve"> </v>
      </c>
      <c r="L193" s="2" t="str">
        <f t="shared" si="11"/>
        <v xml:space="preserve"> </v>
      </c>
      <c r="M193" s="2" t="str">
        <f t="shared" si="12"/>
        <v xml:space="preserve"> </v>
      </c>
    </row>
    <row r="194" spans="1:13" x14ac:dyDescent="0.25">
      <c r="A194" s="42" t="str">
        <f t="shared" si="10"/>
        <v xml:space="preserve"> </v>
      </c>
      <c r="D194" s="41"/>
      <c r="E194" s="41"/>
      <c r="J194" s="17">
        <f t="shared" si="13"/>
        <v>0</v>
      </c>
      <c r="K194" s="2" t="str">
        <f t="shared" si="14"/>
        <v xml:space="preserve"> </v>
      </c>
      <c r="L194" s="2" t="str">
        <f t="shared" si="11"/>
        <v xml:space="preserve"> </v>
      </c>
      <c r="M194" s="2" t="str">
        <f t="shared" si="12"/>
        <v xml:space="preserve"> </v>
      </c>
    </row>
    <row r="195" spans="1:13" x14ac:dyDescent="0.25">
      <c r="A195" s="42" t="str">
        <f t="shared" si="10"/>
        <v xml:space="preserve"> </v>
      </c>
      <c r="D195" s="41"/>
      <c r="E195" s="41"/>
      <c r="J195" s="17">
        <f t="shared" si="13"/>
        <v>0</v>
      </c>
      <c r="K195" s="2" t="str">
        <f t="shared" si="14"/>
        <v xml:space="preserve"> </v>
      </c>
      <c r="L195" s="2" t="str">
        <f t="shared" si="11"/>
        <v xml:space="preserve"> </v>
      </c>
      <c r="M195" s="2" t="str">
        <f t="shared" si="12"/>
        <v xml:space="preserve"> </v>
      </c>
    </row>
    <row r="196" spans="1:13" x14ac:dyDescent="0.25">
      <c r="A196" s="42" t="str">
        <f t="shared" si="10"/>
        <v xml:space="preserve"> </v>
      </c>
      <c r="D196" s="41"/>
      <c r="E196" s="41"/>
      <c r="J196" s="17">
        <f t="shared" si="13"/>
        <v>0</v>
      </c>
      <c r="K196" s="2" t="str">
        <f t="shared" si="14"/>
        <v xml:space="preserve"> </v>
      </c>
      <c r="L196" s="2" t="str">
        <f t="shared" si="11"/>
        <v xml:space="preserve"> </v>
      </c>
      <c r="M196" s="2" t="str">
        <f t="shared" si="12"/>
        <v xml:space="preserve"> </v>
      </c>
    </row>
    <row r="197" spans="1:13" x14ac:dyDescent="0.25">
      <c r="A197" s="42" t="str">
        <f t="shared" si="10"/>
        <v xml:space="preserve"> </v>
      </c>
      <c r="D197" s="41"/>
      <c r="E197" s="41"/>
      <c r="J197" s="17">
        <f t="shared" si="13"/>
        <v>0</v>
      </c>
      <c r="K197" s="2" t="str">
        <f t="shared" si="14"/>
        <v xml:space="preserve"> </v>
      </c>
      <c r="L197" s="2" t="str">
        <f t="shared" si="11"/>
        <v xml:space="preserve"> </v>
      </c>
      <c r="M197" s="2" t="str">
        <f t="shared" si="12"/>
        <v xml:space="preserve"> </v>
      </c>
    </row>
    <row r="198" spans="1:13" x14ac:dyDescent="0.25">
      <c r="A198" s="42" t="str">
        <f t="shared" si="10"/>
        <v xml:space="preserve"> </v>
      </c>
      <c r="D198" s="41"/>
      <c r="E198" s="41"/>
      <c r="J198" s="17">
        <f t="shared" si="13"/>
        <v>0</v>
      </c>
      <c r="K198" s="2" t="str">
        <f t="shared" si="14"/>
        <v xml:space="preserve"> </v>
      </c>
      <c r="L198" s="2" t="str">
        <f t="shared" si="11"/>
        <v xml:space="preserve"> </v>
      </c>
      <c r="M198" s="2" t="str">
        <f t="shared" si="12"/>
        <v xml:space="preserve"> </v>
      </c>
    </row>
    <row r="199" spans="1:13" x14ac:dyDescent="0.25">
      <c r="A199" s="42" t="str">
        <f t="shared" si="10"/>
        <v xml:space="preserve"> </v>
      </c>
      <c r="D199" s="41"/>
      <c r="E199" s="41"/>
      <c r="J199" s="17">
        <f t="shared" si="13"/>
        <v>0</v>
      </c>
      <c r="K199" s="2" t="str">
        <f t="shared" si="14"/>
        <v xml:space="preserve"> </v>
      </c>
      <c r="L199" s="2" t="str">
        <f t="shared" si="11"/>
        <v xml:space="preserve"> </v>
      </c>
      <c r="M199" s="2" t="str">
        <f t="shared" si="12"/>
        <v xml:space="preserve"> </v>
      </c>
    </row>
    <row r="200" spans="1:13" x14ac:dyDescent="0.25">
      <c r="A200" s="42" t="str">
        <f t="shared" si="10"/>
        <v xml:space="preserve"> </v>
      </c>
      <c r="D200" s="41"/>
      <c r="E200" s="41"/>
      <c r="J200" s="17">
        <f t="shared" si="13"/>
        <v>0</v>
      </c>
      <c r="K200" s="2" t="str">
        <f t="shared" si="14"/>
        <v xml:space="preserve"> </v>
      </c>
      <c r="L200" s="2" t="str">
        <f t="shared" si="11"/>
        <v xml:space="preserve"> </v>
      </c>
      <c r="M200" s="2" t="str">
        <f t="shared" si="12"/>
        <v xml:space="preserve"> </v>
      </c>
    </row>
    <row r="201" spans="1:13" x14ac:dyDescent="0.25">
      <c r="A201" s="42" t="str">
        <f t="shared" si="10"/>
        <v xml:space="preserve"> </v>
      </c>
      <c r="D201" s="41"/>
      <c r="E201" s="41"/>
      <c r="J201" s="17">
        <f t="shared" si="13"/>
        <v>0</v>
      </c>
      <c r="K201" s="2" t="str">
        <f t="shared" si="14"/>
        <v xml:space="preserve"> </v>
      </c>
      <c r="L201" s="2" t="str">
        <f t="shared" si="11"/>
        <v xml:space="preserve"> </v>
      </c>
      <c r="M201" s="2" t="str">
        <f t="shared" si="12"/>
        <v xml:space="preserve"> </v>
      </c>
    </row>
    <row r="202" spans="1:13" x14ac:dyDescent="0.25">
      <c r="A202" s="42" t="str">
        <f t="shared" si="10"/>
        <v xml:space="preserve"> </v>
      </c>
      <c r="D202" s="41"/>
      <c r="E202" s="41"/>
      <c r="J202" s="17">
        <f t="shared" si="13"/>
        <v>0</v>
      </c>
      <c r="K202" s="2" t="str">
        <f t="shared" si="14"/>
        <v xml:space="preserve"> </v>
      </c>
      <c r="L202" s="2" t="str">
        <f t="shared" si="11"/>
        <v xml:space="preserve"> </v>
      </c>
      <c r="M202" s="2" t="str">
        <f t="shared" si="12"/>
        <v xml:space="preserve"> </v>
      </c>
    </row>
    <row r="203" spans="1:13" x14ac:dyDescent="0.25">
      <c r="A203" s="42" t="str">
        <f t="shared" si="10"/>
        <v xml:space="preserve"> </v>
      </c>
      <c r="D203" s="41"/>
      <c r="E203" s="41"/>
      <c r="J203" s="17">
        <f t="shared" si="13"/>
        <v>0</v>
      </c>
      <c r="K203" s="2" t="str">
        <f t="shared" si="14"/>
        <v xml:space="preserve"> </v>
      </c>
      <c r="L203" s="2" t="str">
        <f t="shared" si="11"/>
        <v xml:space="preserve"> </v>
      </c>
      <c r="M203" s="2" t="str">
        <f t="shared" si="12"/>
        <v xml:space="preserve"> </v>
      </c>
    </row>
    <row r="204" spans="1:13" x14ac:dyDescent="0.25">
      <c r="A204" s="42" t="str">
        <f t="shared" si="10"/>
        <v xml:space="preserve"> </v>
      </c>
      <c r="D204" s="41"/>
      <c r="E204" s="41"/>
      <c r="J204" s="17">
        <f t="shared" si="13"/>
        <v>0</v>
      </c>
      <c r="K204" s="2" t="str">
        <f t="shared" si="14"/>
        <v xml:space="preserve"> </v>
      </c>
      <c r="L204" s="2" t="str">
        <f t="shared" si="11"/>
        <v xml:space="preserve"> </v>
      </c>
      <c r="M204" s="2" t="str">
        <f t="shared" si="12"/>
        <v xml:space="preserve"> </v>
      </c>
    </row>
    <row r="205" spans="1:13" x14ac:dyDescent="0.25">
      <c r="A205" s="42" t="str">
        <f t="shared" si="10"/>
        <v xml:space="preserve"> </v>
      </c>
      <c r="D205" s="41"/>
      <c r="E205" s="41"/>
      <c r="J205" s="17">
        <f t="shared" si="13"/>
        <v>0</v>
      </c>
      <c r="K205" s="2" t="str">
        <f t="shared" si="14"/>
        <v xml:space="preserve"> </v>
      </c>
      <c r="L205" s="2" t="str">
        <f t="shared" si="11"/>
        <v xml:space="preserve"> </v>
      </c>
      <c r="M205" s="2" t="str">
        <f t="shared" si="12"/>
        <v xml:space="preserve"> </v>
      </c>
    </row>
    <row r="206" spans="1:13" x14ac:dyDescent="0.25">
      <c r="A206" s="42" t="str">
        <f t="shared" si="10"/>
        <v xml:space="preserve"> </v>
      </c>
      <c r="D206" s="41"/>
      <c r="E206" s="41"/>
      <c r="J206" s="17">
        <f t="shared" si="13"/>
        <v>0</v>
      </c>
      <c r="K206" s="2" t="str">
        <f t="shared" si="14"/>
        <v xml:space="preserve"> </v>
      </c>
      <c r="L206" s="2" t="str">
        <f t="shared" si="11"/>
        <v xml:space="preserve"> </v>
      </c>
      <c r="M206" s="2" t="str">
        <f t="shared" si="12"/>
        <v xml:space="preserve"> </v>
      </c>
    </row>
    <row r="207" spans="1:13" x14ac:dyDescent="0.25">
      <c r="A207" s="42" t="str">
        <f t="shared" ref="A207:A270" si="15">IF(COUNTIF(K207:M207,"ERROR")&gt;0,"ERROR"," ")</f>
        <v xml:space="preserve"> </v>
      </c>
      <c r="D207" s="41"/>
      <c r="E207" s="41"/>
      <c r="J207" s="17">
        <f t="shared" si="13"/>
        <v>0</v>
      </c>
      <c r="K207" s="2" t="str">
        <f t="shared" si="14"/>
        <v xml:space="preserve"> </v>
      </c>
      <c r="L207" s="2" t="str">
        <f t="shared" ref="L207:L270" si="16">IF(D207=0," ",IF(COUNTIF(ProfitLoss3,D207)&gt;0," ","ERROR"))</f>
        <v xml:space="preserve"> </v>
      </c>
      <c r="M207" s="2" t="str">
        <f t="shared" ref="M207:M270" si="17">IF(E207=0," ",IF(COUNTIF(BalanceSheet3,E207)&gt;0," ","ERROR"))</f>
        <v xml:space="preserve"> </v>
      </c>
    </row>
    <row r="208" spans="1:13" x14ac:dyDescent="0.25">
      <c r="A208" s="42" t="str">
        <f t="shared" si="15"/>
        <v xml:space="preserve"> </v>
      </c>
      <c r="D208" s="41"/>
      <c r="E208" s="41"/>
      <c r="J208" s="17">
        <f t="shared" ref="J208:J271" si="18">F208-G208+H208-I208</f>
        <v>0</v>
      </c>
      <c r="K208" s="2" t="str">
        <f t="shared" ref="K208:K271" si="19">IF(COUNTA(D208:E208)=2,"ERROR"," ")</f>
        <v xml:space="preserve"> </v>
      </c>
      <c r="L208" s="2" t="str">
        <f t="shared" si="16"/>
        <v xml:space="preserve"> </v>
      </c>
      <c r="M208" s="2" t="str">
        <f t="shared" si="17"/>
        <v xml:space="preserve"> </v>
      </c>
    </row>
    <row r="209" spans="1:13" x14ac:dyDescent="0.25">
      <c r="A209" s="42" t="str">
        <f t="shared" si="15"/>
        <v xml:space="preserve"> </v>
      </c>
      <c r="D209" s="41"/>
      <c r="E209" s="41"/>
      <c r="J209" s="17">
        <f t="shared" si="18"/>
        <v>0</v>
      </c>
      <c r="K209" s="2" t="str">
        <f t="shared" si="19"/>
        <v xml:space="preserve"> </v>
      </c>
      <c r="L209" s="2" t="str">
        <f t="shared" si="16"/>
        <v xml:space="preserve"> </v>
      </c>
      <c r="M209" s="2" t="str">
        <f t="shared" si="17"/>
        <v xml:space="preserve"> </v>
      </c>
    </row>
    <row r="210" spans="1:13" x14ac:dyDescent="0.25">
      <c r="A210" s="42" t="str">
        <f t="shared" si="15"/>
        <v xml:space="preserve"> </v>
      </c>
      <c r="D210" s="41"/>
      <c r="E210" s="41"/>
      <c r="J210" s="17">
        <f t="shared" si="18"/>
        <v>0</v>
      </c>
      <c r="K210" s="2" t="str">
        <f t="shared" si="19"/>
        <v xml:space="preserve"> </v>
      </c>
      <c r="L210" s="2" t="str">
        <f t="shared" si="16"/>
        <v xml:space="preserve"> </v>
      </c>
      <c r="M210" s="2" t="str">
        <f t="shared" si="17"/>
        <v xml:space="preserve"> </v>
      </c>
    </row>
    <row r="211" spans="1:13" x14ac:dyDescent="0.25">
      <c r="A211" s="42" t="str">
        <f t="shared" si="15"/>
        <v xml:space="preserve"> </v>
      </c>
      <c r="D211" s="41"/>
      <c r="E211" s="41"/>
      <c r="J211" s="17">
        <f t="shared" si="18"/>
        <v>0</v>
      </c>
      <c r="K211" s="2" t="str">
        <f t="shared" si="19"/>
        <v xml:space="preserve"> </v>
      </c>
      <c r="L211" s="2" t="str">
        <f t="shared" si="16"/>
        <v xml:space="preserve"> </v>
      </c>
      <c r="M211" s="2" t="str">
        <f t="shared" si="17"/>
        <v xml:space="preserve"> </v>
      </c>
    </row>
    <row r="212" spans="1:13" x14ac:dyDescent="0.25">
      <c r="A212" s="42" t="str">
        <f t="shared" si="15"/>
        <v xml:space="preserve"> </v>
      </c>
      <c r="D212" s="41"/>
      <c r="E212" s="41"/>
      <c r="J212" s="17">
        <f t="shared" si="18"/>
        <v>0</v>
      </c>
      <c r="K212" s="2" t="str">
        <f t="shared" si="19"/>
        <v xml:space="preserve"> </v>
      </c>
      <c r="L212" s="2" t="str">
        <f t="shared" si="16"/>
        <v xml:space="preserve"> </v>
      </c>
      <c r="M212" s="2" t="str">
        <f t="shared" si="17"/>
        <v xml:space="preserve"> </v>
      </c>
    </row>
    <row r="213" spans="1:13" x14ac:dyDescent="0.25">
      <c r="A213" s="42" t="str">
        <f t="shared" si="15"/>
        <v xml:space="preserve"> </v>
      </c>
      <c r="D213" s="41"/>
      <c r="E213" s="41"/>
      <c r="J213" s="17">
        <f t="shared" si="18"/>
        <v>0</v>
      </c>
      <c r="K213" s="2" t="str">
        <f t="shared" si="19"/>
        <v xml:space="preserve"> </v>
      </c>
      <c r="L213" s="2" t="str">
        <f t="shared" si="16"/>
        <v xml:space="preserve"> </v>
      </c>
      <c r="M213" s="2" t="str">
        <f t="shared" si="17"/>
        <v xml:space="preserve"> </v>
      </c>
    </row>
    <row r="214" spans="1:13" x14ac:dyDescent="0.25">
      <c r="A214" s="42" t="str">
        <f t="shared" si="15"/>
        <v xml:space="preserve"> </v>
      </c>
      <c r="D214" s="41"/>
      <c r="E214" s="41"/>
      <c r="J214" s="17">
        <f t="shared" si="18"/>
        <v>0</v>
      </c>
      <c r="K214" s="2" t="str">
        <f t="shared" si="19"/>
        <v xml:space="preserve"> </v>
      </c>
      <c r="L214" s="2" t="str">
        <f t="shared" si="16"/>
        <v xml:space="preserve"> </v>
      </c>
      <c r="M214" s="2" t="str">
        <f t="shared" si="17"/>
        <v xml:space="preserve"> </v>
      </c>
    </row>
    <row r="215" spans="1:13" x14ac:dyDescent="0.25">
      <c r="A215" s="42" t="str">
        <f t="shared" si="15"/>
        <v xml:space="preserve"> </v>
      </c>
      <c r="D215" s="41"/>
      <c r="E215" s="41"/>
      <c r="J215" s="17">
        <f t="shared" si="18"/>
        <v>0</v>
      </c>
      <c r="K215" s="2" t="str">
        <f t="shared" si="19"/>
        <v xml:space="preserve"> </v>
      </c>
      <c r="L215" s="2" t="str">
        <f t="shared" si="16"/>
        <v xml:space="preserve"> </v>
      </c>
      <c r="M215" s="2" t="str">
        <f t="shared" si="17"/>
        <v xml:space="preserve"> </v>
      </c>
    </row>
    <row r="216" spans="1:13" x14ac:dyDescent="0.25">
      <c r="A216" s="42" t="str">
        <f t="shared" si="15"/>
        <v xml:space="preserve"> </v>
      </c>
      <c r="D216" s="41"/>
      <c r="E216" s="41"/>
      <c r="J216" s="17">
        <f t="shared" si="18"/>
        <v>0</v>
      </c>
      <c r="K216" s="2" t="str">
        <f t="shared" si="19"/>
        <v xml:space="preserve"> </v>
      </c>
      <c r="L216" s="2" t="str">
        <f t="shared" si="16"/>
        <v xml:space="preserve"> </v>
      </c>
      <c r="M216" s="2" t="str">
        <f t="shared" si="17"/>
        <v xml:space="preserve"> </v>
      </c>
    </row>
    <row r="217" spans="1:13" x14ac:dyDescent="0.25">
      <c r="A217" s="42" t="str">
        <f t="shared" si="15"/>
        <v xml:space="preserve"> </v>
      </c>
      <c r="D217" s="41"/>
      <c r="E217" s="41"/>
      <c r="J217" s="17">
        <f t="shared" si="18"/>
        <v>0</v>
      </c>
      <c r="K217" s="2" t="str">
        <f t="shared" si="19"/>
        <v xml:space="preserve"> </v>
      </c>
      <c r="L217" s="2" t="str">
        <f t="shared" si="16"/>
        <v xml:space="preserve"> </v>
      </c>
      <c r="M217" s="2" t="str">
        <f t="shared" si="17"/>
        <v xml:space="preserve"> </v>
      </c>
    </row>
    <row r="218" spans="1:13" x14ac:dyDescent="0.25">
      <c r="A218" s="42" t="str">
        <f t="shared" si="15"/>
        <v xml:space="preserve"> </v>
      </c>
      <c r="D218" s="41"/>
      <c r="E218" s="41"/>
      <c r="J218" s="17">
        <f t="shared" si="18"/>
        <v>0</v>
      </c>
      <c r="K218" s="2" t="str">
        <f t="shared" si="19"/>
        <v xml:space="preserve"> </v>
      </c>
      <c r="L218" s="2" t="str">
        <f t="shared" si="16"/>
        <v xml:space="preserve"> </v>
      </c>
      <c r="M218" s="2" t="str">
        <f t="shared" si="17"/>
        <v xml:space="preserve"> </v>
      </c>
    </row>
    <row r="219" spans="1:13" x14ac:dyDescent="0.25">
      <c r="A219" s="42" t="str">
        <f t="shared" si="15"/>
        <v xml:space="preserve"> </v>
      </c>
      <c r="D219" s="41"/>
      <c r="E219" s="41"/>
      <c r="J219" s="17">
        <f t="shared" si="18"/>
        <v>0</v>
      </c>
      <c r="K219" s="2" t="str">
        <f t="shared" si="19"/>
        <v xml:space="preserve"> </v>
      </c>
      <c r="L219" s="2" t="str">
        <f t="shared" si="16"/>
        <v xml:space="preserve"> </v>
      </c>
      <c r="M219" s="2" t="str">
        <f t="shared" si="17"/>
        <v xml:space="preserve"> </v>
      </c>
    </row>
    <row r="220" spans="1:13" x14ac:dyDescent="0.25">
      <c r="A220" s="42" t="str">
        <f t="shared" si="15"/>
        <v xml:space="preserve"> </v>
      </c>
      <c r="D220" s="41"/>
      <c r="E220" s="41"/>
      <c r="J220" s="17">
        <f t="shared" si="18"/>
        <v>0</v>
      </c>
      <c r="K220" s="2" t="str">
        <f t="shared" si="19"/>
        <v xml:space="preserve"> </v>
      </c>
      <c r="L220" s="2" t="str">
        <f t="shared" si="16"/>
        <v xml:space="preserve"> </v>
      </c>
      <c r="M220" s="2" t="str">
        <f t="shared" si="17"/>
        <v xml:space="preserve"> </v>
      </c>
    </row>
    <row r="221" spans="1:13" x14ac:dyDescent="0.25">
      <c r="A221" s="42" t="str">
        <f t="shared" si="15"/>
        <v xml:space="preserve"> </v>
      </c>
      <c r="D221" s="41"/>
      <c r="E221" s="41"/>
      <c r="J221" s="17">
        <f t="shared" si="18"/>
        <v>0</v>
      </c>
      <c r="K221" s="2" t="str">
        <f t="shared" si="19"/>
        <v xml:space="preserve"> </v>
      </c>
      <c r="L221" s="2" t="str">
        <f t="shared" si="16"/>
        <v xml:space="preserve"> </v>
      </c>
      <c r="M221" s="2" t="str">
        <f t="shared" si="17"/>
        <v xml:space="preserve"> </v>
      </c>
    </row>
    <row r="222" spans="1:13" x14ac:dyDescent="0.25">
      <c r="A222" s="42" t="str">
        <f t="shared" si="15"/>
        <v xml:space="preserve"> </v>
      </c>
      <c r="D222" s="41"/>
      <c r="E222" s="41"/>
      <c r="J222" s="17">
        <f t="shared" si="18"/>
        <v>0</v>
      </c>
      <c r="K222" s="2" t="str">
        <f t="shared" si="19"/>
        <v xml:space="preserve"> </v>
      </c>
      <c r="L222" s="2" t="str">
        <f t="shared" si="16"/>
        <v xml:space="preserve"> </v>
      </c>
      <c r="M222" s="2" t="str">
        <f t="shared" si="17"/>
        <v xml:space="preserve"> </v>
      </c>
    </row>
    <row r="223" spans="1:13" x14ac:dyDescent="0.25">
      <c r="A223" s="42" t="str">
        <f t="shared" si="15"/>
        <v xml:space="preserve"> </v>
      </c>
      <c r="D223" s="41"/>
      <c r="E223" s="41"/>
      <c r="J223" s="17">
        <f t="shared" si="18"/>
        <v>0</v>
      </c>
      <c r="K223" s="2" t="str">
        <f t="shared" si="19"/>
        <v xml:space="preserve"> </v>
      </c>
      <c r="L223" s="2" t="str">
        <f t="shared" si="16"/>
        <v xml:space="preserve"> </v>
      </c>
      <c r="M223" s="2" t="str">
        <f t="shared" si="17"/>
        <v xml:space="preserve"> </v>
      </c>
    </row>
    <row r="224" spans="1:13" x14ac:dyDescent="0.25">
      <c r="A224" s="42" t="str">
        <f t="shared" si="15"/>
        <v xml:space="preserve"> </v>
      </c>
      <c r="D224" s="41"/>
      <c r="E224" s="41"/>
      <c r="J224" s="17">
        <f t="shared" si="18"/>
        <v>0</v>
      </c>
      <c r="K224" s="2" t="str">
        <f t="shared" si="19"/>
        <v xml:space="preserve"> </v>
      </c>
      <c r="L224" s="2" t="str">
        <f t="shared" si="16"/>
        <v xml:space="preserve"> </v>
      </c>
      <c r="M224" s="2" t="str">
        <f t="shared" si="17"/>
        <v xml:space="preserve"> </v>
      </c>
    </row>
    <row r="225" spans="1:13" x14ac:dyDescent="0.25">
      <c r="A225" s="42" t="str">
        <f t="shared" si="15"/>
        <v xml:space="preserve"> </v>
      </c>
      <c r="D225" s="41"/>
      <c r="E225" s="41"/>
      <c r="J225" s="17">
        <f t="shared" si="18"/>
        <v>0</v>
      </c>
      <c r="K225" s="2" t="str">
        <f t="shared" si="19"/>
        <v xml:space="preserve"> </v>
      </c>
      <c r="L225" s="2" t="str">
        <f t="shared" si="16"/>
        <v xml:space="preserve"> </v>
      </c>
      <c r="M225" s="2" t="str">
        <f t="shared" si="17"/>
        <v xml:space="preserve"> </v>
      </c>
    </row>
    <row r="226" spans="1:13" x14ac:dyDescent="0.25">
      <c r="A226" s="42" t="str">
        <f t="shared" si="15"/>
        <v xml:space="preserve"> </v>
      </c>
      <c r="D226" s="41"/>
      <c r="E226" s="41"/>
      <c r="J226" s="17">
        <f t="shared" si="18"/>
        <v>0</v>
      </c>
      <c r="K226" s="2" t="str">
        <f t="shared" si="19"/>
        <v xml:space="preserve"> </v>
      </c>
      <c r="L226" s="2" t="str">
        <f t="shared" si="16"/>
        <v xml:space="preserve"> </v>
      </c>
      <c r="M226" s="2" t="str">
        <f t="shared" si="17"/>
        <v xml:space="preserve"> </v>
      </c>
    </row>
    <row r="227" spans="1:13" x14ac:dyDescent="0.25">
      <c r="A227" s="42" t="str">
        <f t="shared" si="15"/>
        <v xml:space="preserve"> </v>
      </c>
      <c r="D227" s="41"/>
      <c r="E227" s="41"/>
      <c r="J227" s="17">
        <f t="shared" si="18"/>
        <v>0</v>
      </c>
      <c r="K227" s="2" t="str">
        <f t="shared" si="19"/>
        <v xml:space="preserve"> </v>
      </c>
      <c r="L227" s="2" t="str">
        <f t="shared" si="16"/>
        <v xml:space="preserve"> </v>
      </c>
      <c r="M227" s="2" t="str">
        <f t="shared" si="17"/>
        <v xml:space="preserve"> </v>
      </c>
    </row>
    <row r="228" spans="1:13" x14ac:dyDescent="0.25">
      <c r="A228" s="42" t="str">
        <f t="shared" si="15"/>
        <v xml:space="preserve"> </v>
      </c>
      <c r="D228" s="41"/>
      <c r="E228" s="41"/>
      <c r="J228" s="17">
        <f t="shared" si="18"/>
        <v>0</v>
      </c>
      <c r="K228" s="2" t="str">
        <f t="shared" si="19"/>
        <v xml:space="preserve"> </v>
      </c>
      <c r="L228" s="2" t="str">
        <f t="shared" si="16"/>
        <v xml:space="preserve"> </v>
      </c>
      <c r="M228" s="2" t="str">
        <f t="shared" si="17"/>
        <v xml:space="preserve"> </v>
      </c>
    </row>
    <row r="229" spans="1:13" x14ac:dyDescent="0.25">
      <c r="A229" s="42" t="str">
        <f t="shared" si="15"/>
        <v xml:space="preserve"> </v>
      </c>
      <c r="D229" s="41"/>
      <c r="E229" s="41"/>
      <c r="J229" s="17">
        <f t="shared" si="18"/>
        <v>0</v>
      </c>
      <c r="K229" s="2" t="str">
        <f t="shared" si="19"/>
        <v xml:space="preserve"> </v>
      </c>
      <c r="L229" s="2" t="str">
        <f t="shared" si="16"/>
        <v xml:space="preserve"> </v>
      </c>
      <c r="M229" s="2" t="str">
        <f t="shared" si="17"/>
        <v xml:space="preserve"> </v>
      </c>
    </row>
    <row r="230" spans="1:13" x14ac:dyDescent="0.25">
      <c r="A230" s="42" t="str">
        <f t="shared" si="15"/>
        <v xml:space="preserve"> </v>
      </c>
      <c r="D230" s="41"/>
      <c r="E230" s="41"/>
      <c r="J230" s="17">
        <f t="shared" si="18"/>
        <v>0</v>
      </c>
      <c r="K230" s="2" t="str">
        <f t="shared" si="19"/>
        <v xml:space="preserve"> </v>
      </c>
      <c r="L230" s="2" t="str">
        <f t="shared" si="16"/>
        <v xml:space="preserve"> </v>
      </c>
      <c r="M230" s="2" t="str">
        <f t="shared" si="17"/>
        <v xml:space="preserve"> </v>
      </c>
    </row>
    <row r="231" spans="1:13" x14ac:dyDescent="0.25">
      <c r="A231" s="42" t="str">
        <f t="shared" si="15"/>
        <v xml:space="preserve"> </v>
      </c>
      <c r="D231" s="41"/>
      <c r="E231" s="41"/>
      <c r="J231" s="17">
        <f t="shared" si="18"/>
        <v>0</v>
      </c>
      <c r="K231" s="2" t="str">
        <f t="shared" si="19"/>
        <v xml:space="preserve"> </v>
      </c>
      <c r="L231" s="2" t="str">
        <f t="shared" si="16"/>
        <v xml:space="preserve"> </v>
      </c>
      <c r="M231" s="2" t="str">
        <f t="shared" si="17"/>
        <v xml:space="preserve"> </v>
      </c>
    </row>
    <row r="232" spans="1:13" x14ac:dyDescent="0.25">
      <c r="A232" s="42" t="str">
        <f t="shared" si="15"/>
        <v xml:space="preserve"> </v>
      </c>
      <c r="D232" s="41"/>
      <c r="E232" s="41"/>
      <c r="J232" s="17">
        <f t="shared" si="18"/>
        <v>0</v>
      </c>
      <c r="K232" s="2" t="str">
        <f t="shared" si="19"/>
        <v xml:space="preserve"> </v>
      </c>
      <c r="L232" s="2" t="str">
        <f t="shared" si="16"/>
        <v xml:space="preserve"> </v>
      </c>
      <c r="M232" s="2" t="str">
        <f t="shared" si="17"/>
        <v xml:space="preserve"> </v>
      </c>
    </row>
    <row r="233" spans="1:13" x14ac:dyDescent="0.25">
      <c r="A233" s="42" t="str">
        <f t="shared" si="15"/>
        <v xml:space="preserve"> </v>
      </c>
      <c r="D233" s="41"/>
      <c r="E233" s="41"/>
      <c r="J233" s="17">
        <f t="shared" si="18"/>
        <v>0</v>
      </c>
      <c r="K233" s="2" t="str">
        <f t="shared" si="19"/>
        <v xml:space="preserve"> </v>
      </c>
      <c r="L233" s="2" t="str">
        <f t="shared" si="16"/>
        <v xml:space="preserve"> </v>
      </c>
      <c r="M233" s="2" t="str">
        <f t="shared" si="17"/>
        <v xml:space="preserve"> </v>
      </c>
    </row>
    <row r="234" spans="1:13" x14ac:dyDescent="0.25">
      <c r="A234" s="42" t="str">
        <f t="shared" si="15"/>
        <v xml:space="preserve"> </v>
      </c>
      <c r="D234" s="41"/>
      <c r="E234" s="41"/>
      <c r="J234" s="17">
        <f t="shared" si="18"/>
        <v>0</v>
      </c>
      <c r="K234" s="2" t="str">
        <f t="shared" si="19"/>
        <v xml:space="preserve"> </v>
      </c>
      <c r="L234" s="2" t="str">
        <f t="shared" si="16"/>
        <v xml:space="preserve"> </v>
      </c>
      <c r="M234" s="2" t="str">
        <f t="shared" si="17"/>
        <v xml:space="preserve"> </v>
      </c>
    </row>
    <row r="235" spans="1:13" x14ac:dyDescent="0.25">
      <c r="A235" s="42" t="str">
        <f t="shared" si="15"/>
        <v xml:space="preserve"> </v>
      </c>
      <c r="D235" s="41"/>
      <c r="E235" s="41"/>
      <c r="J235" s="17">
        <f t="shared" si="18"/>
        <v>0</v>
      </c>
      <c r="K235" s="2" t="str">
        <f t="shared" si="19"/>
        <v xml:space="preserve"> </v>
      </c>
      <c r="L235" s="2" t="str">
        <f t="shared" si="16"/>
        <v xml:space="preserve"> </v>
      </c>
      <c r="M235" s="2" t="str">
        <f t="shared" si="17"/>
        <v xml:space="preserve"> </v>
      </c>
    </row>
    <row r="236" spans="1:13" x14ac:dyDescent="0.25">
      <c r="A236" s="42" t="str">
        <f t="shared" si="15"/>
        <v xml:space="preserve"> </v>
      </c>
      <c r="D236" s="41"/>
      <c r="E236" s="41"/>
      <c r="J236" s="17">
        <f t="shared" si="18"/>
        <v>0</v>
      </c>
      <c r="K236" s="2" t="str">
        <f t="shared" si="19"/>
        <v xml:space="preserve"> </v>
      </c>
      <c r="L236" s="2" t="str">
        <f t="shared" si="16"/>
        <v xml:space="preserve"> </v>
      </c>
      <c r="M236" s="2" t="str">
        <f t="shared" si="17"/>
        <v xml:space="preserve"> </v>
      </c>
    </row>
    <row r="237" spans="1:13" x14ac:dyDescent="0.25">
      <c r="A237" s="42" t="str">
        <f t="shared" si="15"/>
        <v xml:space="preserve"> </v>
      </c>
      <c r="D237" s="41"/>
      <c r="E237" s="41"/>
      <c r="J237" s="17">
        <f t="shared" si="18"/>
        <v>0</v>
      </c>
      <c r="K237" s="2" t="str">
        <f t="shared" si="19"/>
        <v xml:space="preserve"> </v>
      </c>
      <c r="L237" s="2" t="str">
        <f t="shared" si="16"/>
        <v xml:space="preserve"> </v>
      </c>
      <c r="M237" s="2" t="str">
        <f t="shared" si="17"/>
        <v xml:space="preserve"> </v>
      </c>
    </row>
    <row r="238" spans="1:13" x14ac:dyDescent="0.25">
      <c r="A238" s="42" t="str">
        <f t="shared" si="15"/>
        <v xml:space="preserve"> </v>
      </c>
      <c r="D238" s="41"/>
      <c r="E238" s="41"/>
      <c r="J238" s="17">
        <f t="shared" si="18"/>
        <v>0</v>
      </c>
      <c r="K238" s="2" t="str">
        <f t="shared" si="19"/>
        <v xml:space="preserve"> </v>
      </c>
      <c r="L238" s="2" t="str">
        <f t="shared" si="16"/>
        <v xml:space="preserve"> </v>
      </c>
      <c r="M238" s="2" t="str">
        <f t="shared" si="17"/>
        <v xml:space="preserve"> </v>
      </c>
    </row>
    <row r="239" spans="1:13" x14ac:dyDescent="0.25">
      <c r="A239" s="42" t="str">
        <f t="shared" si="15"/>
        <v xml:space="preserve"> </v>
      </c>
      <c r="D239" s="41"/>
      <c r="E239" s="41"/>
      <c r="J239" s="17">
        <f t="shared" si="18"/>
        <v>0</v>
      </c>
      <c r="K239" s="2" t="str">
        <f t="shared" si="19"/>
        <v xml:space="preserve"> </v>
      </c>
      <c r="L239" s="2" t="str">
        <f t="shared" si="16"/>
        <v xml:space="preserve"> </v>
      </c>
      <c r="M239" s="2" t="str">
        <f t="shared" si="17"/>
        <v xml:space="preserve"> </v>
      </c>
    </row>
    <row r="240" spans="1:13" x14ac:dyDescent="0.25">
      <c r="A240" s="42" t="str">
        <f t="shared" si="15"/>
        <v xml:space="preserve"> </v>
      </c>
      <c r="D240" s="41"/>
      <c r="E240" s="41"/>
      <c r="J240" s="17">
        <f t="shared" si="18"/>
        <v>0</v>
      </c>
      <c r="K240" s="2" t="str">
        <f t="shared" si="19"/>
        <v xml:space="preserve"> </v>
      </c>
      <c r="L240" s="2" t="str">
        <f t="shared" si="16"/>
        <v xml:space="preserve"> </v>
      </c>
      <c r="M240" s="2" t="str">
        <f t="shared" si="17"/>
        <v xml:space="preserve"> </v>
      </c>
    </row>
    <row r="241" spans="1:13" x14ac:dyDescent="0.25">
      <c r="A241" s="42" t="str">
        <f t="shared" si="15"/>
        <v xml:space="preserve"> </v>
      </c>
      <c r="D241" s="41"/>
      <c r="E241" s="41"/>
      <c r="J241" s="17">
        <f t="shared" si="18"/>
        <v>0</v>
      </c>
      <c r="K241" s="2" t="str">
        <f t="shared" si="19"/>
        <v xml:space="preserve"> </v>
      </c>
      <c r="L241" s="2" t="str">
        <f t="shared" si="16"/>
        <v xml:space="preserve"> </v>
      </c>
      <c r="M241" s="2" t="str">
        <f t="shared" si="17"/>
        <v xml:space="preserve"> </v>
      </c>
    </row>
    <row r="242" spans="1:13" x14ac:dyDescent="0.25">
      <c r="A242" s="42" t="str">
        <f t="shared" si="15"/>
        <v xml:space="preserve"> </v>
      </c>
      <c r="D242" s="41"/>
      <c r="E242" s="41"/>
      <c r="J242" s="17">
        <f t="shared" si="18"/>
        <v>0</v>
      </c>
      <c r="K242" s="2" t="str">
        <f t="shared" si="19"/>
        <v xml:space="preserve"> </v>
      </c>
      <c r="L242" s="2" t="str">
        <f t="shared" si="16"/>
        <v xml:space="preserve"> </v>
      </c>
      <c r="M242" s="2" t="str">
        <f t="shared" si="17"/>
        <v xml:space="preserve"> </v>
      </c>
    </row>
    <row r="243" spans="1:13" x14ac:dyDescent="0.25">
      <c r="A243" s="42" t="str">
        <f t="shared" si="15"/>
        <v xml:space="preserve"> </v>
      </c>
      <c r="D243" s="41"/>
      <c r="E243" s="41"/>
      <c r="J243" s="17">
        <f t="shared" si="18"/>
        <v>0</v>
      </c>
      <c r="K243" s="2" t="str">
        <f t="shared" si="19"/>
        <v xml:space="preserve"> </v>
      </c>
      <c r="L243" s="2" t="str">
        <f t="shared" si="16"/>
        <v xml:space="preserve"> </v>
      </c>
      <c r="M243" s="2" t="str">
        <f t="shared" si="17"/>
        <v xml:space="preserve"> </v>
      </c>
    </row>
    <row r="244" spans="1:13" x14ac:dyDescent="0.25">
      <c r="A244" s="42" t="str">
        <f t="shared" si="15"/>
        <v xml:space="preserve"> </v>
      </c>
      <c r="D244" s="41"/>
      <c r="E244" s="41"/>
      <c r="J244" s="17">
        <f t="shared" si="18"/>
        <v>0</v>
      </c>
      <c r="K244" s="2" t="str">
        <f t="shared" si="19"/>
        <v xml:space="preserve"> </v>
      </c>
      <c r="L244" s="2" t="str">
        <f t="shared" si="16"/>
        <v xml:space="preserve"> </v>
      </c>
      <c r="M244" s="2" t="str">
        <f t="shared" si="17"/>
        <v xml:space="preserve"> </v>
      </c>
    </row>
    <row r="245" spans="1:13" x14ac:dyDescent="0.25">
      <c r="A245" s="42" t="str">
        <f t="shared" si="15"/>
        <v xml:space="preserve"> </v>
      </c>
      <c r="D245" s="41"/>
      <c r="E245" s="41"/>
      <c r="J245" s="17">
        <f t="shared" si="18"/>
        <v>0</v>
      </c>
      <c r="K245" s="2" t="str">
        <f t="shared" si="19"/>
        <v xml:space="preserve"> </v>
      </c>
      <c r="L245" s="2" t="str">
        <f t="shared" si="16"/>
        <v xml:space="preserve"> </v>
      </c>
      <c r="M245" s="2" t="str">
        <f t="shared" si="17"/>
        <v xml:space="preserve"> </v>
      </c>
    </row>
    <row r="246" spans="1:13" x14ac:dyDescent="0.25">
      <c r="A246" s="42" t="str">
        <f t="shared" si="15"/>
        <v xml:space="preserve"> </v>
      </c>
      <c r="D246" s="41"/>
      <c r="E246" s="41"/>
      <c r="J246" s="17">
        <f t="shared" si="18"/>
        <v>0</v>
      </c>
      <c r="K246" s="2" t="str">
        <f t="shared" si="19"/>
        <v xml:space="preserve"> </v>
      </c>
      <c r="L246" s="2" t="str">
        <f t="shared" si="16"/>
        <v xml:space="preserve"> </v>
      </c>
      <c r="M246" s="2" t="str">
        <f t="shared" si="17"/>
        <v xml:space="preserve"> </v>
      </c>
    </row>
    <row r="247" spans="1:13" x14ac:dyDescent="0.25">
      <c r="A247" s="42" t="str">
        <f t="shared" si="15"/>
        <v xml:space="preserve"> </v>
      </c>
      <c r="D247" s="41"/>
      <c r="E247" s="41"/>
      <c r="J247" s="17">
        <f t="shared" si="18"/>
        <v>0</v>
      </c>
      <c r="K247" s="2" t="str">
        <f t="shared" si="19"/>
        <v xml:space="preserve"> </v>
      </c>
      <c r="L247" s="2" t="str">
        <f t="shared" si="16"/>
        <v xml:space="preserve"> </v>
      </c>
      <c r="M247" s="2" t="str">
        <f t="shared" si="17"/>
        <v xml:space="preserve"> </v>
      </c>
    </row>
    <row r="248" spans="1:13" x14ac:dyDescent="0.25">
      <c r="A248" s="42" t="str">
        <f t="shared" si="15"/>
        <v xml:space="preserve"> </v>
      </c>
      <c r="D248" s="41"/>
      <c r="E248" s="41"/>
      <c r="J248" s="17">
        <f t="shared" si="18"/>
        <v>0</v>
      </c>
      <c r="K248" s="2" t="str">
        <f t="shared" si="19"/>
        <v xml:space="preserve"> </v>
      </c>
      <c r="L248" s="2" t="str">
        <f t="shared" si="16"/>
        <v xml:space="preserve"> </v>
      </c>
      <c r="M248" s="2" t="str">
        <f t="shared" si="17"/>
        <v xml:space="preserve"> </v>
      </c>
    </row>
    <row r="249" spans="1:13" x14ac:dyDescent="0.25">
      <c r="A249" s="42" t="str">
        <f t="shared" si="15"/>
        <v xml:space="preserve"> </v>
      </c>
      <c r="D249" s="41"/>
      <c r="E249" s="41"/>
      <c r="J249" s="17">
        <f t="shared" si="18"/>
        <v>0</v>
      </c>
      <c r="K249" s="2" t="str">
        <f t="shared" si="19"/>
        <v xml:space="preserve"> </v>
      </c>
      <c r="L249" s="2" t="str">
        <f t="shared" si="16"/>
        <v xml:space="preserve"> </v>
      </c>
      <c r="M249" s="2" t="str">
        <f t="shared" si="17"/>
        <v xml:space="preserve"> </v>
      </c>
    </row>
    <row r="250" spans="1:13" x14ac:dyDescent="0.25">
      <c r="A250" s="42" t="str">
        <f t="shared" si="15"/>
        <v xml:space="preserve"> </v>
      </c>
      <c r="D250" s="41"/>
      <c r="E250" s="41"/>
      <c r="J250" s="17">
        <f t="shared" si="18"/>
        <v>0</v>
      </c>
      <c r="K250" s="2" t="str">
        <f t="shared" si="19"/>
        <v xml:space="preserve"> </v>
      </c>
      <c r="L250" s="2" t="str">
        <f t="shared" si="16"/>
        <v xml:space="preserve"> </v>
      </c>
      <c r="M250" s="2" t="str">
        <f t="shared" si="17"/>
        <v xml:space="preserve"> </v>
      </c>
    </row>
    <row r="251" spans="1:13" x14ac:dyDescent="0.25">
      <c r="A251" s="42" t="str">
        <f t="shared" si="15"/>
        <v xml:space="preserve"> </v>
      </c>
      <c r="D251" s="41"/>
      <c r="E251" s="41"/>
      <c r="J251" s="17">
        <f t="shared" si="18"/>
        <v>0</v>
      </c>
      <c r="K251" s="2" t="str">
        <f t="shared" si="19"/>
        <v xml:space="preserve"> </v>
      </c>
      <c r="L251" s="2" t="str">
        <f t="shared" si="16"/>
        <v xml:space="preserve"> </v>
      </c>
      <c r="M251" s="2" t="str">
        <f t="shared" si="17"/>
        <v xml:space="preserve"> </v>
      </c>
    </row>
    <row r="252" spans="1:13" x14ac:dyDescent="0.25">
      <c r="A252" s="42" t="str">
        <f t="shared" si="15"/>
        <v xml:space="preserve"> </v>
      </c>
      <c r="D252" s="41"/>
      <c r="E252" s="41"/>
      <c r="J252" s="17">
        <f t="shared" si="18"/>
        <v>0</v>
      </c>
      <c r="K252" s="2" t="str">
        <f t="shared" si="19"/>
        <v xml:space="preserve"> </v>
      </c>
      <c r="L252" s="2" t="str">
        <f t="shared" si="16"/>
        <v xml:space="preserve"> </v>
      </c>
      <c r="M252" s="2" t="str">
        <f t="shared" si="17"/>
        <v xml:space="preserve"> </v>
      </c>
    </row>
    <row r="253" spans="1:13" x14ac:dyDescent="0.25">
      <c r="A253" s="42" t="str">
        <f t="shared" si="15"/>
        <v xml:space="preserve"> </v>
      </c>
      <c r="D253" s="41"/>
      <c r="E253" s="41"/>
      <c r="J253" s="17">
        <f t="shared" si="18"/>
        <v>0</v>
      </c>
      <c r="K253" s="2" t="str">
        <f t="shared" si="19"/>
        <v xml:space="preserve"> </v>
      </c>
      <c r="L253" s="2" t="str">
        <f t="shared" si="16"/>
        <v xml:space="preserve"> </v>
      </c>
      <c r="M253" s="2" t="str">
        <f t="shared" si="17"/>
        <v xml:space="preserve"> </v>
      </c>
    </row>
    <row r="254" spans="1:13" x14ac:dyDescent="0.25">
      <c r="A254" s="42" t="str">
        <f t="shared" si="15"/>
        <v xml:space="preserve"> </v>
      </c>
      <c r="D254" s="41"/>
      <c r="E254" s="41"/>
      <c r="J254" s="17">
        <f t="shared" si="18"/>
        <v>0</v>
      </c>
      <c r="K254" s="2" t="str">
        <f t="shared" si="19"/>
        <v xml:space="preserve"> </v>
      </c>
      <c r="L254" s="2" t="str">
        <f t="shared" si="16"/>
        <v xml:space="preserve"> </v>
      </c>
      <c r="M254" s="2" t="str">
        <f t="shared" si="17"/>
        <v xml:space="preserve"> </v>
      </c>
    </row>
    <row r="255" spans="1:13" x14ac:dyDescent="0.25">
      <c r="A255" s="42" t="str">
        <f t="shared" si="15"/>
        <v xml:space="preserve"> </v>
      </c>
      <c r="D255" s="41"/>
      <c r="E255" s="41"/>
      <c r="J255" s="17">
        <f t="shared" si="18"/>
        <v>0</v>
      </c>
      <c r="K255" s="2" t="str">
        <f t="shared" si="19"/>
        <v xml:space="preserve"> </v>
      </c>
      <c r="L255" s="2" t="str">
        <f t="shared" si="16"/>
        <v xml:space="preserve"> </v>
      </c>
      <c r="M255" s="2" t="str">
        <f t="shared" si="17"/>
        <v xml:space="preserve"> </v>
      </c>
    </row>
    <row r="256" spans="1:13" x14ac:dyDescent="0.25">
      <c r="A256" s="42" t="str">
        <f t="shared" si="15"/>
        <v xml:space="preserve"> </v>
      </c>
      <c r="D256" s="41"/>
      <c r="E256" s="41"/>
      <c r="J256" s="17">
        <f t="shared" si="18"/>
        <v>0</v>
      </c>
      <c r="K256" s="2" t="str">
        <f t="shared" si="19"/>
        <v xml:space="preserve"> </v>
      </c>
      <c r="L256" s="2" t="str">
        <f t="shared" si="16"/>
        <v xml:space="preserve"> </v>
      </c>
      <c r="M256" s="2" t="str">
        <f t="shared" si="17"/>
        <v xml:space="preserve"> </v>
      </c>
    </row>
    <row r="257" spans="1:13" x14ac:dyDescent="0.25">
      <c r="A257" s="42" t="str">
        <f t="shared" si="15"/>
        <v xml:space="preserve"> </v>
      </c>
      <c r="D257" s="41"/>
      <c r="E257" s="41"/>
      <c r="J257" s="17">
        <f t="shared" si="18"/>
        <v>0</v>
      </c>
      <c r="K257" s="2" t="str">
        <f t="shared" si="19"/>
        <v xml:space="preserve"> </v>
      </c>
      <c r="L257" s="2" t="str">
        <f t="shared" si="16"/>
        <v xml:space="preserve"> </v>
      </c>
      <c r="M257" s="2" t="str">
        <f t="shared" si="17"/>
        <v xml:space="preserve"> </v>
      </c>
    </row>
    <row r="258" spans="1:13" x14ac:dyDescent="0.25">
      <c r="A258" s="42" t="str">
        <f t="shared" si="15"/>
        <v xml:space="preserve"> </v>
      </c>
      <c r="D258" s="41"/>
      <c r="E258" s="41"/>
      <c r="J258" s="17">
        <f t="shared" si="18"/>
        <v>0</v>
      </c>
      <c r="K258" s="2" t="str">
        <f t="shared" si="19"/>
        <v xml:space="preserve"> </v>
      </c>
      <c r="L258" s="2" t="str">
        <f t="shared" si="16"/>
        <v xml:space="preserve"> </v>
      </c>
      <c r="M258" s="2" t="str">
        <f t="shared" si="17"/>
        <v xml:space="preserve"> </v>
      </c>
    </row>
    <row r="259" spans="1:13" x14ac:dyDescent="0.25">
      <c r="A259" s="42" t="str">
        <f t="shared" si="15"/>
        <v xml:space="preserve"> </v>
      </c>
      <c r="D259" s="41"/>
      <c r="E259" s="41"/>
      <c r="J259" s="17">
        <f t="shared" si="18"/>
        <v>0</v>
      </c>
      <c r="K259" s="2" t="str">
        <f t="shared" si="19"/>
        <v xml:space="preserve"> </v>
      </c>
      <c r="L259" s="2" t="str">
        <f t="shared" si="16"/>
        <v xml:space="preserve"> </v>
      </c>
      <c r="M259" s="2" t="str">
        <f t="shared" si="17"/>
        <v xml:space="preserve"> </v>
      </c>
    </row>
    <row r="260" spans="1:13" x14ac:dyDescent="0.25">
      <c r="A260" s="42" t="str">
        <f t="shared" si="15"/>
        <v xml:space="preserve"> </v>
      </c>
      <c r="D260" s="41"/>
      <c r="E260" s="41"/>
      <c r="J260" s="17">
        <f t="shared" si="18"/>
        <v>0</v>
      </c>
      <c r="K260" s="2" t="str">
        <f t="shared" si="19"/>
        <v xml:space="preserve"> </v>
      </c>
      <c r="L260" s="2" t="str">
        <f t="shared" si="16"/>
        <v xml:space="preserve"> </v>
      </c>
      <c r="M260" s="2" t="str">
        <f t="shared" si="17"/>
        <v xml:space="preserve"> </v>
      </c>
    </row>
    <row r="261" spans="1:13" x14ac:dyDescent="0.25">
      <c r="A261" s="42" t="str">
        <f t="shared" si="15"/>
        <v xml:space="preserve"> </v>
      </c>
      <c r="D261" s="41"/>
      <c r="E261" s="41"/>
      <c r="J261" s="17">
        <f t="shared" si="18"/>
        <v>0</v>
      </c>
      <c r="K261" s="2" t="str">
        <f t="shared" si="19"/>
        <v xml:space="preserve"> </v>
      </c>
      <c r="L261" s="2" t="str">
        <f t="shared" si="16"/>
        <v xml:space="preserve"> </v>
      </c>
      <c r="M261" s="2" t="str">
        <f t="shared" si="17"/>
        <v xml:space="preserve"> </v>
      </c>
    </row>
    <row r="262" spans="1:13" x14ac:dyDescent="0.25">
      <c r="A262" s="42" t="str">
        <f t="shared" si="15"/>
        <v xml:space="preserve"> </v>
      </c>
      <c r="D262" s="41"/>
      <c r="E262" s="41"/>
      <c r="J262" s="17">
        <f t="shared" si="18"/>
        <v>0</v>
      </c>
      <c r="K262" s="2" t="str">
        <f t="shared" si="19"/>
        <v xml:space="preserve"> </v>
      </c>
      <c r="L262" s="2" t="str">
        <f t="shared" si="16"/>
        <v xml:space="preserve"> </v>
      </c>
      <c r="M262" s="2" t="str">
        <f t="shared" si="17"/>
        <v xml:space="preserve"> </v>
      </c>
    </row>
    <row r="263" spans="1:13" x14ac:dyDescent="0.25">
      <c r="A263" s="42" t="str">
        <f t="shared" si="15"/>
        <v xml:space="preserve"> </v>
      </c>
      <c r="D263" s="41"/>
      <c r="E263" s="41"/>
      <c r="J263" s="17">
        <f t="shared" si="18"/>
        <v>0</v>
      </c>
      <c r="K263" s="2" t="str">
        <f t="shared" si="19"/>
        <v xml:space="preserve"> </v>
      </c>
      <c r="L263" s="2" t="str">
        <f t="shared" si="16"/>
        <v xml:space="preserve"> </v>
      </c>
      <c r="M263" s="2" t="str">
        <f t="shared" si="17"/>
        <v xml:space="preserve"> </v>
      </c>
    </row>
    <row r="264" spans="1:13" x14ac:dyDescent="0.25">
      <c r="A264" s="42" t="str">
        <f t="shared" si="15"/>
        <v xml:space="preserve"> </v>
      </c>
      <c r="D264" s="41"/>
      <c r="E264" s="41"/>
      <c r="J264" s="17">
        <f t="shared" si="18"/>
        <v>0</v>
      </c>
      <c r="K264" s="2" t="str">
        <f t="shared" si="19"/>
        <v xml:space="preserve"> </v>
      </c>
      <c r="L264" s="2" t="str">
        <f t="shared" si="16"/>
        <v xml:space="preserve"> </v>
      </c>
      <c r="M264" s="2" t="str">
        <f t="shared" si="17"/>
        <v xml:space="preserve"> </v>
      </c>
    </row>
    <row r="265" spans="1:13" x14ac:dyDescent="0.25">
      <c r="A265" s="42" t="str">
        <f t="shared" si="15"/>
        <v xml:space="preserve"> </v>
      </c>
      <c r="D265" s="41"/>
      <c r="E265" s="41"/>
      <c r="J265" s="17">
        <f t="shared" si="18"/>
        <v>0</v>
      </c>
      <c r="K265" s="2" t="str">
        <f t="shared" si="19"/>
        <v xml:space="preserve"> </v>
      </c>
      <c r="L265" s="2" t="str">
        <f t="shared" si="16"/>
        <v xml:space="preserve"> </v>
      </c>
      <c r="M265" s="2" t="str">
        <f t="shared" si="17"/>
        <v xml:space="preserve"> </v>
      </c>
    </row>
    <row r="266" spans="1:13" x14ac:dyDescent="0.25">
      <c r="A266" s="42" t="str">
        <f t="shared" si="15"/>
        <v xml:space="preserve"> </v>
      </c>
      <c r="D266" s="41"/>
      <c r="E266" s="41"/>
      <c r="J266" s="17">
        <f t="shared" si="18"/>
        <v>0</v>
      </c>
      <c r="K266" s="2" t="str">
        <f t="shared" si="19"/>
        <v xml:space="preserve"> </v>
      </c>
      <c r="L266" s="2" t="str">
        <f t="shared" si="16"/>
        <v xml:space="preserve"> </v>
      </c>
      <c r="M266" s="2" t="str">
        <f t="shared" si="17"/>
        <v xml:space="preserve"> </v>
      </c>
    </row>
    <row r="267" spans="1:13" x14ac:dyDescent="0.25">
      <c r="A267" s="42" t="str">
        <f t="shared" si="15"/>
        <v xml:space="preserve"> </v>
      </c>
      <c r="D267" s="41"/>
      <c r="E267" s="41"/>
      <c r="J267" s="17">
        <f t="shared" si="18"/>
        <v>0</v>
      </c>
      <c r="K267" s="2" t="str">
        <f t="shared" si="19"/>
        <v xml:space="preserve"> </v>
      </c>
      <c r="L267" s="2" t="str">
        <f t="shared" si="16"/>
        <v xml:space="preserve"> </v>
      </c>
      <c r="M267" s="2" t="str">
        <f t="shared" si="17"/>
        <v xml:space="preserve"> </v>
      </c>
    </row>
    <row r="268" spans="1:13" x14ac:dyDescent="0.25">
      <c r="A268" s="42" t="str">
        <f t="shared" si="15"/>
        <v xml:space="preserve"> </v>
      </c>
      <c r="D268" s="41"/>
      <c r="E268" s="41"/>
      <c r="J268" s="17">
        <f t="shared" si="18"/>
        <v>0</v>
      </c>
      <c r="K268" s="2" t="str">
        <f t="shared" si="19"/>
        <v xml:space="preserve"> </v>
      </c>
      <c r="L268" s="2" t="str">
        <f t="shared" si="16"/>
        <v xml:space="preserve"> </v>
      </c>
      <c r="M268" s="2" t="str">
        <f t="shared" si="17"/>
        <v xml:space="preserve"> </v>
      </c>
    </row>
    <row r="269" spans="1:13" x14ac:dyDescent="0.25">
      <c r="A269" s="42" t="str">
        <f t="shared" si="15"/>
        <v xml:space="preserve"> </v>
      </c>
      <c r="D269" s="41"/>
      <c r="E269" s="41"/>
      <c r="J269" s="17">
        <f t="shared" si="18"/>
        <v>0</v>
      </c>
      <c r="K269" s="2" t="str">
        <f t="shared" si="19"/>
        <v xml:space="preserve"> </v>
      </c>
      <c r="L269" s="2" t="str">
        <f t="shared" si="16"/>
        <v xml:space="preserve"> </v>
      </c>
      <c r="M269" s="2" t="str">
        <f t="shared" si="17"/>
        <v xml:space="preserve"> </v>
      </c>
    </row>
    <row r="270" spans="1:13" x14ac:dyDescent="0.25">
      <c r="A270" s="42" t="str">
        <f t="shared" si="15"/>
        <v xml:space="preserve"> </v>
      </c>
      <c r="D270" s="41"/>
      <c r="E270" s="41"/>
      <c r="J270" s="17">
        <f t="shared" si="18"/>
        <v>0</v>
      </c>
      <c r="K270" s="2" t="str">
        <f t="shared" si="19"/>
        <v xml:space="preserve"> </v>
      </c>
      <c r="L270" s="2" t="str">
        <f t="shared" si="16"/>
        <v xml:space="preserve"> </v>
      </c>
      <c r="M270" s="2" t="str">
        <f t="shared" si="17"/>
        <v xml:space="preserve"> </v>
      </c>
    </row>
    <row r="271" spans="1:13" x14ac:dyDescent="0.25">
      <c r="A271" s="42" t="str">
        <f t="shared" ref="A271:A334" si="20">IF(COUNTIF(K271:M271,"ERROR")&gt;0,"ERROR"," ")</f>
        <v xml:space="preserve"> </v>
      </c>
      <c r="D271" s="41"/>
      <c r="E271" s="41"/>
      <c r="J271" s="17">
        <f t="shared" si="18"/>
        <v>0</v>
      </c>
      <c r="K271" s="2" t="str">
        <f t="shared" si="19"/>
        <v xml:space="preserve"> </v>
      </c>
      <c r="L271" s="2" t="str">
        <f t="shared" ref="L271:L334" si="21">IF(D271=0," ",IF(COUNTIF(ProfitLoss3,D271)&gt;0," ","ERROR"))</f>
        <v xml:space="preserve"> </v>
      </c>
      <c r="M271" s="2" t="str">
        <f t="shared" ref="M271:M334" si="22">IF(E271=0," ",IF(COUNTIF(BalanceSheet3,E271)&gt;0," ","ERROR"))</f>
        <v xml:space="preserve"> </v>
      </c>
    </row>
    <row r="272" spans="1:13" x14ac:dyDescent="0.25">
      <c r="A272" s="42" t="str">
        <f t="shared" si="20"/>
        <v xml:space="preserve"> </v>
      </c>
      <c r="D272" s="41"/>
      <c r="E272" s="41"/>
      <c r="J272" s="17">
        <f t="shared" ref="J272:J335" si="23">F272-G272+H272-I272</f>
        <v>0</v>
      </c>
      <c r="K272" s="2" t="str">
        <f t="shared" ref="K272:K335" si="24">IF(COUNTA(D272:E272)=2,"ERROR"," ")</f>
        <v xml:space="preserve"> </v>
      </c>
      <c r="L272" s="2" t="str">
        <f t="shared" si="21"/>
        <v xml:space="preserve"> </v>
      </c>
      <c r="M272" s="2" t="str">
        <f t="shared" si="22"/>
        <v xml:space="preserve"> </v>
      </c>
    </row>
    <row r="273" spans="1:13" x14ac:dyDescent="0.25">
      <c r="A273" s="42" t="str">
        <f t="shared" si="20"/>
        <v xml:space="preserve"> </v>
      </c>
      <c r="D273" s="41"/>
      <c r="E273" s="41"/>
      <c r="J273" s="17">
        <f t="shared" si="23"/>
        <v>0</v>
      </c>
      <c r="K273" s="2" t="str">
        <f t="shared" si="24"/>
        <v xml:space="preserve"> </v>
      </c>
      <c r="L273" s="2" t="str">
        <f t="shared" si="21"/>
        <v xml:space="preserve"> </v>
      </c>
      <c r="M273" s="2" t="str">
        <f t="shared" si="22"/>
        <v xml:space="preserve"> </v>
      </c>
    </row>
    <row r="274" spans="1:13" x14ac:dyDescent="0.25">
      <c r="A274" s="42" t="str">
        <f t="shared" si="20"/>
        <v xml:space="preserve"> </v>
      </c>
      <c r="D274" s="41"/>
      <c r="E274" s="41"/>
      <c r="J274" s="17">
        <f t="shared" si="23"/>
        <v>0</v>
      </c>
      <c r="K274" s="2" t="str">
        <f t="shared" si="24"/>
        <v xml:space="preserve"> </v>
      </c>
      <c r="L274" s="2" t="str">
        <f t="shared" si="21"/>
        <v xml:space="preserve"> </v>
      </c>
      <c r="M274" s="2" t="str">
        <f t="shared" si="22"/>
        <v xml:space="preserve"> </v>
      </c>
    </row>
    <row r="275" spans="1:13" x14ac:dyDescent="0.25">
      <c r="A275" s="42" t="str">
        <f t="shared" si="20"/>
        <v xml:space="preserve"> </v>
      </c>
      <c r="D275" s="41"/>
      <c r="E275" s="41"/>
      <c r="J275" s="17">
        <f t="shared" si="23"/>
        <v>0</v>
      </c>
      <c r="K275" s="2" t="str">
        <f t="shared" si="24"/>
        <v xml:space="preserve"> </v>
      </c>
      <c r="L275" s="2" t="str">
        <f t="shared" si="21"/>
        <v xml:space="preserve"> </v>
      </c>
      <c r="M275" s="2" t="str">
        <f t="shared" si="22"/>
        <v xml:space="preserve"> </v>
      </c>
    </row>
    <row r="276" spans="1:13" x14ac:dyDescent="0.25">
      <c r="A276" s="42" t="str">
        <f t="shared" si="20"/>
        <v xml:space="preserve"> </v>
      </c>
      <c r="D276" s="41"/>
      <c r="E276" s="41"/>
      <c r="J276" s="17">
        <f t="shared" si="23"/>
        <v>0</v>
      </c>
      <c r="K276" s="2" t="str">
        <f t="shared" si="24"/>
        <v xml:space="preserve"> </v>
      </c>
      <c r="L276" s="2" t="str">
        <f t="shared" si="21"/>
        <v xml:space="preserve"> </v>
      </c>
      <c r="M276" s="2" t="str">
        <f t="shared" si="22"/>
        <v xml:space="preserve"> </v>
      </c>
    </row>
    <row r="277" spans="1:13" x14ac:dyDescent="0.25">
      <c r="A277" s="42" t="str">
        <f t="shared" si="20"/>
        <v xml:space="preserve"> </v>
      </c>
      <c r="D277" s="41"/>
      <c r="E277" s="41"/>
      <c r="J277" s="17">
        <f t="shared" si="23"/>
        <v>0</v>
      </c>
      <c r="K277" s="2" t="str">
        <f t="shared" si="24"/>
        <v xml:space="preserve"> </v>
      </c>
      <c r="L277" s="2" t="str">
        <f t="shared" si="21"/>
        <v xml:space="preserve"> </v>
      </c>
      <c r="M277" s="2" t="str">
        <f t="shared" si="22"/>
        <v xml:space="preserve"> </v>
      </c>
    </row>
    <row r="278" spans="1:13" x14ac:dyDescent="0.25">
      <c r="A278" s="42" t="str">
        <f t="shared" si="20"/>
        <v xml:space="preserve"> </v>
      </c>
      <c r="D278" s="41"/>
      <c r="E278" s="41"/>
      <c r="J278" s="17">
        <f t="shared" si="23"/>
        <v>0</v>
      </c>
      <c r="K278" s="2" t="str">
        <f t="shared" si="24"/>
        <v xml:space="preserve"> </v>
      </c>
      <c r="L278" s="2" t="str">
        <f t="shared" si="21"/>
        <v xml:space="preserve"> </v>
      </c>
      <c r="M278" s="2" t="str">
        <f t="shared" si="22"/>
        <v xml:space="preserve"> </v>
      </c>
    </row>
    <row r="279" spans="1:13" x14ac:dyDescent="0.25">
      <c r="A279" s="42" t="str">
        <f t="shared" si="20"/>
        <v xml:space="preserve"> </v>
      </c>
      <c r="D279" s="41"/>
      <c r="E279" s="41"/>
      <c r="J279" s="17">
        <f t="shared" si="23"/>
        <v>0</v>
      </c>
      <c r="K279" s="2" t="str">
        <f t="shared" si="24"/>
        <v xml:space="preserve"> </v>
      </c>
      <c r="L279" s="2" t="str">
        <f t="shared" si="21"/>
        <v xml:space="preserve"> </v>
      </c>
      <c r="M279" s="2" t="str">
        <f t="shared" si="22"/>
        <v xml:space="preserve"> </v>
      </c>
    </row>
    <row r="280" spans="1:13" x14ac:dyDescent="0.25">
      <c r="A280" s="42" t="str">
        <f t="shared" si="20"/>
        <v xml:space="preserve"> </v>
      </c>
      <c r="D280" s="41"/>
      <c r="E280" s="41"/>
      <c r="J280" s="17">
        <f t="shared" si="23"/>
        <v>0</v>
      </c>
      <c r="K280" s="2" t="str">
        <f t="shared" si="24"/>
        <v xml:space="preserve"> </v>
      </c>
      <c r="L280" s="2" t="str">
        <f t="shared" si="21"/>
        <v xml:space="preserve"> </v>
      </c>
      <c r="M280" s="2" t="str">
        <f t="shared" si="22"/>
        <v xml:space="preserve"> </v>
      </c>
    </row>
    <row r="281" spans="1:13" x14ac:dyDescent="0.25">
      <c r="A281" s="42" t="str">
        <f t="shared" si="20"/>
        <v xml:space="preserve"> </v>
      </c>
      <c r="D281" s="41"/>
      <c r="E281" s="41"/>
      <c r="J281" s="17">
        <f t="shared" si="23"/>
        <v>0</v>
      </c>
      <c r="K281" s="2" t="str">
        <f t="shared" si="24"/>
        <v xml:space="preserve"> </v>
      </c>
      <c r="L281" s="2" t="str">
        <f t="shared" si="21"/>
        <v xml:space="preserve"> </v>
      </c>
      <c r="M281" s="2" t="str">
        <f t="shared" si="22"/>
        <v xml:space="preserve"> </v>
      </c>
    </row>
    <row r="282" spans="1:13" x14ac:dyDescent="0.25">
      <c r="A282" s="42" t="str">
        <f t="shared" si="20"/>
        <v xml:space="preserve"> </v>
      </c>
      <c r="D282" s="41"/>
      <c r="E282" s="41"/>
      <c r="J282" s="17">
        <f t="shared" si="23"/>
        <v>0</v>
      </c>
      <c r="K282" s="2" t="str">
        <f t="shared" si="24"/>
        <v xml:space="preserve"> </v>
      </c>
      <c r="L282" s="2" t="str">
        <f t="shared" si="21"/>
        <v xml:space="preserve"> </v>
      </c>
      <c r="M282" s="2" t="str">
        <f t="shared" si="22"/>
        <v xml:space="preserve"> </v>
      </c>
    </row>
    <row r="283" spans="1:13" x14ac:dyDescent="0.25">
      <c r="A283" s="42" t="str">
        <f t="shared" si="20"/>
        <v xml:space="preserve"> </v>
      </c>
      <c r="D283" s="41"/>
      <c r="E283" s="41"/>
      <c r="J283" s="17">
        <f t="shared" si="23"/>
        <v>0</v>
      </c>
      <c r="K283" s="2" t="str">
        <f t="shared" si="24"/>
        <v xml:space="preserve"> </v>
      </c>
      <c r="L283" s="2" t="str">
        <f t="shared" si="21"/>
        <v xml:space="preserve"> </v>
      </c>
      <c r="M283" s="2" t="str">
        <f t="shared" si="22"/>
        <v xml:space="preserve"> </v>
      </c>
    </row>
    <row r="284" spans="1:13" x14ac:dyDescent="0.25">
      <c r="A284" s="42" t="str">
        <f t="shared" si="20"/>
        <v xml:space="preserve"> </v>
      </c>
      <c r="D284" s="41"/>
      <c r="E284" s="41"/>
      <c r="J284" s="17">
        <f t="shared" si="23"/>
        <v>0</v>
      </c>
      <c r="K284" s="2" t="str">
        <f t="shared" si="24"/>
        <v xml:space="preserve"> </v>
      </c>
      <c r="L284" s="2" t="str">
        <f t="shared" si="21"/>
        <v xml:space="preserve"> </v>
      </c>
      <c r="M284" s="2" t="str">
        <f t="shared" si="22"/>
        <v xml:space="preserve"> </v>
      </c>
    </row>
    <row r="285" spans="1:13" x14ac:dyDescent="0.25">
      <c r="A285" s="42" t="str">
        <f t="shared" si="20"/>
        <v xml:space="preserve"> </v>
      </c>
      <c r="D285" s="41"/>
      <c r="E285" s="41"/>
      <c r="J285" s="17">
        <f t="shared" si="23"/>
        <v>0</v>
      </c>
      <c r="K285" s="2" t="str">
        <f t="shared" si="24"/>
        <v xml:space="preserve"> </v>
      </c>
      <c r="L285" s="2" t="str">
        <f t="shared" si="21"/>
        <v xml:space="preserve"> </v>
      </c>
      <c r="M285" s="2" t="str">
        <f t="shared" si="22"/>
        <v xml:space="preserve"> </v>
      </c>
    </row>
    <row r="286" spans="1:13" x14ac:dyDescent="0.25">
      <c r="A286" s="42" t="str">
        <f t="shared" si="20"/>
        <v xml:space="preserve"> </v>
      </c>
      <c r="D286" s="41"/>
      <c r="E286" s="41"/>
      <c r="J286" s="17">
        <f t="shared" si="23"/>
        <v>0</v>
      </c>
      <c r="K286" s="2" t="str">
        <f t="shared" si="24"/>
        <v xml:space="preserve"> </v>
      </c>
      <c r="L286" s="2" t="str">
        <f t="shared" si="21"/>
        <v xml:space="preserve"> </v>
      </c>
      <c r="M286" s="2" t="str">
        <f t="shared" si="22"/>
        <v xml:space="preserve"> </v>
      </c>
    </row>
    <row r="287" spans="1:13" x14ac:dyDescent="0.25">
      <c r="A287" s="42" t="str">
        <f t="shared" si="20"/>
        <v xml:space="preserve"> </v>
      </c>
      <c r="D287" s="41"/>
      <c r="E287" s="41"/>
      <c r="J287" s="17">
        <f t="shared" si="23"/>
        <v>0</v>
      </c>
      <c r="K287" s="2" t="str">
        <f t="shared" si="24"/>
        <v xml:space="preserve"> </v>
      </c>
      <c r="L287" s="2" t="str">
        <f t="shared" si="21"/>
        <v xml:space="preserve"> </v>
      </c>
      <c r="M287" s="2" t="str">
        <f t="shared" si="22"/>
        <v xml:space="preserve"> </v>
      </c>
    </row>
    <row r="288" spans="1:13" x14ac:dyDescent="0.25">
      <c r="A288" s="42" t="str">
        <f t="shared" si="20"/>
        <v xml:space="preserve"> </v>
      </c>
      <c r="D288" s="41"/>
      <c r="E288" s="41"/>
      <c r="J288" s="17">
        <f t="shared" si="23"/>
        <v>0</v>
      </c>
      <c r="K288" s="2" t="str">
        <f t="shared" si="24"/>
        <v xml:space="preserve"> </v>
      </c>
      <c r="L288" s="2" t="str">
        <f t="shared" si="21"/>
        <v xml:space="preserve"> </v>
      </c>
      <c r="M288" s="2" t="str">
        <f t="shared" si="22"/>
        <v xml:space="preserve"> </v>
      </c>
    </row>
    <row r="289" spans="1:13" x14ac:dyDescent="0.25">
      <c r="A289" s="42" t="str">
        <f t="shared" si="20"/>
        <v xml:space="preserve"> </v>
      </c>
      <c r="D289" s="41"/>
      <c r="E289" s="41"/>
      <c r="J289" s="17">
        <f t="shared" si="23"/>
        <v>0</v>
      </c>
      <c r="K289" s="2" t="str">
        <f t="shared" si="24"/>
        <v xml:space="preserve"> </v>
      </c>
      <c r="L289" s="2" t="str">
        <f t="shared" si="21"/>
        <v xml:space="preserve"> </v>
      </c>
      <c r="M289" s="2" t="str">
        <f t="shared" si="22"/>
        <v xml:space="preserve"> </v>
      </c>
    </row>
    <row r="290" spans="1:13" x14ac:dyDescent="0.25">
      <c r="A290" s="42" t="str">
        <f t="shared" si="20"/>
        <v xml:space="preserve"> </v>
      </c>
      <c r="D290" s="41"/>
      <c r="E290" s="41"/>
      <c r="J290" s="17">
        <f t="shared" si="23"/>
        <v>0</v>
      </c>
      <c r="K290" s="2" t="str">
        <f t="shared" si="24"/>
        <v xml:space="preserve"> </v>
      </c>
      <c r="L290" s="2" t="str">
        <f t="shared" si="21"/>
        <v xml:space="preserve"> </v>
      </c>
      <c r="M290" s="2" t="str">
        <f t="shared" si="22"/>
        <v xml:space="preserve"> </v>
      </c>
    </row>
    <row r="291" spans="1:13" x14ac:dyDescent="0.25">
      <c r="A291" s="42" t="str">
        <f t="shared" si="20"/>
        <v xml:space="preserve"> </v>
      </c>
      <c r="D291" s="41"/>
      <c r="E291" s="41"/>
      <c r="J291" s="17">
        <f t="shared" si="23"/>
        <v>0</v>
      </c>
      <c r="K291" s="2" t="str">
        <f t="shared" si="24"/>
        <v xml:space="preserve"> </v>
      </c>
      <c r="L291" s="2" t="str">
        <f t="shared" si="21"/>
        <v xml:space="preserve"> </v>
      </c>
      <c r="M291" s="2" t="str">
        <f t="shared" si="22"/>
        <v xml:space="preserve"> </v>
      </c>
    </row>
    <row r="292" spans="1:13" x14ac:dyDescent="0.25">
      <c r="A292" s="42" t="str">
        <f t="shared" si="20"/>
        <v xml:space="preserve"> </v>
      </c>
      <c r="D292" s="41"/>
      <c r="E292" s="41"/>
      <c r="J292" s="17">
        <f t="shared" si="23"/>
        <v>0</v>
      </c>
      <c r="K292" s="2" t="str">
        <f t="shared" si="24"/>
        <v xml:space="preserve"> </v>
      </c>
      <c r="L292" s="2" t="str">
        <f t="shared" si="21"/>
        <v xml:space="preserve"> </v>
      </c>
      <c r="M292" s="2" t="str">
        <f t="shared" si="22"/>
        <v xml:space="preserve"> </v>
      </c>
    </row>
    <row r="293" spans="1:13" x14ac:dyDescent="0.25">
      <c r="A293" s="42" t="str">
        <f t="shared" si="20"/>
        <v xml:space="preserve"> </v>
      </c>
      <c r="D293" s="41"/>
      <c r="E293" s="41"/>
      <c r="J293" s="17">
        <f t="shared" si="23"/>
        <v>0</v>
      </c>
      <c r="K293" s="2" t="str">
        <f t="shared" si="24"/>
        <v xml:space="preserve"> </v>
      </c>
      <c r="L293" s="2" t="str">
        <f t="shared" si="21"/>
        <v xml:space="preserve"> </v>
      </c>
      <c r="M293" s="2" t="str">
        <f t="shared" si="22"/>
        <v xml:space="preserve"> </v>
      </c>
    </row>
    <row r="294" spans="1:13" x14ac:dyDescent="0.25">
      <c r="A294" s="42" t="str">
        <f t="shared" si="20"/>
        <v xml:space="preserve"> </v>
      </c>
      <c r="D294" s="41"/>
      <c r="E294" s="41"/>
      <c r="J294" s="17">
        <f t="shared" si="23"/>
        <v>0</v>
      </c>
      <c r="K294" s="2" t="str">
        <f t="shared" si="24"/>
        <v xml:space="preserve"> </v>
      </c>
      <c r="L294" s="2" t="str">
        <f t="shared" si="21"/>
        <v xml:space="preserve"> </v>
      </c>
      <c r="M294" s="2" t="str">
        <f t="shared" si="22"/>
        <v xml:space="preserve"> </v>
      </c>
    </row>
    <row r="295" spans="1:13" x14ac:dyDescent="0.25">
      <c r="A295" s="42" t="str">
        <f t="shared" si="20"/>
        <v xml:space="preserve"> </v>
      </c>
      <c r="D295" s="41"/>
      <c r="E295" s="41"/>
      <c r="J295" s="17">
        <f t="shared" si="23"/>
        <v>0</v>
      </c>
      <c r="K295" s="2" t="str">
        <f t="shared" si="24"/>
        <v xml:space="preserve"> </v>
      </c>
      <c r="L295" s="2" t="str">
        <f t="shared" si="21"/>
        <v xml:space="preserve"> </v>
      </c>
      <c r="M295" s="2" t="str">
        <f t="shared" si="22"/>
        <v xml:space="preserve"> </v>
      </c>
    </row>
    <row r="296" spans="1:13" x14ac:dyDescent="0.25">
      <c r="A296" s="42" t="str">
        <f t="shared" si="20"/>
        <v xml:space="preserve"> </v>
      </c>
      <c r="D296" s="41"/>
      <c r="E296" s="41"/>
      <c r="J296" s="17">
        <f t="shared" si="23"/>
        <v>0</v>
      </c>
      <c r="K296" s="2" t="str">
        <f t="shared" si="24"/>
        <v xml:space="preserve"> </v>
      </c>
      <c r="L296" s="2" t="str">
        <f t="shared" si="21"/>
        <v xml:space="preserve"> </v>
      </c>
      <c r="M296" s="2" t="str">
        <f t="shared" si="22"/>
        <v xml:space="preserve"> </v>
      </c>
    </row>
    <row r="297" spans="1:13" x14ac:dyDescent="0.25">
      <c r="A297" s="42" t="str">
        <f t="shared" si="20"/>
        <v xml:space="preserve"> </v>
      </c>
      <c r="D297" s="41"/>
      <c r="E297" s="41"/>
      <c r="J297" s="17">
        <f t="shared" si="23"/>
        <v>0</v>
      </c>
      <c r="K297" s="2" t="str">
        <f t="shared" si="24"/>
        <v xml:space="preserve"> </v>
      </c>
      <c r="L297" s="2" t="str">
        <f t="shared" si="21"/>
        <v xml:space="preserve"> </v>
      </c>
      <c r="M297" s="2" t="str">
        <f t="shared" si="22"/>
        <v xml:space="preserve"> </v>
      </c>
    </row>
    <row r="298" spans="1:13" x14ac:dyDescent="0.25">
      <c r="A298" s="42" t="str">
        <f t="shared" si="20"/>
        <v xml:space="preserve"> </v>
      </c>
      <c r="D298" s="41"/>
      <c r="E298" s="41"/>
      <c r="J298" s="17">
        <f t="shared" si="23"/>
        <v>0</v>
      </c>
      <c r="K298" s="2" t="str">
        <f t="shared" si="24"/>
        <v xml:space="preserve"> </v>
      </c>
      <c r="L298" s="2" t="str">
        <f t="shared" si="21"/>
        <v xml:space="preserve"> </v>
      </c>
      <c r="M298" s="2" t="str">
        <f t="shared" si="22"/>
        <v xml:space="preserve"> </v>
      </c>
    </row>
    <row r="299" spans="1:13" x14ac:dyDescent="0.25">
      <c r="A299" s="42" t="str">
        <f t="shared" si="20"/>
        <v xml:space="preserve"> </v>
      </c>
      <c r="D299" s="41"/>
      <c r="E299" s="41"/>
      <c r="J299" s="17">
        <f t="shared" si="23"/>
        <v>0</v>
      </c>
      <c r="K299" s="2" t="str">
        <f t="shared" si="24"/>
        <v xml:space="preserve"> </v>
      </c>
      <c r="L299" s="2" t="str">
        <f t="shared" si="21"/>
        <v xml:space="preserve"> </v>
      </c>
      <c r="M299" s="2" t="str">
        <f t="shared" si="22"/>
        <v xml:space="preserve"> </v>
      </c>
    </row>
    <row r="300" spans="1:13" x14ac:dyDescent="0.25">
      <c r="A300" s="42" t="str">
        <f t="shared" si="20"/>
        <v xml:space="preserve"> </v>
      </c>
      <c r="D300" s="41"/>
      <c r="E300" s="41"/>
      <c r="J300" s="17">
        <f t="shared" si="23"/>
        <v>0</v>
      </c>
      <c r="K300" s="2" t="str">
        <f t="shared" si="24"/>
        <v xml:space="preserve"> </v>
      </c>
      <c r="L300" s="2" t="str">
        <f t="shared" si="21"/>
        <v xml:space="preserve"> </v>
      </c>
      <c r="M300" s="2" t="str">
        <f t="shared" si="22"/>
        <v xml:space="preserve"> </v>
      </c>
    </row>
    <row r="301" spans="1:13" x14ac:dyDescent="0.25">
      <c r="A301" s="42" t="str">
        <f t="shared" si="20"/>
        <v xml:space="preserve"> </v>
      </c>
      <c r="D301" s="41"/>
      <c r="E301" s="41"/>
      <c r="J301" s="17">
        <f t="shared" si="23"/>
        <v>0</v>
      </c>
      <c r="K301" s="2" t="str">
        <f t="shared" si="24"/>
        <v xml:space="preserve"> </v>
      </c>
      <c r="L301" s="2" t="str">
        <f t="shared" si="21"/>
        <v xml:space="preserve"> </v>
      </c>
      <c r="M301" s="2" t="str">
        <f t="shared" si="22"/>
        <v xml:space="preserve"> </v>
      </c>
    </row>
    <row r="302" spans="1:13" x14ac:dyDescent="0.25">
      <c r="A302" s="42" t="str">
        <f t="shared" si="20"/>
        <v xml:space="preserve"> </v>
      </c>
      <c r="D302" s="41"/>
      <c r="E302" s="41"/>
      <c r="J302" s="17">
        <f t="shared" si="23"/>
        <v>0</v>
      </c>
      <c r="K302" s="2" t="str">
        <f t="shared" si="24"/>
        <v xml:space="preserve"> </v>
      </c>
      <c r="L302" s="2" t="str">
        <f t="shared" si="21"/>
        <v xml:space="preserve"> </v>
      </c>
      <c r="M302" s="2" t="str">
        <f t="shared" si="22"/>
        <v xml:space="preserve"> </v>
      </c>
    </row>
    <row r="303" spans="1:13" x14ac:dyDescent="0.25">
      <c r="A303" s="42" t="str">
        <f t="shared" si="20"/>
        <v xml:space="preserve"> </v>
      </c>
      <c r="D303" s="41"/>
      <c r="E303" s="41"/>
      <c r="J303" s="17">
        <f t="shared" si="23"/>
        <v>0</v>
      </c>
      <c r="K303" s="2" t="str">
        <f t="shared" si="24"/>
        <v xml:space="preserve"> </v>
      </c>
      <c r="L303" s="2" t="str">
        <f t="shared" si="21"/>
        <v xml:space="preserve"> </v>
      </c>
      <c r="M303" s="2" t="str">
        <f t="shared" si="22"/>
        <v xml:space="preserve"> </v>
      </c>
    </row>
    <row r="304" spans="1:13" x14ac:dyDescent="0.25">
      <c r="A304" s="42" t="str">
        <f t="shared" si="20"/>
        <v xml:space="preserve"> </v>
      </c>
      <c r="D304" s="41"/>
      <c r="E304" s="41"/>
      <c r="J304" s="17">
        <f t="shared" si="23"/>
        <v>0</v>
      </c>
      <c r="K304" s="2" t="str">
        <f t="shared" si="24"/>
        <v xml:space="preserve"> </v>
      </c>
      <c r="L304" s="2" t="str">
        <f t="shared" si="21"/>
        <v xml:space="preserve"> </v>
      </c>
      <c r="M304" s="2" t="str">
        <f t="shared" si="22"/>
        <v xml:space="preserve"> </v>
      </c>
    </row>
    <row r="305" spans="1:13" x14ac:dyDescent="0.25">
      <c r="A305" s="42" t="str">
        <f t="shared" si="20"/>
        <v xml:space="preserve"> </v>
      </c>
      <c r="D305" s="41"/>
      <c r="E305" s="41"/>
      <c r="J305" s="17">
        <f t="shared" si="23"/>
        <v>0</v>
      </c>
      <c r="K305" s="2" t="str">
        <f t="shared" si="24"/>
        <v xml:space="preserve"> </v>
      </c>
      <c r="L305" s="2" t="str">
        <f t="shared" si="21"/>
        <v xml:space="preserve"> </v>
      </c>
      <c r="M305" s="2" t="str">
        <f t="shared" si="22"/>
        <v xml:space="preserve"> </v>
      </c>
    </row>
    <row r="306" spans="1:13" x14ac:dyDescent="0.25">
      <c r="A306" s="42" t="str">
        <f t="shared" si="20"/>
        <v xml:space="preserve"> </v>
      </c>
      <c r="D306" s="41"/>
      <c r="E306" s="41"/>
      <c r="J306" s="17">
        <f t="shared" si="23"/>
        <v>0</v>
      </c>
      <c r="K306" s="2" t="str">
        <f t="shared" si="24"/>
        <v xml:space="preserve"> </v>
      </c>
      <c r="L306" s="2" t="str">
        <f t="shared" si="21"/>
        <v xml:space="preserve"> </v>
      </c>
      <c r="M306" s="2" t="str">
        <f t="shared" si="22"/>
        <v xml:space="preserve"> </v>
      </c>
    </row>
    <row r="307" spans="1:13" x14ac:dyDescent="0.25">
      <c r="A307" s="42" t="str">
        <f t="shared" si="20"/>
        <v xml:space="preserve"> </v>
      </c>
      <c r="D307" s="41"/>
      <c r="E307" s="41"/>
      <c r="J307" s="17">
        <f t="shared" si="23"/>
        <v>0</v>
      </c>
      <c r="K307" s="2" t="str">
        <f t="shared" si="24"/>
        <v xml:space="preserve"> </v>
      </c>
      <c r="L307" s="2" t="str">
        <f t="shared" si="21"/>
        <v xml:space="preserve"> </v>
      </c>
      <c r="M307" s="2" t="str">
        <f t="shared" si="22"/>
        <v xml:space="preserve"> </v>
      </c>
    </row>
    <row r="308" spans="1:13" x14ac:dyDescent="0.25">
      <c r="A308" s="42" t="str">
        <f t="shared" si="20"/>
        <v xml:space="preserve"> </v>
      </c>
      <c r="D308" s="41"/>
      <c r="E308" s="41"/>
      <c r="J308" s="17">
        <f t="shared" si="23"/>
        <v>0</v>
      </c>
      <c r="K308" s="2" t="str">
        <f t="shared" si="24"/>
        <v xml:space="preserve"> </v>
      </c>
      <c r="L308" s="2" t="str">
        <f t="shared" si="21"/>
        <v xml:space="preserve"> </v>
      </c>
      <c r="M308" s="2" t="str">
        <f t="shared" si="22"/>
        <v xml:space="preserve"> </v>
      </c>
    </row>
    <row r="309" spans="1:13" x14ac:dyDescent="0.25">
      <c r="A309" s="42" t="str">
        <f t="shared" si="20"/>
        <v xml:space="preserve"> </v>
      </c>
      <c r="D309" s="41"/>
      <c r="E309" s="41"/>
      <c r="J309" s="17">
        <f t="shared" si="23"/>
        <v>0</v>
      </c>
      <c r="K309" s="2" t="str">
        <f t="shared" si="24"/>
        <v xml:space="preserve"> </v>
      </c>
      <c r="L309" s="2" t="str">
        <f t="shared" si="21"/>
        <v xml:space="preserve"> </v>
      </c>
      <c r="M309" s="2" t="str">
        <f t="shared" si="22"/>
        <v xml:space="preserve"> </v>
      </c>
    </row>
    <row r="310" spans="1:13" x14ac:dyDescent="0.25">
      <c r="A310" s="42" t="str">
        <f t="shared" si="20"/>
        <v xml:space="preserve"> </v>
      </c>
      <c r="D310" s="41"/>
      <c r="E310" s="41"/>
      <c r="J310" s="17">
        <f t="shared" si="23"/>
        <v>0</v>
      </c>
      <c r="K310" s="2" t="str">
        <f t="shared" si="24"/>
        <v xml:space="preserve"> </v>
      </c>
      <c r="L310" s="2" t="str">
        <f t="shared" si="21"/>
        <v xml:space="preserve"> </v>
      </c>
      <c r="M310" s="2" t="str">
        <f t="shared" si="22"/>
        <v xml:space="preserve"> </v>
      </c>
    </row>
    <row r="311" spans="1:13" x14ac:dyDescent="0.25">
      <c r="A311" s="42" t="str">
        <f t="shared" si="20"/>
        <v xml:space="preserve"> </v>
      </c>
      <c r="D311" s="41"/>
      <c r="E311" s="41"/>
      <c r="J311" s="17">
        <f t="shared" si="23"/>
        <v>0</v>
      </c>
      <c r="K311" s="2" t="str">
        <f t="shared" si="24"/>
        <v xml:space="preserve"> </v>
      </c>
      <c r="L311" s="2" t="str">
        <f t="shared" si="21"/>
        <v xml:space="preserve"> </v>
      </c>
      <c r="M311" s="2" t="str">
        <f t="shared" si="22"/>
        <v xml:space="preserve"> </v>
      </c>
    </row>
    <row r="312" spans="1:13" x14ac:dyDescent="0.25">
      <c r="A312" s="42" t="str">
        <f t="shared" si="20"/>
        <v xml:space="preserve"> </v>
      </c>
      <c r="D312" s="41"/>
      <c r="E312" s="41"/>
      <c r="J312" s="17">
        <f t="shared" si="23"/>
        <v>0</v>
      </c>
      <c r="K312" s="2" t="str">
        <f t="shared" si="24"/>
        <v xml:space="preserve"> </v>
      </c>
      <c r="L312" s="2" t="str">
        <f t="shared" si="21"/>
        <v xml:space="preserve"> </v>
      </c>
      <c r="M312" s="2" t="str">
        <f t="shared" si="22"/>
        <v xml:space="preserve"> </v>
      </c>
    </row>
    <row r="313" spans="1:13" x14ac:dyDescent="0.25">
      <c r="A313" s="42" t="str">
        <f t="shared" si="20"/>
        <v xml:space="preserve"> </v>
      </c>
      <c r="D313" s="41"/>
      <c r="E313" s="41"/>
      <c r="J313" s="17">
        <f t="shared" si="23"/>
        <v>0</v>
      </c>
      <c r="K313" s="2" t="str">
        <f t="shared" si="24"/>
        <v xml:space="preserve"> </v>
      </c>
      <c r="L313" s="2" t="str">
        <f t="shared" si="21"/>
        <v xml:space="preserve"> </v>
      </c>
      <c r="M313" s="2" t="str">
        <f t="shared" si="22"/>
        <v xml:space="preserve"> </v>
      </c>
    </row>
    <row r="314" spans="1:13" x14ac:dyDescent="0.25">
      <c r="A314" s="42" t="str">
        <f t="shared" si="20"/>
        <v xml:space="preserve"> </v>
      </c>
      <c r="D314" s="41"/>
      <c r="E314" s="41"/>
      <c r="J314" s="17">
        <f t="shared" si="23"/>
        <v>0</v>
      </c>
      <c r="K314" s="2" t="str">
        <f t="shared" si="24"/>
        <v xml:space="preserve"> </v>
      </c>
      <c r="L314" s="2" t="str">
        <f t="shared" si="21"/>
        <v xml:space="preserve"> </v>
      </c>
      <c r="M314" s="2" t="str">
        <f t="shared" si="22"/>
        <v xml:space="preserve"> </v>
      </c>
    </row>
    <row r="315" spans="1:13" x14ac:dyDescent="0.25">
      <c r="A315" s="42" t="str">
        <f t="shared" si="20"/>
        <v xml:space="preserve"> </v>
      </c>
      <c r="D315" s="41"/>
      <c r="E315" s="41"/>
      <c r="J315" s="17">
        <f t="shared" si="23"/>
        <v>0</v>
      </c>
      <c r="K315" s="2" t="str">
        <f t="shared" si="24"/>
        <v xml:space="preserve"> </v>
      </c>
      <c r="L315" s="2" t="str">
        <f t="shared" si="21"/>
        <v xml:space="preserve"> </v>
      </c>
      <c r="M315" s="2" t="str">
        <f t="shared" si="22"/>
        <v xml:space="preserve"> </v>
      </c>
    </row>
    <row r="316" spans="1:13" x14ac:dyDescent="0.25">
      <c r="A316" s="42" t="str">
        <f t="shared" si="20"/>
        <v xml:space="preserve"> </v>
      </c>
      <c r="D316" s="41"/>
      <c r="E316" s="41"/>
      <c r="J316" s="17">
        <f t="shared" si="23"/>
        <v>0</v>
      </c>
      <c r="K316" s="2" t="str">
        <f t="shared" si="24"/>
        <v xml:space="preserve"> </v>
      </c>
      <c r="L316" s="2" t="str">
        <f t="shared" si="21"/>
        <v xml:space="preserve"> </v>
      </c>
      <c r="M316" s="2" t="str">
        <f t="shared" si="22"/>
        <v xml:space="preserve"> </v>
      </c>
    </row>
    <row r="317" spans="1:13" x14ac:dyDescent="0.25">
      <c r="A317" s="42" t="str">
        <f t="shared" si="20"/>
        <v xml:space="preserve"> </v>
      </c>
      <c r="D317" s="41"/>
      <c r="E317" s="41"/>
      <c r="J317" s="17">
        <f t="shared" si="23"/>
        <v>0</v>
      </c>
      <c r="K317" s="2" t="str">
        <f t="shared" si="24"/>
        <v xml:space="preserve"> </v>
      </c>
      <c r="L317" s="2" t="str">
        <f t="shared" si="21"/>
        <v xml:space="preserve"> </v>
      </c>
      <c r="M317" s="2" t="str">
        <f t="shared" si="22"/>
        <v xml:space="preserve"> </v>
      </c>
    </row>
    <row r="318" spans="1:13" x14ac:dyDescent="0.25">
      <c r="A318" s="42" t="str">
        <f t="shared" si="20"/>
        <v xml:space="preserve"> </v>
      </c>
      <c r="D318" s="41"/>
      <c r="E318" s="41"/>
      <c r="J318" s="17">
        <f t="shared" si="23"/>
        <v>0</v>
      </c>
      <c r="K318" s="2" t="str">
        <f t="shared" si="24"/>
        <v xml:space="preserve"> </v>
      </c>
      <c r="L318" s="2" t="str">
        <f t="shared" si="21"/>
        <v xml:space="preserve"> </v>
      </c>
      <c r="M318" s="2" t="str">
        <f t="shared" si="22"/>
        <v xml:space="preserve"> </v>
      </c>
    </row>
    <row r="319" spans="1:13" x14ac:dyDescent="0.25">
      <c r="A319" s="42" t="str">
        <f t="shared" si="20"/>
        <v xml:space="preserve"> </v>
      </c>
      <c r="D319" s="41"/>
      <c r="E319" s="41"/>
      <c r="J319" s="17">
        <f t="shared" si="23"/>
        <v>0</v>
      </c>
      <c r="K319" s="2" t="str">
        <f t="shared" si="24"/>
        <v xml:space="preserve"> </v>
      </c>
      <c r="L319" s="2" t="str">
        <f t="shared" si="21"/>
        <v xml:space="preserve"> </v>
      </c>
      <c r="M319" s="2" t="str">
        <f t="shared" si="22"/>
        <v xml:space="preserve"> </v>
      </c>
    </row>
    <row r="320" spans="1:13" x14ac:dyDescent="0.25">
      <c r="A320" s="42" t="str">
        <f t="shared" si="20"/>
        <v xml:space="preserve"> </v>
      </c>
      <c r="D320" s="41"/>
      <c r="E320" s="41"/>
      <c r="J320" s="17">
        <f t="shared" si="23"/>
        <v>0</v>
      </c>
      <c r="K320" s="2" t="str">
        <f t="shared" si="24"/>
        <v xml:space="preserve"> </v>
      </c>
      <c r="L320" s="2" t="str">
        <f t="shared" si="21"/>
        <v xml:space="preserve"> </v>
      </c>
      <c r="M320" s="2" t="str">
        <f t="shared" si="22"/>
        <v xml:space="preserve"> </v>
      </c>
    </row>
    <row r="321" spans="1:13" x14ac:dyDescent="0.25">
      <c r="A321" s="42" t="str">
        <f t="shared" si="20"/>
        <v xml:space="preserve"> </v>
      </c>
      <c r="D321" s="41"/>
      <c r="E321" s="41"/>
      <c r="J321" s="17">
        <f t="shared" si="23"/>
        <v>0</v>
      </c>
      <c r="K321" s="2" t="str">
        <f t="shared" si="24"/>
        <v xml:space="preserve"> </v>
      </c>
      <c r="L321" s="2" t="str">
        <f t="shared" si="21"/>
        <v xml:space="preserve"> </v>
      </c>
      <c r="M321" s="2" t="str">
        <f t="shared" si="22"/>
        <v xml:space="preserve"> </v>
      </c>
    </row>
    <row r="322" spans="1:13" x14ac:dyDescent="0.25">
      <c r="A322" s="42" t="str">
        <f t="shared" si="20"/>
        <v xml:space="preserve"> </v>
      </c>
      <c r="D322" s="41"/>
      <c r="E322" s="41"/>
      <c r="J322" s="17">
        <f t="shared" si="23"/>
        <v>0</v>
      </c>
      <c r="K322" s="2" t="str">
        <f t="shared" si="24"/>
        <v xml:space="preserve"> </v>
      </c>
      <c r="L322" s="2" t="str">
        <f t="shared" si="21"/>
        <v xml:space="preserve"> </v>
      </c>
      <c r="M322" s="2" t="str">
        <f t="shared" si="22"/>
        <v xml:space="preserve"> </v>
      </c>
    </row>
    <row r="323" spans="1:13" x14ac:dyDescent="0.25">
      <c r="A323" s="42" t="str">
        <f t="shared" si="20"/>
        <v xml:space="preserve"> </v>
      </c>
      <c r="D323" s="41"/>
      <c r="E323" s="41"/>
      <c r="J323" s="17">
        <f t="shared" si="23"/>
        <v>0</v>
      </c>
      <c r="K323" s="2" t="str">
        <f t="shared" si="24"/>
        <v xml:space="preserve"> </v>
      </c>
      <c r="L323" s="2" t="str">
        <f t="shared" si="21"/>
        <v xml:space="preserve"> </v>
      </c>
      <c r="M323" s="2" t="str">
        <f t="shared" si="22"/>
        <v xml:space="preserve"> </v>
      </c>
    </row>
    <row r="324" spans="1:13" x14ac:dyDescent="0.25">
      <c r="A324" s="42" t="str">
        <f t="shared" si="20"/>
        <v xml:space="preserve"> </v>
      </c>
      <c r="D324" s="41"/>
      <c r="E324" s="41"/>
      <c r="J324" s="17">
        <f t="shared" si="23"/>
        <v>0</v>
      </c>
      <c r="K324" s="2" t="str">
        <f t="shared" si="24"/>
        <v xml:space="preserve"> </v>
      </c>
      <c r="L324" s="2" t="str">
        <f t="shared" si="21"/>
        <v xml:space="preserve"> </v>
      </c>
      <c r="M324" s="2" t="str">
        <f t="shared" si="22"/>
        <v xml:space="preserve"> </v>
      </c>
    </row>
    <row r="325" spans="1:13" x14ac:dyDescent="0.25">
      <c r="A325" s="42" t="str">
        <f t="shared" si="20"/>
        <v xml:space="preserve"> </v>
      </c>
      <c r="D325" s="41"/>
      <c r="E325" s="41"/>
      <c r="J325" s="17">
        <f t="shared" si="23"/>
        <v>0</v>
      </c>
      <c r="K325" s="2" t="str">
        <f t="shared" si="24"/>
        <v xml:space="preserve"> </v>
      </c>
      <c r="L325" s="2" t="str">
        <f t="shared" si="21"/>
        <v xml:space="preserve"> </v>
      </c>
      <c r="M325" s="2" t="str">
        <f t="shared" si="22"/>
        <v xml:space="preserve"> </v>
      </c>
    </row>
    <row r="326" spans="1:13" x14ac:dyDescent="0.25">
      <c r="A326" s="42" t="str">
        <f t="shared" si="20"/>
        <v xml:space="preserve"> </v>
      </c>
      <c r="D326" s="41"/>
      <c r="E326" s="41"/>
      <c r="J326" s="17">
        <f t="shared" si="23"/>
        <v>0</v>
      </c>
      <c r="K326" s="2" t="str">
        <f t="shared" si="24"/>
        <v xml:space="preserve"> </v>
      </c>
      <c r="L326" s="2" t="str">
        <f t="shared" si="21"/>
        <v xml:space="preserve"> </v>
      </c>
      <c r="M326" s="2" t="str">
        <f t="shared" si="22"/>
        <v xml:space="preserve"> </v>
      </c>
    </row>
    <row r="327" spans="1:13" x14ac:dyDescent="0.25">
      <c r="A327" s="42" t="str">
        <f t="shared" si="20"/>
        <v xml:space="preserve"> </v>
      </c>
      <c r="D327" s="41"/>
      <c r="E327" s="41"/>
      <c r="J327" s="17">
        <f t="shared" si="23"/>
        <v>0</v>
      </c>
      <c r="K327" s="2" t="str">
        <f t="shared" si="24"/>
        <v xml:space="preserve"> </v>
      </c>
      <c r="L327" s="2" t="str">
        <f t="shared" si="21"/>
        <v xml:space="preserve"> </v>
      </c>
      <c r="M327" s="2" t="str">
        <f t="shared" si="22"/>
        <v xml:space="preserve"> </v>
      </c>
    </row>
    <row r="328" spans="1:13" x14ac:dyDescent="0.25">
      <c r="A328" s="42" t="str">
        <f t="shared" si="20"/>
        <v xml:space="preserve"> </v>
      </c>
      <c r="D328" s="41"/>
      <c r="E328" s="41"/>
      <c r="J328" s="17">
        <f t="shared" si="23"/>
        <v>0</v>
      </c>
      <c r="K328" s="2" t="str">
        <f t="shared" si="24"/>
        <v xml:space="preserve"> </v>
      </c>
      <c r="L328" s="2" t="str">
        <f t="shared" si="21"/>
        <v xml:space="preserve"> </v>
      </c>
      <c r="M328" s="2" t="str">
        <f t="shared" si="22"/>
        <v xml:space="preserve"> </v>
      </c>
    </row>
    <row r="329" spans="1:13" x14ac:dyDescent="0.25">
      <c r="A329" s="42" t="str">
        <f t="shared" si="20"/>
        <v xml:space="preserve"> </v>
      </c>
      <c r="D329" s="41"/>
      <c r="E329" s="41"/>
      <c r="J329" s="17">
        <f t="shared" si="23"/>
        <v>0</v>
      </c>
      <c r="K329" s="2" t="str">
        <f t="shared" si="24"/>
        <v xml:space="preserve"> </v>
      </c>
      <c r="L329" s="2" t="str">
        <f t="shared" si="21"/>
        <v xml:space="preserve"> </v>
      </c>
      <c r="M329" s="2" t="str">
        <f t="shared" si="22"/>
        <v xml:space="preserve"> </v>
      </c>
    </row>
    <row r="330" spans="1:13" x14ac:dyDescent="0.25">
      <c r="A330" s="42" t="str">
        <f t="shared" si="20"/>
        <v xml:space="preserve"> </v>
      </c>
      <c r="D330" s="41"/>
      <c r="E330" s="41"/>
      <c r="J330" s="17">
        <f t="shared" si="23"/>
        <v>0</v>
      </c>
      <c r="K330" s="2" t="str">
        <f t="shared" si="24"/>
        <v xml:space="preserve"> </v>
      </c>
      <c r="L330" s="2" t="str">
        <f t="shared" si="21"/>
        <v xml:space="preserve"> </v>
      </c>
      <c r="M330" s="2" t="str">
        <f t="shared" si="22"/>
        <v xml:space="preserve"> </v>
      </c>
    </row>
    <row r="331" spans="1:13" x14ac:dyDescent="0.25">
      <c r="A331" s="42" t="str">
        <f t="shared" si="20"/>
        <v xml:space="preserve"> </v>
      </c>
      <c r="D331" s="41"/>
      <c r="E331" s="41"/>
      <c r="J331" s="17">
        <f t="shared" si="23"/>
        <v>0</v>
      </c>
      <c r="K331" s="2" t="str">
        <f t="shared" si="24"/>
        <v xml:space="preserve"> </v>
      </c>
      <c r="L331" s="2" t="str">
        <f t="shared" si="21"/>
        <v xml:space="preserve"> </v>
      </c>
      <c r="M331" s="2" t="str">
        <f t="shared" si="22"/>
        <v xml:space="preserve"> </v>
      </c>
    </row>
    <row r="332" spans="1:13" x14ac:dyDescent="0.25">
      <c r="A332" s="42" t="str">
        <f t="shared" si="20"/>
        <v xml:space="preserve"> </v>
      </c>
      <c r="D332" s="41"/>
      <c r="E332" s="41"/>
      <c r="J332" s="17">
        <f t="shared" si="23"/>
        <v>0</v>
      </c>
      <c r="K332" s="2" t="str">
        <f t="shared" si="24"/>
        <v xml:space="preserve"> </v>
      </c>
      <c r="L332" s="2" t="str">
        <f t="shared" si="21"/>
        <v xml:space="preserve"> </v>
      </c>
      <c r="M332" s="2" t="str">
        <f t="shared" si="22"/>
        <v xml:space="preserve"> </v>
      </c>
    </row>
    <row r="333" spans="1:13" x14ac:dyDescent="0.25">
      <c r="A333" s="42" t="str">
        <f t="shared" si="20"/>
        <v xml:space="preserve"> </v>
      </c>
      <c r="D333" s="41"/>
      <c r="E333" s="41"/>
      <c r="J333" s="17">
        <f t="shared" si="23"/>
        <v>0</v>
      </c>
      <c r="K333" s="2" t="str">
        <f t="shared" si="24"/>
        <v xml:space="preserve"> </v>
      </c>
      <c r="L333" s="2" t="str">
        <f t="shared" si="21"/>
        <v xml:space="preserve"> </v>
      </c>
      <c r="M333" s="2" t="str">
        <f t="shared" si="22"/>
        <v xml:space="preserve"> </v>
      </c>
    </row>
    <row r="334" spans="1:13" x14ac:dyDescent="0.25">
      <c r="A334" s="42" t="str">
        <f t="shared" si="20"/>
        <v xml:space="preserve"> </v>
      </c>
      <c r="D334" s="41"/>
      <c r="E334" s="41"/>
      <c r="J334" s="17">
        <f t="shared" si="23"/>
        <v>0</v>
      </c>
      <c r="K334" s="2" t="str">
        <f t="shared" si="24"/>
        <v xml:space="preserve"> </v>
      </c>
      <c r="L334" s="2" t="str">
        <f t="shared" si="21"/>
        <v xml:space="preserve"> </v>
      </c>
      <c r="M334" s="2" t="str">
        <f t="shared" si="22"/>
        <v xml:space="preserve"> </v>
      </c>
    </row>
    <row r="335" spans="1:13" x14ac:dyDescent="0.25">
      <c r="A335" s="42" t="str">
        <f t="shared" ref="A335:A398" si="25">IF(COUNTIF(K335:M335,"ERROR")&gt;0,"ERROR"," ")</f>
        <v xml:space="preserve"> </v>
      </c>
      <c r="D335" s="41"/>
      <c r="E335" s="41"/>
      <c r="J335" s="17">
        <f t="shared" si="23"/>
        <v>0</v>
      </c>
      <c r="K335" s="2" t="str">
        <f t="shared" si="24"/>
        <v xml:space="preserve"> </v>
      </c>
      <c r="L335" s="2" t="str">
        <f t="shared" ref="L335:L398" si="26">IF(D335=0," ",IF(COUNTIF(ProfitLoss3,D335)&gt;0," ","ERROR"))</f>
        <v xml:space="preserve"> </v>
      </c>
      <c r="M335" s="2" t="str">
        <f t="shared" ref="M335:M398" si="27">IF(E335=0," ",IF(COUNTIF(BalanceSheet3,E335)&gt;0," ","ERROR"))</f>
        <v xml:space="preserve"> </v>
      </c>
    </row>
    <row r="336" spans="1:13" x14ac:dyDescent="0.25">
      <c r="A336" s="42" t="str">
        <f t="shared" si="25"/>
        <v xml:space="preserve"> </v>
      </c>
      <c r="D336" s="41"/>
      <c r="E336" s="41"/>
      <c r="J336" s="17">
        <f t="shared" ref="J336:J399" si="28">F336-G336+H336-I336</f>
        <v>0</v>
      </c>
      <c r="K336" s="2" t="str">
        <f t="shared" ref="K336:K399" si="29">IF(COUNTA(D336:E336)=2,"ERROR"," ")</f>
        <v xml:space="preserve"> </v>
      </c>
      <c r="L336" s="2" t="str">
        <f t="shared" si="26"/>
        <v xml:space="preserve"> </v>
      </c>
      <c r="M336" s="2" t="str">
        <f t="shared" si="27"/>
        <v xml:space="preserve"> </v>
      </c>
    </row>
    <row r="337" spans="1:13" x14ac:dyDescent="0.25">
      <c r="A337" s="42" t="str">
        <f t="shared" si="25"/>
        <v xml:space="preserve"> </v>
      </c>
      <c r="D337" s="41"/>
      <c r="E337" s="41"/>
      <c r="J337" s="17">
        <f t="shared" si="28"/>
        <v>0</v>
      </c>
      <c r="K337" s="2" t="str">
        <f t="shared" si="29"/>
        <v xml:space="preserve"> </v>
      </c>
      <c r="L337" s="2" t="str">
        <f t="shared" si="26"/>
        <v xml:space="preserve"> </v>
      </c>
      <c r="M337" s="2" t="str">
        <f t="shared" si="27"/>
        <v xml:space="preserve"> </v>
      </c>
    </row>
    <row r="338" spans="1:13" x14ac:dyDescent="0.25">
      <c r="A338" s="42" t="str">
        <f t="shared" si="25"/>
        <v xml:space="preserve"> </v>
      </c>
      <c r="D338" s="41"/>
      <c r="E338" s="41"/>
      <c r="J338" s="17">
        <f t="shared" si="28"/>
        <v>0</v>
      </c>
      <c r="K338" s="2" t="str">
        <f t="shared" si="29"/>
        <v xml:space="preserve"> </v>
      </c>
      <c r="L338" s="2" t="str">
        <f t="shared" si="26"/>
        <v xml:space="preserve"> </v>
      </c>
      <c r="M338" s="2" t="str">
        <f t="shared" si="27"/>
        <v xml:space="preserve"> </v>
      </c>
    </row>
    <row r="339" spans="1:13" x14ac:dyDescent="0.25">
      <c r="A339" s="42" t="str">
        <f t="shared" si="25"/>
        <v xml:space="preserve"> </v>
      </c>
      <c r="D339" s="41"/>
      <c r="E339" s="41"/>
      <c r="J339" s="17">
        <f t="shared" si="28"/>
        <v>0</v>
      </c>
      <c r="K339" s="2" t="str">
        <f t="shared" si="29"/>
        <v xml:space="preserve"> </v>
      </c>
      <c r="L339" s="2" t="str">
        <f t="shared" si="26"/>
        <v xml:space="preserve"> </v>
      </c>
      <c r="M339" s="2" t="str">
        <f t="shared" si="27"/>
        <v xml:space="preserve"> </v>
      </c>
    </row>
    <row r="340" spans="1:13" x14ac:dyDescent="0.25">
      <c r="A340" s="42" t="str">
        <f t="shared" si="25"/>
        <v xml:space="preserve"> </v>
      </c>
      <c r="D340" s="41"/>
      <c r="E340" s="41"/>
      <c r="J340" s="17">
        <f t="shared" si="28"/>
        <v>0</v>
      </c>
      <c r="K340" s="2" t="str">
        <f t="shared" si="29"/>
        <v xml:space="preserve"> </v>
      </c>
      <c r="L340" s="2" t="str">
        <f t="shared" si="26"/>
        <v xml:space="preserve"> </v>
      </c>
      <c r="M340" s="2" t="str">
        <f t="shared" si="27"/>
        <v xml:space="preserve"> </v>
      </c>
    </row>
    <row r="341" spans="1:13" x14ac:dyDescent="0.25">
      <c r="A341" s="42" t="str">
        <f t="shared" si="25"/>
        <v xml:space="preserve"> </v>
      </c>
      <c r="D341" s="41"/>
      <c r="E341" s="41"/>
      <c r="J341" s="17">
        <f t="shared" si="28"/>
        <v>0</v>
      </c>
      <c r="K341" s="2" t="str">
        <f t="shared" si="29"/>
        <v xml:space="preserve"> </v>
      </c>
      <c r="L341" s="2" t="str">
        <f t="shared" si="26"/>
        <v xml:space="preserve"> </v>
      </c>
      <c r="M341" s="2" t="str">
        <f t="shared" si="27"/>
        <v xml:space="preserve"> </v>
      </c>
    </row>
    <row r="342" spans="1:13" x14ac:dyDescent="0.25">
      <c r="A342" s="42" t="str">
        <f t="shared" si="25"/>
        <v xml:space="preserve"> </v>
      </c>
      <c r="D342" s="41"/>
      <c r="E342" s="41"/>
      <c r="J342" s="17">
        <f t="shared" si="28"/>
        <v>0</v>
      </c>
      <c r="K342" s="2" t="str">
        <f t="shared" si="29"/>
        <v xml:space="preserve"> </v>
      </c>
      <c r="L342" s="2" t="str">
        <f t="shared" si="26"/>
        <v xml:space="preserve"> </v>
      </c>
      <c r="M342" s="2" t="str">
        <f t="shared" si="27"/>
        <v xml:space="preserve"> </v>
      </c>
    </row>
    <row r="343" spans="1:13" x14ac:dyDescent="0.25">
      <c r="A343" s="42" t="str">
        <f t="shared" si="25"/>
        <v xml:space="preserve"> </v>
      </c>
      <c r="D343" s="41"/>
      <c r="E343" s="41"/>
      <c r="J343" s="17">
        <f t="shared" si="28"/>
        <v>0</v>
      </c>
      <c r="K343" s="2" t="str">
        <f t="shared" si="29"/>
        <v xml:space="preserve"> </v>
      </c>
      <c r="L343" s="2" t="str">
        <f t="shared" si="26"/>
        <v xml:space="preserve"> </v>
      </c>
      <c r="M343" s="2" t="str">
        <f t="shared" si="27"/>
        <v xml:space="preserve"> </v>
      </c>
    </row>
    <row r="344" spans="1:13" x14ac:dyDescent="0.25">
      <c r="A344" s="42" t="str">
        <f t="shared" si="25"/>
        <v xml:space="preserve"> </v>
      </c>
      <c r="D344" s="41"/>
      <c r="E344" s="41"/>
      <c r="J344" s="17">
        <f t="shared" si="28"/>
        <v>0</v>
      </c>
      <c r="K344" s="2" t="str">
        <f t="shared" si="29"/>
        <v xml:space="preserve"> </v>
      </c>
      <c r="L344" s="2" t="str">
        <f t="shared" si="26"/>
        <v xml:space="preserve"> </v>
      </c>
      <c r="M344" s="2" t="str">
        <f t="shared" si="27"/>
        <v xml:space="preserve"> </v>
      </c>
    </row>
    <row r="345" spans="1:13" x14ac:dyDescent="0.25">
      <c r="A345" s="42" t="str">
        <f t="shared" si="25"/>
        <v xml:space="preserve"> </v>
      </c>
      <c r="D345" s="41"/>
      <c r="E345" s="41"/>
      <c r="J345" s="17">
        <f t="shared" si="28"/>
        <v>0</v>
      </c>
      <c r="K345" s="2" t="str">
        <f t="shared" si="29"/>
        <v xml:space="preserve"> </v>
      </c>
      <c r="L345" s="2" t="str">
        <f t="shared" si="26"/>
        <v xml:space="preserve"> </v>
      </c>
      <c r="M345" s="2" t="str">
        <f t="shared" si="27"/>
        <v xml:space="preserve"> </v>
      </c>
    </row>
    <row r="346" spans="1:13" x14ac:dyDescent="0.25">
      <c r="A346" s="42" t="str">
        <f t="shared" si="25"/>
        <v xml:space="preserve"> </v>
      </c>
      <c r="D346" s="41"/>
      <c r="E346" s="41"/>
      <c r="J346" s="17">
        <f t="shared" si="28"/>
        <v>0</v>
      </c>
      <c r="K346" s="2" t="str">
        <f t="shared" si="29"/>
        <v xml:space="preserve"> </v>
      </c>
      <c r="L346" s="2" t="str">
        <f t="shared" si="26"/>
        <v xml:space="preserve"> </v>
      </c>
      <c r="M346" s="2" t="str">
        <f t="shared" si="27"/>
        <v xml:space="preserve"> </v>
      </c>
    </row>
    <row r="347" spans="1:13" x14ac:dyDescent="0.25">
      <c r="A347" s="42" t="str">
        <f t="shared" si="25"/>
        <v xml:space="preserve"> </v>
      </c>
      <c r="D347" s="41"/>
      <c r="E347" s="41"/>
      <c r="J347" s="17">
        <f t="shared" si="28"/>
        <v>0</v>
      </c>
      <c r="K347" s="2" t="str">
        <f t="shared" si="29"/>
        <v xml:space="preserve"> </v>
      </c>
      <c r="L347" s="2" t="str">
        <f t="shared" si="26"/>
        <v xml:space="preserve"> </v>
      </c>
      <c r="M347" s="2" t="str">
        <f t="shared" si="27"/>
        <v xml:space="preserve"> </v>
      </c>
    </row>
    <row r="348" spans="1:13" x14ac:dyDescent="0.25">
      <c r="A348" s="42" t="str">
        <f t="shared" si="25"/>
        <v xml:space="preserve"> </v>
      </c>
      <c r="D348" s="41"/>
      <c r="E348" s="41"/>
      <c r="J348" s="17">
        <f t="shared" si="28"/>
        <v>0</v>
      </c>
      <c r="K348" s="2" t="str">
        <f t="shared" si="29"/>
        <v xml:space="preserve"> </v>
      </c>
      <c r="L348" s="2" t="str">
        <f t="shared" si="26"/>
        <v xml:space="preserve"> </v>
      </c>
      <c r="M348" s="2" t="str">
        <f t="shared" si="27"/>
        <v xml:space="preserve"> </v>
      </c>
    </row>
    <row r="349" spans="1:13" x14ac:dyDescent="0.25">
      <c r="A349" s="42" t="str">
        <f t="shared" si="25"/>
        <v xml:space="preserve"> </v>
      </c>
      <c r="D349" s="41"/>
      <c r="E349" s="41"/>
      <c r="J349" s="17">
        <f t="shared" si="28"/>
        <v>0</v>
      </c>
      <c r="K349" s="2" t="str">
        <f t="shared" si="29"/>
        <v xml:space="preserve"> </v>
      </c>
      <c r="L349" s="2" t="str">
        <f t="shared" si="26"/>
        <v xml:space="preserve"> </v>
      </c>
      <c r="M349" s="2" t="str">
        <f t="shared" si="27"/>
        <v xml:space="preserve"> </v>
      </c>
    </row>
    <row r="350" spans="1:13" x14ac:dyDescent="0.25">
      <c r="A350" s="42" t="str">
        <f t="shared" si="25"/>
        <v xml:space="preserve"> </v>
      </c>
      <c r="D350" s="41"/>
      <c r="E350" s="41"/>
      <c r="J350" s="17">
        <f t="shared" si="28"/>
        <v>0</v>
      </c>
      <c r="K350" s="2" t="str">
        <f t="shared" si="29"/>
        <v xml:space="preserve"> </v>
      </c>
      <c r="L350" s="2" t="str">
        <f t="shared" si="26"/>
        <v xml:space="preserve"> </v>
      </c>
      <c r="M350" s="2" t="str">
        <f t="shared" si="27"/>
        <v xml:space="preserve"> </v>
      </c>
    </row>
    <row r="351" spans="1:13" x14ac:dyDescent="0.25">
      <c r="A351" s="42" t="str">
        <f t="shared" si="25"/>
        <v xml:space="preserve"> </v>
      </c>
      <c r="D351" s="41"/>
      <c r="E351" s="41"/>
      <c r="J351" s="17">
        <f t="shared" si="28"/>
        <v>0</v>
      </c>
      <c r="K351" s="2" t="str">
        <f t="shared" si="29"/>
        <v xml:space="preserve"> </v>
      </c>
      <c r="L351" s="2" t="str">
        <f t="shared" si="26"/>
        <v xml:space="preserve"> </v>
      </c>
      <c r="M351" s="2" t="str">
        <f t="shared" si="27"/>
        <v xml:space="preserve"> </v>
      </c>
    </row>
    <row r="352" spans="1:13" x14ac:dyDescent="0.25">
      <c r="A352" s="42" t="str">
        <f t="shared" si="25"/>
        <v xml:space="preserve"> </v>
      </c>
      <c r="D352" s="41"/>
      <c r="E352" s="41"/>
      <c r="J352" s="17">
        <f t="shared" si="28"/>
        <v>0</v>
      </c>
      <c r="K352" s="2" t="str">
        <f t="shared" si="29"/>
        <v xml:space="preserve"> </v>
      </c>
      <c r="L352" s="2" t="str">
        <f t="shared" si="26"/>
        <v xml:space="preserve"> </v>
      </c>
      <c r="M352" s="2" t="str">
        <f t="shared" si="27"/>
        <v xml:space="preserve"> </v>
      </c>
    </row>
    <row r="353" spans="1:13" x14ac:dyDescent="0.25">
      <c r="A353" s="42" t="str">
        <f t="shared" si="25"/>
        <v xml:space="preserve"> </v>
      </c>
      <c r="D353" s="41"/>
      <c r="E353" s="41"/>
      <c r="J353" s="17">
        <f t="shared" si="28"/>
        <v>0</v>
      </c>
      <c r="K353" s="2" t="str">
        <f t="shared" si="29"/>
        <v xml:space="preserve"> </v>
      </c>
      <c r="L353" s="2" t="str">
        <f t="shared" si="26"/>
        <v xml:space="preserve"> </v>
      </c>
      <c r="M353" s="2" t="str">
        <f t="shared" si="27"/>
        <v xml:space="preserve"> </v>
      </c>
    </row>
    <row r="354" spans="1:13" x14ac:dyDescent="0.25">
      <c r="A354" s="42" t="str">
        <f t="shared" si="25"/>
        <v xml:space="preserve"> </v>
      </c>
      <c r="D354" s="41"/>
      <c r="E354" s="41"/>
      <c r="J354" s="17">
        <f t="shared" si="28"/>
        <v>0</v>
      </c>
      <c r="K354" s="2" t="str">
        <f t="shared" si="29"/>
        <v xml:space="preserve"> </v>
      </c>
      <c r="L354" s="2" t="str">
        <f t="shared" si="26"/>
        <v xml:space="preserve"> </v>
      </c>
      <c r="M354" s="2" t="str">
        <f t="shared" si="27"/>
        <v xml:space="preserve"> </v>
      </c>
    </row>
    <row r="355" spans="1:13" x14ac:dyDescent="0.25">
      <c r="A355" s="42" t="str">
        <f t="shared" si="25"/>
        <v xml:space="preserve"> </v>
      </c>
      <c r="D355" s="41"/>
      <c r="E355" s="41"/>
      <c r="J355" s="17">
        <f t="shared" si="28"/>
        <v>0</v>
      </c>
      <c r="K355" s="2" t="str">
        <f t="shared" si="29"/>
        <v xml:space="preserve"> </v>
      </c>
      <c r="L355" s="2" t="str">
        <f t="shared" si="26"/>
        <v xml:space="preserve"> </v>
      </c>
      <c r="M355" s="2" t="str">
        <f t="shared" si="27"/>
        <v xml:space="preserve"> </v>
      </c>
    </row>
    <row r="356" spans="1:13" x14ac:dyDescent="0.25">
      <c r="A356" s="42" t="str">
        <f t="shared" si="25"/>
        <v xml:space="preserve"> </v>
      </c>
      <c r="D356" s="41"/>
      <c r="E356" s="41"/>
      <c r="J356" s="17">
        <f t="shared" si="28"/>
        <v>0</v>
      </c>
      <c r="K356" s="2" t="str">
        <f t="shared" si="29"/>
        <v xml:space="preserve"> </v>
      </c>
      <c r="L356" s="2" t="str">
        <f t="shared" si="26"/>
        <v xml:space="preserve"> </v>
      </c>
      <c r="M356" s="2" t="str">
        <f t="shared" si="27"/>
        <v xml:space="preserve"> </v>
      </c>
    </row>
    <row r="357" spans="1:13" x14ac:dyDescent="0.25">
      <c r="A357" s="42" t="str">
        <f t="shared" si="25"/>
        <v xml:space="preserve"> </v>
      </c>
      <c r="D357" s="41"/>
      <c r="E357" s="41"/>
      <c r="J357" s="17">
        <f t="shared" si="28"/>
        <v>0</v>
      </c>
      <c r="K357" s="2" t="str">
        <f t="shared" si="29"/>
        <v xml:space="preserve"> </v>
      </c>
      <c r="L357" s="2" t="str">
        <f t="shared" si="26"/>
        <v xml:space="preserve"> </v>
      </c>
      <c r="M357" s="2" t="str">
        <f t="shared" si="27"/>
        <v xml:space="preserve"> </v>
      </c>
    </row>
    <row r="358" spans="1:13" x14ac:dyDescent="0.25">
      <c r="A358" s="42" t="str">
        <f t="shared" si="25"/>
        <v xml:space="preserve"> </v>
      </c>
      <c r="D358" s="41"/>
      <c r="E358" s="41"/>
      <c r="J358" s="17">
        <f t="shared" si="28"/>
        <v>0</v>
      </c>
      <c r="K358" s="2" t="str">
        <f t="shared" si="29"/>
        <v xml:space="preserve"> </v>
      </c>
      <c r="L358" s="2" t="str">
        <f t="shared" si="26"/>
        <v xml:space="preserve"> </v>
      </c>
      <c r="M358" s="2" t="str">
        <f t="shared" si="27"/>
        <v xml:space="preserve"> </v>
      </c>
    </row>
    <row r="359" spans="1:13" x14ac:dyDescent="0.25">
      <c r="A359" s="42" t="str">
        <f t="shared" si="25"/>
        <v xml:space="preserve"> </v>
      </c>
      <c r="D359" s="41"/>
      <c r="E359" s="41"/>
      <c r="J359" s="17">
        <f t="shared" si="28"/>
        <v>0</v>
      </c>
      <c r="K359" s="2" t="str">
        <f t="shared" si="29"/>
        <v xml:space="preserve"> </v>
      </c>
      <c r="L359" s="2" t="str">
        <f t="shared" si="26"/>
        <v xml:space="preserve"> </v>
      </c>
      <c r="M359" s="2" t="str">
        <f t="shared" si="27"/>
        <v xml:space="preserve"> </v>
      </c>
    </row>
    <row r="360" spans="1:13" x14ac:dyDescent="0.25">
      <c r="A360" s="42" t="str">
        <f t="shared" si="25"/>
        <v xml:space="preserve"> </v>
      </c>
      <c r="D360" s="41"/>
      <c r="E360" s="41"/>
      <c r="J360" s="17">
        <f t="shared" si="28"/>
        <v>0</v>
      </c>
      <c r="K360" s="2" t="str">
        <f t="shared" si="29"/>
        <v xml:space="preserve"> </v>
      </c>
      <c r="L360" s="2" t="str">
        <f t="shared" si="26"/>
        <v xml:space="preserve"> </v>
      </c>
      <c r="M360" s="2" t="str">
        <f t="shared" si="27"/>
        <v xml:space="preserve"> </v>
      </c>
    </row>
    <row r="361" spans="1:13" x14ac:dyDescent="0.25">
      <c r="A361" s="42" t="str">
        <f t="shared" si="25"/>
        <v xml:space="preserve"> </v>
      </c>
      <c r="D361" s="41"/>
      <c r="E361" s="41"/>
      <c r="J361" s="17">
        <f t="shared" si="28"/>
        <v>0</v>
      </c>
      <c r="K361" s="2" t="str">
        <f t="shared" si="29"/>
        <v xml:space="preserve"> </v>
      </c>
      <c r="L361" s="2" t="str">
        <f t="shared" si="26"/>
        <v xml:space="preserve"> </v>
      </c>
      <c r="M361" s="2" t="str">
        <f t="shared" si="27"/>
        <v xml:space="preserve"> </v>
      </c>
    </row>
    <row r="362" spans="1:13" x14ac:dyDescent="0.25">
      <c r="A362" s="42" t="str">
        <f t="shared" si="25"/>
        <v xml:space="preserve"> </v>
      </c>
      <c r="D362" s="41"/>
      <c r="E362" s="41"/>
      <c r="J362" s="17">
        <f t="shared" si="28"/>
        <v>0</v>
      </c>
      <c r="K362" s="2" t="str">
        <f t="shared" si="29"/>
        <v xml:space="preserve"> </v>
      </c>
      <c r="L362" s="2" t="str">
        <f t="shared" si="26"/>
        <v xml:space="preserve"> </v>
      </c>
      <c r="M362" s="2" t="str">
        <f t="shared" si="27"/>
        <v xml:space="preserve"> </v>
      </c>
    </row>
    <row r="363" spans="1:13" x14ac:dyDescent="0.25">
      <c r="A363" s="42" t="str">
        <f t="shared" si="25"/>
        <v xml:space="preserve"> </v>
      </c>
      <c r="D363" s="41"/>
      <c r="E363" s="41"/>
      <c r="J363" s="17">
        <f t="shared" si="28"/>
        <v>0</v>
      </c>
      <c r="K363" s="2" t="str">
        <f t="shared" si="29"/>
        <v xml:space="preserve"> </v>
      </c>
      <c r="L363" s="2" t="str">
        <f t="shared" si="26"/>
        <v xml:space="preserve"> </v>
      </c>
      <c r="M363" s="2" t="str">
        <f t="shared" si="27"/>
        <v xml:space="preserve"> </v>
      </c>
    </row>
    <row r="364" spans="1:13" x14ac:dyDescent="0.25">
      <c r="A364" s="42" t="str">
        <f t="shared" si="25"/>
        <v xml:space="preserve"> </v>
      </c>
      <c r="D364" s="41"/>
      <c r="E364" s="41"/>
      <c r="J364" s="17">
        <f t="shared" si="28"/>
        <v>0</v>
      </c>
      <c r="K364" s="2" t="str">
        <f t="shared" si="29"/>
        <v xml:space="preserve"> </v>
      </c>
      <c r="L364" s="2" t="str">
        <f t="shared" si="26"/>
        <v xml:space="preserve"> </v>
      </c>
      <c r="M364" s="2" t="str">
        <f t="shared" si="27"/>
        <v xml:space="preserve"> </v>
      </c>
    </row>
    <row r="365" spans="1:13" x14ac:dyDescent="0.25">
      <c r="A365" s="42" t="str">
        <f t="shared" si="25"/>
        <v xml:space="preserve"> </v>
      </c>
      <c r="D365" s="41"/>
      <c r="E365" s="41"/>
      <c r="J365" s="17">
        <f t="shared" si="28"/>
        <v>0</v>
      </c>
      <c r="K365" s="2" t="str">
        <f t="shared" si="29"/>
        <v xml:space="preserve"> </v>
      </c>
      <c r="L365" s="2" t="str">
        <f t="shared" si="26"/>
        <v xml:space="preserve"> </v>
      </c>
      <c r="M365" s="2" t="str">
        <f t="shared" si="27"/>
        <v xml:space="preserve"> </v>
      </c>
    </row>
    <row r="366" spans="1:13" x14ac:dyDescent="0.25">
      <c r="A366" s="42" t="str">
        <f t="shared" si="25"/>
        <v xml:space="preserve"> </v>
      </c>
      <c r="D366" s="41"/>
      <c r="E366" s="41"/>
      <c r="J366" s="17">
        <f t="shared" si="28"/>
        <v>0</v>
      </c>
      <c r="K366" s="2" t="str">
        <f t="shared" si="29"/>
        <v xml:space="preserve"> </v>
      </c>
      <c r="L366" s="2" t="str">
        <f t="shared" si="26"/>
        <v xml:space="preserve"> </v>
      </c>
      <c r="M366" s="2" t="str">
        <f t="shared" si="27"/>
        <v xml:space="preserve"> </v>
      </c>
    </row>
    <row r="367" spans="1:13" x14ac:dyDescent="0.25">
      <c r="A367" s="42" t="str">
        <f t="shared" si="25"/>
        <v xml:space="preserve"> </v>
      </c>
      <c r="D367" s="41"/>
      <c r="E367" s="41"/>
      <c r="J367" s="17">
        <f t="shared" si="28"/>
        <v>0</v>
      </c>
      <c r="K367" s="2" t="str">
        <f t="shared" si="29"/>
        <v xml:space="preserve"> </v>
      </c>
      <c r="L367" s="2" t="str">
        <f t="shared" si="26"/>
        <v xml:space="preserve"> </v>
      </c>
      <c r="M367" s="2" t="str">
        <f t="shared" si="27"/>
        <v xml:space="preserve"> </v>
      </c>
    </row>
    <row r="368" spans="1:13" x14ac:dyDescent="0.25">
      <c r="A368" s="42" t="str">
        <f t="shared" si="25"/>
        <v xml:space="preserve"> </v>
      </c>
      <c r="D368" s="41"/>
      <c r="E368" s="41"/>
      <c r="J368" s="17">
        <f t="shared" si="28"/>
        <v>0</v>
      </c>
      <c r="K368" s="2" t="str">
        <f t="shared" si="29"/>
        <v xml:space="preserve"> </v>
      </c>
      <c r="L368" s="2" t="str">
        <f t="shared" si="26"/>
        <v xml:space="preserve"> </v>
      </c>
      <c r="M368" s="2" t="str">
        <f t="shared" si="27"/>
        <v xml:space="preserve"> </v>
      </c>
    </row>
    <row r="369" spans="1:13" x14ac:dyDescent="0.25">
      <c r="A369" s="42" t="str">
        <f t="shared" si="25"/>
        <v xml:space="preserve"> </v>
      </c>
      <c r="D369" s="41"/>
      <c r="E369" s="41"/>
      <c r="J369" s="17">
        <f t="shared" si="28"/>
        <v>0</v>
      </c>
      <c r="K369" s="2" t="str">
        <f t="shared" si="29"/>
        <v xml:space="preserve"> </v>
      </c>
      <c r="L369" s="2" t="str">
        <f t="shared" si="26"/>
        <v xml:space="preserve"> </v>
      </c>
      <c r="M369" s="2" t="str">
        <f t="shared" si="27"/>
        <v xml:space="preserve"> </v>
      </c>
    </row>
    <row r="370" spans="1:13" x14ac:dyDescent="0.25">
      <c r="A370" s="42" t="str">
        <f t="shared" si="25"/>
        <v xml:space="preserve"> </v>
      </c>
      <c r="D370" s="41"/>
      <c r="E370" s="41"/>
      <c r="J370" s="17">
        <f t="shared" si="28"/>
        <v>0</v>
      </c>
      <c r="K370" s="2" t="str">
        <f t="shared" si="29"/>
        <v xml:space="preserve"> </v>
      </c>
      <c r="L370" s="2" t="str">
        <f t="shared" si="26"/>
        <v xml:space="preserve"> </v>
      </c>
      <c r="M370" s="2" t="str">
        <f t="shared" si="27"/>
        <v xml:space="preserve"> </v>
      </c>
    </row>
    <row r="371" spans="1:13" x14ac:dyDescent="0.25">
      <c r="A371" s="42" t="str">
        <f t="shared" si="25"/>
        <v xml:space="preserve"> </v>
      </c>
      <c r="D371" s="41"/>
      <c r="E371" s="41"/>
      <c r="J371" s="17">
        <f t="shared" si="28"/>
        <v>0</v>
      </c>
      <c r="K371" s="2" t="str">
        <f t="shared" si="29"/>
        <v xml:space="preserve"> </v>
      </c>
      <c r="L371" s="2" t="str">
        <f t="shared" si="26"/>
        <v xml:space="preserve"> </v>
      </c>
      <c r="M371" s="2" t="str">
        <f t="shared" si="27"/>
        <v xml:space="preserve"> </v>
      </c>
    </row>
    <row r="372" spans="1:13" x14ac:dyDescent="0.25">
      <c r="A372" s="42" t="str">
        <f t="shared" si="25"/>
        <v xml:space="preserve"> </v>
      </c>
      <c r="D372" s="41"/>
      <c r="E372" s="41"/>
      <c r="J372" s="17">
        <f t="shared" si="28"/>
        <v>0</v>
      </c>
      <c r="K372" s="2" t="str">
        <f t="shared" si="29"/>
        <v xml:space="preserve"> </v>
      </c>
      <c r="L372" s="2" t="str">
        <f t="shared" si="26"/>
        <v xml:space="preserve"> </v>
      </c>
      <c r="M372" s="2" t="str">
        <f t="shared" si="27"/>
        <v xml:space="preserve"> </v>
      </c>
    </row>
    <row r="373" spans="1:13" x14ac:dyDescent="0.25">
      <c r="A373" s="42" t="str">
        <f t="shared" si="25"/>
        <v xml:space="preserve"> </v>
      </c>
      <c r="D373" s="41"/>
      <c r="E373" s="41"/>
      <c r="J373" s="17">
        <f t="shared" si="28"/>
        <v>0</v>
      </c>
      <c r="K373" s="2" t="str">
        <f t="shared" si="29"/>
        <v xml:space="preserve"> </v>
      </c>
      <c r="L373" s="2" t="str">
        <f t="shared" si="26"/>
        <v xml:space="preserve"> </v>
      </c>
      <c r="M373" s="2" t="str">
        <f t="shared" si="27"/>
        <v xml:space="preserve"> </v>
      </c>
    </row>
    <row r="374" spans="1:13" x14ac:dyDescent="0.25">
      <c r="A374" s="42" t="str">
        <f t="shared" si="25"/>
        <v xml:space="preserve"> </v>
      </c>
      <c r="D374" s="41"/>
      <c r="E374" s="41"/>
      <c r="J374" s="17">
        <f t="shared" si="28"/>
        <v>0</v>
      </c>
      <c r="K374" s="2" t="str">
        <f t="shared" si="29"/>
        <v xml:space="preserve"> </v>
      </c>
      <c r="L374" s="2" t="str">
        <f t="shared" si="26"/>
        <v xml:space="preserve"> </v>
      </c>
      <c r="M374" s="2" t="str">
        <f t="shared" si="27"/>
        <v xml:space="preserve"> </v>
      </c>
    </row>
    <row r="375" spans="1:13" x14ac:dyDescent="0.25">
      <c r="A375" s="42" t="str">
        <f t="shared" si="25"/>
        <v xml:space="preserve"> </v>
      </c>
      <c r="D375" s="41"/>
      <c r="E375" s="41"/>
      <c r="J375" s="17">
        <f t="shared" si="28"/>
        <v>0</v>
      </c>
      <c r="K375" s="2" t="str">
        <f t="shared" si="29"/>
        <v xml:space="preserve"> </v>
      </c>
      <c r="L375" s="2" t="str">
        <f t="shared" si="26"/>
        <v xml:space="preserve"> </v>
      </c>
      <c r="M375" s="2" t="str">
        <f t="shared" si="27"/>
        <v xml:space="preserve"> </v>
      </c>
    </row>
    <row r="376" spans="1:13" x14ac:dyDescent="0.25">
      <c r="A376" s="42" t="str">
        <f t="shared" si="25"/>
        <v xml:space="preserve"> </v>
      </c>
      <c r="D376" s="41"/>
      <c r="E376" s="41"/>
      <c r="J376" s="17">
        <f t="shared" si="28"/>
        <v>0</v>
      </c>
      <c r="K376" s="2" t="str">
        <f t="shared" si="29"/>
        <v xml:space="preserve"> </v>
      </c>
      <c r="L376" s="2" t="str">
        <f t="shared" si="26"/>
        <v xml:space="preserve"> </v>
      </c>
      <c r="M376" s="2" t="str">
        <f t="shared" si="27"/>
        <v xml:space="preserve"> </v>
      </c>
    </row>
    <row r="377" spans="1:13" x14ac:dyDescent="0.25">
      <c r="A377" s="42" t="str">
        <f t="shared" si="25"/>
        <v xml:space="preserve"> </v>
      </c>
      <c r="D377" s="41"/>
      <c r="E377" s="41"/>
      <c r="J377" s="17">
        <f t="shared" si="28"/>
        <v>0</v>
      </c>
      <c r="K377" s="2" t="str">
        <f t="shared" si="29"/>
        <v xml:space="preserve"> </v>
      </c>
      <c r="L377" s="2" t="str">
        <f t="shared" si="26"/>
        <v xml:space="preserve"> </v>
      </c>
      <c r="M377" s="2" t="str">
        <f t="shared" si="27"/>
        <v xml:space="preserve"> </v>
      </c>
    </row>
    <row r="378" spans="1:13" x14ac:dyDescent="0.25">
      <c r="A378" s="42" t="str">
        <f t="shared" si="25"/>
        <v xml:space="preserve"> </v>
      </c>
      <c r="D378" s="41"/>
      <c r="E378" s="41"/>
      <c r="J378" s="17">
        <f t="shared" si="28"/>
        <v>0</v>
      </c>
      <c r="K378" s="2" t="str">
        <f t="shared" si="29"/>
        <v xml:space="preserve"> </v>
      </c>
      <c r="L378" s="2" t="str">
        <f t="shared" si="26"/>
        <v xml:space="preserve"> </v>
      </c>
      <c r="M378" s="2" t="str">
        <f t="shared" si="27"/>
        <v xml:space="preserve"> </v>
      </c>
    </row>
    <row r="379" spans="1:13" x14ac:dyDescent="0.25">
      <c r="A379" s="42" t="str">
        <f t="shared" si="25"/>
        <v xml:space="preserve"> </v>
      </c>
      <c r="D379" s="41"/>
      <c r="E379" s="41"/>
      <c r="J379" s="17">
        <f t="shared" si="28"/>
        <v>0</v>
      </c>
      <c r="K379" s="2" t="str">
        <f t="shared" si="29"/>
        <v xml:space="preserve"> </v>
      </c>
      <c r="L379" s="2" t="str">
        <f t="shared" si="26"/>
        <v xml:space="preserve"> </v>
      </c>
      <c r="M379" s="2" t="str">
        <f t="shared" si="27"/>
        <v xml:space="preserve"> </v>
      </c>
    </row>
    <row r="380" spans="1:13" x14ac:dyDescent="0.25">
      <c r="A380" s="42" t="str">
        <f t="shared" si="25"/>
        <v xml:space="preserve"> </v>
      </c>
      <c r="D380" s="41"/>
      <c r="E380" s="41"/>
      <c r="J380" s="17">
        <f t="shared" si="28"/>
        <v>0</v>
      </c>
      <c r="K380" s="2" t="str">
        <f t="shared" si="29"/>
        <v xml:space="preserve"> </v>
      </c>
      <c r="L380" s="2" t="str">
        <f t="shared" si="26"/>
        <v xml:space="preserve"> </v>
      </c>
      <c r="M380" s="2" t="str">
        <f t="shared" si="27"/>
        <v xml:space="preserve"> </v>
      </c>
    </row>
    <row r="381" spans="1:13" x14ac:dyDescent="0.25">
      <c r="A381" s="42" t="str">
        <f t="shared" si="25"/>
        <v xml:space="preserve"> </v>
      </c>
      <c r="D381" s="41"/>
      <c r="E381" s="41"/>
      <c r="J381" s="17">
        <f t="shared" si="28"/>
        <v>0</v>
      </c>
      <c r="K381" s="2" t="str">
        <f t="shared" si="29"/>
        <v xml:space="preserve"> </v>
      </c>
      <c r="L381" s="2" t="str">
        <f t="shared" si="26"/>
        <v xml:space="preserve"> </v>
      </c>
      <c r="M381" s="2" t="str">
        <f t="shared" si="27"/>
        <v xml:space="preserve"> </v>
      </c>
    </row>
    <row r="382" spans="1:13" x14ac:dyDescent="0.25">
      <c r="A382" s="42" t="str">
        <f t="shared" si="25"/>
        <v xml:space="preserve"> </v>
      </c>
      <c r="D382" s="41"/>
      <c r="E382" s="41"/>
      <c r="J382" s="17">
        <f t="shared" si="28"/>
        <v>0</v>
      </c>
      <c r="K382" s="2" t="str">
        <f t="shared" si="29"/>
        <v xml:space="preserve"> </v>
      </c>
      <c r="L382" s="2" t="str">
        <f t="shared" si="26"/>
        <v xml:space="preserve"> </v>
      </c>
      <c r="M382" s="2" t="str">
        <f t="shared" si="27"/>
        <v xml:space="preserve"> </v>
      </c>
    </row>
    <row r="383" spans="1:13" x14ac:dyDescent="0.25">
      <c r="A383" s="42" t="str">
        <f t="shared" si="25"/>
        <v xml:space="preserve"> </v>
      </c>
      <c r="D383" s="41"/>
      <c r="E383" s="41"/>
      <c r="J383" s="17">
        <f t="shared" si="28"/>
        <v>0</v>
      </c>
      <c r="K383" s="2" t="str">
        <f t="shared" si="29"/>
        <v xml:space="preserve"> </v>
      </c>
      <c r="L383" s="2" t="str">
        <f t="shared" si="26"/>
        <v xml:space="preserve"> </v>
      </c>
      <c r="M383" s="2" t="str">
        <f t="shared" si="27"/>
        <v xml:space="preserve"> </v>
      </c>
    </row>
    <row r="384" spans="1:13" x14ac:dyDescent="0.25">
      <c r="A384" s="42" t="str">
        <f t="shared" si="25"/>
        <v xml:space="preserve"> </v>
      </c>
      <c r="D384" s="41"/>
      <c r="E384" s="41"/>
      <c r="J384" s="17">
        <f t="shared" si="28"/>
        <v>0</v>
      </c>
      <c r="K384" s="2" t="str">
        <f t="shared" si="29"/>
        <v xml:space="preserve"> </v>
      </c>
      <c r="L384" s="2" t="str">
        <f t="shared" si="26"/>
        <v xml:space="preserve"> </v>
      </c>
      <c r="M384" s="2" t="str">
        <f t="shared" si="27"/>
        <v xml:space="preserve"> </v>
      </c>
    </row>
    <row r="385" spans="1:13" x14ac:dyDescent="0.25">
      <c r="A385" s="42" t="str">
        <f t="shared" si="25"/>
        <v xml:space="preserve"> </v>
      </c>
      <c r="D385" s="41"/>
      <c r="E385" s="41"/>
      <c r="J385" s="17">
        <f t="shared" si="28"/>
        <v>0</v>
      </c>
      <c r="K385" s="2" t="str">
        <f t="shared" si="29"/>
        <v xml:space="preserve"> </v>
      </c>
      <c r="L385" s="2" t="str">
        <f t="shared" si="26"/>
        <v xml:space="preserve"> </v>
      </c>
      <c r="M385" s="2" t="str">
        <f t="shared" si="27"/>
        <v xml:space="preserve"> </v>
      </c>
    </row>
    <row r="386" spans="1:13" x14ac:dyDescent="0.25">
      <c r="A386" s="42" t="str">
        <f t="shared" si="25"/>
        <v xml:space="preserve"> </v>
      </c>
      <c r="D386" s="41"/>
      <c r="E386" s="41"/>
      <c r="J386" s="17">
        <f t="shared" si="28"/>
        <v>0</v>
      </c>
      <c r="K386" s="2" t="str">
        <f t="shared" si="29"/>
        <v xml:space="preserve"> </v>
      </c>
      <c r="L386" s="2" t="str">
        <f t="shared" si="26"/>
        <v xml:space="preserve"> </v>
      </c>
      <c r="M386" s="2" t="str">
        <f t="shared" si="27"/>
        <v xml:space="preserve"> </v>
      </c>
    </row>
    <row r="387" spans="1:13" x14ac:dyDescent="0.25">
      <c r="A387" s="42" t="str">
        <f t="shared" si="25"/>
        <v xml:space="preserve"> </v>
      </c>
      <c r="D387" s="41"/>
      <c r="E387" s="41"/>
      <c r="J387" s="17">
        <f t="shared" si="28"/>
        <v>0</v>
      </c>
      <c r="K387" s="2" t="str">
        <f t="shared" si="29"/>
        <v xml:space="preserve"> </v>
      </c>
      <c r="L387" s="2" t="str">
        <f t="shared" si="26"/>
        <v xml:space="preserve"> </v>
      </c>
      <c r="M387" s="2" t="str">
        <f t="shared" si="27"/>
        <v xml:space="preserve"> </v>
      </c>
    </row>
    <row r="388" spans="1:13" x14ac:dyDescent="0.25">
      <c r="A388" s="42" t="str">
        <f t="shared" si="25"/>
        <v xml:space="preserve"> </v>
      </c>
      <c r="D388" s="41"/>
      <c r="E388" s="41"/>
      <c r="J388" s="17">
        <f t="shared" si="28"/>
        <v>0</v>
      </c>
      <c r="K388" s="2" t="str">
        <f t="shared" si="29"/>
        <v xml:space="preserve"> </v>
      </c>
      <c r="L388" s="2" t="str">
        <f t="shared" si="26"/>
        <v xml:space="preserve"> </v>
      </c>
      <c r="M388" s="2" t="str">
        <f t="shared" si="27"/>
        <v xml:space="preserve"> </v>
      </c>
    </row>
    <row r="389" spans="1:13" x14ac:dyDescent="0.25">
      <c r="A389" s="42" t="str">
        <f t="shared" si="25"/>
        <v xml:space="preserve"> </v>
      </c>
      <c r="D389" s="41"/>
      <c r="E389" s="41"/>
      <c r="J389" s="17">
        <f t="shared" si="28"/>
        <v>0</v>
      </c>
      <c r="K389" s="2" t="str">
        <f t="shared" si="29"/>
        <v xml:space="preserve"> </v>
      </c>
      <c r="L389" s="2" t="str">
        <f t="shared" si="26"/>
        <v xml:space="preserve"> </v>
      </c>
      <c r="M389" s="2" t="str">
        <f t="shared" si="27"/>
        <v xml:space="preserve"> </v>
      </c>
    </row>
    <row r="390" spans="1:13" x14ac:dyDescent="0.25">
      <c r="A390" s="42" t="str">
        <f t="shared" si="25"/>
        <v xml:space="preserve"> </v>
      </c>
      <c r="D390" s="41"/>
      <c r="E390" s="41"/>
      <c r="J390" s="17">
        <f t="shared" si="28"/>
        <v>0</v>
      </c>
      <c r="K390" s="2" t="str">
        <f t="shared" si="29"/>
        <v xml:space="preserve"> </v>
      </c>
      <c r="L390" s="2" t="str">
        <f t="shared" si="26"/>
        <v xml:space="preserve"> </v>
      </c>
      <c r="M390" s="2" t="str">
        <f t="shared" si="27"/>
        <v xml:space="preserve"> </v>
      </c>
    </row>
    <row r="391" spans="1:13" x14ac:dyDescent="0.25">
      <c r="A391" s="42" t="str">
        <f t="shared" si="25"/>
        <v xml:space="preserve"> </v>
      </c>
      <c r="D391" s="41"/>
      <c r="E391" s="41"/>
      <c r="J391" s="17">
        <f t="shared" si="28"/>
        <v>0</v>
      </c>
      <c r="K391" s="2" t="str">
        <f t="shared" si="29"/>
        <v xml:space="preserve"> </v>
      </c>
      <c r="L391" s="2" t="str">
        <f t="shared" si="26"/>
        <v xml:space="preserve"> </v>
      </c>
      <c r="M391" s="2" t="str">
        <f t="shared" si="27"/>
        <v xml:space="preserve"> </v>
      </c>
    </row>
    <row r="392" spans="1:13" x14ac:dyDescent="0.25">
      <c r="A392" s="42" t="str">
        <f t="shared" si="25"/>
        <v xml:space="preserve"> </v>
      </c>
      <c r="D392" s="41"/>
      <c r="E392" s="41"/>
      <c r="J392" s="17">
        <f t="shared" si="28"/>
        <v>0</v>
      </c>
      <c r="K392" s="2" t="str">
        <f t="shared" si="29"/>
        <v xml:space="preserve"> </v>
      </c>
      <c r="L392" s="2" t="str">
        <f t="shared" si="26"/>
        <v xml:space="preserve"> </v>
      </c>
      <c r="M392" s="2" t="str">
        <f t="shared" si="27"/>
        <v xml:space="preserve"> </v>
      </c>
    </row>
    <row r="393" spans="1:13" x14ac:dyDescent="0.25">
      <c r="A393" s="42" t="str">
        <f t="shared" si="25"/>
        <v xml:space="preserve"> </v>
      </c>
      <c r="D393" s="41"/>
      <c r="E393" s="41"/>
      <c r="J393" s="17">
        <f t="shared" si="28"/>
        <v>0</v>
      </c>
      <c r="K393" s="2" t="str">
        <f t="shared" si="29"/>
        <v xml:space="preserve"> </v>
      </c>
      <c r="L393" s="2" t="str">
        <f t="shared" si="26"/>
        <v xml:space="preserve"> </v>
      </c>
      <c r="M393" s="2" t="str">
        <f t="shared" si="27"/>
        <v xml:space="preserve"> </v>
      </c>
    </row>
    <row r="394" spans="1:13" x14ac:dyDescent="0.25">
      <c r="A394" s="42" t="str">
        <f t="shared" si="25"/>
        <v xml:space="preserve"> </v>
      </c>
      <c r="D394" s="41"/>
      <c r="E394" s="41"/>
      <c r="J394" s="17">
        <f t="shared" si="28"/>
        <v>0</v>
      </c>
      <c r="K394" s="2" t="str">
        <f t="shared" si="29"/>
        <v xml:space="preserve"> </v>
      </c>
      <c r="L394" s="2" t="str">
        <f t="shared" si="26"/>
        <v xml:space="preserve"> </v>
      </c>
      <c r="M394" s="2" t="str">
        <f t="shared" si="27"/>
        <v xml:space="preserve"> </v>
      </c>
    </row>
    <row r="395" spans="1:13" x14ac:dyDescent="0.25">
      <c r="A395" s="42" t="str">
        <f t="shared" si="25"/>
        <v xml:space="preserve"> </v>
      </c>
      <c r="D395" s="41"/>
      <c r="E395" s="41"/>
      <c r="J395" s="17">
        <f t="shared" si="28"/>
        <v>0</v>
      </c>
      <c r="K395" s="2" t="str">
        <f t="shared" si="29"/>
        <v xml:space="preserve"> </v>
      </c>
      <c r="L395" s="2" t="str">
        <f t="shared" si="26"/>
        <v xml:space="preserve"> </v>
      </c>
      <c r="M395" s="2" t="str">
        <f t="shared" si="27"/>
        <v xml:space="preserve"> </v>
      </c>
    </row>
    <row r="396" spans="1:13" x14ac:dyDescent="0.25">
      <c r="A396" s="42" t="str">
        <f t="shared" si="25"/>
        <v xml:space="preserve"> </v>
      </c>
      <c r="D396" s="41"/>
      <c r="E396" s="41"/>
      <c r="J396" s="17">
        <f t="shared" si="28"/>
        <v>0</v>
      </c>
      <c r="K396" s="2" t="str">
        <f t="shared" si="29"/>
        <v xml:space="preserve"> </v>
      </c>
      <c r="L396" s="2" t="str">
        <f t="shared" si="26"/>
        <v xml:space="preserve"> </v>
      </c>
      <c r="M396" s="2" t="str">
        <f t="shared" si="27"/>
        <v xml:space="preserve"> </v>
      </c>
    </row>
    <row r="397" spans="1:13" x14ac:dyDescent="0.25">
      <c r="A397" s="42" t="str">
        <f t="shared" si="25"/>
        <v xml:space="preserve"> </v>
      </c>
      <c r="D397" s="41"/>
      <c r="E397" s="41"/>
      <c r="J397" s="17">
        <f t="shared" si="28"/>
        <v>0</v>
      </c>
      <c r="K397" s="2" t="str">
        <f t="shared" si="29"/>
        <v xml:space="preserve"> </v>
      </c>
      <c r="L397" s="2" t="str">
        <f t="shared" si="26"/>
        <v xml:space="preserve"> </v>
      </c>
      <c r="M397" s="2" t="str">
        <f t="shared" si="27"/>
        <v xml:space="preserve"> </v>
      </c>
    </row>
    <row r="398" spans="1:13" x14ac:dyDescent="0.25">
      <c r="A398" s="42" t="str">
        <f t="shared" si="25"/>
        <v xml:space="preserve"> </v>
      </c>
      <c r="D398" s="41"/>
      <c r="E398" s="41"/>
      <c r="J398" s="17">
        <f t="shared" si="28"/>
        <v>0</v>
      </c>
      <c r="K398" s="2" t="str">
        <f t="shared" si="29"/>
        <v xml:space="preserve"> </v>
      </c>
      <c r="L398" s="2" t="str">
        <f t="shared" si="26"/>
        <v xml:space="preserve"> </v>
      </c>
      <c r="M398" s="2" t="str">
        <f t="shared" si="27"/>
        <v xml:space="preserve"> </v>
      </c>
    </row>
    <row r="399" spans="1:13" x14ac:dyDescent="0.25">
      <c r="A399" s="42" t="str">
        <f t="shared" ref="A399:A462" si="30">IF(COUNTIF(K399:M399,"ERROR")&gt;0,"ERROR"," ")</f>
        <v xml:space="preserve"> </v>
      </c>
      <c r="D399" s="41"/>
      <c r="E399" s="41"/>
      <c r="J399" s="17">
        <f t="shared" si="28"/>
        <v>0</v>
      </c>
      <c r="K399" s="2" t="str">
        <f t="shared" si="29"/>
        <v xml:space="preserve"> </v>
      </c>
      <c r="L399" s="2" t="str">
        <f t="shared" ref="L399:L462" si="31">IF(D399=0," ",IF(COUNTIF(ProfitLoss3,D399)&gt;0," ","ERROR"))</f>
        <v xml:space="preserve"> </v>
      </c>
      <c r="M399" s="2" t="str">
        <f t="shared" ref="M399:M462" si="32">IF(E399=0," ",IF(COUNTIF(BalanceSheet3,E399)&gt;0," ","ERROR"))</f>
        <v xml:space="preserve"> </v>
      </c>
    </row>
    <row r="400" spans="1:13" x14ac:dyDescent="0.25">
      <c r="A400" s="42" t="str">
        <f t="shared" si="30"/>
        <v xml:space="preserve"> </v>
      </c>
      <c r="D400" s="41"/>
      <c r="E400" s="41"/>
      <c r="J400" s="17">
        <f t="shared" ref="J400:J463" si="33">F400-G400+H400-I400</f>
        <v>0</v>
      </c>
      <c r="K400" s="2" t="str">
        <f t="shared" ref="K400:K463" si="34">IF(COUNTA(D400:E400)=2,"ERROR"," ")</f>
        <v xml:space="preserve"> </v>
      </c>
      <c r="L400" s="2" t="str">
        <f t="shared" si="31"/>
        <v xml:space="preserve"> </v>
      </c>
      <c r="M400" s="2" t="str">
        <f t="shared" si="32"/>
        <v xml:space="preserve"> </v>
      </c>
    </row>
    <row r="401" spans="1:13" x14ac:dyDescent="0.25">
      <c r="A401" s="42" t="str">
        <f t="shared" si="30"/>
        <v xml:space="preserve"> </v>
      </c>
      <c r="D401" s="41"/>
      <c r="E401" s="41"/>
      <c r="J401" s="17">
        <f t="shared" si="33"/>
        <v>0</v>
      </c>
      <c r="K401" s="2" t="str">
        <f t="shared" si="34"/>
        <v xml:space="preserve"> </v>
      </c>
      <c r="L401" s="2" t="str">
        <f t="shared" si="31"/>
        <v xml:space="preserve"> </v>
      </c>
      <c r="M401" s="2" t="str">
        <f t="shared" si="32"/>
        <v xml:space="preserve"> </v>
      </c>
    </row>
    <row r="402" spans="1:13" x14ac:dyDescent="0.25">
      <c r="A402" s="42" t="str">
        <f t="shared" si="30"/>
        <v xml:space="preserve"> </v>
      </c>
      <c r="D402" s="41"/>
      <c r="E402" s="41"/>
      <c r="J402" s="17">
        <f t="shared" si="33"/>
        <v>0</v>
      </c>
      <c r="K402" s="2" t="str">
        <f t="shared" si="34"/>
        <v xml:space="preserve"> </v>
      </c>
      <c r="L402" s="2" t="str">
        <f t="shared" si="31"/>
        <v xml:space="preserve"> </v>
      </c>
      <c r="M402" s="2" t="str">
        <f t="shared" si="32"/>
        <v xml:space="preserve"> </v>
      </c>
    </row>
    <row r="403" spans="1:13" x14ac:dyDescent="0.25">
      <c r="A403" s="42" t="str">
        <f t="shared" si="30"/>
        <v xml:space="preserve"> </v>
      </c>
      <c r="D403" s="41"/>
      <c r="E403" s="41"/>
      <c r="J403" s="17">
        <f t="shared" si="33"/>
        <v>0</v>
      </c>
      <c r="K403" s="2" t="str">
        <f t="shared" si="34"/>
        <v xml:space="preserve"> </v>
      </c>
      <c r="L403" s="2" t="str">
        <f t="shared" si="31"/>
        <v xml:space="preserve"> </v>
      </c>
      <c r="M403" s="2" t="str">
        <f t="shared" si="32"/>
        <v xml:space="preserve"> </v>
      </c>
    </row>
    <row r="404" spans="1:13" x14ac:dyDescent="0.25">
      <c r="A404" s="42" t="str">
        <f t="shared" si="30"/>
        <v xml:space="preserve"> </v>
      </c>
      <c r="D404" s="41"/>
      <c r="E404" s="41"/>
      <c r="J404" s="17">
        <f t="shared" si="33"/>
        <v>0</v>
      </c>
      <c r="K404" s="2" t="str">
        <f t="shared" si="34"/>
        <v xml:space="preserve"> </v>
      </c>
      <c r="L404" s="2" t="str">
        <f t="shared" si="31"/>
        <v xml:space="preserve"> </v>
      </c>
      <c r="M404" s="2" t="str">
        <f t="shared" si="32"/>
        <v xml:space="preserve"> </v>
      </c>
    </row>
    <row r="405" spans="1:13" x14ac:dyDescent="0.25">
      <c r="A405" s="42" t="str">
        <f t="shared" si="30"/>
        <v xml:space="preserve"> </v>
      </c>
      <c r="D405" s="41"/>
      <c r="E405" s="41"/>
      <c r="J405" s="17">
        <f t="shared" si="33"/>
        <v>0</v>
      </c>
      <c r="K405" s="2" t="str">
        <f t="shared" si="34"/>
        <v xml:space="preserve"> </v>
      </c>
      <c r="L405" s="2" t="str">
        <f t="shared" si="31"/>
        <v xml:space="preserve"> </v>
      </c>
      <c r="M405" s="2" t="str">
        <f t="shared" si="32"/>
        <v xml:space="preserve"> </v>
      </c>
    </row>
    <row r="406" spans="1:13" x14ac:dyDescent="0.25">
      <c r="A406" s="42" t="str">
        <f t="shared" si="30"/>
        <v xml:space="preserve"> </v>
      </c>
      <c r="D406" s="41"/>
      <c r="E406" s="41"/>
      <c r="J406" s="17">
        <f t="shared" si="33"/>
        <v>0</v>
      </c>
      <c r="K406" s="2" t="str">
        <f t="shared" si="34"/>
        <v xml:space="preserve"> </v>
      </c>
      <c r="L406" s="2" t="str">
        <f t="shared" si="31"/>
        <v xml:space="preserve"> </v>
      </c>
      <c r="M406" s="2" t="str">
        <f t="shared" si="32"/>
        <v xml:space="preserve"> </v>
      </c>
    </row>
    <row r="407" spans="1:13" x14ac:dyDescent="0.25">
      <c r="A407" s="42" t="str">
        <f t="shared" si="30"/>
        <v xml:space="preserve"> </v>
      </c>
      <c r="D407" s="41"/>
      <c r="E407" s="41"/>
      <c r="J407" s="17">
        <f t="shared" si="33"/>
        <v>0</v>
      </c>
      <c r="K407" s="2" t="str">
        <f t="shared" si="34"/>
        <v xml:space="preserve"> </v>
      </c>
      <c r="L407" s="2" t="str">
        <f t="shared" si="31"/>
        <v xml:space="preserve"> </v>
      </c>
      <c r="M407" s="2" t="str">
        <f t="shared" si="32"/>
        <v xml:space="preserve"> </v>
      </c>
    </row>
    <row r="408" spans="1:13" x14ac:dyDescent="0.25">
      <c r="A408" s="42" t="str">
        <f t="shared" si="30"/>
        <v xml:space="preserve"> </v>
      </c>
      <c r="D408" s="41"/>
      <c r="E408" s="41"/>
      <c r="J408" s="17">
        <f t="shared" si="33"/>
        <v>0</v>
      </c>
      <c r="K408" s="2" t="str">
        <f t="shared" si="34"/>
        <v xml:space="preserve"> </v>
      </c>
      <c r="L408" s="2" t="str">
        <f t="shared" si="31"/>
        <v xml:space="preserve"> </v>
      </c>
      <c r="M408" s="2" t="str">
        <f t="shared" si="32"/>
        <v xml:space="preserve"> </v>
      </c>
    </row>
    <row r="409" spans="1:13" x14ac:dyDescent="0.25">
      <c r="A409" s="42" t="str">
        <f t="shared" si="30"/>
        <v xml:space="preserve"> </v>
      </c>
      <c r="D409" s="41"/>
      <c r="E409" s="41"/>
      <c r="J409" s="17">
        <f t="shared" si="33"/>
        <v>0</v>
      </c>
      <c r="K409" s="2" t="str">
        <f t="shared" si="34"/>
        <v xml:space="preserve"> </v>
      </c>
      <c r="L409" s="2" t="str">
        <f t="shared" si="31"/>
        <v xml:space="preserve"> </v>
      </c>
      <c r="M409" s="2" t="str">
        <f t="shared" si="32"/>
        <v xml:space="preserve"> </v>
      </c>
    </row>
    <row r="410" spans="1:13" x14ac:dyDescent="0.25">
      <c r="A410" s="42" t="str">
        <f t="shared" si="30"/>
        <v xml:space="preserve"> </v>
      </c>
      <c r="D410" s="41"/>
      <c r="E410" s="41"/>
      <c r="J410" s="17">
        <f t="shared" si="33"/>
        <v>0</v>
      </c>
      <c r="K410" s="2" t="str">
        <f t="shared" si="34"/>
        <v xml:space="preserve"> </v>
      </c>
      <c r="L410" s="2" t="str">
        <f t="shared" si="31"/>
        <v xml:space="preserve"> </v>
      </c>
      <c r="M410" s="2" t="str">
        <f t="shared" si="32"/>
        <v xml:space="preserve"> </v>
      </c>
    </row>
    <row r="411" spans="1:13" x14ac:dyDescent="0.25">
      <c r="A411" s="42" t="str">
        <f t="shared" si="30"/>
        <v xml:space="preserve"> </v>
      </c>
      <c r="D411" s="41"/>
      <c r="E411" s="41"/>
      <c r="J411" s="17">
        <f t="shared" si="33"/>
        <v>0</v>
      </c>
      <c r="K411" s="2" t="str">
        <f t="shared" si="34"/>
        <v xml:space="preserve"> </v>
      </c>
      <c r="L411" s="2" t="str">
        <f t="shared" si="31"/>
        <v xml:space="preserve"> </v>
      </c>
      <c r="M411" s="2" t="str">
        <f t="shared" si="32"/>
        <v xml:space="preserve"> </v>
      </c>
    </row>
    <row r="412" spans="1:13" x14ac:dyDescent="0.25">
      <c r="A412" s="42" t="str">
        <f t="shared" si="30"/>
        <v xml:space="preserve"> </v>
      </c>
      <c r="D412" s="41"/>
      <c r="E412" s="41"/>
      <c r="J412" s="17">
        <f t="shared" si="33"/>
        <v>0</v>
      </c>
      <c r="K412" s="2" t="str">
        <f t="shared" si="34"/>
        <v xml:space="preserve"> </v>
      </c>
      <c r="L412" s="2" t="str">
        <f t="shared" si="31"/>
        <v xml:space="preserve"> </v>
      </c>
      <c r="M412" s="2" t="str">
        <f t="shared" si="32"/>
        <v xml:space="preserve"> </v>
      </c>
    </row>
    <row r="413" spans="1:13" x14ac:dyDescent="0.25">
      <c r="A413" s="42" t="str">
        <f t="shared" si="30"/>
        <v xml:space="preserve"> </v>
      </c>
      <c r="D413" s="41"/>
      <c r="E413" s="41"/>
      <c r="J413" s="17">
        <f t="shared" si="33"/>
        <v>0</v>
      </c>
      <c r="K413" s="2" t="str">
        <f t="shared" si="34"/>
        <v xml:space="preserve"> </v>
      </c>
      <c r="L413" s="2" t="str">
        <f t="shared" si="31"/>
        <v xml:space="preserve"> </v>
      </c>
      <c r="M413" s="2" t="str">
        <f t="shared" si="32"/>
        <v xml:space="preserve"> </v>
      </c>
    </row>
    <row r="414" spans="1:13" x14ac:dyDescent="0.25">
      <c r="A414" s="42" t="str">
        <f t="shared" si="30"/>
        <v xml:space="preserve"> </v>
      </c>
      <c r="D414" s="41"/>
      <c r="E414" s="41"/>
      <c r="J414" s="17">
        <f t="shared" si="33"/>
        <v>0</v>
      </c>
      <c r="K414" s="2" t="str">
        <f t="shared" si="34"/>
        <v xml:space="preserve"> </v>
      </c>
      <c r="L414" s="2" t="str">
        <f t="shared" si="31"/>
        <v xml:space="preserve"> </v>
      </c>
      <c r="M414" s="2" t="str">
        <f t="shared" si="32"/>
        <v xml:space="preserve"> </v>
      </c>
    </row>
    <row r="415" spans="1:13" x14ac:dyDescent="0.25">
      <c r="A415" s="42" t="str">
        <f t="shared" si="30"/>
        <v xml:space="preserve"> </v>
      </c>
      <c r="D415" s="41"/>
      <c r="E415" s="41"/>
      <c r="J415" s="17">
        <f t="shared" si="33"/>
        <v>0</v>
      </c>
      <c r="K415" s="2" t="str">
        <f t="shared" si="34"/>
        <v xml:space="preserve"> </v>
      </c>
      <c r="L415" s="2" t="str">
        <f t="shared" si="31"/>
        <v xml:space="preserve"> </v>
      </c>
      <c r="M415" s="2" t="str">
        <f t="shared" si="32"/>
        <v xml:space="preserve"> </v>
      </c>
    </row>
    <row r="416" spans="1:13" x14ac:dyDescent="0.25">
      <c r="A416" s="42" t="str">
        <f t="shared" si="30"/>
        <v xml:space="preserve"> </v>
      </c>
      <c r="D416" s="41"/>
      <c r="E416" s="41"/>
      <c r="J416" s="17">
        <f t="shared" si="33"/>
        <v>0</v>
      </c>
      <c r="K416" s="2" t="str">
        <f t="shared" si="34"/>
        <v xml:space="preserve"> </v>
      </c>
      <c r="L416" s="2" t="str">
        <f t="shared" si="31"/>
        <v xml:space="preserve"> </v>
      </c>
      <c r="M416" s="2" t="str">
        <f t="shared" si="32"/>
        <v xml:space="preserve"> </v>
      </c>
    </row>
    <row r="417" spans="1:13" x14ac:dyDescent="0.25">
      <c r="A417" s="42" t="str">
        <f t="shared" si="30"/>
        <v xml:space="preserve"> </v>
      </c>
      <c r="D417" s="41"/>
      <c r="E417" s="41"/>
      <c r="J417" s="17">
        <f t="shared" si="33"/>
        <v>0</v>
      </c>
      <c r="K417" s="2" t="str">
        <f t="shared" si="34"/>
        <v xml:space="preserve"> </v>
      </c>
      <c r="L417" s="2" t="str">
        <f t="shared" si="31"/>
        <v xml:space="preserve"> </v>
      </c>
      <c r="M417" s="2" t="str">
        <f t="shared" si="32"/>
        <v xml:space="preserve"> </v>
      </c>
    </row>
    <row r="418" spans="1:13" x14ac:dyDescent="0.25">
      <c r="A418" s="42" t="str">
        <f t="shared" si="30"/>
        <v xml:space="preserve"> </v>
      </c>
      <c r="D418" s="41"/>
      <c r="E418" s="41"/>
      <c r="J418" s="17">
        <f t="shared" si="33"/>
        <v>0</v>
      </c>
      <c r="K418" s="2" t="str">
        <f t="shared" si="34"/>
        <v xml:space="preserve"> </v>
      </c>
      <c r="L418" s="2" t="str">
        <f t="shared" si="31"/>
        <v xml:space="preserve"> </v>
      </c>
      <c r="M418" s="2" t="str">
        <f t="shared" si="32"/>
        <v xml:space="preserve"> </v>
      </c>
    </row>
    <row r="419" spans="1:13" x14ac:dyDescent="0.25">
      <c r="A419" s="42" t="str">
        <f t="shared" si="30"/>
        <v xml:space="preserve"> </v>
      </c>
      <c r="D419" s="41"/>
      <c r="E419" s="41"/>
      <c r="J419" s="17">
        <f t="shared" si="33"/>
        <v>0</v>
      </c>
      <c r="K419" s="2" t="str">
        <f t="shared" si="34"/>
        <v xml:space="preserve"> </v>
      </c>
      <c r="L419" s="2" t="str">
        <f t="shared" si="31"/>
        <v xml:space="preserve"> </v>
      </c>
      <c r="M419" s="2" t="str">
        <f t="shared" si="32"/>
        <v xml:space="preserve"> </v>
      </c>
    </row>
    <row r="420" spans="1:13" x14ac:dyDescent="0.25">
      <c r="A420" s="42" t="str">
        <f t="shared" si="30"/>
        <v xml:space="preserve"> </v>
      </c>
      <c r="D420" s="41"/>
      <c r="E420" s="41"/>
      <c r="J420" s="17">
        <f t="shared" si="33"/>
        <v>0</v>
      </c>
      <c r="K420" s="2" t="str">
        <f t="shared" si="34"/>
        <v xml:space="preserve"> </v>
      </c>
      <c r="L420" s="2" t="str">
        <f t="shared" si="31"/>
        <v xml:space="preserve"> </v>
      </c>
      <c r="M420" s="2" t="str">
        <f t="shared" si="32"/>
        <v xml:space="preserve"> </v>
      </c>
    </row>
    <row r="421" spans="1:13" x14ac:dyDescent="0.25">
      <c r="A421" s="42" t="str">
        <f t="shared" si="30"/>
        <v xml:space="preserve"> </v>
      </c>
      <c r="D421" s="41"/>
      <c r="E421" s="41"/>
      <c r="J421" s="17">
        <f t="shared" si="33"/>
        <v>0</v>
      </c>
      <c r="K421" s="2" t="str">
        <f t="shared" si="34"/>
        <v xml:space="preserve"> </v>
      </c>
      <c r="L421" s="2" t="str">
        <f t="shared" si="31"/>
        <v xml:space="preserve"> </v>
      </c>
      <c r="M421" s="2" t="str">
        <f t="shared" si="32"/>
        <v xml:space="preserve"> </v>
      </c>
    </row>
    <row r="422" spans="1:13" x14ac:dyDescent="0.25">
      <c r="A422" s="42" t="str">
        <f t="shared" si="30"/>
        <v xml:space="preserve"> </v>
      </c>
      <c r="D422" s="41"/>
      <c r="E422" s="41"/>
      <c r="J422" s="17">
        <f t="shared" si="33"/>
        <v>0</v>
      </c>
      <c r="K422" s="2" t="str">
        <f t="shared" si="34"/>
        <v xml:space="preserve"> </v>
      </c>
      <c r="L422" s="2" t="str">
        <f t="shared" si="31"/>
        <v xml:space="preserve"> </v>
      </c>
      <c r="M422" s="2" t="str">
        <f t="shared" si="32"/>
        <v xml:space="preserve"> </v>
      </c>
    </row>
    <row r="423" spans="1:13" x14ac:dyDescent="0.25">
      <c r="A423" s="42" t="str">
        <f t="shared" si="30"/>
        <v xml:space="preserve"> </v>
      </c>
      <c r="D423" s="41"/>
      <c r="E423" s="41"/>
      <c r="J423" s="17">
        <f t="shared" si="33"/>
        <v>0</v>
      </c>
      <c r="K423" s="2" t="str">
        <f t="shared" si="34"/>
        <v xml:space="preserve"> </v>
      </c>
      <c r="L423" s="2" t="str">
        <f t="shared" si="31"/>
        <v xml:space="preserve"> </v>
      </c>
      <c r="M423" s="2" t="str">
        <f t="shared" si="32"/>
        <v xml:space="preserve"> </v>
      </c>
    </row>
    <row r="424" spans="1:13" x14ac:dyDescent="0.25">
      <c r="A424" s="42" t="str">
        <f t="shared" si="30"/>
        <v xml:space="preserve"> </v>
      </c>
      <c r="D424" s="41"/>
      <c r="E424" s="41"/>
      <c r="J424" s="17">
        <f t="shared" si="33"/>
        <v>0</v>
      </c>
      <c r="K424" s="2" t="str">
        <f t="shared" si="34"/>
        <v xml:space="preserve"> </v>
      </c>
      <c r="L424" s="2" t="str">
        <f t="shared" si="31"/>
        <v xml:space="preserve"> </v>
      </c>
      <c r="M424" s="2" t="str">
        <f t="shared" si="32"/>
        <v xml:space="preserve"> </v>
      </c>
    </row>
    <row r="425" spans="1:13" x14ac:dyDescent="0.25">
      <c r="A425" s="42" t="str">
        <f t="shared" si="30"/>
        <v xml:space="preserve"> </v>
      </c>
      <c r="D425" s="41"/>
      <c r="E425" s="41"/>
      <c r="J425" s="17">
        <f t="shared" si="33"/>
        <v>0</v>
      </c>
      <c r="K425" s="2" t="str">
        <f t="shared" si="34"/>
        <v xml:space="preserve"> </v>
      </c>
      <c r="L425" s="2" t="str">
        <f t="shared" si="31"/>
        <v xml:space="preserve"> </v>
      </c>
      <c r="M425" s="2" t="str">
        <f t="shared" si="32"/>
        <v xml:space="preserve"> </v>
      </c>
    </row>
    <row r="426" spans="1:13" x14ac:dyDescent="0.25">
      <c r="A426" s="42" t="str">
        <f t="shared" si="30"/>
        <v xml:space="preserve"> </v>
      </c>
      <c r="D426" s="41"/>
      <c r="E426" s="41"/>
      <c r="J426" s="17">
        <f t="shared" si="33"/>
        <v>0</v>
      </c>
      <c r="K426" s="2" t="str">
        <f t="shared" si="34"/>
        <v xml:space="preserve"> </v>
      </c>
      <c r="L426" s="2" t="str">
        <f t="shared" si="31"/>
        <v xml:space="preserve"> </v>
      </c>
      <c r="M426" s="2" t="str">
        <f t="shared" si="32"/>
        <v xml:space="preserve"> </v>
      </c>
    </row>
    <row r="427" spans="1:13" x14ac:dyDescent="0.25">
      <c r="A427" s="42" t="str">
        <f t="shared" si="30"/>
        <v xml:space="preserve"> </v>
      </c>
      <c r="D427" s="41"/>
      <c r="E427" s="41"/>
      <c r="J427" s="17">
        <f t="shared" si="33"/>
        <v>0</v>
      </c>
      <c r="K427" s="2" t="str">
        <f t="shared" si="34"/>
        <v xml:space="preserve"> </v>
      </c>
      <c r="L427" s="2" t="str">
        <f t="shared" si="31"/>
        <v xml:space="preserve"> </v>
      </c>
      <c r="M427" s="2" t="str">
        <f t="shared" si="32"/>
        <v xml:space="preserve"> </v>
      </c>
    </row>
    <row r="428" spans="1:13" x14ac:dyDescent="0.25">
      <c r="A428" s="42" t="str">
        <f t="shared" si="30"/>
        <v xml:space="preserve"> </v>
      </c>
      <c r="D428" s="41"/>
      <c r="E428" s="41"/>
      <c r="J428" s="17">
        <f t="shared" si="33"/>
        <v>0</v>
      </c>
      <c r="K428" s="2" t="str">
        <f t="shared" si="34"/>
        <v xml:space="preserve"> </v>
      </c>
      <c r="L428" s="2" t="str">
        <f t="shared" si="31"/>
        <v xml:space="preserve"> </v>
      </c>
      <c r="M428" s="2" t="str">
        <f t="shared" si="32"/>
        <v xml:space="preserve"> </v>
      </c>
    </row>
    <row r="429" spans="1:13" x14ac:dyDescent="0.25">
      <c r="A429" s="42" t="str">
        <f t="shared" si="30"/>
        <v xml:space="preserve"> </v>
      </c>
      <c r="D429" s="41"/>
      <c r="E429" s="41"/>
      <c r="J429" s="17">
        <f t="shared" si="33"/>
        <v>0</v>
      </c>
      <c r="K429" s="2" t="str">
        <f t="shared" si="34"/>
        <v xml:space="preserve"> </v>
      </c>
      <c r="L429" s="2" t="str">
        <f t="shared" si="31"/>
        <v xml:space="preserve"> </v>
      </c>
      <c r="M429" s="2" t="str">
        <f t="shared" si="32"/>
        <v xml:space="preserve"> </v>
      </c>
    </row>
    <row r="430" spans="1:13" x14ac:dyDescent="0.25">
      <c r="A430" s="42" t="str">
        <f t="shared" si="30"/>
        <v xml:space="preserve"> </v>
      </c>
      <c r="D430" s="41"/>
      <c r="E430" s="41"/>
      <c r="J430" s="17">
        <f t="shared" si="33"/>
        <v>0</v>
      </c>
      <c r="K430" s="2" t="str">
        <f t="shared" si="34"/>
        <v xml:space="preserve"> </v>
      </c>
      <c r="L430" s="2" t="str">
        <f t="shared" si="31"/>
        <v xml:space="preserve"> </v>
      </c>
      <c r="M430" s="2" t="str">
        <f t="shared" si="32"/>
        <v xml:space="preserve"> </v>
      </c>
    </row>
    <row r="431" spans="1:13" x14ac:dyDescent="0.25">
      <c r="A431" s="42" t="str">
        <f t="shared" si="30"/>
        <v xml:space="preserve"> </v>
      </c>
      <c r="D431" s="41"/>
      <c r="E431" s="41"/>
      <c r="J431" s="17">
        <f t="shared" si="33"/>
        <v>0</v>
      </c>
      <c r="K431" s="2" t="str">
        <f t="shared" si="34"/>
        <v xml:space="preserve"> </v>
      </c>
      <c r="L431" s="2" t="str">
        <f t="shared" si="31"/>
        <v xml:space="preserve"> </v>
      </c>
      <c r="M431" s="2" t="str">
        <f t="shared" si="32"/>
        <v xml:space="preserve"> </v>
      </c>
    </row>
    <row r="432" spans="1:13" x14ac:dyDescent="0.25">
      <c r="A432" s="42" t="str">
        <f t="shared" si="30"/>
        <v xml:space="preserve"> </v>
      </c>
      <c r="D432" s="41"/>
      <c r="E432" s="41"/>
      <c r="J432" s="17">
        <f t="shared" si="33"/>
        <v>0</v>
      </c>
      <c r="K432" s="2" t="str">
        <f t="shared" si="34"/>
        <v xml:space="preserve"> </v>
      </c>
      <c r="L432" s="2" t="str">
        <f t="shared" si="31"/>
        <v xml:space="preserve"> </v>
      </c>
      <c r="M432" s="2" t="str">
        <f t="shared" si="32"/>
        <v xml:space="preserve"> </v>
      </c>
    </row>
    <row r="433" spans="1:13" x14ac:dyDescent="0.25">
      <c r="A433" s="42" t="str">
        <f t="shared" si="30"/>
        <v xml:space="preserve"> </v>
      </c>
      <c r="D433" s="41"/>
      <c r="E433" s="41"/>
      <c r="J433" s="17">
        <f t="shared" si="33"/>
        <v>0</v>
      </c>
      <c r="K433" s="2" t="str">
        <f t="shared" si="34"/>
        <v xml:space="preserve"> </v>
      </c>
      <c r="L433" s="2" t="str">
        <f t="shared" si="31"/>
        <v xml:space="preserve"> </v>
      </c>
      <c r="M433" s="2" t="str">
        <f t="shared" si="32"/>
        <v xml:space="preserve"> </v>
      </c>
    </row>
    <row r="434" spans="1:13" x14ac:dyDescent="0.25">
      <c r="A434" s="42" t="str">
        <f t="shared" si="30"/>
        <v xml:space="preserve"> </v>
      </c>
      <c r="D434" s="41"/>
      <c r="E434" s="41"/>
      <c r="J434" s="17">
        <f t="shared" si="33"/>
        <v>0</v>
      </c>
      <c r="K434" s="2" t="str">
        <f t="shared" si="34"/>
        <v xml:space="preserve"> </v>
      </c>
      <c r="L434" s="2" t="str">
        <f t="shared" si="31"/>
        <v xml:space="preserve"> </v>
      </c>
      <c r="M434" s="2" t="str">
        <f t="shared" si="32"/>
        <v xml:space="preserve"> </v>
      </c>
    </row>
    <row r="435" spans="1:13" x14ac:dyDescent="0.25">
      <c r="A435" s="42" t="str">
        <f t="shared" si="30"/>
        <v xml:space="preserve"> </v>
      </c>
      <c r="D435" s="41"/>
      <c r="E435" s="41"/>
      <c r="J435" s="17">
        <f t="shared" si="33"/>
        <v>0</v>
      </c>
      <c r="K435" s="2" t="str">
        <f t="shared" si="34"/>
        <v xml:space="preserve"> </v>
      </c>
      <c r="L435" s="2" t="str">
        <f t="shared" si="31"/>
        <v xml:space="preserve"> </v>
      </c>
      <c r="M435" s="2" t="str">
        <f t="shared" si="32"/>
        <v xml:space="preserve"> </v>
      </c>
    </row>
    <row r="436" spans="1:13" x14ac:dyDescent="0.25">
      <c r="A436" s="42" t="str">
        <f t="shared" si="30"/>
        <v xml:space="preserve"> </v>
      </c>
      <c r="D436" s="41"/>
      <c r="E436" s="41"/>
      <c r="J436" s="17">
        <f t="shared" si="33"/>
        <v>0</v>
      </c>
      <c r="K436" s="2" t="str">
        <f t="shared" si="34"/>
        <v xml:space="preserve"> </v>
      </c>
      <c r="L436" s="2" t="str">
        <f t="shared" si="31"/>
        <v xml:space="preserve"> </v>
      </c>
      <c r="M436" s="2" t="str">
        <f t="shared" si="32"/>
        <v xml:space="preserve"> </v>
      </c>
    </row>
    <row r="437" spans="1:13" x14ac:dyDescent="0.25">
      <c r="A437" s="42" t="str">
        <f t="shared" si="30"/>
        <v xml:space="preserve"> </v>
      </c>
      <c r="D437" s="41"/>
      <c r="E437" s="41"/>
      <c r="J437" s="17">
        <f t="shared" si="33"/>
        <v>0</v>
      </c>
      <c r="K437" s="2" t="str">
        <f t="shared" si="34"/>
        <v xml:space="preserve"> </v>
      </c>
      <c r="L437" s="2" t="str">
        <f t="shared" si="31"/>
        <v xml:space="preserve"> </v>
      </c>
      <c r="M437" s="2" t="str">
        <f t="shared" si="32"/>
        <v xml:space="preserve"> </v>
      </c>
    </row>
    <row r="438" spans="1:13" x14ac:dyDescent="0.25">
      <c r="A438" s="42" t="str">
        <f t="shared" si="30"/>
        <v xml:space="preserve"> </v>
      </c>
      <c r="D438" s="41"/>
      <c r="E438" s="41"/>
      <c r="J438" s="17">
        <f t="shared" si="33"/>
        <v>0</v>
      </c>
      <c r="K438" s="2" t="str">
        <f t="shared" si="34"/>
        <v xml:space="preserve"> </v>
      </c>
      <c r="L438" s="2" t="str">
        <f t="shared" si="31"/>
        <v xml:space="preserve"> </v>
      </c>
      <c r="M438" s="2" t="str">
        <f t="shared" si="32"/>
        <v xml:space="preserve"> </v>
      </c>
    </row>
    <row r="439" spans="1:13" x14ac:dyDescent="0.25">
      <c r="A439" s="42" t="str">
        <f t="shared" si="30"/>
        <v xml:space="preserve"> </v>
      </c>
      <c r="D439" s="41"/>
      <c r="E439" s="41"/>
      <c r="J439" s="17">
        <f t="shared" si="33"/>
        <v>0</v>
      </c>
      <c r="K439" s="2" t="str">
        <f t="shared" si="34"/>
        <v xml:space="preserve"> </v>
      </c>
      <c r="L439" s="2" t="str">
        <f t="shared" si="31"/>
        <v xml:space="preserve"> </v>
      </c>
      <c r="M439" s="2" t="str">
        <f t="shared" si="32"/>
        <v xml:space="preserve"> </v>
      </c>
    </row>
    <row r="440" spans="1:13" x14ac:dyDescent="0.25">
      <c r="A440" s="42" t="str">
        <f t="shared" si="30"/>
        <v xml:space="preserve"> </v>
      </c>
      <c r="D440" s="41"/>
      <c r="E440" s="41"/>
      <c r="J440" s="17">
        <f t="shared" si="33"/>
        <v>0</v>
      </c>
      <c r="K440" s="2" t="str">
        <f t="shared" si="34"/>
        <v xml:space="preserve"> </v>
      </c>
      <c r="L440" s="2" t="str">
        <f t="shared" si="31"/>
        <v xml:space="preserve"> </v>
      </c>
      <c r="M440" s="2" t="str">
        <f t="shared" si="32"/>
        <v xml:space="preserve"> </v>
      </c>
    </row>
    <row r="441" spans="1:13" x14ac:dyDescent="0.25">
      <c r="A441" s="42" t="str">
        <f t="shared" si="30"/>
        <v xml:space="preserve"> </v>
      </c>
      <c r="D441" s="41"/>
      <c r="E441" s="41"/>
      <c r="J441" s="17">
        <f t="shared" si="33"/>
        <v>0</v>
      </c>
      <c r="K441" s="2" t="str">
        <f t="shared" si="34"/>
        <v xml:space="preserve"> </v>
      </c>
      <c r="L441" s="2" t="str">
        <f t="shared" si="31"/>
        <v xml:space="preserve"> </v>
      </c>
      <c r="M441" s="2" t="str">
        <f t="shared" si="32"/>
        <v xml:space="preserve"> </v>
      </c>
    </row>
    <row r="442" spans="1:13" x14ac:dyDescent="0.25">
      <c r="A442" s="42" t="str">
        <f t="shared" si="30"/>
        <v xml:space="preserve"> </v>
      </c>
      <c r="D442" s="41"/>
      <c r="E442" s="41"/>
      <c r="J442" s="17">
        <f t="shared" si="33"/>
        <v>0</v>
      </c>
      <c r="K442" s="2" t="str">
        <f t="shared" si="34"/>
        <v xml:space="preserve"> </v>
      </c>
      <c r="L442" s="2" t="str">
        <f t="shared" si="31"/>
        <v xml:space="preserve"> </v>
      </c>
      <c r="M442" s="2" t="str">
        <f t="shared" si="32"/>
        <v xml:space="preserve"> </v>
      </c>
    </row>
    <row r="443" spans="1:13" x14ac:dyDescent="0.25">
      <c r="A443" s="42" t="str">
        <f t="shared" si="30"/>
        <v xml:space="preserve"> </v>
      </c>
      <c r="D443" s="41"/>
      <c r="E443" s="41"/>
      <c r="J443" s="17">
        <f t="shared" si="33"/>
        <v>0</v>
      </c>
      <c r="K443" s="2" t="str">
        <f t="shared" si="34"/>
        <v xml:space="preserve"> </v>
      </c>
      <c r="L443" s="2" t="str">
        <f t="shared" si="31"/>
        <v xml:space="preserve"> </v>
      </c>
      <c r="M443" s="2" t="str">
        <f t="shared" si="32"/>
        <v xml:space="preserve"> </v>
      </c>
    </row>
    <row r="444" spans="1:13" x14ac:dyDescent="0.25">
      <c r="A444" s="42" t="str">
        <f t="shared" si="30"/>
        <v xml:space="preserve"> </v>
      </c>
      <c r="D444" s="41"/>
      <c r="E444" s="41"/>
      <c r="J444" s="17">
        <f t="shared" si="33"/>
        <v>0</v>
      </c>
      <c r="K444" s="2" t="str">
        <f t="shared" si="34"/>
        <v xml:space="preserve"> </v>
      </c>
      <c r="L444" s="2" t="str">
        <f t="shared" si="31"/>
        <v xml:space="preserve"> </v>
      </c>
      <c r="M444" s="2" t="str">
        <f t="shared" si="32"/>
        <v xml:space="preserve"> </v>
      </c>
    </row>
    <row r="445" spans="1:13" x14ac:dyDescent="0.25">
      <c r="A445" s="42" t="str">
        <f t="shared" si="30"/>
        <v xml:space="preserve"> </v>
      </c>
      <c r="D445" s="41"/>
      <c r="E445" s="41"/>
      <c r="J445" s="17">
        <f t="shared" si="33"/>
        <v>0</v>
      </c>
      <c r="K445" s="2" t="str">
        <f t="shared" si="34"/>
        <v xml:space="preserve"> </v>
      </c>
      <c r="L445" s="2" t="str">
        <f t="shared" si="31"/>
        <v xml:space="preserve"> </v>
      </c>
      <c r="M445" s="2" t="str">
        <f t="shared" si="32"/>
        <v xml:space="preserve"> </v>
      </c>
    </row>
    <row r="446" spans="1:13" x14ac:dyDescent="0.25">
      <c r="A446" s="42" t="str">
        <f t="shared" si="30"/>
        <v xml:space="preserve"> </v>
      </c>
      <c r="D446" s="41"/>
      <c r="E446" s="41"/>
      <c r="J446" s="17">
        <f t="shared" si="33"/>
        <v>0</v>
      </c>
      <c r="K446" s="2" t="str">
        <f t="shared" si="34"/>
        <v xml:space="preserve"> </v>
      </c>
      <c r="L446" s="2" t="str">
        <f t="shared" si="31"/>
        <v xml:space="preserve"> </v>
      </c>
      <c r="M446" s="2" t="str">
        <f t="shared" si="32"/>
        <v xml:space="preserve"> </v>
      </c>
    </row>
    <row r="447" spans="1:13" x14ac:dyDescent="0.25">
      <c r="A447" s="42" t="str">
        <f t="shared" si="30"/>
        <v xml:space="preserve"> </v>
      </c>
      <c r="D447" s="41"/>
      <c r="E447" s="41"/>
      <c r="J447" s="17">
        <f t="shared" si="33"/>
        <v>0</v>
      </c>
      <c r="K447" s="2" t="str">
        <f t="shared" si="34"/>
        <v xml:space="preserve"> </v>
      </c>
      <c r="L447" s="2" t="str">
        <f t="shared" si="31"/>
        <v xml:space="preserve"> </v>
      </c>
      <c r="M447" s="2" t="str">
        <f t="shared" si="32"/>
        <v xml:space="preserve"> </v>
      </c>
    </row>
    <row r="448" spans="1:13" x14ac:dyDescent="0.25">
      <c r="A448" s="42" t="str">
        <f t="shared" si="30"/>
        <v xml:space="preserve"> </v>
      </c>
      <c r="D448" s="41"/>
      <c r="E448" s="41"/>
      <c r="J448" s="17">
        <f t="shared" si="33"/>
        <v>0</v>
      </c>
      <c r="K448" s="2" t="str">
        <f t="shared" si="34"/>
        <v xml:space="preserve"> </v>
      </c>
      <c r="L448" s="2" t="str">
        <f t="shared" si="31"/>
        <v xml:space="preserve"> </v>
      </c>
      <c r="M448" s="2" t="str">
        <f t="shared" si="32"/>
        <v xml:space="preserve"> </v>
      </c>
    </row>
    <row r="449" spans="1:13" x14ac:dyDescent="0.25">
      <c r="A449" s="42" t="str">
        <f t="shared" si="30"/>
        <v xml:space="preserve"> </v>
      </c>
      <c r="D449" s="41"/>
      <c r="E449" s="41"/>
      <c r="J449" s="17">
        <f t="shared" si="33"/>
        <v>0</v>
      </c>
      <c r="K449" s="2" t="str">
        <f t="shared" si="34"/>
        <v xml:space="preserve"> </v>
      </c>
      <c r="L449" s="2" t="str">
        <f t="shared" si="31"/>
        <v xml:space="preserve"> </v>
      </c>
      <c r="M449" s="2" t="str">
        <f t="shared" si="32"/>
        <v xml:space="preserve"> </v>
      </c>
    </row>
    <row r="450" spans="1:13" x14ac:dyDescent="0.25">
      <c r="A450" s="42" t="str">
        <f t="shared" si="30"/>
        <v xml:space="preserve"> </v>
      </c>
      <c r="D450" s="41"/>
      <c r="E450" s="41"/>
      <c r="J450" s="17">
        <f t="shared" si="33"/>
        <v>0</v>
      </c>
      <c r="K450" s="2" t="str">
        <f t="shared" si="34"/>
        <v xml:space="preserve"> </v>
      </c>
      <c r="L450" s="2" t="str">
        <f t="shared" si="31"/>
        <v xml:space="preserve"> </v>
      </c>
      <c r="M450" s="2" t="str">
        <f t="shared" si="32"/>
        <v xml:space="preserve"> </v>
      </c>
    </row>
    <row r="451" spans="1:13" x14ac:dyDescent="0.25">
      <c r="A451" s="42" t="str">
        <f t="shared" si="30"/>
        <v xml:space="preserve"> </v>
      </c>
      <c r="D451" s="41"/>
      <c r="E451" s="41"/>
      <c r="J451" s="17">
        <f t="shared" si="33"/>
        <v>0</v>
      </c>
      <c r="K451" s="2" t="str">
        <f t="shared" si="34"/>
        <v xml:space="preserve"> </v>
      </c>
      <c r="L451" s="2" t="str">
        <f t="shared" si="31"/>
        <v xml:space="preserve"> </v>
      </c>
      <c r="M451" s="2" t="str">
        <f t="shared" si="32"/>
        <v xml:space="preserve"> </v>
      </c>
    </row>
    <row r="452" spans="1:13" x14ac:dyDescent="0.25">
      <c r="A452" s="42" t="str">
        <f t="shared" si="30"/>
        <v xml:space="preserve"> </v>
      </c>
      <c r="D452" s="41"/>
      <c r="E452" s="41"/>
      <c r="J452" s="17">
        <f t="shared" si="33"/>
        <v>0</v>
      </c>
      <c r="K452" s="2" t="str">
        <f t="shared" si="34"/>
        <v xml:space="preserve"> </v>
      </c>
      <c r="L452" s="2" t="str">
        <f t="shared" si="31"/>
        <v xml:space="preserve"> </v>
      </c>
      <c r="M452" s="2" t="str">
        <f t="shared" si="32"/>
        <v xml:space="preserve"> </v>
      </c>
    </row>
    <row r="453" spans="1:13" x14ac:dyDescent="0.25">
      <c r="A453" s="42" t="str">
        <f t="shared" si="30"/>
        <v xml:space="preserve"> </v>
      </c>
      <c r="D453" s="41"/>
      <c r="E453" s="41"/>
      <c r="J453" s="17">
        <f t="shared" si="33"/>
        <v>0</v>
      </c>
      <c r="K453" s="2" t="str">
        <f t="shared" si="34"/>
        <v xml:space="preserve"> </v>
      </c>
      <c r="L453" s="2" t="str">
        <f t="shared" si="31"/>
        <v xml:space="preserve"> </v>
      </c>
      <c r="M453" s="2" t="str">
        <f t="shared" si="32"/>
        <v xml:space="preserve"> </v>
      </c>
    </row>
    <row r="454" spans="1:13" x14ac:dyDescent="0.25">
      <c r="A454" s="42" t="str">
        <f t="shared" si="30"/>
        <v xml:space="preserve"> </v>
      </c>
      <c r="D454" s="41"/>
      <c r="E454" s="41"/>
      <c r="J454" s="17">
        <f t="shared" si="33"/>
        <v>0</v>
      </c>
      <c r="K454" s="2" t="str">
        <f t="shared" si="34"/>
        <v xml:space="preserve"> </v>
      </c>
      <c r="L454" s="2" t="str">
        <f t="shared" si="31"/>
        <v xml:space="preserve"> </v>
      </c>
      <c r="M454" s="2" t="str">
        <f t="shared" si="32"/>
        <v xml:space="preserve"> </v>
      </c>
    </row>
    <row r="455" spans="1:13" x14ac:dyDescent="0.25">
      <c r="A455" s="42" t="str">
        <f t="shared" si="30"/>
        <v xml:space="preserve"> </v>
      </c>
      <c r="D455" s="41"/>
      <c r="E455" s="41"/>
      <c r="J455" s="17">
        <f t="shared" si="33"/>
        <v>0</v>
      </c>
      <c r="K455" s="2" t="str">
        <f t="shared" si="34"/>
        <v xml:space="preserve"> </v>
      </c>
      <c r="L455" s="2" t="str">
        <f t="shared" si="31"/>
        <v xml:space="preserve"> </v>
      </c>
      <c r="M455" s="2" t="str">
        <f t="shared" si="32"/>
        <v xml:space="preserve"> </v>
      </c>
    </row>
    <row r="456" spans="1:13" x14ac:dyDescent="0.25">
      <c r="A456" s="42" t="str">
        <f t="shared" si="30"/>
        <v xml:space="preserve"> </v>
      </c>
      <c r="D456" s="41"/>
      <c r="E456" s="41"/>
      <c r="J456" s="17">
        <f t="shared" si="33"/>
        <v>0</v>
      </c>
      <c r="K456" s="2" t="str">
        <f t="shared" si="34"/>
        <v xml:space="preserve"> </v>
      </c>
      <c r="L456" s="2" t="str">
        <f t="shared" si="31"/>
        <v xml:space="preserve"> </v>
      </c>
      <c r="M456" s="2" t="str">
        <f t="shared" si="32"/>
        <v xml:space="preserve"> </v>
      </c>
    </row>
    <row r="457" spans="1:13" x14ac:dyDescent="0.25">
      <c r="A457" s="42" t="str">
        <f t="shared" si="30"/>
        <v xml:space="preserve"> </v>
      </c>
      <c r="D457" s="41"/>
      <c r="E457" s="41"/>
      <c r="J457" s="17">
        <f t="shared" si="33"/>
        <v>0</v>
      </c>
      <c r="K457" s="2" t="str">
        <f t="shared" si="34"/>
        <v xml:space="preserve"> </v>
      </c>
      <c r="L457" s="2" t="str">
        <f t="shared" si="31"/>
        <v xml:space="preserve"> </v>
      </c>
      <c r="M457" s="2" t="str">
        <f t="shared" si="32"/>
        <v xml:space="preserve"> </v>
      </c>
    </row>
    <row r="458" spans="1:13" x14ac:dyDescent="0.25">
      <c r="A458" s="42" t="str">
        <f t="shared" si="30"/>
        <v xml:space="preserve"> </v>
      </c>
      <c r="D458" s="41"/>
      <c r="E458" s="41"/>
      <c r="J458" s="17">
        <f t="shared" si="33"/>
        <v>0</v>
      </c>
      <c r="K458" s="2" t="str">
        <f t="shared" si="34"/>
        <v xml:space="preserve"> </v>
      </c>
      <c r="L458" s="2" t="str">
        <f t="shared" si="31"/>
        <v xml:space="preserve"> </v>
      </c>
      <c r="M458" s="2" t="str">
        <f t="shared" si="32"/>
        <v xml:space="preserve"> </v>
      </c>
    </row>
    <row r="459" spans="1:13" x14ac:dyDescent="0.25">
      <c r="A459" s="42" t="str">
        <f t="shared" si="30"/>
        <v xml:space="preserve"> </v>
      </c>
      <c r="D459" s="41"/>
      <c r="E459" s="41"/>
      <c r="J459" s="17">
        <f t="shared" si="33"/>
        <v>0</v>
      </c>
      <c r="K459" s="2" t="str">
        <f t="shared" si="34"/>
        <v xml:space="preserve"> </v>
      </c>
      <c r="L459" s="2" t="str">
        <f t="shared" si="31"/>
        <v xml:space="preserve"> </v>
      </c>
      <c r="M459" s="2" t="str">
        <f t="shared" si="32"/>
        <v xml:space="preserve"> </v>
      </c>
    </row>
    <row r="460" spans="1:13" x14ac:dyDescent="0.25">
      <c r="A460" s="42" t="str">
        <f t="shared" si="30"/>
        <v xml:space="preserve"> </v>
      </c>
      <c r="D460" s="41"/>
      <c r="E460" s="41"/>
      <c r="J460" s="17">
        <f t="shared" si="33"/>
        <v>0</v>
      </c>
      <c r="K460" s="2" t="str">
        <f t="shared" si="34"/>
        <v xml:space="preserve"> </v>
      </c>
      <c r="L460" s="2" t="str">
        <f t="shared" si="31"/>
        <v xml:space="preserve"> </v>
      </c>
      <c r="M460" s="2" t="str">
        <f t="shared" si="32"/>
        <v xml:space="preserve"> </v>
      </c>
    </row>
    <row r="461" spans="1:13" x14ac:dyDescent="0.25">
      <c r="A461" s="42" t="str">
        <f t="shared" si="30"/>
        <v xml:space="preserve"> </v>
      </c>
      <c r="D461" s="41"/>
      <c r="E461" s="41"/>
      <c r="J461" s="17">
        <f t="shared" si="33"/>
        <v>0</v>
      </c>
      <c r="K461" s="2" t="str">
        <f t="shared" si="34"/>
        <v xml:space="preserve"> </v>
      </c>
      <c r="L461" s="2" t="str">
        <f t="shared" si="31"/>
        <v xml:space="preserve"> </v>
      </c>
      <c r="M461" s="2" t="str">
        <f t="shared" si="32"/>
        <v xml:space="preserve"> </v>
      </c>
    </row>
    <row r="462" spans="1:13" x14ac:dyDescent="0.25">
      <c r="A462" s="42" t="str">
        <f t="shared" si="30"/>
        <v xml:space="preserve"> </v>
      </c>
      <c r="D462" s="41"/>
      <c r="E462" s="41"/>
      <c r="J462" s="17">
        <f t="shared" si="33"/>
        <v>0</v>
      </c>
      <c r="K462" s="2" t="str">
        <f t="shared" si="34"/>
        <v xml:space="preserve"> </v>
      </c>
      <c r="L462" s="2" t="str">
        <f t="shared" si="31"/>
        <v xml:space="preserve"> </v>
      </c>
      <c r="M462" s="2" t="str">
        <f t="shared" si="32"/>
        <v xml:space="preserve"> </v>
      </c>
    </row>
    <row r="463" spans="1:13" x14ac:dyDescent="0.25">
      <c r="A463" s="42" t="str">
        <f t="shared" ref="A463:A482" si="35">IF(COUNTIF(K463:M463,"ERROR")&gt;0,"ERROR"," ")</f>
        <v xml:space="preserve"> </v>
      </c>
      <c r="D463" s="41"/>
      <c r="E463" s="41"/>
      <c r="J463" s="17">
        <f t="shared" si="33"/>
        <v>0</v>
      </c>
      <c r="K463" s="2" t="str">
        <f t="shared" si="34"/>
        <v xml:space="preserve"> </v>
      </c>
      <c r="L463" s="2" t="str">
        <f t="shared" ref="L463:L482" si="36">IF(D463=0," ",IF(COUNTIF(ProfitLoss3,D463)&gt;0," ","ERROR"))</f>
        <v xml:space="preserve"> </v>
      </c>
      <c r="M463" s="2" t="str">
        <f t="shared" ref="M463:M482" si="37">IF(E463=0," ",IF(COUNTIF(BalanceSheet3,E463)&gt;0," ","ERROR"))</f>
        <v xml:space="preserve"> </v>
      </c>
    </row>
    <row r="464" spans="1:13" x14ac:dyDescent="0.25">
      <c r="A464" s="42" t="str">
        <f t="shared" si="35"/>
        <v xml:space="preserve"> </v>
      </c>
      <c r="D464" s="41"/>
      <c r="E464" s="41"/>
      <c r="J464" s="17">
        <f t="shared" ref="J464:J482" si="38">F464-G464+H464-I464</f>
        <v>0</v>
      </c>
      <c r="K464" s="2" t="str">
        <f t="shared" ref="K464:K482" si="39">IF(COUNTA(D464:E464)=2,"ERROR"," ")</f>
        <v xml:space="preserve"> </v>
      </c>
      <c r="L464" s="2" t="str">
        <f t="shared" si="36"/>
        <v xml:space="preserve"> </v>
      </c>
      <c r="M464" s="2" t="str">
        <f t="shared" si="37"/>
        <v xml:space="preserve"> </v>
      </c>
    </row>
    <row r="465" spans="1:13" x14ac:dyDescent="0.25">
      <c r="A465" s="42" t="str">
        <f t="shared" si="35"/>
        <v xml:space="preserve"> </v>
      </c>
      <c r="D465" s="41"/>
      <c r="E465" s="41"/>
      <c r="J465" s="17">
        <f t="shared" si="38"/>
        <v>0</v>
      </c>
      <c r="K465" s="2" t="str">
        <f t="shared" si="39"/>
        <v xml:space="preserve"> </v>
      </c>
      <c r="L465" s="2" t="str">
        <f t="shared" si="36"/>
        <v xml:space="preserve"> </v>
      </c>
      <c r="M465" s="2" t="str">
        <f t="shared" si="37"/>
        <v xml:space="preserve"> </v>
      </c>
    </row>
    <row r="466" spans="1:13" x14ac:dyDescent="0.25">
      <c r="A466" s="42" t="str">
        <f t="shared" si="35"/>
        <v xml:space="preserve"> </v>
      </c>
      <c r="D466" s="41"/>
      <c r="E466" s="41"/>
      <c r="J466" s="17">
        <f t="shared" si="38"/>
        <v>0</v>
      </c>
      <c r="K466" s="2" t="str">
        <f t="shared" si="39"/>
        <v xml:space="preserve"> </v>
      </c>
      <c r="L466" s="2" t="str">
        <f t="shared" si="36"/>
        <v xml:space="preserve"> </v>
      </c>
      <c r="M466" s="2" t="str">
        <f t="shared" si="37"/>
        <v xml:space="preserve"> </v>
      </c>
    </row>
    <row r="467" spans="1:13" x14ac:dyDescent="0.25">
      <c r="A467" s="42" t="str">
        <f t="shared" si="35"/>
        <v xml:space="preserve"> </v>
      </c>
      <c r="D467" s="41"/>
      <c r="E467" s="41"/>
      <c r="J467" s="17">
        <f t="shared" si="38"/>
        <v>0</v>
      </c>
      <c r="K467" s="2" t="str">
        <f t="shared" si="39"/>
        <v xml:space="preserve"> </v>
      </c>
      <c r="L467" s="2" t="str">
        <f t="shared" si="36"/>
        <v xml:space="preserve"> </v>
      </c>
      <c r="M467" s="2" t="str">
        <f t="shared" si="37"/>
        <v xml:space="preserve"> </v>
      </c>
    </row>
    <row r="468" spans="1:13" x14ac:dyDescent="0.25">
      <c r="A468" s="42" t="str">
        <f t="shared" si="35"/>
        <v xml:space="preserve"> </v>
      </c>
      <c r="D468" s="41"/>
      <c r="E468" s="41"/>
      <c r="J468" s="17">
        <f t="shared" si="38"/>
        <v>0</v>
      </c>
      <c r="K468" s="2" t="str">
        <f t="shared" si="39"/>
        <v xml:space="preserve"> </v>
      </c>
      <c r="L468" s="2" t="str">
        <f t="shared" si="36"/>
        <v xml:space="preserve"> </v>
      </c>
      <c r="M468" s="2" t="str">
        <f t="shared" si="37"/>
        <v xml:space="preserve"> </v>
      </c>
    </row>
    <row r="469" spans="1:13" x14ac:dyDescent="0.25">
      <c r="A469" s="42" t="str">
        <f t="shared" si="35"/>
        <v xml:space="preserve"> </v>
      </c>
      <c r="D469" s="41"/>
      <c r="E469" s="41"/>
      <c r="J469" s="17">
        <f t="shared" si="38"/>
        <v>0</v>
      </c>
      <c r="K469" s="2" t="str">
        <f t="shared" si="39"/>
        <v xml:space="preserve"> </v>
      </c>
      <c r="L469" s="2" t="str">
        <f t="shared" si="36"/>
        <v xml:space="preserve"> </v>
      </c>
      <c r="M469" s="2" t="str">
        <f t="shared" si="37"/>
        <v xml:space="preserve"> </v>
      </c>
    </row>
    <row r="470" spans="1:13" x14ac:dyDescent="0.25">
      <c r="A470" s="42" t="str">
        <f t="shared" si="35"/>
        <v xml:space="preserve"> </v>
      </c>
      <c r="D470" s="41"/>
      <c r="E470" s="41"/>
      <c r="J470" s="17">
        <f t="shared" si="38"/>
        <v>0</v>
      </c>
      <c r="K470" s="2" t="str">
        <f t="shared" si="39"/>
        <v xml:space="preserve"> </v>
      </c>
      <c r="L470" s="2" t="str">
        <f t="shared" si="36"/>
        <v xml:space="preserve"> </v>
      </c>
      <c r="M470" s="2" t="str">
        <f t="shared" si="37"/>
        <v xml:space="preserve"> </v>
      </c>
    </row>
    <row r="471" spans="1:13" x14ac:dyDescent="0.25">
      <c r="A471" s="42" t="str">
        <f t="shared" si="35"/>
        <v xml:space="preserve"> </v>
      </c>
      <c r="D471" s="41"/>
      <c r="E471" s="41"/>
      <c r="J471" s="17">
        <f t="shared" si="38"/>
        <v>0</v>
      </c>
      <c r="K471" s="2" t="str">
        <f t="shared" si="39"/>
        <v xml:space="preserve"> </v>
      </c>
      <c r="L471" s="2" t="str">
        <f t="shared" si="36"/>
        <v xml:space="preserve"> </v>
      </c>
      <c r="M471" s="2" t="str">
        <f t="shared" si="37"/>
        <v xml:space="preserve"> </v>
      </c>
    </row>
    <row r="472" spans="1:13" x14ac:dyDescent="0.25">
      <c r="A472" s="42" t="str">
        <f t="shared" si="35"/>
        <v xml:space="preserve"> </v>
      </c>
      <c r="D472" s="41"/>
      <c r="E472" s="41"/>
      <c r="J472" s="17">
        <f t="shared" si="38"/>
        <v>0</v>
      </c>
      <c r="K472" s="2" t="str">
        <f t="shared" si="39"/>
        <v xml:space="preserve"> </v>
      </c>
      <c r="L472" s="2" t="str">
        <f t="shared" si="36"/>
        <v xml:space="preserve"> </v>
      </c>
      <c r="M472" s="2" t="str">
        <f t="shared" si="37"/>
        <v xml:space="preserve"> </v>
      </c>
    </row>
    <row r="473" spans="1:13" x14ac:dyDescent="0.25">
      <c r="A473" s="42" t="str">
        <f t="shared" si="35"/>
        <v xml:space="preserve"> </v>
      </c>
      <c r="D473" s="41"/>
      <c r="E473" s="41"/>
      <c r="J473" s="17">
        <f t="shared" si="38"/>
        <v>0</v>
      </c>
      <c r="K473" s="2" t="str">
        <f t="shared" si="39"/>
        <v xml:space="preserve"> </v>
      </c>
      <c r="L473" s="2" t="str">
        <f t="shared" si="36"/>
        <v xml:space="preserve"> </v>
      </c>
      <c r="M473" s="2" t="str">
        <f t="shared" si="37"/>
        <v xml:space="preserve"> </v>
      </c>
    </row>
    <row r="474" spans="1:13" x14ac:dyDescent="0.25">
      <c r="A474" s="42" t="str">
        <f t="shared" si="35"/>
        <v xml:space="preserve"> </v>
      </c>
      <c r="D474" s="41"/>
      <c r="E474" s="41"/>
      <c r="J474" s="17">
        <f t="shared" si="38"/>
        <v>0</v>
      </c>
      <c r="K474" s="2" t="str">
        <f t="shared" si="39"/>
        <v xml:space="preserve"> </v>
      </c>
      <c r="L474" s="2" t="str">
        <f t="shared" si="36"/>
        <v xml:space="preserve"> </v>
      </c>
      <c r="M474" s="2" t="str">
        <f t="shared" si="37"/>
        <v xml:space="preserve"> </v>
      </c>
    </row>
    <row r="475" spans="1:13" x14ac:dyDescent="0.25">
      <c r="A475" s="42" t="str">
        <f t="shared" si="35"/>
        <v xml:space="preserve"> </v>
      </c>
      <c r="D475" s="41"/>
      <c r="E475" s="41"/>
      <c r="J475" s="17">
        <f t="shared" si="38"/>
        <v>0</v>
      </c>
      <c r="K475" s="2" t="str">
        <f t="shared" si="39"/>
        <v xml:space="preserve"> </v>
      </c>
      <c r="L475" s="2" t="str">
        <f t="shared" si="36"/>
        <v xml:space="preserve"> </v>
      </c>
      <c r="M475" s="2" t="str">
        <f t="shared" si="37"/>
        <v xml:space="preserve"> </v>
      </c>
    </row>
    <row r="476" spans="1:13" x14ac:dyDescent="0.25">
      <c r="A476" s="42" t="str">
        <f t="shared" si="35"/>
        <v xml:space="preserve"> </v>
      </c>
      <c r="D476" s="41"/>
      <c r="E476" s="41"/>
      <c r="J476" s="17">
        <f t="shared" si="38"/>
        <v>0</v>
      </c>
      <c r="K476" s="2" t="str">
        <f t="shared" si="39"/>
        <v xml:space="preserve"> </v>
      </c>
      <c r="L476" s="2" t="str">
        <f t="shared" si="36"/>
        <v xml:space="preserve"> </v>
      </c>
      <c r="M476" s="2" t="str">
        <f t="shared" si="37"/>
        <v xml:space="preserve"> </v>
      </c>
    </row>
    <row r="477" spans="1:13" x14ac:dyDescent="0.25">
      <c r="A477" s="42" t="str">
        <f t="shared" si="35"/>
        <v xml:space="preserve"> </v>
      </c>
      <c r="D477" s="41"/>
      <c r="E477" s="41"/>
      <c r="J477" s="17">
        <f t="shared" si="38"/>
        <v>0</v>
      </c>
      <c r="K477" s="2" t="str">
        <f t="shared" si="39"/>
        <v xml:space="preserve"> </v>
      </c>
      <c r="L477" s="2" t="str">
        <f t="shared" si="36"/>
        <v xml:space="preserve"> </v>
      </c>
      <c r="M477" s="2" t="str">
        <f t="shared" si="37"/>
        <v xml:space="preserve"> </v>
      </c>
    </row>
    <row r="478" spans="1:13" x14ac:dyDescent="0.25">
      <c r="A478" s="42" t="str">
        <f t="shared" si="35"/>
        <v xml:space="preserve"> </v>
      </c>
      <c r="D478" s="41"/>
      <c r="E478" s="41"/>
      <c r="J478" s="17">
        <f t="shared" si="38"/>
        <v>0</v>
      </c>
      <c r="K478" s="2" t="str">
        <f t="shared" si="39"/>
        <v xml:space="preserve"> </v>
      </c>
      <c r="L478" s="2" t="str">
        <f t="shared" si="36"/>
        <v xml:space="preserve"> </v>
      </c>
      <c r="M478" s="2" t="str">
        <f t="shared" si="37"/>
        <v xml:space="preserve"> </v>
      </c>
    </row>
    <row r="479" spans="1:13" x14ac:dyDescent="0.25">
      <c r="A479" s="42" t="str">
        <f t="shared" si="35"/>
        <v xml:space="preserve"> </v>
      </c>
      <c r="D479" s="41"/>
      <c r="E479" s="41"/>
      <c r="J479" s="17">
        <f t="shared" si="38"/>
        <v>0</v>
      </c>
      <c r="K479" s="2" t="str">
        <f t="shared" si="39"/>
        <v xml:space="preserve"> </v>
      </c>
      <c r="L479" s="2" t="str">
        <f t="shared" si="36"/>
        <v xml:space="preserve"> </v>
      </c>
      <c r="M479" s="2" t="str">
        <f t="shared" si="37"/>
        <v xml:space="preserve"> </v>
      </c>
    </row>
    <row r="480" spans="1:13" x14ac:dyDescent="0.25">
      <c r="A480" s="42" t="str">
        <f t="shared" si="35"/>
        <v xml:space="preserve"> </v>
      </c>
      <c r="D480" s="41"/>
      <c r="E480" s="41"/>
      <c r="J480" s="17">
        <f t="shared" si="38"/>
        <v>0</v>
      </c>
      <c r="K480" s="2" t="str">
        <f t="shared" si="39"/>
        <v xml:space="preserve"> </v>
      </c>
      <c r="L480" s="2" t="str">
        <f t="shared" si="36"/>
        <v xml:space="preserve"> </v>
      </c>
      <c r="M480" s="2" t="str">
        <f t="shared" si="37"/>
        <v xml:space="preserve"> </v>
      </c>
    </row>
    <row r="481" spans="1:13" x14ac:dyDescent="0.25">
      <c r="A481" s="42" t="str">
        <f t="shared" si="35"/>
        <v xml:space="preserve"> </v>
      </c>
      <c r="D481" s="41"/>
      <c r="E481" s="41"/>
      <c r="J481" s="17">
        <f t="shared" si="38"/>
        <v>0</v>
      </c>
      <c r="K481" s="2" t="str">
        <f t="shared" si="39"/>
        <v xml:space="preserve"> </v>
      </c>
      <c r="L481" s="2" t="str">
        <f t="shared" si="36"/>
        <v xml:space="preserve"> </v>
      </c>
      <c r="M481" s="2" t="str">
        <f t="shared" si="37"/>
        <v xml:space="preserve"> </v>
      </c>
    </row>
    <row r="482" spans="1:13" x14ac:dyDescent="0.25">
      <c r="A482" s="42" t="str">
        <f t="shared" si="35"/>
        <v xml:space="preserve"> </v>
      </c>
      <c r="D482" s="41"/>
      <c r="E482" s="41"/>
      <c r="J482" s="17">
        <f t="shared" si="38"/>
        <v>0</v>
      </c>
      <c r="K482" s="2" t="str">
        <f t="shared" si="39"/>
        <v xml:space="preserve"> </v>
      </c>
      <c r="L482" s="2" t="str">
        <f t="shared" si="36"/>
        <v xml:space="preserve"> </v>
      </c>
      <c r="M482" s="2" t="str">
        <f t="shared" si="37"/>
        <v xml:space="preserve"> </v>
      </c>
    </row>
    <row r="483" spans="1:13" x14ac:dyDescent="0.25">
      <c r="A483" s="42"/>
    </row>
    <row r="484" spans="1:13" ht="16.5" thickBot="1" x14ac:dyDescent="0.3">
      <c r="A484" s="42"/>
      <c r="F484" s="19">
        <f>SUM(F14:F483)</f>
        <v>0</v>
      </c>
      <c r="G484" s="19">
        <f>SUM(G14:G483)</f>
        <v>0</v>
      </c>
      <c r="H484" s="19">
        <f>SUM(H14:H483)</f>
        <v>0</v>
      </c>
      <c r="I484" s="19">
        <f>SUM(I14:I483)</f>
        <v>0</v>
      </c>
    </row>
    <row r="485" spans="1:13" ht="16.5" thickTop="1" x14ac:dyDescent="0.25">
      <c r="A485" s="42"/>
    </row>
    <row r="486" spans="1:13" x14ac:dyDescent="0.25">
      <c r="A486" s="42"/>
      <c r="C486" s="2" t="s">
        <v>319</v>
      </c>
      <c r="F486" s="4">
        <f>G484-F484</f>
        <v>0</v>
      </c>
    </row>
  </sheetData>
  <sheetProtection formatCells="0" formatColumns="0" formatRows="0" insertHyperlinks="0" deleteColumns="0" deleteRows="0" sort="0" autoFilter="0" pivotTables="0"/>
  <mergeCells count="4">
    <mergeCell ref="F11:G11"/>
    <mergeCell ref="H11:I11"/>
    <mergeCell ref="F12:G12"/>
    <mergeCell ref="H12:I12"/>
  </mergeCells>
  <dataValidations count="2">
    <dataValidation type="list" showInputMessage="1" showErrorMessage="1" sqref="D15:D482" xr:uid="{D913EFBA-5E9C-4892-9088-017450859EE6}">
      <formula1>ProfitLoss3</formula1>
    </dataValidation>
    <dataValidation type="list" showInputMessage="1" showErrorMessage="1" sqref="E15:E482" xr:uid="{155D97F6-0FC9-48A1-9CBF-07C0586A28D4}">
      <formula1>BalanceSheet3</formula1>
    </dataValidation>
  </dataValidations>
  <pageMargins left="0.75" right="0.75" top="1" bottom="1" header="0.5" footer="0.5"/>
  <pageSetup paperSize="9" scale="46" orientation="portrait" r:id="rId1"/>
  <headerFooter alignWithMargins="0"/>
  <colBreaks count="1" manualBreakCount="1">
    <brk id="10"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B0466-4F88-4834-8C9B-3410FFCA8EE2}">
  <dimension ref="A1:R432"/>
  <sheetViews>
    <sheetView zoomScale="89" zoomScaleNormal="89" workbookViewId="0">
      <pane ySplit="3" topLeftCell="A4" activePane="bottomLeft" state="frozen"/>
      <selection pane="bottomLeft" activeCell="C1" sqref="C1"/>
    </sheetView>
  </sheetViews>
  <sheetFormatPr defaultRowHeight="12.75" x14ac:dyDescent="0.2"/>
  <cols>
    <col min="1" max="1" width="17.7109375" style="14" customWidth="1"/>
    <col min="3" max="3" width="46.42578125" style="15" bestFit="1" customWidth="1"/>
    <col min="4" max="5" width="15.42578125" style="16" bestFit="1" customWidth="1"/>
    <col min="6" max="6" width="15.42578125" style="16" customWidth="1"/>
    <col min="7" max="7" width="13.7109375" style="16" customWidth="1"/>
    <col min="8" max="8" width="15.28515625" style="16" bestFit="1" customWidth="1"/>
    <col min="9" max="9" width="16" style="84" customWidth="1"/>
    <col min="10" max="10" width="3.85546875" style="84" customWidth="1"/>
    <col min="11" max="11" width="16.140625" bestFit="1" customWidth="1"/>
    <col min="12" max="12" width="4.140625" customWidth="1"/>
    <col min="13" max="13" width="8.85546875" customWidth="1"/>
    <col min="14" max="14" width="15.28515625" style="50" bestFit="1" customWidth="1"/>
    <col min="15" max="15" width="14.28515625" bestFit="1" customWidth="1"/>
    <col min="16" max="17" width="13.140625" bestFit="1" customWidth="1"/>
    <col min="18" max="18" width="13.85546875" bestFit="1" customWidth="1"/>
  </cols>
  <sheetData>
    <row r="1" spans="1:18" x14ac:dyDescent="0.2">
      <c r="A1" s="412"/>
      <c r="B1" s="413"/>
      <c r="C1" s="443">
        <f>Criteria!E16</f>
        <v>0</v>
      </c>
      <c r="D1" s="439"/>
      <c r="E1" s="439"/>
      <c r="F1" s="414"/>
      <c r="G1" s="415" t="s">
        <v>182</v>
      </c>
      <c r="H1" s="415"/>
      <c r="I1" s="416">
        <f>Criteria!E22</f>
        <v>2026</v>
      </c>
      <c r="J1" s="416"/>
      <c r="K1" s="416">
        <f>Criteria!E27</f>
        <v>2025</v>
      </c>
      <c r="L1" s="413"/>
      <c r="M1" s="413"/>
      <c r="N1" s="399" t="s">
        <v>380</v>
      </c>
      <c r="O1" s="70"/>
      <c r="P1" s="70"/>
    </row>
    <row r="2" spans="1:18" x14ac:dyDescent="0.2">
      <c r="A2" s="417" t="s">
        <v>1244</v>
      </c>
      <c r="B2" s="413"/>
      <c r="C2" s="413"/>
      <c r="D2" s="691">
        <f>D404-E404</f>
        <v>0</v>
      </c>
      <c r="E2" s="691"/>
      <c r="F2" s="419" t="s">
        <v>483</v>
      </c>
      <c r="G2" s="414">
        <f>G404</f>
        <v>0</v>
      </c>
      <c r="H2" s="414">
        <f>D2-E2</f>
        <v>0</v>
      </c>
      <c r="I2" s="422">
        <f>I404</f>
        <v>0</v>
      </c>
      <c r="J2" s="422"/>
      <c r="K2" s="423">
        <f>K404</f>
        <v>0</v>
      </c>
      <c r="L2" s="413"/>
      <c r="M2" s="413"/>
      <c r="N2" s="423">
        <f>SUM(I5:I165)</f>
        <v>0</v>
      </c>
      <c r="O2" s="71"/>
      <c r="P2" s="71"/>
    </row>
    <row r="3" spans="1:18" x14ac:dyDescent="0.2">
      <c r="A3" s="417" t="s">
        <v>673</v>
      </c>
      <c r="B3" s="444" t="s">
        <v>262</v>
      </c>
      <c r="C3" s="424" t="s">
        <v>263</v>
      </c>
      <c r="D3" s="417" t="s">
        <v>264</v>
      </c>
      <c r="E3" s="417" t="s">
        <v>265</v>
      </c>
      <c r="F3" s="425" t="s">
        <v>151</v>
      </c>
      <c r="G3" s="412"/>
      <c r="H3" s="412"/>
      <c r="I3" s="427"/>
      <c r="J3" s="427"/>
      <c r="K3" s="413"/>
      <c r="L3" s="413"/>
      <c r="M3" s="413"/>
      <c r="N3" s="395"/>
    </row>
    <row r="4" spans="1:18" x14ac:dyDescent="0.2">
      <c r="A4" s="165"/>
      <c r="B4" s="113" t="s">
        <v>266</v>
      </c>
      <c r="C4" s="396" t="s">
        <v>123</v>
      </c>
      <c r="D4" s="91"/>
      <c r="E4" s="59"/>
      <c r="F4" s="59"/>
      <c r="G4" s="46"/>
      <c r="H4" s="46"/>
      <c r="I4" s="67"/>
      <c r="J4" s="67"/>
      <c r="K4" s="54" t="s">
        <v>263</v>
      </c>
      <c r="N4" s="51"/>
    </row>
    <row r="5" spans="1:18" x14ac:dyDescent="0.2">
      <c r="A5" s="393"/>
      <c r="B5" s="13" t="s">
        <v>267</v>
      </c>
      <c r="C5" s="397" t="s">
        <v>1195</v>
      </c>
      <c r="D5" s="437"/>
      <c r="E5" s="434"/>
      <c r="F5" s="87"/>
      <c r="G5" s="55">
        <f>SUMIF(JournalsC!D$14:D$920,TrialBalanceC!M5,JournalsC!J$14:J$920)+SUMIF(JournalsC!E$14:E$920,TrialBalanceC!M5,JournalsC!J$14:J$920)</f>
        <v>0</v>
      </c>
      <c r="H5" s="442"/>
      <c r="I5" s="447">
        <f t="shared" ref="I5:I73" si="0">ROUND(D5-E5+G5+F5,0)</f>
        <v>0</v>
      </c>
      <c r="J5" s="83"/>
      <c r="K5" s="56">
        <f t="shared" ref="K5:K73" si="1">ROUND(SUM(A5),0)</f>
        <v>0</v>
      </c>
      <c r="M5" s="196" t="str">
        <f t="shared" ref="M5:M73" si="2">CONCATENATE(B5,C5)</f>
        <v>1000/001Sale of goods</v>
      </c>
      <c r="N5" s="78"/>
      <c r="P5" s="79"/>
      <c r="Q5" s="59"/>
      <c r="R5" s="34"/>
    </row>
    <row r="6" spans="1:18" x14ac:dyDescent="0.2">
      <c r="A6" s="393"/>
      <c r="B6" s="113" t="s">
        <v>268</v>
      </c>
      <c r="C6" s="397" t="s">
        <v>1196</v>
      </c>
      <c r="D6" s="437"/>
      <c r="E6" s="434"/>
      <c r="F6" s="87"/>
      <c r="G6" s="55">
        <f>SUMIF(JournalsC!D$14:D$920,TrialBalanceC!M6,JournalsC!J$14:J$920)+SUMIF(JournalsC!E$14:E$920,TrialBalanceC!M6,JournalsC!J$14:J$920)</f>
        <v>0</v>
      </c>
      <c r="H6" s="442"/>
      <c r="I6" s="447">
        <f t="shared" ref="I6:I9" si="3">ROUND(D6-E6+G6+F6,0)</f>
        <v>0</v>
      </c>
      <c r="J6" s="83"/>
      <c r="K6" s="56">
        <f t="shared" ref="K6:K9" si="4">ROUND(SUM(A6),0)</f>
        <v>0</v>
      </c>
      <c r="M6" s="196" t="str">
        <f t="shared" ref="M6:M9" si="5">CONCATENATE(B6,C6)</f>
        <v>1000/002Rendering of services</v>
      </c>
      <c r="N6" s="78"/>
      <c r="P6" s="79"/>
      <c r="Q6" s="59"/>
      <c r="R6" s="34"/>
    </row>
    <row r="7" spans="1:18" x14ac:dyDescent="0.2">
      <c r="A7" s="393"/>
      <c r="B7" s="113" t="s">
        <v>269</v>
      </c>
      <c r="C7" s="397" t="s">
        <v>1197</v>
      </c>
      <c r="D7" s="437"/>
      <c r="E7" s="434"/>
      <c r="F7" s="87"/>
      <c r="G7" s="55">
        <f>SUMIF(JournalsC!D$14:D$920,TrialBalanceC!M7,JournalsC!J$14:J$920)+SUMIF(JournalsC!E$14:E$920,TrialBalanceC!M7,JournalsC!J$14:J$920)</f>
        <v>0</v>
      </c>
      <c r="H7" s="442"/>
      <c r="I7" s="447">
        <f t="shared" si="3"/>
        <v>0</v>
      </c>
      <c r="J7" s="83"/>
      <c r="K7" s="56">
        <f t="shared" si="4"/>
        <v>0</v>
      </c>
      <c r="M7" s="196" t="str">
        <f t="shared" si="5"/>
        <v>1000/003Commissions received</v>
      </c>
      <c r="N7" s="78"/>
      <c r="P7" s="79"/>
      <c r="Q7" s="59"/>
      <c r="R7" s="34"/>
    </row>
    <row r="8" spans="1:18" x14ac:dyDescent="0.2">
      <c r="A8" s="393"/>
      <c r="B8" s="113" t="s">
        <v>1198</v>
      </c>
      <c r="C8" s="429">
        <f>TrialBalance!C8</f>
        <v>0</v>
      </c>
      <c r="D8" s="437"/>
      <c r="E8" s="434"/>
      <c r="F8" s="87"/>
      <c r="G8" s="55">
        <f>SUMIF(JournalsC!D$14:D$920,TrialBalanceC!M8,JournalsC!J$14:J$920)+SUMIF(JournalsC!E$14:E$920,TrialBalanceC!M8,JournalsC!J$14:J$920)</f>
        <v>0</v>
      </c>
      <c r="H8" s="442"/>
      <c r="I8" s="447">
        <f t="shared" si="3"/>
        <v>0</v>
      </c>
      <c r="J8" s="83"/>
      <c r="K8" s="56">
        <f t="shared" si="4"/>
        <v>0</v>
      </c>
      <c r="M8" s="196" t="str">
        <f t="shared" si="5"/>
        <v>1000/0040</v>
      </c>
      <c r="N8" s="78"/>
      <c r="P8" s="79"/>
      <c r="Q8" s="59"/>
      <c r="R8" s="34"/>
    </row>
    <row r="9" spans="1:18" x14ac:dyDescent="0.2">
      <c r="A9" s="393"/>
      <c r="B9" s="113" t="s">
        <v>1199</v>
      </c>
      <c r="C9" s="429">
        <f>TrialBalance!C9</f>
        <v>0</v>
      </c>
      <c r="D9" s="437"/>
      <c r="E9" s="434"/>
      <c r="F9" s="87"/>
      <c r="G9" s="55">
        <f>SUMIF(JournalsC!D$14:D$920,TrialBalanceC!M9,JournalsC!J$14:J$920)+SUMIF(JournalsC!E$14:E$920,TrialBalanceC!M9,JournalsC!J$14:J$920)</f>
        <v>0</v>
      </c>
      <c r="H9" s="442"/>
      <c r="I9" s="447">
        <f t="shared" si="3"/>
        <v>0</v>
      </c>
      <c r="J9" s="83"/>
      <c r="K9" s="56">
        <f t="shared" si="4"/>
        <v>0</v>
      </c>
      <c r="M9" s="196" t="str">
        <f t="shared" si="5"/>
        <v>1000/0050</v>
      </c>
      <c r="N9" s="78"/>
      <c r="P9" s="79"/>
      <c r="Q9" s="59"/>
      <c r="R9" s="34"/>
    </row>
    <row r="10" spans="1:18" x14ac:dyDescent="0.2">
      <c r="A10" s="393"/>
      <c r="B10" s="113" t="s">
        <v>1200</v>
      </c>
      <c r="C10" s="429">
        <f>TrialBalance!C10</f>
        <v>0</v>
      </c>
      <c r="D10" s="435"/>
      <c r="E10" s="434"/>
      <c r="F10" s="87"/>
      <c r="G10" s="55">
        <f>SUMIF(JournalsC!D$14:D$920,TrialBalanceC!M10,JournalsC!J$14:J$920)+SUMIF(JournalsC!E$14:E$920,TrialBalanceC!M10,JournalsC!J$14:J$920)</f>
        <v>0</v>
      </c>
      <c r="H10" s="442"/>
      <c r="I10" s="447">
        <f t="shared" si="0"/>
        <v>0</v>
      </c>
      <c r="J10" s="83"/>
      <c r="K10" s="56">
        <f t="shared" si="1"/>
        <v>0</v>
      </c>
      <c r="M10" s="196" t="str">
        <f t="shared" si="2"/>
        <v>1000/0060</v>
      </c>
      <c r="N10" s="78"/>
      <c r="P10" s="79"/>
      <c r="Q10" s="59"/>
      <c r="R10" s="34"/>
    </row>
    <row r="11" spans="1:18" x14ac:dyDescent="0.2">
      <c r="A11" s="393"/>
      <c r="B11" s="113" t="s">
        <v>1201</v>
      </c>
      <c r="C11" s="395" t="s">
        <v>398</v>
      </c>
      <c r="D11" s="434"/>
      <c r="E11" s="434"/>
      <c r="F11" s="87"/>
      <c r="G11" s="55">
        <f>SUMIF(JournalsC!D$14:D$920,TrialBalanceC!M11,JournalsC!J$14:J$920)+SUMIF(JournalsC!E$14:E$920,TrialBalanceC!M11,JournalsC!J$14:J$920)</f>
        <v>0</v>
      </c>
      <c r="H11" s="442"/>
      <c r="I11" s="447">
        <f t="shared" si="0"/>
        <v>0</v>
      </c>
      <c r="J11" s="83"/>
      <c r="K11" s="56">
        <f t="shared" si="1"/>
        <v>0</v>
      </c>
      <c r="M11" s="196" t="str">
        <f t="shared" si="2"/>
        <v>1000/007Rent received</v>
      </c>
      <c r="N11" s="78"/>
      <c r="P11" s="79"/>
      <c r="Q11" s="59"/>
      <c r="R11" s="34"/>
    </row>
    <row r="12" spans="1:18" x14ac:dyDescent="0.2">
      <c r="A12" s="393"/>
      <c r="B12" s="62" t="s">
        <v>270</v>
      </c>
      <c r="C12" s="396" t="s">
        <v>124</v>
      </c>
      <c r="D12" s="436"/>
      <c r="E12" s="434"/>
      <c r="F12" s="87"/>
      <c r="G12" s="55">
        <f>SUMIF(JournalsC!D$14:D$920,TrialBalanceC!M12,JournalsC!J$14:J$920)+SUMIF(JournalsC!E$14:E$920,TrialBalanceC!M12,JournalsC!J$14:J$920)</f>
        <v>0</v>
      </c>
      <c r="H12" s="442"/>
      <c r="I12" s="447">
        <f t="shared" si="0"/>
        <v>0</v>
      </c>
      <c r="J12" s="83"/>
      <c r="K12" s="56">
        <f t="shared" si="1"/>
        <v>0</v>
      </c>
      <c r="M12" s="196" t="str">
        <f t="shared" si="2"/>
        <v>2000/000COST OF SALES</v>
      </c>
      <c r="N12" s="78"/>
      <c r="P12" s="79"/>
      <c r="Q12" s="59"/>
      <c r="R12" s="34"/>
    </row>
    <row r="13" spans="1:18" x14ac:dyDescent="0.2">
      <c r="A13" s="393"/>
      <c r="B13" s="62" t="s">
        <v>271</v>
      </c>
      <c r="C13" s="397" t="s">
        <v>718</v>
      </c>
      <c r="D13" s="437"/>
      <c r="E13" s="434"/>
      <c r="F13" s="87"/>
      <c r="G13" s="55">
        <f>SUMIF(JournalsC!D$14:D$920,TrialBalanceC!M13,JournalsC!J$14:J$920)+SUMIF(JournalsC!E$14:E$920,TrialBalanceC!M13,JournalsC!J$14:J$920)</f>
        <v>0</v>
      </c>
      <c r="H13" s="442"/>
      <c r="I13" s="447">
        <f t="shared" si="0"/>
        <v>0</v>
      </c>
      <c r="J13" s="83"/>
      <c r="K13" s="56">
        <f t="shared" si="1"/>
        <v>0</v>
      </c>
      <c r="M13" s="196" t="str">
        <f t="shared" si="2"/>
        <v>2000/001Opening stock - Raw materials</v>
      </c>
      <c r="N13" s="78"/>
      <c r="P13" s="79"/>
      <c r="Q13" s="59"/>
      <c r="R13" s="34"/>
    </row>
    <row r="14" spans="1:18" x14ac:dyDescent="0.2">
      <c r="A14" s="393"/>
      <c r="B14" s="62" t="s">
        <v>426</v>
      </c>
      <c r="C14" s="394" t="s">
        <v>427</v>
      </c>
      <c r="D14" s="435"/>
      <c r="E14" s="434"/>
      <c r="F14" s="87"/>
      <c r="G14" s="55">
        <f>SUMIF(JournalsC!D$14:D$920,TrialBalanceC!M14,JournalsC!J$14:J$920)+SUMIF(JournalsC!E$14:E$920,TrialBalanceC!M14,JournalsC!J$14:J$920)</f>
        <v>0</v>
      </c>
      <c r="H14" s="442"/>
      <c r="I14" s="447">
        <f t="shared" si="0"/>
        <v>0</v>
      </c>
      <c r="J14" s="83"/>
      <c r="K14" s="56">
        <f t="shared" si="1"/>
        <v>0</v>
      </c>
      <c r="M14" s="196" t="str">
        <f t="shared" si="2"/>
        <v>2000/002Opening stock - WIP</v>
      </c>
      <c r="N14" s="78"/>
      <c r="P14" s="79"/>
      <c r="Q14" s="59"/>
      <c r="R14" s="34"/>
    </row>
    <row r="15" spans="1:18" x14ac:dyDescent="0.2">
      <c r="A15" s="393"/>
      <c r="B15" s="62" t="s">
        <v>428</v>
      </c>
      <c r="C15" s="394" t="s">
        <v>429</v>
      </c>
      <c r="D15" s="435"/>
      <c r="E15" s="434"/>
      <c r="F15" s="87"/>
      <c r="G15" s="55">
        <f>SUMIF(JournalsC!D$14:D$920,TrialBalanceC!M15,JournalsC!J$14:J$920)+SUMIF(JournalsC!E$14:E$920,TrialBalanceC!M15,JournalsC!J$14:J$920)</f>
        <v>0</v>
      </c>
      <c r="H15" s="442"/>
      <c r="I15" s="447">
        <f t="shared" si="0"/>
        <v>0</v>
      </c>
      <c r="J15" s="83"/>
      <c r="K15" s="56">
        <f t="shared" si="1"/>
        <v>0</v>
      </c>
      <c r="M15" s="196" t="str">
        <f t="shared" si="2"/>
        <v>2000/003Opening stock - Finished goods</v>
      </c>
      <c r="N15" s="78"/>
      <c r="P15" s="79"/>
      <c r="Q15" s="59"/>
      <c r="R15" s="34"/>
    </row>
    <row r="16" spans="1:18" x14ac:dyDescent="0.2">
      <c r="A16" s="393"/>
      <c r="B16" s="62" t="s">
        <v>430</v>
      </c>
      <c r="C16" s="394" t="s">
        <v>431</v>
      </c>
      <c r="D16" s="435"/>
      <c r="E16" s="434"/>
      <c r="F16" s="87"/>
      <c r="G16" s="55">
        <f>SUMIF(JournalsC!D$14:D$920,TrialBalanceC!M16,JournalsC!J$14:J$920)+SUMIF(JournalsC!E$14:E$920,TrialBalanceC!M16,JournalsC!J$14:J$920)</f>
        <v>0</v>
      </c>
      <c r="H16" s="442"/>
      <c r="I16" s="447">
        <f t="shared" si="0"/>
        <v>0</v>
      </c>
      <c r="J16" s="83"/>
      <c r="K16" s="56">
        <f t="shared" si="1"/>
        <v>0</v>
      </c>
      <c r="M16" s="196" t="str">
        <f t="shared" si="2"/>
        <v>2000/004Opening stock - Trading stock</v>
      </c>
      <c r="N16" s="78"/>
      <c r="P16" s="79"/>
      <c r="Q16" s="59"/>
      <c r="R16" s="34"/>
    </row>
    <row r="17" spans="1:18" x14ac:dyDescent="0.2">
      <c r="A17" s="393"/>
      <c r="B17" s="13" t="s">
        <v>432</v>
      </c>
      <c r="C17" s="394" t="s">
        <v>301</v>
      </c>
      <c r="D17" s="435"/>
      <c r="E17" s="434"/>
      <c r="F17" s="87"/>
      <c r="G17" s="55">
        <f>SUMIF(JournalsC!D$14:D$920,TrialBalanceC!M17,JournalsC!J$14:J$920)+SUMIF(JournalsC!E$14:E$920,TrialBalanceC!M17,JournalsC!J$14:J$920)</f>
        <v>0</v>
      </c>
      <c r="H17" s="442"/>
      <c r="I17" s="447">
        <f t="shared" si="0"/>
        <v>0</v>
      </c>
      <c r="J17" s="83"/>
      <c r="K17" s="56">
        <f t="shared" si="1"/>
        <v>0</v>
      </c>
      <c r="M17" s="196" t="str">
        <f t="shared" si="2"/>
        <v>2000/010Purchases</v>
      </c>
      <c r="N17" s="78"/>
      <c r="P17" s="79"/>
      <c r="Q17" s="59"/>
      <c r="R17" s="34"/>
    </row>
    <row r="18" spans="1:18" x14ac:dyDescent="0.2">
      <c r="A18" s="393"/>
      <c r="B18" s="13" t="s">
        <v>433</v>
      </c>
      <c r="C18" s="429"/>
      <c r="D18" s="434"/>
      <c r="E18" s="434"/>
      <c r="F18" s="87"/>
      <c r="G18" s="55">
        <f>SUMIF(JournalsC!D$14:D$920,TrialBalanceC!M18,JournalsC!J$14:J$920)+SUMIF(JournalsC!E$14:E$920,TrialBalanceC!M18,JournalsC!J$14:J$920)</f>
        <v>0</v>
      </c>
      <c r="H18" s="442"/>
      <c r="I18" s="447">
        <f t="shared" si="0"/>
        <v>0</v>
      </c>
      <c r="J18" s="83"/>
      <c r="K18" s="56">
        <f t="shared" si="1"/>
        <v>0</v>
      </c>
      <c r="M18" s="196" t="str">
        <f t="shared" si="2"/>
        <v>2000/011</v>
      </c>
      <c r="N18" s="78"/>
      <c r="O18" s="34"/>
      <c r="P18" s="79"/>
      <c r="Q18" s="59"/>
      <c r="R18" s="34"/>
    </row>
    <row r="19" spans="1:18" x14ac:dyDescent="0.2">
      <c r="A19" s="393"/>
      <c r="B19" s="62" t="s">
        <v>434</v>
      </c>
      <c r="C19" s="429"/>
      <c r="D19" s="427"/>
      <c r="E19" s="434"/>
      <c r="F19" s="87"/>
      <c r="G19" s="55">
        <f>SUMIF(JournalsC!D$14:D$920,TrialBalanceC!M19,JournalsC!J$14:J$920)+SUMIF(JournalsC!E$14:E$920,TrialBalanceC!M19,JournalsC!J$14:J$920)</f>
        <v>0</v>
      </c>
      <c r="H19" s="442"/>
      <c r="I19" s="447">
        <f t="shared" si="0"/>
        <v>0</v>
      </c>
      <c r="J19" s="83"/>
      <c r="K19" s="56">
        <f t="shared" si="1"/>
        <v>0</v>
      </c>
      <c r="M19" s="196" t="str">
        <f t="shared" si="2"/>
        <v>2000/012</v>
      </c>
      <c r="N19" s="78"/>
      <c r="P19" s="79"/>
      <c r="Q19" s="59"/>
      <c r="R19" s="34"/>
    </row>
    <row r="20" spans="1:18" x14ac:dyDescent="0.2">
      <c r="A20" s="393"/>
      <c r="B20" s="62" t="s">
        <v>435</v>
      </c>
      <c r="C20" s="430"/>
      <c r="D20" s="427"/>
      <c r="E20" s="434"/>
      <c r="F20" s="87"/>
      <c r="G20" s="55">
        <f>SUMIF(JournalsC!D$14:D$920,TrialBalanceC!M20,JournalsC!J$14:J$920)+SUMIF(JournalsC!E$14:E$920,TrialBalanceC!M20,JournalsC!J$14:J$920)</f>
        <v>0</v>
      </c>
      <c r="H20" s="442"/>
      <c r="I20" s="447">
        <f t="shared" si="0"/>
        <v>0</v>
      </c>
      <c r="J20" s="83"/>
      <c r="K20" s="56">
        <f t="shared" si="1"/>
        <v>0</v>
      </c>
      <c r="M20" s="196" t="str">
        <f t="shared" si="2"/>
        <v>2000/013</v>
      </c>
      <c r="N20" s="78"/>
      <c r="P20" s="79"/>
      <c r="Q20" s="59"/>
      <c r="R20" s="34"/>
    </row>
    <row r="21" spans="1:18" x14ac:dyDescent="0.2">
      <c r="A21" s="393"/>
      <c r="B21" s="62" t="s">
        <v>436</v>
      </c>
      <c r="C21" s="430"/>
      <c r="D21" s="427"/>
      <c r="E21" s="434"/>
      <c r="F21" s="87"/>
      <c r="G21" s="55">
        <f>SUMIF(JournalsC!D$14:D$920,TrialBalanceC!M21,JournalsC!J$14:J$920)+SUMIF(JournalsC!E$14:E$920,TrialBalanceC!M21,JournalsC!J$14:J$920)</f>
        <v>0</v>
      </c>
      <c r="H21" s="442"/>
      <c r="I21" s="447">
        <f t="shared" si="0"/>
        <v>0</v>
      </c>
      <c r="J21" s="83"/>
      <c r="K21" s="56">
        <f t="shared" si="1"/>
        <v>0</v>
      </c>
      <c r="M21" s="196" t="str">
        <f t="shared" si="2"/>
        <v>2000/014</v>
      </c>
      <c r="N21" s="78"/>
      <c r="P21" s="79"/>
      <c r="Q21" s="59"/>
      <c r="R21" s="34"/>
    </row>
    <row r="22" spans="1:18" x14ac:dyDescent="0.2">
      <c r="A22" s="393"/>
      <c r="B22" s="62" t="s">
        <v>437</v>
      </c>
      <c r="C22" s="430"/>
      <c r="D22" s="427"/>
      <c r="E22" s="434"/>
      <c r="F22" s="87"/>
      <c r="G22" s="55">
        <f>SUMIF(JournalsC!D$14:D$920,TrialBalanceC!M22,JournalsC!J$14:J$920)+SUMIF(JournalsC!E$14:E$920,TrialBalanceC!M22,JournalsC!J$14:J$920)</f>
        <v>0</v>
      </c>
      <c r="H22" s="442"/>
      <c r="I22" s="447">
        <f t="shared" si="0"/>
        <v>0</v>
      </c>
      <c r="J22" s="83"/>
      <c r="K22" s="56">
        <f t="shared" si="1"/>
        <v>0</v>
      </c>
      <c r="M22" s="196" t="str">
        <f t="shared" si="2"/>
        <v>2000/015</v>
      </c>
      <c r="N22" s="78"/>
      <c r="P22" s="79"/>
      <c r="Q22" s="59"/>
      <c r="R22" s="34"/>
    </row>
    <row r="23" spans="1:18" x14ac:dyDescent="0.2">
      <c r="A23" s="393"/>
      <c r="B23" s="62" t="s">
        <v>438</v>
      </c>
      <c r="C23" s="394" t="s">
        <v>439</v>
      </c>
      <c r="D23" s="435"/>
      <c r="E23" s="434"/>
      <c r="F23" s="87"/>
      <c r="G23" s="55">
        <f>SUMIF(JournalsC!D$14:D$920,TrialBalanceC!M23,JournalsC!J$14:J$920)+SUMIF(JournalsC!E$14:E$920,TrialBalanceC!M23,JournalsC!J$14:J$920)</f>
        <v>0</v>
      </c>
      <c r="H23" s="442"/>
      <c r="I23" s="447">
        <f t="shared" si="0"/>
        <v>0</v>
      </c>
      <c r="J23" s="83"/>
      <c r="K23" s="56">
        <f t="shared" si="1"/>
        <v>0</v>
      </c>
      <c r="M23" s="196" t="str">
        <f t="shared" si="2"/>
        <v>2000/050Closing stock - Raw materials</v>
      </c>
      <c r="N23" s="78"/>
      <c r="P23" s="79"/>
      <c r="Q23" s="59"/>
      <c r="R23" s="34"/>
    </row>
    <row r="24" spans="1:18" x14ac:dyDescent="0.2">
      <c r="A24" s="393"/>
      <c r="B24" s="62" t="s">
        <v>440</v>
      </c>
      <c r="C24" s="394" t="s">
        <v>441</v>
      </c>
      <c r="D24" s="435"/>
      <c r="E24" s="434"/>
      <c r="F24" s="87"/>
      <c r="G24" s="55">
        <f>SUMIF(JournalsC!D$14:D$920,TrialBalanceC!M24,JournalsC!J$14:J$920)+SUMIF(JournalsC!E$14:E$920,TrialBalanceC!M24,JournalsC!J$14:J$920)</f>
        <v>0</v>
      </c>
      <c r="H24" s="442"/>
      <c r="I24" s="447">
        <f t="shared" si="0"/>
        <v>0</v>
      </c>
      <c r="J24" s="83"/>
      <c r="K24" s="56">
        <f t="shared" si="1"/>
        <v>0</v>
      </c>
      <c r="M24" s="196" t="str">
        <f t="shared" si="2"/>
        <v>2000/051Closing stock - WIP</v>
      </c>
      <c r="N24" s="78"/>
      <c r="P24" s="79"/>
      <c r="Q24" s="59"/>
      <c r="R24" s="34"/>
    </row>
    <row r="25" spans="1:18" x14ac:dyDescent="0.2">
      <c r="A25" s="393"/>
      <c r="B25" s="62" t="s">
        <v>442</v>
      </c>
      <c r="C25" s="394" t="s">
        <v>443</v>
      </c>
      <c r="D25" s="435"/>
      <c r="E25" s="434"/>
      <c r="F25" s="87"/>
      <c r="G25" s="55">
        <f>SUMIF(JournalsC!D$14:D$920,TrialBalanceC!M25,JournalsC!J$14:J$920)+SUMIF(JournalsC!E$14:E$920,TrialBalanceC!M25,JournalsC!J$14:J$920)</f>
        <v>0</v>
      </c>
      <c r="H25" s="442"/>
      <c r="I25" s="447">
        <f t="shared" si="0"/>
        <v>0</v>
      </c>
      <c r="J25" s="83"/>
      <c r="K25" s="56">
        <f t="shared" si="1"/>
        <v>0</v>
      </c>
      <c r="M25" s="196" t="str">
        <f t="shared" si="2"/>
        <v>2000/052Closing stock - Finished goods</v>
      </c>
      <c r="N25" s="78"/>
      <c r="P25" s="79"/>
      <c r="Q25" s="59"/>
      <c r="R25" s="34"/>
    </row>
    <row r="26" spans="1:18" x14ac:dyDescent="0.2">
      <c r="A26" s="393"/>
      <c r="B26" s="62" t="s">
        <v>444</v>
      </c>
      <c r="C26" s="394" t="s">
        <v>445</v>
      </c>
      <c r="D26" s="435"/>
      <c r="E26" s="434"/>
      <c r="F26" s="87"/>
      <c r="G26" s="55">
        <f>SUMIF(JournalsC!D$14:D$920,TrialBalanceC!M26,JournalsC!J$14:J$920)+SUMIF(JournalsC!E$14:E$920,TrialBalanceC!M26,JournalsC!J$14:J$920)</f>
        <v>0</v>
      </c>
      <c r="H26" s="442"/>
      <c r="I26" s="447">
        <f t="shared" si="0"/>
        <v>0</v>
      </c>
      <c r="J26" s="83"/>
      <c r="K26" s="56">
        <f t="shared" si="1"/>
        <v>0</v>
      </c>
      <c r="M26" s="196" t="str">
        <f t="shared" si="2"/>
        <v>2000/053Closing stock - Trading stock</v>
      </c>
      <c r="N26" s="78"/>
      <c r="P26" s="79"/>
      <c r="Q26" s="59"/>
      <c r="R26" s="34"/>
    </row>
    <row r="27" spans="1:18" x14ac:dyDescent="0.2">
      <c r="A27" s="393"/>
      <c r="B27" s="64" t="s">
        <v>351</v>
      </c>
      <c r="C27" s="399" t="s">
        <v>350</v>
      </c>
      <c r="D27" s="425"/>
      <c r="E27" s="434"/>
      <c r="F27" s="87"/>
      <c r="G27" s="55">
        <f>SUMIF(JournalsC!D$14:D$920,TrialBalanceC!M27,JournalsC!J$14:J$920)+SUMIF(JournalsC!E$14:E$920,TrialBalanceC!M27,JournalsC!J$14:J$920)</f>
        <v>0</v>
      </c>
      <c r="H27" s="442"/>
      <c r="I27" s="447">
        <f t="shared" si="0"/>
        <v>0</v>
      </c>
      <c r="J27" s="83"/>
      <c r="K27" s="56">
        <f t="shared" si="1"/>
        <v>0</v>
      </c>
      <c r="M27" s="196" t="str">
        <f t="shared" si="2"/>
        <v>2050/000OTHER OPERATING INCOME</v>
      </c>
      <c r="N27" s="78"/>
      <c r="P27" s="79"/>
      <c r="Q27" s="59"/>
      <c r="R27" s="34"/>
    </row>
    <row r="28" spans="1:18" x14ac:dyDescent="0.2">
      <c r="A28" s="393"/>
      <c r="B28" s="64" t="s">
        <v>352</v>
      </c>
      <c r="C28" s="395" t="str">
        <f>CONCATENATE("Insurance claims - ",Criteria!H16)</f>
        <v xml:space="preserve">Insurance claims - </v>
      </c>
      <c r="D28" s="434"/>
      <c r="E28" s="434"/>
      <c r="F28" s="87"/>
      <c r="G28" s="55">
        <f>SUMIF(JournalsC!D$14:D$920,TrialBalanceC!M28,JournalsC!J$14:J$920)+SUMIF(JournalsC!E$14:E$920,TrialBalanceC!M28,JournalsC!J$14:J$920)</f>
        <v>0</v>
      </c>
      <c r="H28" s="442"/>
      <c r="I28" s="447">
        <f t="shared" si="0"/>
        <v>0</v>
      </c>
      <c r="J28" s="83"/>
      <c r="K28" s="56">
        <f t="shared" si="1"/>
        <v>0</v>
      </c>
      <c r="M28" s="196" t="str">
        <f t="shared" si="2"/>
        <v xml:space="preserve">2050/001Insurance claims - </v>
      </c>
      <c r="N28" s="78"/>
      <c r="P28" s="79"/>
      <c r="Q28" s="59"/>
      <c r="R28" s="34"/>
    </row>
    <row r="29" spans="1:18" x14ac:dyDescent="0.2">
      <c r="A29" s="393"/>
      <c r="B29" s="64" t="s">
        <v>353</v>
      </c>
      <c r="C29" s="395" t="s">
        <v>1009</v>
      </c>
      <c r="D29" s="427"/>
      <c r="E29" s="434"/>
      <c r="F29" s="87"/>
      <c r="G29" s="55">
        <f>SUMIF(JournalsC!D$14:D$920,TrialBalanceC!M29,JournalsC!J$14:J$920)+SUMIF(JournalsC!E$14:E$920,TrialBalanceC!M29,JournalsC!J$14:J$920)</f>
        <v>0</v>
      </c>
      <c r="H29" s="442"/>
      <c r="I29" s="447">
        <f t="shared" si="0"/>
        <v>0</v>
      </c>
      <c r="J29" s="83"/>
      <c r="K29" s="56">
        <f t="shared" si="1"/>
        <v>0</v>
      </c>
      <c r="M29" s="196" t="str">
        <f t="shared" si="2"/>
        <v>2050/002Government grants received</v>
      </c>
      <c r="N29" s="78"/>
      <c r="P29" s="79"/>
      <c r="Q29" s="59"/>
      <c r="R29" s="34"/>
    </row>
    <row r="30" spans="1:18" x14ac:dyDescent="0.2">
      <c r="A30" s="393"/>
      <c r="B30" s="64" t="s">
        <v>354</v>
      </c>
      <c r="C30" s="430"/>
      <c r="D30" s="427"/>
      <c r="E30" s="434"/>
      <c r="F30" s="87"/>
      <c r="G30" s="55">
        <f>SUMIF(JournalsC!D$14:D$920,TrialBalanceC!M30,JournalsC!J$14:J$920)+SUMIF(JournalsC!E$14:E$920,TrialBalanceC!M30,JournalsC!J$14:J$920)</f>
        <v>0</v>
      </c>
      <c r="H30" s="442"/>
      <c r="I30" s="447">
        <f t="shared" si="0"/>
        <v>0</v>
      </c>
      <c r="J30" s="83"/>
      <c r="K30" s="56">
        <f t="shared" si="1"/>
        <v>0</v>
      </c>
      <c r="M30" s="196" t="str">
        <f t="shared" si="2"/>
        <v>2050/003</v>
      </c>
      <c r="N30" s="78"/>
      <c r="P30" s="79"/>
      <c r="Q30" s="59"/>
      <c r="R30" s="34"/>
    </row>
    <row r="31" spans="1:18" x14ac:dyDescent="0.2">
      <c r="A31" s="393"/>
      <c r="B31" s="64" t="s">
        <v>355</v>
      </c>
      <c r="C31" s="430"/>
      <c r="D31" s="427"/>
      <c r="E31" s="434"/>
      <c r="F31" s="87"/>
      <c r="G31" s="55">
        <f>SUMIF(JournalsC!D$14:D$920,TrialBalanceC!M31,JournalsC!J$14:J$920)+SUMIF(JournalsC!E$14:E$920,TrialBalanceC!M31,JournalsC!J$14:J$920)</f>
        <v>0</v>
      </c>
      <c r="H31" s="442"/>
      <c r="I31" s="447">
        <f t="shared" si="0"/>
        <v>0</v>
      </c>
      <c r="J31" s="83"/>
      <c r="K31" s="56">
        <f t="shared" si="1"/>
        <v>0</v>
      </c>
      <c r="M31" s="196" t="str">
        <f t="shared" si="2"/>
        <v>2050/004</v>
      </c>
      <c r="N31" s="78"/>
      <c r="P31" s="79"/>
      <c r="Q31" s="59"/>
      <c r="R31" s="34"/>
    </row>
    <row r="32" spans="1:18" x14ac:dyDescent="0.2">
      <c r="A32" s="393"/>
      <c r="B32" s="64" t="s">
        <v>356</v>
      </c>
      <c r="C32" s="430"/>
      <c r="D32" s="427"/>
      <c r="E32" s="434"/>
      <c r="F32" s="87"/>
      <c r="G32" s="55">
        <f>SUMIF(JournalsC!D$14:D$920,TrialBalanceC!M32,JournalsC!J$14:J$920)+SUMIF(JournalsC!E$14:E$920,TrialBalanceC!M32,JournalsC!J$14:J$920)</f>
        <v>0</v>
      </c>
      <c r="H32" s="442"/>
      <c r="I32" s="447">
        <f t="shared" si="0"/>
        <v>0</v>
      </c>
      <c r="J32" s="83"/>
      <c r="K32" s="56">
        <f t="shared" si="1"/>
        <v>0</v>
      </c>
      <c r="M32" s="196" t="str">
        <f t="shared" si="2"/>
        <v>2050/005</v>
      </c>
      <c r="N32" s="78"/>
      <c r="P32" s="79"/>
      <c r="Q32" s="59"/>
      <c r="R32" s="34"/>
    </row>
    <row r="33" spans="1:18" x14ac:dyDescent="0.2">
      <c r="A33" s="393"/>
      <c r="B33" s="51" t="s">
        <v>1308</v>
      </c>
      <c r="C33" s="395" t="s">
        <v>1309</v>
      </c>
      <c r="D33" s="427"/>
      <c r="E33" s="434"/>
      <c r="F33" s="87"/>
      <c r="G33" s="55">
        <f>SUMIF(JournalsC!D$14:D$920,TrialBalanceC!M33,JournalsC!J$14:J$920)+SUMIF(JournalsC!E$14:E$920,TrialBalanceC!M33,JournalsC!J$14:J$920)</f>
        <v>0</v>
      </c>
      <c r="H33" s="442"/>
      <c r="I33" s="447">
        <f t="shared" ref="I33" si="6">ROUND(D33-E33+G33+F33,0)</f>
        <v>0</v>
      </c>
      <c r="J33" s="83"/>
      <c r="K33" s="56">
        <f t="shared" ref="K33" si="7">ROUND(SUM(A33),0)</f>
        <v>0</v>
      </c>
      <c r="M33" s="196" t="str">
        <f t="shared" ref="M33" si="8">CONCATENATE(B33,C33)</f>
        <v>2050/006Recoupment of depreciation</v>
      </c>
      <c r="N33" s="78"/>
      <c r="P33" s="79"/>
      <c r="Q33" s="59"/>
      <c r="R33" s="34"/>
    </row>
    <row r="34" spans="1:18" x14ac:dyDescent="0.2">
      <c r="A34" s="393"/>
      <c r="B34" s="51" t="s">
        <v>720</v>
      </c>
      <c r="C34" s="399" t="s">
        <v>719</v>
      </c>
      <c r="D34" s="425"/>
      <c r="E34" s="434"/>
      <c r="F34" s="87"/>
      <c r="G34" s="55">
        <f>SUMIF(JournalsC!D$14:D$920,TrialBalanceC!M34,JournalsC!J$14:J$920)+SUMIF(JournalsC!E$14:E$920,TrialBalanceC!M34,JournalsC!J$14:J$920)</f>
        <v>0</v>
      </c>
      <c r="H34" s="442"/>
      <c r="I34" s="447">
        <f t="shared" si="0"/>
        <v>0</v>
      </c>
      <c r="J34" s="83"/>
      <c r="K34" s="56">
        <f t="shared" si="1"/>
        <v>0</v>
      </c>
      <c r="M34" s="196" t="str">
        <f t="shared" si="2"/>
        <v>2060/000NET (PROFIT)/LOSS OTHER</v>
      </c>
      <c r="N34" s="78"/>
      <c r="P34" s="79"/>
      <c r="Q34" s="59"/>
      <c r="R34" s="34"/>
    </row>
    <row r="35" spans="1:18" x14ac:dyDescent="0.2">
      <c r="A35" s="393"/>
      <c r="B35" s="51" t="s">
        <v>617</v>
      </c>
      <c r="C35" s="395"/>
      <c r="D35" s="434"/>
      <c r="E35" s="434"/>
      <c r="F35" s="87"/>
      <c r="G35" s="55">
        <f>SUMIF(JournalsC!D$14:D$920,TrialBalanceC!M35,JournalsC!J$14:J$920)+SUMIF(JournalsC!E$14:E$920,TrialBalanceC!M35,JournalsC!J$14:J$920)</f>
        <v>0</v>
      </c>
      <c r="H35" s="442"/>
      <c r="I35" s="447">
        <f t="shared" si="0"/>
        <v>0</v>
      </c>
      <c r="J35" s="83"/>
      <c r="K35" s="56">
        <f t="shared" si="1"/>
        <v>0</v>
      </c>
      <c r="M35" s="196" t="str">
        <f t="shared" si="2"/>
        <v>2060/001</v>
      </c>
      <c r="N35" s="78"/>
      <c r="P35" s="79"/>
      <c r="Q35" s="59"/>
      <c r="R35" s="34"/>
    </row>
    <row r="36" spans="1:18" x14ac:dyDescent="0.2">
      <c r="A36" s="393"/>
      <c r="B36" s="51" t="s">
        <v>618</v>
      </c>
      <c r="C36" s="401"/>
      <c r="D36" s="427"/>
      <c r="E36" s="434"/>
      <c r="F36" s="87"/>
      <c r="G36" s="55">
        <f>SUMIF(JournalsC!D$14:D$920,TrialBalanceC!M36,JournalsC!J$14:J$920)+SUMIF(JournalsC!E$14:E$920,TrialBalanceC!M36,JournalsC!J$14:J$920)</f>
        <v>0</v>
      </c>
      <c r="H36" s="442"/>
      <c r="I36" s="447">
        <f t="shared" si="0"/>
        <v>0</v>
      </c>
      <c r="J36" s="83"/>
      <c r="K36" s="56">
        <f t="shared" si="1"/>
        <v>0</v>
      </c>
      <c r="M36" s="196" t="str">
        <f t="shared" si="2"/>
        <v>2060/002</v>
      </c>
      <c r="N36" s="78"/>
      <c r="P36" s="79"/>
      <c r="Q36" s="59"/>
      <c r="R36" s="34"/>
    </row>
    <row r="37" spans="1:18" x14ac:dyDescent="0.2">
      <c r="A37" s="393"/>
      <c r="B37" s="51" t="s">
        <v>619</v>
      </c>
      <c r="C37" s="401"/>
      <c r="D37" s="427"/>
      <c r="E37" s="434"/>
      <c r="F37" s="87"/>
      <c r="G37" s="55">
        <f>SUMIF(JournalsC!D$14:D$920,TrialBalanceC!M37,JournalsC!J$14:J$920)+SUMIF(JournalsC!E$14:E$920,TrialBalanceC!M37,JournalsC!J$14:J$920)</f>
        <v>0</v>
      </c>
      <c r="H37" s="442"/>
      <c r="I37" s="447">
        <f t="shared" si="0"/>
        <v>0</v>
      </c>
      <c r="J37" s="83"/>
      <c r="K37" s="56">
        <f t="shared" si="1"/>
        <v>0</v>
      </c>
      <c r="M37" s="196" t="str">
        <f t="shared" si="2"/>
        <v>2060/003</v>
      </c>
      <c r="N37" s="78"/>
      <c r="P37" s="79"/>
      <c r="Q37" s="59"/>
      <c r="R37" s="34"/>
    </row>
    <row r="38" spans="1:18" x14ac:dyDescent="0.2">
      <c r="A38" s="393"/>
      <c r="B38" s="51" t="s">
        <v>620</v>
      </c>
      <c r="C38" s="401"/>
      <c r="D38" s="427"/>
      <c r="E38" s="434"/>
      <c r="F38" s="87"/>
      <c r="G38" s="55">
        <f>SUMIF(JournalsC!D$14:D$920,TrialBalanceC!M38,JournalsC!J$14:J$920)+SUMIF(JournalsC!E$14:E$920,TrialBalanceC!M38,JournalsC!J$14:J$920)</f>
        <v>0</v>
      </c>
      <c r="H38" s="442"/>
      <c r="I38" s="447">
        <f t="shared" si="0"/>
        <v>0</v>
      </c>
      <c r="J38" s="83"/>
      <c r="K38" s="56">
        <f t="shared" si="1"/>
        <v>0</v>
      </c>
      <c r="M38" s="196" t="str">
        <f t="shared" si="2"/>
        <v>2060/004</v>
      </c>
      <c r="N38" s="78"/>
      <c r="P38" s="79"/>
      <c r="Q38" s="59"/>
      <c r="R38" s="34"/>
    </row>
    <row r="39" spans="1:18" x14ac:dyDescent="0.2">
      <c r="A39" s="393"/>
      <c r="B39" s="62" t="s">
        <v>446</v>
      </c>
      <c r="C39" s="396" t="s">
        <v>1239</v>
      </c>
      <c r="D39" s="436"/>
      <c r="E39" s="434"/>
      <c r="F39" s="87"/>
      <c r="G39" s="55">
        <f>SUMIF(JournalsC!D$14:D$920,TrialBalanceC!M39,JournalsC!J$14:J$920)+SUMIF(JournalsC!E$14:E$920,TrialBalanceC!M39,JournalsC!J$14:J$920)</f>
        <v>0</v>
      </c>
      <c r="H39" s="442"/>
      <c r="I39" s="447">
        <f t="shared" si="0"/>
        <v>0</v>
      </c>
      <c r="J39" s="83"/>
      <c r="K39" s="56">
        <f t="shared" si="1"/>
        <v>0</v>
      </c>
      <c r="M39" s="196" t="str">
        <f t="shared" si="2"/>
        <v>2100/000OPERATING EXPENSES</v>
      </c>
      <c r="N39" s="78"/>
      <c r="P39" s="79"/>
      <c r="Q39" s="59"/>
      <c r="R39" s="34"/>
    </row>
    <row r="40" spans="1:18" x14ac:dyDescent="0.2">
      <c r="A40" s="393"/>
      <c r="B40" s="62" t="s">
        <v>447</v>
      </c>
      <c r="C40" s="394" t="s">
        <v>302</v>
      </c>
      <c r="D40" s="435"/>
      <c r="E40" s="434"/>
      <c r="F40" s="87"/>
      <c r="G40" s="55">
        <f>SUMIF(JournalsC!D$14:D$920,TrialBalanceC!M40,JournalsC!J$14:J$920)+SUMIF(JournalsC!E$14:E$920,TrialBalanceC!M40,JournalsC!J$14:J$920)</f>
        <v>0</v>
      </c>
      <c r="H40" s="442"/>
      <c r="I40" s="447">
        <f t="shared" si="0"/>
        <v>0</v>
      </c>
      <c r="J40" s="83"/>
      <c r="K40" s="56">
        <f t="shared" si="1"/>
        <v>0</v>
      </c>
      <c r="M40" s="196" t="str">
        <f t="shared" si="2"/>
        <v>2100/001Advertising</v>
      </c>
      <c r="N40" s="78"/>
      <c r="P40" s="79"/>
      <c r="Q40" s="59"/>
      <c r="R40" s="34"/>
    </row>
    <row r="41" spans="1:18" x14ac:dyDescent="0.2">
      <c r="A41" s="393"/>
      <c r="B41" s="62" t="s">
        <v>448</v>
      </c>
      <c r="C41" s="397" t="s">
        <v>830</v>
      </c>
      <c r="D41" s="437"/>
      <c r="E41" s="434"/>
      <c r="F41" s="87"/>
      <c r="G41" s="55">
        <f>SUMIF(JournalsC!D$14:D$920,TrialBalanceC!M41,JournalsC!J$14:J$920)+SUMIF(JournalsC!E$14:E$920,TrialBalanceC!M41,JournalsC!J$14:J$920)</f>
        <v>0</v>
      </c>
      <c r="H41" s="442"/>
      <c r="I41" s="447">
        <f t="shared" si="0"/>
        <v>0</v>
      </c>
      <c r="J41" s="83"/>
      <c r="K41" s="56">
        <f t="shared" si="1"/>
        <v>0</v>
      </c>
      <c r="M41" s="196" t="str">
        <f t="shared" si="2"/>
        <v>2100/010Assets less than R7,000</v>
      </c>
      <c r="N41" s="78"/>
      <c r="P41" s="79"/>
      <c r="Q41" s="59"/>
      <c r="R41" s="34"/>
    </row>
    <row r="42" spans="1:18" x14ac:dyDescent="0.2">
      <c r="A42" s="393"/>
      <c r="B42" s="62" t="s">
        <v>449</v>
      </c>
      <c r="C42" s="394" t="s">
        <v>303</v>
      </c>
      <c r="D42" s="435"/>
      <c r="E42" s="434"/>
      <c r="F42" s="87"/>
      <c r="G42" s="55">
        <f>SUMIF(JournalsC!D$14:D$920,TrialBalanceC!M42,JournalsC!J$14:J$920)+SUMIF(JournalsC!E$14:E$920,TrialBalanceC!M42,JournalsC!J$14:J$920)</f>
        <v>0</v>
      </c>
      <c r="H42" s="442"/>
      <c r="I42" s="447">
        <f t="shared" si="0"/>
        <v>0</v>
      </c>
      <c r="J42" s="83"/>
      <c r="K42" s="56">
        <f t="shared" si="1"/>
        <v>0</v>
      </c>
      <c r="M42" s="196" t="str">
        <f t="shared" si="2"/>
        <v>2100/020Consumables</v>
      </c>
      <c r="N42" s="78"/>
      <c r="P42" s="79"/>
      <c r="Q42" s="59"/>
      <c r="R42" s="34"/>
    </row>
    <row r="43" spans="1:18" x14ac:dyDescent="0.2">
      <c r="A43" s="393"/>
      <c r="B43" s="62" t="s">
        <v>450</v>
      </c>
      <c r="C43" s="396" t="s">
        <v>695</v>
      </c>
      <c r="D43" s="436"/>
      <c r="E43" s="434"/>
      <c r="F43" s="87"/>
      <c r="G43" s="55">
        <f>SUMIF(JournalsC!D$14:D$920,TrialBalanceC!M43,JournalsC!J$14:J$920)+SUMIF(JournalsC!E$14:E$920,TrialBalanceC!M43,JournalsC!J$14:J$920)</f>
        <v>0</v>
      </c>
      <c r="H43" s="442"/>
      <c r="I43" s="447">
        <f t="shared" si="0"/>
        <v>0</v>
      </c>
      <c r="J43" s="83"/>
      <c r="K43" s="56">
        <f t="shared" si="1"/>
        <v>0</v>
      </c>
      <c r="M43" s="196" t="str">
        <f t="shared" si="2"/>
        <v>2100/030Depreciation--------------------------------------------------</v>
      </c>
      <c r="N43" s="78"/>
      <c r="P43" s="79"/>
      <c r="Q43" s="59"/>
      <c r="R43" s="34"/>
    </row>
    <row r="44" spans="1:18" x14ac:dyDescent="0.2">
      <c r="A44" s="393"/>
      <c r="B44" s="62" t="s">
        <v>452</v>
      </c>
      <c r="C44" s="397" t="s">
        <v>1366</v>
      </c>
      <c r="D44" s="435"/>
      <c r="E44" s="434"/>
      <c r="F44" s="87"/>
      <c r="G44" s="55">
        <f>SUMIF(JournalsC!D$14:D$920,TrialBalanceC!M44,JournalsC!J$14:J$920)+SUMIF(JournalsC!E$14:E$920,TrialBalanceC!M44,JournalsC!J$14:J$920)</f>
        <v>0</v>
      </c>
      <c r="H44" s="442"/>
      <c r="I44" s="447">
        <f t="shared" si="0"/>
        <v>0</v>
      </c>
      <c r="J44" s="83"/>
      <c r="K44" s="56">
        <f t="shared" si="1"/>
        <v>0</v>
      </c>
      <c r="M44" s="196" t="str">
        <f t="shared" si="2"/>
        <v>2100/031Depr - Property</v>
      </c>
      <c r="N44" s="78"/>
      <c r="P44" s="79"/>
      <c r="Q44" s="59"/>
      <c r="R44" s="34"/>
    </row>
    <row r="45" spans="1:18" x14ac:dyDescent="0.2">
      <c r="A45" s="393"/>
      <c r="B45" s="62" t="s">
        <v>453</v>
      </c>
      <c r="C45" s="397" t="s">
        <v>926</v>
      </c>
      <c r="D45" s="435"/>
      <c r="E45" s="434"/>
      <c r="F45" s="87"/>
      <c r="G45" s="55">
        <f>SUMIF(JournalsC!D$14:D$920,TrialBalanceC!M45,JournalsC!J$14:J$920)+SUMIF(JournalsC!E$14:E$920,TrialBalanceC!M45,JournalsC!J$14:J$920)</f>
        <v>0</v>
      </c>
      <c r="H45" s="442"/>
      <c r="I45" s="447">
        <f t="shared" si="0"/>
        <v>0</v>
      </c>
      <c r="J45" s="83"/>
      <c r="K45" s="56">
        <f t="shared" si="1"/>
        <v>0</v>
      </c>
      <c r="M45" s="196" t="str">
        <f t="shared" si="2"/>
        <v>2100/032Depr - Plant and machinery</v>
      </c>
      <c r="N45" s="78"/>
      <c r="P45" s="79"/>
      <c r="Q45" s="59"/>
      <c r="R45" s="34"/>
    </row>
    <row r="46" spans="1:18" x14ac:dyDescent="0.2">
      <c r="A46" s="393"/>
      <c r="B46" s="62" t="s">
        <v>58</v>
      </c>
      <c r="C46" s="394" t="s">
        <v>59</v>
      </c>
      <c r="D46" s="435"/>
      <c r="E46" s="434"/>
      <c r="F46" s="87"/>
      <c r="G46" s="55">
        <f>SUMIF(JournalsC!D$14:D$920,TrialBalanceC!M46,JournalsC!J$14:J$920)+SUMIF(JournalsC!E$14:E$920,TrialBalanceC!M46,JournalsC!J$14:J$920)</f>
        <v>0</v>
      </c>
      <c r="H46" s="442"/>
      <c r="I46" s="447">
        <f t="shared" si="0"/>
        <v>0</v>
      </c>
      <c r="J46" s="83"/>
      <c r="K46" s="56">
        <f t="shared" si="1"/>
        <v>0</v>
      </c>
      <c r="M46" s="196" t="str">
        <f t="shared" si="2"/>
        <v>2100/033Depr - Motor vehicles</v>
      </c>
      <c r="N46" s="78"/>
      <c r="P46" s="79"/>
      <c r="Q46" s="59"/>
      <c r="R46" s="34"/>
    </row>
    <row r="47" spans="1:18" x14ac:dyDescent="0.2">
      <c r="A47" s="393"/>
      <c r="B47" s="62" t="s">
        <v>61</v>
      </c>
      <c r="C47" s="394" t="s">
        <v>62</v>
      </c>
      <c r="D47" s="435"/>
      <c r="E47" s="434"/>
      <c r="F47" s="87"/>
      <c r="G47" s="55">
        <f>SUMIF(JournalsC!D$14:D$920,TrialBalanceC!M47,JournalsC!J$14:J$920)+SUMIF(JournalsC!E$14:E$920,TrialBalanceC!M47,JournalsC!J$14:J$920)</f>
        <v>0</v>
      </c>
      <c r="H47" s="442"/>
      <c r="I47" s="447">
        <f t="shared" si="0"/>
        <v>0</v>
      </c>
      <c r="J47" s="83"/>
      <c r="K47" s="56">
        <f t="shared" si="1"/>
        <v>0</v>
      </c>
      <c r="M47" s="196" t="str">
        <f t="shared" si="2"/>
        <v>2100/040Discounts allowed</v>
      </c>
      <c r="N47" s="78"/>
      <c r="P47" s="79"/>
      <c r="Q47" s="59"/>
      <c r="R47" s="34"/>
    </row>
    <row r="48" spans="1:18" x14ac:dyDescent="0.2">
      <c r="A48" s="393"/>
      <c r="B48" s="62" t="s">
        <v>63</v>
      </c>
      <c r="C48" s="397" t="s">
        <v>871</v>
      </c>
      <c r="D48" s="435"/>
      <c r="E48" s="434"/>
      <c r="F48" s="87"/>
      <c r="G48" s="55">
        <f>SUMIF(JournalsC!D$14:D$920,TrialBalanceC!M48,JournalsC!J$14:J$920)+SUMIF(JournalsC!E$14:E$920,TrialBalanceC!M48,JournalsC!J$14:J$920)</f>
        <v>0</v>
      </c>
      <c r="H48" s="442"/>
      <c r="I48" s="447">
        <f t="shared" si="0"/>
        <v>0</v>
      </c>
      <c r="J48" s="83"/>
      <c r="K48" s="56">
        <f t="shared" si="1"/>
        <v>0</v>
      </c>
      <c r="M48" s="196" t="str">
        <f t="shared" si="2"/>
        <v>2100/050Electricity and water</v>
      </c>
      <c r="N48" s="78"/>
      <c r="P48" s="79"/>
      <c r="Q48" s="59"/>
      <c r="R48" s="34"/>
    </row>
    <row r="49" spans="1:18" x14ac:dyDescent="0.2">
      <c r="A49" s="393"/>
      <c r="B49" s="62" t="s">
        <v>64</v>
      </c>
      <c r="C49" s="394" t="s">
        <v>69</v>
      </c>
      <c r="D49" s="435"/>
      <c r="E49" s="434"/>
      <c r="F49" s="87"/>
      <c r="G49" s="55">
        <f>SUMIF(JournalsC!D$14:D$920,TrialBalanceC!M49,JournalsC!J$14:J$920)+SUMIF(JournalsC!E$14:E$920,TrialBalanceC!M49,JournalsC!J$14:J$920)</f>
        <v>0</v>
      </c>
      <c r="H49" s="442"/>
      <c r="I49" s="447">
        <f t="shared" si="0"/>
        <v>0</v>
      </c>
      <c r="J49" s="83"/>
      <c r="K49" s="56">
        <f t="shared" si="1"/>
        <v>0</v>
      </c>
      <c r="M49" s="196" t="str">
        <f t="shared" si="2"/>
        <v>2100/055Equipment lease</v>
      </c>
      <c r="N49" s="78"/>
      <c r="P49" s="79"/>
      <c r="Q49" s="59"/>
      <c r="R49" s="34"/>
    </row>
    <row r="50" spans="1:18" x14ac:dyDescent="0.2">
      <c r="A50" s="393"/>
      <c r="B50" s="62" t="s">
        <v>70</v>
      </c>
      <c r="C50" s="394" t="s">
        <v>305</v>
      </c>
      <c r="D50" s="435"/>
      <c r="E50" s="434"/>
      <c r="F50" s="87"/>
      <c r="G50" s="55">
        <f>SUMIF(JournalsC!D$14:D$920,TrialBalanceC!M50,JournalsC!J$14:J$920)+SUMIF(JournalsC!E$14:E$920,TrialBalanceC!M50,JournalsC!J$14:J$920)</f>
        <v>0</v>
      </c>
      <c r="H50" s="442"/>
      <c r="I50" s="447">
        <f t="shared" si="0"/>
        <v>0</v>
      </c>
      <c r="J50" s="83"/>
      <c r="K50" s="56">
        <f t="shared" si="1"/>
        <v>0</v>
      </c>
      <c r="M50" s="196" t="str">
        <f t="shared" si="2"/>
        <v>2100/060Insurance</v>
      </c>
      <c r="N50" s="78"/>
      <c r="P50" s="59"/>
      <c r="Q50" s="59"/>
      <c r="R50" s="34"/>
    </row>
    <row r="51" spans="1:18" x14ac:dyDescent="0.2">
      <c r="A51" s="393"/>
      <c r="B51" s="62" t="s">
        <v>484</v>
      </c>
      <c r="C51" s="394" t="s">
        <v>190</v>
      </c>
      <c r="D51" s="435"/>
      <c r="E51" s="434"/>
      <c r="F51" s="87"/>
      <c r="G51" s="55">
        <f>SUMIF(JournalsC!D$14:D$920,TrialBalanceC!M51,JournalsC!J$14:J$920)+SUMIF(JournalsC!E$14:E$920,TrialBalanceC!M51,JournalsC!J$14:J$920)</f>
        <v>0</v>
      </c>
      <c r="H51" s="442"/>
      <c r="I51" s="447">
        <f t="shared" si="0"/>
        <v>0</v>
      </c>
      <c r="J51" s="83"/>
      <c r="K51" s="56">
        <f t="shared" si="1"/>
        <v>0</v>
      </c>
      <c r="M51" s="196" t="str">
        <f t="shared" si="2"/>
        <v>2100/071Levies - SDL</v>
      </c>
      <c r="N51" s="78"/>
      <c r="P51" s="79"/>
      <c r="Q51" s="59"/>
      <c r="R51" s="34"/>
    </row>
    <row r="52" spans="1:18" x14ac:dyDescent="0.2">
      <c r="A52" s="393"/>
      <c r="B52" s="62" t="s">
        <v>191</v>
      </c>
      <c r="C52" s="394" t="s">
        <v>192</v>
      </c>
      <c r="D52" s="435"/>
      <c r="E52" s="434"/>
      <c r="F52" s="87"/>
      <c r="G52" s="55">
        <f>SUMIF(JournalsC!D$14:D$920,TrialBalanceC!M52,JournalsC!J$14:J$920)+SUMIF(JournalsC!E$14:E$920,TrialBalanceC!M52,JournalsC!J$14:J$920)</f>
        <v>0</v>
      </c>
      <c r="H52" s="442"/>
      <c r="I52" s="447">
        <f t="shared" si="0"/>
        <v>0</v>
      </c>
      <c r="J52" s="83"/>
      <c r="K52" s="56">
        <f t="shared" si="1"/>
        <v>0</v>
      </c>
      <c r="M52" s="196" t="str">
        <f t="shared" si="2"/>
        <v>2100/072Levies - other</v>
      </c>
      <c r="N52" s="78"/>
      <c r="P52" s="79"/>
      <c r="Q52" s="59"/>
      <c r="R52" s="34"/>
    </row>
    <row r="53" spans="1:18" x14ac:dyDescent="0.2">
      <c r="A53" s="393"/>
      <c r="B53" s="62" t="s">
        <v>193</v>
      </c>
      <c r="C53" s="401" t="s">
        <v>387</v>
      </c>
      <c r="D53" s="427"/>
      <c r="E53" s="434"/>
      <c r="F53" s="87"/>
      <c r="G53" s="55">
        <f>SUMIF(JournalsC!D$14:D$920,TrialBalanceC!M53,JournalsC!J$14:J$920)+SUMIF(JournalsC!E$14:E$920,TrialBalanceC!M53,JournalsC!J$14:J$920)</f>
        <v>0</v>
      </c>
      <c r="H53" s="442"/>
      <c r="I53" s="447">
        <f t="shared" si="0"/>
        <v>0</v>
      </c>
      <c r="J53" s="83"/>
      <c r="K53" s="56">
        <f t="shared" si="1"/>
        <v>0</v>
      </c>
      <c r="M53" s="196" t="str">
        <f t="shared" si="2"/>
        <v>2100/080Trade licenses</v>
      </c>
      <c r="N53" s="78"/>
      <c r="P53" s="79"/>
      <c r="Q53" s="59"/>
      <c r="R53" s="34"/>
    </row>
    <row r="54" spans="1:18" x14ac:dyDescent="0.2">
      <c r="A54" s="393"/>
      <c r="B54" s="62" t="s">
        <v>194</v>
      </c>
      <c r="C54" s="396" t="s">
        <v>730</v>
      </c>
      <c r="D54" s="436"/>
      <c r="E54" s="434"/>
      <c r="F54" s="87"/>
      <c r="G54" s="55">
        <f>SUMIF(JournalsC!D$14:D$920,TrialBalanceC!M54,JournalsC!J$14:J$920)+SUMIF(JournalsC!E$14:E$920,TrialBalanceC!M54,JournalsC!J$14:J$920)</f>
        <v>0</v>
      </c>
      <c r="H54" s="442"/>
      <c r="I54" s="447">
        <f t="shared" si="0"/>
        <v>0</v>
      </c>
      <c r="J54" s="83"/>
      <c r="K54" s="56">
        <f t="shared" si="1"/>
        <v>0</v>
      </c>
      <c r="M54" s="196" t="str">
        <f t="shared" si="2"/>
        <v>2100/090Motor vehicle expenses----------------------------------</v>
      </c>
      <c r="N54" s="78"/>
      <c r="P54" s="79"/>
      <c r="Q54" s="59"/>
      <c r="R54" s="34"/>
    </row>
    <row r="55" spans="1:18" x14ac:dyDescent="0.2">
      <c r="A55" s="393"/>
      <c r="B55" s="62" t="s">
        <v>196</v>
      </c>
      <c r="C55" s="394" t="s">
        <v>197</v>
      </c>
      <c r="D55" s="435"/>
      <c r="E55" s="434"/>
      <c r="F55" s="87"/>
      <c r="G55" s="55">
        <f>SUMIF(JournalsC!D$14:D$920,TrialBalanceC!M55,JournalsC!J$14:J$920)+SUMIF(JournalsC!E$14:E$920,TrialBalanceC!M55,JournalsC!J$14:J$920)</f>
        <v>0</v>
      </c>
      <c r="H55" s="442"/>
      <c r="I55" s="447">
        <f t="shared" si="0"/>
        <v>0</v>
      </c>
      <c r="J55" s="83"/>
      <c r="K55" s="56">
        <f t="shared" si="1"/>
        <v>0</v>
      </c>
      <c r="M55" s="196" t="str">
        <f t="shared" si="2"/>
        <v>2100/091Motor vehicle expenses - Petrol and oil</v>
      </c>
      <c r="N55" s="78"/>
      <c r="P55" s="79"/>
      <c r="Q55" s="59"/>
      <c r="R55" s="34"/>
    </row>
    <row r="56" spans="1:18" x14ac:dyDescent="0.2">
      <c r="A56" s="393"/>
      <c r="B56" s="62" t="s">
        <v>198</v>
      </c>
      <c r="C56" s="394" t="s">
        <v>199</v>
      </c>
      <c r="D56" s="435"/>
      <c r="E56" s="434"/>
      <c r="F56" s="87"/>
      <c r="G56" s="55">
        <f>SUMIF(JournalsC!D$14:D$920,TrialBalanceC!M56,JournalsC!J$14:J$920)+SUMIF(JournalsC!E$14:E$920,TrialBalanceC!M56,JournalsC!J$14:J$920)</f>
        <v>0</v>
      </c>
      <c r="H56" s="442"/>
      <c r="I56" s="447">
        <f t="shared" si="0"/>
        <v>0</v>
      </c>
      <c r="J56" s="83"/>
      <c r="K56" s="56">
        <f t="shared" si="1"/>
        <v>0</v>
      </c>
      <c r="M56" s="196" t="str">
        <f t="shared" si="2"/>
        <v>2100/092Motor vehicle expenses - R&amp;M</v>
      </c>
      <c r="N56" s="78"/>
      <c r="P56" s="79"/>
      <c r="Q56" s="59"/>
      <c r="R56" s="34"/>
    </row>
    <row r="57" spans="1:18" x14ac:dyDescent="0.2">
      <c r="A57" s="393"/>
      <c r="B57" s="62" t="s">
        <v>200</v>
      </c>
      <c r="C57" s="394" t="s">
        <v>201</v>
      </c>
      <c r="D57" s="435"/>
      <c r="E57" s="434"/>
      <c r="F57" s="87"/>
      <c r="G57" s="55">
        <f>SUMIF(JournalsC!D$14:D$920,TrialBalanceC!M57,JournalsC!J$14:J$920)+SUMIF(JournalsC!E$14:E$920,TrialBalanceC!M57,JournalsC!J$14:J$920)</f>
        <v>0</v>
      </c>
      <c r="H57" s="442"/>
      <c r="I57" s="447">
        <f t="shared" si="0"/>
        <v>0</v>
      </c>
      <c r="J57" s="83"/>
      <c r="K57" s="56">
        <f t="shared" si="1"/>
        <v>0</v>
      </c>
      <c r="M57" s="196" t="str">
        <f t="shared" si="2"/>
        <v>2100/093Motor vehicle expenses - Insurance</v>
      </c>
      <c r="N57" s="78"/>
      <c r="P57" s="79"/>
      <c r="Q57" s="59"/>
      <c r="R57" s="34"/>
    </row>
    <row r="58" spans="1:18" x14ac:dyDescent="0.2">
      <c r="A58" s="393"/>
      <c r="B58" s="62" t="s">
        <v>202</v>
      </c>
      <c r="C58" s="395" t="s">
        <v>927</v>
      </c>
      <c r="D58" s="427"/>
      <c r="E58" s="434"/>
      <c r="F58" s="87"/>
      <c r="G58" s="55">
        <f>SUMIF(JournalsC!D$14:D$920,TrialBalanceC!M58,JournalsC!J$14:J$920)+SUMIF(JournalsC!E$14:E$920,TrialBalanceC!M58,JournalsC!J$14:J$920)</f>
        <v>0</v>
      </c>
      <c r="H58" s="442"/>
      <c r="I58" s="447">
        <f t="shared" si="0"/>
        <v>0</v>
      </c>
      <c r="J58" s="83"/>
      <c r="K58" s="56">
        <f t="shared" si="1"/>
        <v>0</v>
      </c>
      <c r="M58" s="196" t="str">
        <f t="shared" si="2"/>
        <v>2100/094Motor vehicle expenses - Licenses</v>
      </c>
      <c r="N58" s="78"/>
      <c r="P58" s="79"/>
      <c r="Q58" s="59"/>
      <c r="R58" s="34"/>
    </row>
    <row r="59" spans="1:18" x14ac:dyDescent="0.2">
      <c r="A59" s="393"/>
      <c r="B59" s="62" t="s">
        <v>203</v>
      </c>
      <c r="C59" s="397" t="s">
        <v>928</v>
      </c>
      <c r="D59" s="435"/>
      <c r="E59" s="434"/>
      <c r="F59" s="87"/>
      <c r="G59" s="55">
        <f>SUMIF(JournalsC!D$14:D$920,TrialBalanceC!M59,JournalsC!J$14:J$920)+SUMIF(JournalsC!E$14:E$920,TrialBalanceC!M59,JournalsC!J$14:J$920)</f>
        <v>0</v>
      </c>
      <c r="H59" s="442"/>
      <c r="I59" s="447">
        <f t="shared" si="0"/>
        <v>0</v>
      </c>
      <c r="J59" s="83"/>
      <c r="K59" s="56">
        <f t="shared" si="1"/>
        <v>0</v>
      </c>
      <c r="M59" s="196" t="str">
        <f t="shared" si="2"/>
        <v>2100/095Motor vehicle expenses - General</v>
      </c>
      <c r="N59" s="78"/>
      <c r="P59" s="79"/>
      <c r="Q59" s="59"/>
      <c r="R59" s="34"/>
    </row>
    <row r="60" spans="1:18" x14ac:dyDescent="0.2">
      <c r="A60" s="393"/>
      <c r="B60" s="62" t="s">
        <v>204</v>
      </c>
      <c r="C60" s="396" t="s">
        <v>205</v>
      </c>
      <c r="D60" s="436"/>
      <c r="E60" s="434"/>
      <c r="F60" s="87"/>
      <c r="G60" s="55">
        <f>SUMIF(JournalsC!D$14:D$920,TrialBalanceC!M60,JournalsC!J$14:J$920)+SUMIF(JournalsC!E$14:E$920,TrialBalanceC!M60,JournalsC!J$14:J$920)</f>
        <v>0</v>
      </c>
      <c r="H60" s="442"/>
      <c r="I60" s="447">
        <f t="shared" si="0"/>
        <v>0</v>
      </c>
      <c r="J60" s="83"/>
      <c r="K60" s="56">
        <f t="shared" si="1"/>
        <v>0</v>
      </c>
      <c r="M60" s="196" t="str">
        <f t="shared" si="2"/>
        <v>2100/100Rent paid-------------------------------</v>
      </c>
      <c r="N60" s="78"/>
      <c r="P60" s="79"/>
      <c r="Q60" s="59"/>
      <c r="R60" s="34"/>
    </row>
    <row r="61" spans="1:18" x14ac:dyDescent="0.2">
      <c r="A61" s="393"/>
      <c r="B61" s="62" t="s">
        <v>206</v>
      </c>
      <c r="C61" s="430"/>
      <c r="D61" s="434"/>
      <c r="E61" s="434"/>
      <c r="F61" s="87"/>
      <c r="G61" s="55">
        <f>SUMIF(JournalsC!D$14:D$920,TrialBalanceC!M61,JournalsC!J$14:J$920)+SUMIF(JournalsC!E$14:E$920,TrialBalanceC!M61,JournalsC!J$14:J$920)</f>
        <v>0</v>
      </c>
      <c r="H61" s="442"/>
      <c r="I61" s="447">
        <f t="shared" si="0"/>
        <v>0</v>
      </c>
      <c r="J61" s="83"/>
      <c r="K61" s="56">
        <f t="shared" si="1"/>
        <v>0</v>
      </c>
      <c r="M61" s="196" t="str">
        <f t="shared" si="2"/>
        <v>2100/101</v>
      </c>
      <c r="N61" s="78"/>
      <c r="P61" s="79"/>
      <c r="Q61" s="59"/>
      <c r="R61" s="34"/>
    </row>
    <row r="62" spans="1:18" x14ac:dyDescent="0.2">
      <c r="A62" s="393"/>
      <c r="B62" s="62" t="s">
        <v>207</v>
      </c>
      <c r="C62" s="430"/>
      <c r="D62" s="427"/>
      <c r="E62" s="434"/>
      <c r="F62" s="87"/>
      <c r="G62" s="55">
        <f>SUMIF(JournalsC!D$14:D$920,TrialBalanceC!M62,JournalsC!J$14:J$920)+SUMIF(JournalsC!E$14:E$920,TrialBalanceC!M62,JournalsC!J$14:J$920)</f>
        <v>0</v>
      </c>
      <c r="H62" s="442"/>
      <c r="I62" s="447">
        <f t="shared" si="0"/>
        <v>0</v>
      </c>
      <c r="J62" s="83"/>
      <c r="K62" s="56">
        <f t="shared" si="1"/>
        <v>0</v>
      </c>
      <c r="M62" s="196" t="str">
        <f t="shared" si="2"/>
        <v>2100/102</v>
      </c>
      <c r="N62" s="78"/>
      <c r="P62" s="79"/>
      <c r="Q62" s="59"/>
      <c r="R62" s="34"/>
    </row>
    <row r="63" spans="1:18" x14ac:dyDescent="0.2">
      <c r="A63" s="393"/>
      <c r="B63" s="62" t="s">
        <v>208</v>
      </c>
      <c r="C63" s="430"/>
      <c r="D63" s="427"/>
      <c r="E63" s="434"/>
      <c r="F63" s="87"/>
      <c r="G63" s="55">
        <f>SUMIF(JournalsC!D$14:D$920,TrialBalanceC!M63,JournalsC!J$14:J$920)+SUMIF(JournalsC!E$14:E$920,TrialBalanceC!M63,JournalsC!J$14:J$920)</f>
        <v>0</v>
      </c>
      <c r="H63" s="442"/>
      <c r="I63" s="447">
        <f t="shared" si="0"/>
        <v>0</v>
      </c>
      <c r="J63" s="83"/>
      <c r="K63" s="56">
        <f t="shared" si="1"/>
        <v>0</v>
      </c>
      <c r="M63" s="196" t="str">
        <f t="shared" si="2"/>
        <v>2100/103</v>
      </c>
      <c r="N63" s="78"/>
      <c r="P63" s="79"/>
      <c r="Q63" s="59"/>
      <c r="R63" s="34"/>
    </row>
    <row r="64" spans="1:18" x14ac:dyDescent="0.2">
      <c r="A64" s="393"/>
      <c r="B64" s="62" t="s">
        <v>209</v>
      </c>
      <c r="C64" s="394" t="s">
        <v>77</v>
      </c>
      <c r="D64" s="435"/>
      <c r="E64" s="434"/>
      <c r="F64" s="87"/>
      <c r="G64" s="55">
        <f>SUMIF(JournalsC!D$14:D$920,TrialBalanceC!M64,JournalsC!J$14:J$920)+SUMIF(JournalsC!E$14:E$920,TrialBalanceC!M64,JournalsC!J$14:J$920)</f>
        <v>0</v>
      </c>
      <c r="H64" s="442"/>
      <c r="I64" s="447">
        <f t="shared" si="0"/>
        <v>0</v>
      </c>
      <c r="J64" s="83"/>
      <c r="K64" s="56">
        <f t="shared" si="1"/>
        <v>0</v>
      </c>
      <c r="M64" s="196" t="str">
        <f t="shared" si="2"/>
        <v>2100/110Repairs and maintenance</v>
      </c>
      <c r="N64" s="78"/>
      <c r="P64" s="79"/>
      <c r="Q64" s="59"/>
      <c r="R64" s="34"/>
    </row>
    <row r="65" spans="1:18" x14ac:dyDescent="0.2">
      <c r="A65" s="393"/>
      <c r="B65" s="113" t="s">
        <v>1755</v>
      </c>
      <c r="C65" s="397" t="s">
        <v>1756</v>
      </c>
      <c r="D65" s="435"/>
      <c r="E65" s="434"/>
      <c r="F65" s="87"/>
      <c r="G65" s="55">
        <f>SUMIF(JournalsC!D$14:D$920,TrialBalanceC!M65,JournalsC!J$14:J$920)+SUMIF(JournalsC!E$14:E$920,TrialBalanceC!M65,JournalsC!J$14:J$920)</f>
        <v>0</v>
      </c>
      <c r="H65" s="442"/>
      <c r="I65" s="447">
        <f t="shared" ref="I65" si="9">ROUND(D65-E65+G65+F65,0)</f>
        <v>0</v>
      </c>
      <c r="J65" s="83"/>
      <c r="K65" s="56">
        <f t="shared" ref="K65" si="10">ROUND(SUM(A65),0)</f>
        <v>0</v>
      </c>
      <c r="M65" s="196" t="str">
        <f t="shared" ref="M65" si="11">CONCATENATE(B65,C65)</f>
        <v>2100/115Research and development cost</v>
      </c>
      <c r="N65" s="78"/>
      <c r="P65" s="79"/>
      <c r="Q65" s="59"/>
      <c r="R65" s="34"/>
    </row>
    <row r="66" spans="1:18" x14ac:dyDescent="0.2">
      <c r="A66" s="393"/>
      <c r="B66" s="62" t="s">
        <v>78</v>
      </c>
      <c r="C66" s="394" t="s">
        <v>79</v>
      </c>
      <c r="D66" s="435"/>
      <c r="E66" s="434"/>
      <c r="F66" s="87"/>
      <c r="G66" s="55">
        <f>SUMIF(JournalsC!D$14:D$920,TrialBalanceC!M66,JournalsC!J$14:J$920)+SUMIF(JournalsC!E$14:E$920,TrialBalanceC!M66,JournalsC!J$14:J$920)</f>
        <v>0</v>
      </c>
      <c r="H66" s="442"/>
      <c r="I66" s="447">
        <f t="shared" si="0"/>
        <v>0</v>
      </c>
      <c r="J66" s="83"/>
      <c r="K66" s="56">
        <f t="shared" si="1"/>
        <v>0</v>
      </c>
      <c r="M66" s="196" t="str">
        <f t="shared" si="2"/>
        <v>2100/120Salaries</v>
      </c>
      <c r="N66" s="78"/>
      <c r="P66" s="79"/>
      <c r="Q66" s="59"/>
      <c r="R66" s="34"/>
    </row>
    <row r="67" spans="1:18" x14ac:dyDescent="0.2">
      <c r="A67" s="393"/>
      <c r="B67" s="62" t="s">
        <v>80</v>
      </c>
      <c r="C67" s="394" t="s">
        <v>81</v>
      </c>
      <c r="D67" s="435"/>
      <c r="E67" s="434"/>
      <c r="F67" s="87"/>
      <c r="G67" s="55">
        <f>SUMIF(JournalsC!D$14:D$920,TrialBalanceC!M67,JournalsC!J$14:J$920)+SUMIF(JournalsC!E$14:E$920,TrialBalanceC!M67,JournalsC!J$14:J$920)</f>
        <v>0</v>
      </c>
      <c r="H67" s="442"/>
      <c r="I67" s="447">
        <f t="shared" si="0"/>
        <v>0</v>
      </c>
      <c r="J67" s="83"/>
      <c r="K67" s="56">
        <f t="shared" si="1"/>
        <v>0</v>
      </c>
      <c r="M67" s="196" t="str">
        <f t="shared" si="2"/>
        <v>2100/121UIF - Employer</v>
      </c>
      <c r="N67" s="78"/>
      <c r="P67" s="79"/>
      <c r="Q67" s="59"/>
      <c r="R67" s="34"/>
    </row>
    <row r="68" spans="1:18" x14ac:dyDescent="0.2">
      <c r="A68" s="393"/>
      <c r="B68" s="62" t="s">
        <v>82</v>
      </c>
      <c r="C68" s="394" t="s">
        <v>83</v>
      </c>
      <c r="D68" s="435"/>
      <c r="E68" s="434"/>
      <c r="F68" s="87"/>
      <c r="G68" s="55">
        <f>SUMIF(JournalsC!D$14:D$920,TrialBalanceC!M68,JournalsC!J$14:J$920)+SUMIF(JournalsC!E$14:E$920,TrialBalanceC!M68,JournalsC!J$14:J$920)</f>
        <v>0</v>
      </c>
      <c r="H68" s="442"/>
      <c r="I68" s="447">
        <f t="shared" si="0"/>
        <v>0</v>
      </c>
      <c r="J68" s="83"/>
      <c r="K68" s="56">
        <f t="shared" si="1"/>
        <v>0</v>
      </c>
      <c r="M68" s="196" t="str">
        <f t="shared" si="2"/>
        <v>2100/122Casual wages</v>
      </c>
      <c r="N68" s="78"/>
      <c r="P68" s="79"/>
      <c r="Q68" s="59"/>
      <c r="R68" s="34"/>
    </row>
    <row r="69" spans="1:18" x14ac:dyDescent="0.2">
      <c r="A69" s="393"/>
      <c r="B69" s="62" t="s">
        <v>84</v>
      </c>
      <c r="C69" s="394" t="s">
        <v>85</v>
      </c>
      <c r="D69" s="435"/>
      <c r="E69" s="434"/>
      <c r="F69" s="87"/>
      <c r="G69" s="55">
        <f>SUMIF(JournalsC!D$14:D$920,TrialBalanceC!M69,JournalsC!J$14:J$920)+SUMIF(JournalsC!E$14:E$920,TrialBalanceC!M69,JournalsC!J$14:J$920)</f>
        <v>0</v>
      </c>
      <c r="H69" s="442"/>
      <c r="I69" s="447">
        <f t="shared" si="0"/>
        <v>0</v>
      </c>
      <c r="J69" s="83"/>
      <c r="K69" s="56">
        <f t="shared" si="1"/>
        <v>0</v>
      </c>
      <c r="M69" s="196" t="str">
        <f t="shared" si="2"/>
        <v>2100/130Telephone</v>
      </c>
      <c r="N69" s="78"/>
      <c r="P69" s="79"/>
      <c r="Q69" s="59"/>
      <c r="R69" s="34"/>
    </row>
    <row r="70" spans="1:18" x14ac:dyDescent="0.2">
      <c r="A70" s="393"/>
      <c r="B70" s="62" t="s">
        <v>86</v>
      </c>
      <c r="C70" s="394" t="s">
        <v>519</v>
      </c>
      <c r="D70" s="435"/>
      <c r="E70" s="434"/>
      <c r="F70" s="87"/>
      <c r="G70" s="55">
        <f>SUMIF(JournalsC!D$14:D$920,TrialBalanceC!M70,JournalsC!J$14:J$920)+SUMIF(JournalsC!E$14:E$920,TrialBalanceC!M70,JournalsC!J$14:J$920)</f>
        <v>0</v>
      </c>
      <c r="H70" s="442"/>
      <c r="I70" s="447">
        <f t="shared" si="0"/>
        <v>0</v>
      </c>
      <c r="J70" s="83"/>
      <c r="K70" s="56">
        <f t="shared" si="1"/>
        <v>0</v>
      </c>
      <c r="M70" s="196" t="str">
        <f t="shared" si="2"/>
        <v>2100/135Postage and courier</v>
      </c>
      <c r="N70" s="78"/>
      <c r="P70" s="79"/>
      <c r="Q70" s="59"/>
      <c r="R70" s="34"/>
    </row>
    <row r="71" spans="1:18" x14ac:dyDescent="0.2">
      <c r="A71" s="393"/>
      <c r="B71" s="62" t="s">
        <v>87</v>
      </c>
      <c r="C71" s="394" t="s">
        <v>287</v>
      </c>
      <c r="D71" s="435"/>
      <c r="E71" s="434"/>
      <c r="F71" s="87"/>
      <c r="G71" s="55">
        <f>SUMIF(JournalsC!D$14:D$920,TrialBalanceC!M71,JournalsC!J$14:J$920)+SUMIF(JournalsC!E$14:E$920,TrialBalanceC!M71,JournalsC!J$14:J$920)</f>
        <v>0</v>
      </c>
      <c r="H71" s="442"/>
      <c r="I71" s="447">
        <f t="shared" si="0"/>
        <v>0</v>
      </c>
      <c r="J71" s="83"/>
      <c r="K71" s="56">
        <f t="shared" si="1"/>
        <v>0</v>
      </c>
      <c r="M71" s="196" t="str">
        <f t="shared" si="2"/>
        <v>2100/140Training</v>
      </c>
      <c r="N71" s="78"/>
      <c r="P71" s="79"/>
      <c r="Q71" s="59"/>
      <c r="R71" s="34"/>
    </row>
    <row r="72" spans="1:18" x14ac:dyDescent="0.2">
      <c r="A72" s="393"/>
      <c r="B72" s="62" t="s">
        <v>88</v>
      </c>
      <c r="C72" s="395" t="s">
        <v>976</v>
      </c>
      <c r="D72" s="427"/>
      <c r="E72" s="434"/>
      <c r="F72" s="87"/>
      <c r="G72" s="55">
        <f>SUMIF(JournalsC!D$14:D$920,TrialBalanceC!M72,JournalsC!J$14:J$920)+SUMIF(JournalsC!E$14:E$920,TrialBalanceC!M72,JournalsC!J$14:J$920)</f>
        <v>0</v>
      </c>
      <c r="H72" s="442"/>
      <c r="I72" s="447">
        <f t="shared" si="0"/>
        <v>0</v>
      </c>
      <c r="J72" s="83"/>
      <c r="K72" s="56">
        <f t="shared" si="1"/>
        <v>0</v>
      </c>
      <c r="M72" s="196" t="str">
        <f t="shared" si="2"/>
        <v>2100/150Traveling and accommodation</v>
      </c>
      <c r="N72" s="78"/>
      <c r="P72" s="79"/>
      <c r="Q72" s="59"/>
      <c r="R72" s="34"/>
    </row>
    <row r="73" spans="1:18" x14ac:dyDescent="0.2">
      <c r="A73" s="393"/>
      <c r="B73" s="113" t="s">
        <v>674</v>
      </c>
      <c r="C73" s="429"/>
      <c r="D73" s="434"/>
      <c r="E73" s="434"/>
      <c r="F73" s="87"/>
      <c r="G73" s="55">
        <f>SUMIF(JournalsC!D$14:D$920,TrialBalanceC!M73,JournalsC!J$14:J$920)+SUMIF(JournalsC!E$14:E$920,TrialBalanceC!M73,JournalsC!J$14:J$920)</f>
        <v>0</v>
      </c>
      <c r="H73" s="442"/>
      <c r="I73" s="447">
        <f t="shared" si="0"/>
        <v>0</v>
      </c>
      <c r="J73" s="83"/>
      <c r="K73" s="56">
        <f t="shared" si="1"/>
        <v>0</v>
      </c>
      <c r="M73" s="196" t="str">
        <f t="shared" si="2"/>
        <v>2150/001</v>
      </c>
      <c r="N73" s="78"/>
      <c r="P73" s="79"/>
      <c r="Q73" s="59"/>
      <c r="R73" s="34"/>
    </row>
    <row r="74" spans="1:18" x14ac:dyDescent="0.2">
      <c r="A74" s="393"/>
      <c r="B74" s="113" t="s">
        <v>675</v>
      </c>
      <c r="C74" s="429"/>
      <c r="D74" s="434"/>
      <c r="E74" s="434"/>
      <c r="F74" s="87"/>
      <c r="G74" s="55">
        <f>SUMIF(JournalsC!D$14:D$920,TrialBalanceC!M74,JournalsC!J$14:J$920)+SUMIF(JournalsC!E$14:E$920,TrialBalanceC!M74,JournalsC!J$14:J$920)</f>
        <v>0</v>
      </c>
      <c r="H74" s="442"/>
      <c r="I74" s="447">
        <f t="shared" ref="I74:I102" si="12">ROUND(D74-E74+G74+F74,0)</f>
        <v>0</v>
      </c>
      <c r="J74" s="83"/>
      <c r="K74" s="56">
        <f t="shared" ref="K74:K138" si="13">ROUND(SUM(A74),0)</f>
        <v>0</v>
      </c>
      <c r="M74" s="196" t="str">
        <f t="shared" ref="M74:M138" si="14">CONCATENATE(B74,C74)</f>
        <v>2150/002</v>
      </c>
      <c r="N74" s="78"/>
      <c r="P74" s="79"/>
      <c r="Q74" s="59"/>
      <c r="R74" s="34"/>
    </row>
    <row r="75" spans="1:18" x14ac:dyDescent="0.2">
      <c r="A75" s="393"/>
      <c r="B75" s="113" t="s">
        <v>676</v>
      </c>
      <c r="C75" s="429"/>
      <c r="D75" s="434"/>
      <c r="E75" s="434"/>
      <c r="F75" s="87"/>
      <c r="G75" s="55">
        <f>SUMIF(JournalsC!D$14:D$920,TrialBalanceC!M75,JournalsC!J$14:J$920)+SUMIF(JournalsC!E$14:E$920,TrialBalanceC!M75,JournalsC!J$14:J$920)</f>
        <v>0</v>
      </c>
      <c r="H75" s="442"/>
      <c r="I75" s="447">
        <f t="shared" si="12"/>
        <v>0</v>
      </c>
      <c r="J75" s="83"/>
      <c r="K75" s="56">
        <f t="shared" si="13"/>
        <v>0</v>
      </c>
      <c r="M75" s="196" t="str">
        <f t="shared" si="14"/>
        <v>2150/003</v>
      </c>
      <c r="N75" s="78"/>
      <c r="P75" s="79"/>
      <c r="Q75" s="59"/>
      <c r="R75" s="34"/>
    </row>
    <row r="76" spans="1:18" x14ac:dyDescent="0.2">
      <c r="A76" s="393"/>
      <c r="B76" s="113" t="s">
        <v>677</v>
      </c>
      <c r="C76" s="429"/>
      <c r="D76" s="434"/>
      <c r="E76" s="434"/>
      <c r="F76" s="87"/>
      <c r="G76" s="55">
        <f>SUMIF(JournalsC!D$14:D$920,TrialBalanceC!M76,JournalsC!J$14:J$920)+SUMIF(JournalsC!E$14:E$920,TrialBalanceC!M76,JournalsC!J$14:J$920)</f>
        <v>0</v>
      </c>
      <c r="H76" s="442"/>
      <c r="I76" s="447">
        <f t="shared" si="12"/>
        <v>0</v>
      </c>
      <c r="J76" s="83"/>
      <c r="K76" s="56">
        <f t="shared" si="13"/>
        <v>0</v>
      </c>
      <c r="M76" s="196" t="str">
        <f t="shared" si="14"/>
        <v>2150/004</v>
      </c>
      <c r="N76" s="78"/>
      <c r="P76" s="79"/>
      <c r="Q76" s="59"/>
      <c r="R76" s="34"/>
    </row>
    <row r="77" spans="1:18" x14ac:dyDescent="0.2">
      <c r="A77" s="393"/>
      <c r="B77" s="113" t="s">
        <v>678</v>
      </c>
      <c r="C77" s="429"/>
      <c r="D77" s="434"/>
      <c r="E77" s="434"/>
      <c r="F77" s="87"/>
      <c r="G77" s="55">
        <f>SUMIF(JournalsC!D$14:D$920,TrialBalanceC!M77,JournalsC!J$14:J$920)+SUMIF(JournalsC!E$14:E$920,TrialBalanceC!M77,JournalsC!J$14:J$920)</f>
        <v>0</v>
      </c>
      <c r="H77" s="442"/>
      <c r="I77" s="447">
        <f t="shared" si="12"/>
        <v>0</v>
      </c>
      <c r="J77" s="83"/>
      <c r="K77" s="56">
        <f t="shared" si="13"/>
        <v>0</v>
      </c>
      <c r="M77" s="196" t="str">
        <f t="shared" si="14"/>
        <v>2150/005</v>
      </c>
      <c r="N77" s="78"/>
      <c r="P77" s="79"/>
      <c r="Q77" s="59"/>
      <c r="R77" s="34"/>
    </row>
    <row r="78" spans="1:18" x14ac:dyDescent="0.2">
      <c r="A78" s="393"/>
      <c r="B78" s="113" t="s">
        <v>679</v>
      </c>
      <c r="C78" s="429"/>
      <c r="D78" s="434"/>
      <c r="E78" s="434"/>
      <c r="F78" s="87"/>
      <c r="G78" s="55">
        <f>SUMIF(JournalsC!D$14:D$920,TrialBalanceC!M78,JournalsC!J$14:J$920)+SUMIF(JournalsC!E$14:E$920,TrialBalanceC!M78,JournalsC!J$14:J$920)</f>
        <v>0</v>
      </c>
      <c r="H78" s="442"/>
      <c r="I78" s="447">
        <f t="shared" si="12"/>
        <v>0</v>
      </c>
      <c r="J78" s="83"/>
      <c r="K78" s="56">
        <f t="shared" si="13"/>
        <v>0</v>
      </c>
      <c r="M78" s="196" t="str">
        <f t="shared" si="14"/>
        <v>2150/006</v>
      </c>
      <c r="N78" s="78"/>
      <c r="P78" s="79"/>
      <c r="Q78" s="59"/>
      <c r="R78" s="34"/>
    </row>
    <row r="79" spans="1:18" x14ac:dyDescent="0.2">
      <c r="A79" s="393"/>
      <c r="B79" s="113" t="s">
        <v>680</v>
      </c>
      <c r="C79" s="431"/>
      <c r="D79" s="439"/>
      <c r="E79" s="434"/>
      <c r="F79" s="87"/>
      <c r="G79" s="55">
        <f>SUMIF(JournalsC!D$14:D$920,TrialBalanceC!M79,JournalsC!J$14:J$920)+SUMIF(JournalsC!E$14:E$920,TrialBalanceC!M79,JournalsC!J$14:J$920)</f>
        <v>0</v>
      </c>
      <c r="H79" s="442"/>
      <c r="I79" s="447">
        <f t="shared" si="12"/>
        <v>0</v>
      </c>
      <c r="J79" s="83"/>
      <c r="K79" s="56">
        <f t="shared" si="13"/>
        <v>0</v>
      </c>
      <c r="M79" s="196" t="str">
        <f t="shared" si="14"/>
        <v>2150/007</v>
      </c>
      <c r="N79" s="78"/>
      <c r="P79" s="79"/>
      <c r="Q79" s="59"/>
      <c r="R79" s="34"/>
    </row>
    <row r="80" spans="1:18" x14ac:dyDescent="0.2">
      <c r="A80" s="393"/>
      <c r="B80" s="113" t="s">
        <v>681</v>
      </c>
      <c r="C80" s="431"/>
      <c r="D80" s="439"/>
      <c r="E80" s="434"/>
      <c r="F80" s="87"/>
      <c r="G80" s="55">
        <f>SUMIF(JournalsC!D$14:D$920,TrialBalanceC!M80,JournalsC!J$14:J$920)+SUMIF(JournalsC!E$14:E$920,TrialBalanceC!M80,JournalsC!J$14:J$920)</f>
        <v>0</v>
      </c>
      <c r="H80" s="442"/>
      <c r="I80" s="447">
        <f t="shared" si="12"/>
        <v>0</v>
      </c>
      <c r="J80" s="83"/>
      <c r="K80" s="56">
        <f t="shared" si="13"/>
        <v>0</v>
      </c>
      <c r="M80" s="196" t="str">
        <f t="shared" si="14"/>
        <v>2150/008</v>
      </c>
      <c r="N80" s="78"/>
      <c r="P80" s="79"/>
      <c r="Q80" s="59"/>
      <c r="R80" s="34"/>
    </row>
    <row r="81" spans="1:18" x14ac:dyDescent="0.2">
      <c r="A81" s="393"/>
      <c r="B81" s="113" t="s">
        <v>682</v>
      </c>
      <c r="C81" s="429"/>
      <c r="D81" s="434"/>
      <c r="E81" s="434"/>
      <c r="F81" s="87"/>
      <c r="G81" s="55">
        <f>SUMIF(JournalsC!D$14:D$920,TrialBalanceC!M81,JournalsC!J$14:J$920)+SUMIF(JournalsC!E$14:E$920,TrialBalanceC!M81,JournalsC!J$14:J$920)</f>
        <v>0</v>
      </c>
      <c r="H81" s="442"/>
      <c r="I81" s="447">
        <f t="shared" si="12"/>
        <v>0</v>
      </c>
      <c r="J81" s="83"/>
      <c r="K81" s="56">
        <f t="shared" si="13"/>
        <v>0</v>
      </c>
      <c r="M81" s="196" t="str">
        <f t="shared" si="14"/>
        <v>2150/009</v>
      </c>
      <c r="N81" s="78"/>
      <c r="P81" s="79"/>
      <c r="Q81" s="59"/>
      <c r="R81" s="34"/>
    </row>
    <row r="82" spans="1:18" x14ac:dyDescent="0.2">
      <c r="A82" s="393"/>
      <c r="B82" s="113" t="s">
        <v>683</v>
      </c>
      <c r="C82" s="429"/>
      <c r="D82" s="434"/>
      <c r="E82" s="434"/>
      <c r="F82" s="87"/>
      <c r="G82" s="55">
        <f>SUMIF(JournalsC!D$14:D$920,TrialBalanceC!M82,JournalsC!J$14:J$920)+SUMIF(JournalsC!E$14:E$920,TrialBalanceC!M82,JournalsC!J$14:J$920)</f>
        <v>0</v>
      </c>
      <c r="H82" s="442"/>
      <c r="I82" s="447">
        <f t="shared" si="12"/>
        <v>0</v>
      </c>
      <c r="J82" s="83"/>
      <c r="K82" s="56">
        <f t="shared" si="13"/>
        <v>0</v>
      </c>
      <c r="M82" s="196" t="str">
        <f t="shared" si="14"/>
        <v>2150/010</v>
      </c>
      <c r="N82" s="78"/>
      <c r="P82" s="79"/>
      <c r="Q82" s="59"/>
      <c r="R82" s="34"/>
    </row>
    <row r="83" spans="1:18" x14ac:dyDescent="0.2">
      <c r="A83" s="393"/>
      <c r="B83" s="62" t="s">
        <v>20</v>
      </c>
      <c r="C83" s="396" t="s">
        <v>125</v>
      </c>
      <c r="D83" s="436"/>
      <c r="E83" s="434"/>
      <c r="F83" s="87"/>
      <c r="G83" s="55">
        <f>SUMIF(JournalsC!D$14:D$920,TrialBalanceC!M83,JournalsC!J$14:J$920)+SUMIF(JournalsC!E$14:E$920,TrialBalanceC!M83,JournalsC!J$14:J$920)</f>
        <v>0</v>
      </c>
      <c r="H83" s="442"/>
      <c r="I83" s="447">
        <f t="shared" si="12"/>
        <v>0</v>
      </c>
      <c r="J83" s="83"/>
      <c r="K83" s="56">
        <f t="shared" si="13"/>
        <v>0</v>
      </c>
      <c r="M83" s="196" t="str">
        <f t="shared" si="14"/>
        <v>2500/000OTHER INCOME</v>
      </c>
      <c r="N83" s="78"/>
      <c r="P83" s="79"/>
      <c r="Q83" s="59"/>
      <c r="R83" s="34"/>
    </row>
    <row r="84" spans="1:18" x14ac:dyDescent="0.2">
      <c r="A84" s="393"/>
      <c r="B84" s="62" t="s">
        <v>397</v>
      </c>
      <c r="C84" s="395" t="s">
        <v>929</v>
      </c>
      <c r="D84" s="427"/>
      <c r="E84" s="434"/>
      <c r="F84" s="87"/>
      <c r="G84" s="55">
        <f>SUMIF(JournalsC!D$14:D$920,TrialBalanceC!M84,JournalsC!J$14:J$920)+SUMIF(JournalsC!E$14:E$920,TrialBalanceC!M84,JournalsC!J$14:J$920)</f>
        <v>0</v>
      </c>
      <c r="H84" s="442"/>
      <c r="I84" s="447">
        <f t="shared" si="12"/>
        <v>0</v>
      </c>
      <c r="J84" s="83"/>
      <c r="K84" s="56">
        <f t="shared" si="13"/>
        <v>0</v>
      </c>
      <c r="M84" s="196" t="str">
        <f t="shared" si="14"/>
        <v>2710/000Rent received (not main income)</v>
      </c>
      <c r="N84" s="78"/>
      <c r="P84" s="79"/>
      <c r="Q84" s="59"/>
      <c r="R84" s="34"/>
    </row>
    <row r="85" spans="1:18" x14ac:dyDescent="0.2">
      <c r="A85" s="393"/>
      <c r="B85" s="62" t="s">
        <v>89</v>
      </c>
      <c r="C85" s="396" t="s">
        <v>935</v>
      </c>
      <c r="D85" s="436"/>
      <c r="E85" s="434"/>
      <c r="F85" s="87"/>
      <c r="G85" s="55">
        <f>SUMIF(JournalsC!D$14:D$920,TrialBalanceC!M85,JournalsC!J$14:J$920)+SUMIF(JournalsC!E$14:E$920,TrialBalanceC!M85,JournalsC!J$14:J$920)</f>
        <v>0</v>
      </c>
      <c r="H85" s="442"/>
      <c r="I85" s="447">
        <f t="shared" si="12"/>
        <v>0</v>
      </c>
      <c r="J85" s="83"/>
      <c r="K85" s="56">
        <f t="shared" si="13"/>
        <v>0</v>
      </c>
      <c r="M85" s="196" t="str">
        <f t="shared" si="14"/>
        <v>2750/000Interest received-----------------------</v>
      </c>
      <c r="N85" s="78"/>
      <c r="P85" s="79"/>
      <c r="Q85" s="59"/>
      <c r="R85" s="34"/>
    </row>
    <row r="86" spans="1:18" x14ac:dyDescent="0.2">
      <c r="A86" s="393"/>
      <c r="B86" s="62" t="s">
        <v>90</v>
      </c>
      <c r="C86" s="429"/>
      <c r="D86" s="434"/>
      <c r="E86" s="434"/>
      <c r="F86" s="87"/>
      <c r="G86" s="55">
        <f>SUMIF(JournalsC!D$14:D$920,TrialBalanceC!M86,JournalsC!J$14:J$920)+SUMIF(JournalsC!E$14:E$920,TrialBalanceC!M86,JournalsC!J$14:J$920)</f>
        <v>0</v>
      </c>
      <c r="H86" s="442"/>
      <c r="I86" s="447">
        <f t="shared" si="12"/>
        <v>0</v>
      </c>
      <c r="J86" s="83"/>
      <c r="K86" s="56">
        <f t="shared" si="13"/>
        <v>0</v>
      </c>
      <c r="M86" s="196" t="str">
        <f t="shared" si="14"/>
        <v>2750/001</v>
      </c>
      <c r="N86" s="78"/>
      <c r="P86" s="79"/>
      <c r="Q86" s="59"/>
      <c r="R86" s="34"/>
    </row>
    <row r="87" spans="1:18" x14ac:dyDescent="0.2">
      <c r="A87" s="393"/>
      <c r="B87" s="62" t="s">
        <v>91</v>
      </c>
      <c r="C87" s="431"/>
      <c r="D87" s="439"/>
      <c r="E87" s="434"/>
      <c r="F87" s="87"/>
      <c r="G87" s="55">
        <f>SUMIF(JournalsC!D$14:D$920,TrialBalanceC!M87,JournalsC!J$14:J$920)+SUMIF(JournalsC!E$14:E$920,TrialBalanceC!M87,JournalsC!J$14:J$920)</f>
        <v>0</v>
      </c>
      <c r="H87" s="442"/>
      <c r="I87" s="447">
        <f t="shared" si="12"/>
        <v>0</v>
      </c>
      <c r="J87" s="83"/>
      <c r="K87" s="56">
        <f t="shared" si="13"/>
        <v>0</v>
      </c>
      <c r="M87" s="196" t="str">
        <f t="shared" si="14"/>
        <v>2750/002</v>
      </c>
      <c r="N87" s="78"/>
      <c r="P87" s="79"/>
      <c r="Q87" s="59"/>
      <c r="R87" s="34"/>
    </row>
    <row r="88" spans="1:18" x14ac:dyDescent="0.2">
      <c r="A88" s="393"/>
      <c r="B88" s="62" t="s">
        <v>92</v>
      </c>
      <c r="C88" s="432"/>
      <c r="D88" s="435"/>
      <c r="E88" s="434"/>
      <c r="F88" s="87"/>
      <c r="G88" s="55">
        <f>SUMIF(JournalsC!D$14:D$920,TrialBalanceC!M88,JournalsC!J$14:J$920)+SUMIF(JournalsC!E$14:E$920,TrialBalanceC!M88,JournalsC!J$14:J$920)</f>
        <v>0</v>
      </c>
      <c r="H88" s="442"/>
      <c r="I88" s="447">
        <f t="shared" si="12"/>
        <v>0</v>
      </c>
      <c r="J88" s="83"/>
      <c r="K88" s="56">
        <f t="shared" si="13"/>
        <v>0</v>
      </c>
      <c r="M88" s="196" t="str">
        <f t="shared" si="14"/>
        <v>2750/003</v>
      </c>
      <c r="N88" s="78"/>
      <c r="P88" s="79"/>
      <c r="Q88" s="59"/>
      <c r="R88" s="34"/>
    </row>
    <row r="89" spans="1:18" x14ac:dyDescent="0.2">
      <c r="A89" s="393"/>
      <c r="B89" s="62" t="s">
        <v>93</v>
      </c>
      <c r="C89" s="432"/>
      <c r="D89" s="435"/>
      <c r="E89" s="434"/>
      <c r="F89" s="87"/>
      <c r="G89" s="55">
        <f>SUMIF(JournalsC!D$14:D$920,TrialBalanceC!M89,JournalsC!J$14:J$920)+SUMIF(JournalsC!E$14:E$920,TrialBalanceC!M89,JournalsC!J$14:J$920)</f>
        <v>0</v>
      </c>
      <c r="H89" s="442"/>
      <c r="I89" s="447">
        <f t="shared" si="12"/>
        <v>0</v>
      </c>
      <c r="J89" s="83"/>
      <c r="K89" s="56">
        <f t="shared" si="13"/>
        <v>0</v>
      </c>
      <c r="M89" s="196" t="str">
        <f t="shared" si="14"/>
        <v>2750/004</v>
      </c>
      <c r="N89" s="78"/>
      <c r="P89" s="79"/>
      <c r="Q89" s="59"/>
      <c r="R89" s="34"/>
    </row>
    <row r="90" spans="1:18" x14ac:dyDescent="0.2">
      <c r="A90" s="393"/>
      <c r="B90" s="62" t="s">
        <v>210</v>
      </c>
      <c r="C90" s="396" t="s">
        <v>326</v>
      </c>
      <c r="D90" s="435"/>
      <c r="E90" s="434"/>
      <c r="F90" s="87"/>
      <c r="G90" s="55">
        <f>SUMIF(JournalsC!D$14:D$920,TrialBalanceC!M90,JournalsC!J$14:J$920)+SUMIF(JournalsC!E$14:E$920,TrialBalanceC!M90,JournalsC!J$14:J$920)</f>
        <v>0</v>
      </c>
      <c r="H90" s="442"/>
      <c r="I90" s="447">
        <f t="shared" si="12"/>
        <v>0</v>
      </c>
      <c r="J90" s="83"/>
      <c r="K90" s="56">
        <f t="shared" si="13"/>
        <v>0</v>
      </c>
      <c r="M90" s="196" t="str">
        <f t="shared" si="14"/>
        <v>2800/000Dividends received----------------------</v>
      </c>
      <c r="N90" s="78"/>
      <c r="P90" s="79"/>
      <c r="Q90" s="59"/>
      <c r="R90" s="34"/>
    </row>
    <row r="91" spans="1:18" x14ac:dyDescent="0.2">
      <c r="A91" s="393"/>
      <c r="B91" s="62" t="s">
        <v>327</v>
      </c>
      <c r="C91" s="397" t="s">
        <v>856</v>
      </c>
      <c r="D91" s="435"/>
      <c r="E91" s="434"/>
      <c r="F91" s="87"/>
      <c r="G91" s="55">
        <f>SUMIF(JournalsC!D$14:D$920,TrialBalanceC!M91,JournalsC!J$14:J$920)+SUMIF(JournalsC!E$14:E$920,TrialBalanceC!M91,JournalsC!J$14:J$920)</f>
        <v>0</v>
      </c>
      <c r="H91" s="442"/>
      <c r="I91" s="447">
        <f t="shared" si="12"/>
        <v>0</v>
      </c>
      <c r="J91" s="83"/>
      <c r="K91" s="56">
        <f t="shared" si="13"/>
        <v>0</v>
      </c>
      <c r="M91" s="196" t="str">
        <f t="shared" si="14"/>
        <v>2800/001Div.'s received - SA sources</v>
      </c>
      <c r="N91" s="78"/>
      <c r="P91" s="79"/>
      <c r="Q91" s="59"/>
      <c r="R91" s="34"/>
    </row>
    <row r="92" spans="1:18" x14ac:dyDescent="0.2">
      <c r="A92" s="393"/>
      <c r="B92" s="62" t="s">
        <v>220</v>
      </c>
      <c r="C92" s="397" t="s">
        <v>1205</v>
      </c>
      <c r="D92" s="435"/>
      <c r="E92" s="434"/>
      <c r="F92" s="87"/>
      <c r="G92" s="55">
        <f>SUMIF(JournalsC!D$14:D$920,TrialBalanceC!M92,JournalsC!J$14:J$920)+SUMIF(JournalsC!E$14:E$920,TrialBalanceC!M92,JournalsC!J$14:J$920)</f>
        <v>0</v>
      </c>
      <c r="H92" s="442"/>
      <c r="I92" s="447">
        <f t="shared" ref="I92" si="15">ROUND(D92-E92+G92+F92,0)</f>
        <v>0</v>
      </c>
      <c r="J92" s="83"/>
      <c r="K92" s="56">
        <f t="shared" ref="K92" si="16">ROUND(SUM(A92),0)</f>
        <v>0</v>
      </c>
      <c r="M92" s="196" t="str">
        <f t="shared" ref="M92" si="17">CONCATENATE(B92,C92)</f>
        <v>2800/002Div.'s received - Associates</v>
      </c>
      <c r="N92" s="78"/>
      <c r="P92" s="79"/>
      <c r="Q92" s="59"/>
      <c r="R92" s="34"/>
    </row>
    <row r="93" spans="1:18" x14ac:dyDescent="0.2">
      <c r="A93" s="393"/>
      <c r="B93" s="113" t="s">
        <v>1204</v>
      </c>
      <c r="C93" s="397" t="s">
        <v>857</v>
      </c>
      <c r="D93" s="435"/>
      <c r="E93" s="434"/>
      <c r="F93" s="87"/>
      <c r="G93" s="55">
        <f>SUMIF(JournalsC!D$14:D$920,TrialBalanceC!M93,JournalsC!J$14:J$920)+SUMIF(JournalsC!E$14:E$920,TrialBalanceC!M93,JournalsC!J$14:J$920)</f>
        <v>0</v>
      </c>
      <c r="H93" s="442"/>
      <c r="I93" s="447">
        <f t="shared" si="12"/>
        <v>0</v>
      </c>
      <c r="J93" s="83"/>
      <c r="K93" s="56">
        <f t="shared" si="13"/>
        <v>0</v>
      </c>
      <c r="M93" s="196" t="str">
        <f t="shared" si="14"/>
        <v>2800/003Div.'s received - Foreign div.'s</v>
      </c>
      <c r="N93" s="78"/>
      <c r="P93" s="79"/>
      <c r="Q93" s="59"/>
      <c r="R93" s="34"/>
    </row>
    <row r="94" spans="1:18" x14ac:dyDescent="0.2">
      <c r="A94" s="393"/>
      <c r="B94" s="62" t="s">
        <v>221</v>
      </c>
      <c r="C94" s="397" t="s">
        <v>721</v>
      </c>
      <c r="D94" s="437"/>
      <c r="E94" s="434"/>
      <c r="F94" s="87"/>
      <c r="G94" s="55">
        <f>SUMIF(JournalsC!D$14:D$920,TrialBalanceC!M94,JournalsC!J$14:J$920)+SUMIF(JournalsC!E$14:E$920,TrialBalanceC!M94,JournalsC!J$14:J$920)</f>
        <v>0</v>
      </c>
      <c r="H94" s="442"/>
      <c r="I94" s="447">
        <f t="shared" si="12"/>
        <v>0</v>
      </c>
      <c r="J94" s="83"/>
      <c r="K94" s="56">
        <f t="shared" si="13"/>
        <v>0</v>
      </c>
      <c r="M94" s="196" t="str">
        <f t="shared" si="14"/>
        <v>2810/000(Profit)/Loss on sale of fixed assets</v>
      </c>
      <c r="N94" s="78"/>
      <c r="P94" s="79"/>
      <c r="Q94" s="59"/>
      <c r="R94" s="34"/>
    </row>
    <row r="95" spans="1:18" x14ac:dyDescent="0.2">
      <c r="A95" s="393"/>
      <c r="B95" s="62" t="s">
        <v>222</v>
      </c>
      <c r="C95" s="394" t="s">
        <v>223</v>
      </c>
      <c r="D95" s="435"/>
      <c r="E95" s="434"/>
      <c r="F95" s="87"/>
      <c r="G95" s="55">
        <f>SUMIF(JournalsC!D$14:D$920,TrialBalanceC!M95,JournalsC!J$14:J$920)+SUMIF(JournalsC!E$14:E$920,TrialBalanceC!M95,JournalsC!J$14:J$920)</f>
        <v>0</v>
      </c>
      <c r="H95" s="442"/>
      <c r="I95" s="447">
        <f t="shared" si="12"/>
        <v>0</v>
      </c>
      <c r="J95" s="83"/>
      <c r="K95" s="56">
        <f t="shared" si="13"/>
        <v>0</v>
      </c>
      <c r="M95" s="196" t="str">
        <f t="shared" si="14"/>
        <v>2820/000Bad debts recovered</v>
      </c>
      <c r="N95" s="78"/>
      <c r="P95" s="79"/>
      <c r="Q95" s="59"/>
      <c r="R95" s="34"/>
    </row>
    <row r="96" spans="1:18" x14ac:dyDescent="0.2">
      <c r="A96" s="393"/>
      <c r="B96" s="62" t="s">
        <v>224</v>
      </c>
      <c r="C96" s="394" t="s">
        <v>225</v>
      </c>
      <c r="D96" s="435"/>
      <c r="E96" s="434"/>
      <c r="F96" s="87"/>
      <c r="G96" s="55">
        <f>SUMIF(JournalsC!D$14:D$920,TrialBalanceC!M96,JournalsC!J$14:J$920)+SUMIF(JournalsC!E$14:E$920,TrialBalanceC!M96,JournalsC!J$14:J$920)</f>
        <v>0</v>
      </c>
      <c r="H96" s="442"/>
      <c r="I96" s="447">
        <f t="shared" si="12"/>
        <v>0</v>
      </c>
      <c r="J96" s="83"/>
      <c r="K96" s="56">
        <f t="shared" si="13"/>
        <v>0</v>
      </c>
      <c r="M96" s="196" t="str">
        <f t="shared" si="14"/>
        <v>2830/000Other income</v>
      </c>
      <c r="N96" s="78"/>
      <c r="P96" s="59"/>
      <c r="Q96" s="59"/>
      <c r="R96" s="34"/>
    </row>
    <row r="97" spans="1:18" x14ac:dyDescent="0.2">
      <c r="A97" s="393"/>
      <c r="B97" s="113" t="s">
        <v>1310</v>
      </c>
      <c r="C97" s="397" t="s">
        <v>1311</v>
      </c>
      <c r="D97" s="435"/>
      <c r="E97" s="434"/>
      <c r="F97" s="87"/>
      <c r="G97" s="55">
        <f>SUMIF(JournalsC!D$14:D$920,TrialBalanceC!M97,JournalsC!J$14:J$920)+SUMIF(JournalsC!E$14:E$920,TrialBalanceC!M97,JournalsC!J$14:J$920)</f>
        <v>0</v>
      </c>
      <c r="H97" s="442"/>
      <c r="I97" s="447">
        <f t="shared" ref="I97" si="18">ROUND(D97-E97+G97+F97,0)</f>
        <v>0</v>
      </c>
      <c r="J97" s="83"/>
      <c r="K97" s="56">
        <f t="shared" ref="K97" si="19">ROUND(SUM(A97),0)</f>
        <v>0</v>
      </c>
      <c r="M97" s="196" t="str">
        <f t="shared" ref="M97" si="20">CONCATENATE(B97,C97)</f>
        <v>2840/000Revaluation of investment property</v>
      </c>
      <c r="N97" s="78"/>
      <c r="P97" s="59"/>
      <c r="Q97" s="59"/>
      <c r="R97" s="34"/>
    </row>
    <row r="98" spans="1:18" x14ac:dyDescent="0.2">
      <c r="A98" s="393"/>
      <c r="B98" s="62" t="s">
        <v>226</v>
      </c>
      <c r="C98" s="396" t="s">
        <v>1192</v>
      </c>
      <c r="D98" s="436"/>
      <c r="E98" s="434"/>
      <c r="F98" s="87"/>
      <c r="G98" s="55">
        <f>SUMIF(JournalsC!D$14:D$920,TrialBalanceC!M98,JournalsC!J$14:J$920)+SUMIF(JournalsC!E$14:E$920,TrialBalanceC!M98,JournalsC!J$14:J$920)</f>
        <v>0</v>
      </c>
      <c r="H98" s="442"/>
      <c r="I98" s="447">
        <f t="shared" si="12"/>
        <v>0</v>
      </c>
      <c r="J98" s="83"/>
      <c r="K98" s="56">
        <f t="shared" si="13"/>
        <v>0</v>
      </c>
      <c r="M98" s="196" t="str">
        <f t="shared" si="14"/>
        <v>3000/000ADMINISTRATIVE EXPENSES</v>
      </c>
      <c r="N98" s="78"/>
      <c r="P98" s="79"/>
      <c r="Q98" s="59"/>
      <c r="R98" s="34"/>
    </row>
    <row r="99" spans="1:18" x14ac:dyDescent="0.2">
      <c r="A99" s="393"/>
      <c r="B99" s="62" t="s">
        <v>227</v>
      </c>
      <c r="C99" s="394" t="s">
        <v>228</v>
      </c>
      <c r="D99" s="435"/>
      <c r="E99" s="434"/>
      <c r="F99" s="87"/>
      <c r="G99" s="55">
        <f>SUMIF(JournalsC!D$14:D$920,TrialBalanceC!M99,JournalsC!J$14:J$920)+SUMIF(JournalsC!E$14:E$920,TrialBalanceC!M99,JournalsC!J$14:J$920)</f>
        <v>0</v>
      </c>
      <c r="H99" s="442"/>
      <c r="I99" s="447">
        <f t="shared" si="12"/>
        <v>0</v>
      </c>
      <c r="J99" s="83"/>
      <c r="K99" s="56">
        <f t="shared" si="13"/>
        <v>0</v>
      </c>
      <c r="M99" s="196" t="str">
        <f t="shared" si="14"/>
        <v>3000/011Audit fees for current year</v>
      </c>
      <c r="N99" s="78"/>
      <c r="P99" s="59"/>
      <c r="Q99" s="59"/>
      <c r="R99" s="34"/>
    </row>
    <row r="100" spans="1:18" x14ac:dyDescent="0.2">
      <c r="A100" s="393"/>
      <c r="B100" s="62" t="s">
        <v>229</v>
      </c>
      <c r="C100" s="401" t="s">
        <v>386</v>
      </c>
      <c r="D100" s="427"/>
      <c r="E100" s="434"/>
      <c r="F100" s="87"/>
      <c r="G100" s="55">
        <f>SUMIF(JournalsC!D$14:D$920,TrialBalanceC!M100,JournalsC!J$14:J$920)+SUMIF(JournalsC!E$14:E$920,TrialBalanceC!M100,JournalsC!J$14:J$920)</f>
        <v>0</v>
      </c>
      <c r="H100" s="442"/>
      <c r="I100" s="447">
        <f t="shared" si="12"/>
        <v>0</v>
      </c>
      <c r="J100" s="83"/>
      <c r="K100" s="56">
        <f t="shared" si="13"/>
        <v>0</v>
      </c>
      <c r="M100" s="196" t="str">
        <f t="shared" si="14"/>
        <v>3000/012Under provision previous year</v>
      </c>
      <c r="N100" s="78"/>
      <c r="P100" s="79"/>
      <c r="Q100" s="59"/>
      <c r="R100" s="34"/>
    </row>
    <row r="101" spans="1:18" x14ac:dyDescent="0.2">
      <c r="A101" s="393"/>
      <c r="B101" s="62" t="s">
        <v>230</v>
      </c>
      <c r="C101" s="394" t="s">
        <v>231</v>
      </c>
      <c r="D101" s="435"/>
      <c r="E101" s="434"/>
      <c r="F101" s="87"/>
      <c r="G101" s="55">
        <f>SUMIF(JournalsC!D$14:D$920,TrialBalanceC!M101,JournalsC!J$14:J$920)+SUMIF(JournalsC!E$14:E$920,TrialBalanceC!M101,JournalsC!J$14:J$920)</f>
        <v>0</v>
      </c>
      <c r="H101" s="442"/>
      <c r="I101" s="447">
        <f t="shared" si="12"/>
        <v>0</v>
      </c>
      <c r="J101" s="83"/>
      <c r="K101" s="56">
        <f t="shared" si="13"/>
        <v>0</v>
      </c>
      <c r="M101" s="196" t="str">
        <f t="shared" si="14"/>
        <v>3000/013Overprovision previous year</v>
      </c>
      <c r="N101" s="78"/>
      <c r="P101" s="79"/>
      <c r="Q101" s="59"/>
      <c r="R101" s="34"/>
    </row>
    <row r="102" spans="1:18" x14ac:dyDescent="0.2">
      <c r="A102" s="393"/>
      <c r="B102" s="62" t="s">
        <v>232</v>
      </c>
      <c r="C102" s="394" t="s">
        <v>233</v>
      </c>
      <c r="D102" s="435"/>
      <c r="E102" s="434"/>
      <c r="F102" s="87"/>
      <c r="G102" s="55">
        <f>SUMIF(JournalsC!D$14:D$920,TrialBalanceC!M102,JournalsC!J$14:J$920)+SUMIF(JournalsC!E$14:E$920,TrialBalanceC!M102,JournalsC!J$14:J$920)</f>
        <v>0</v>
      </c>
      <c r="H102" s="442"/>
      <c r="I102" s="447">
        <f t="shared" si="12"/>
        <v>0</v>
      </c>
      <c r="J102" s="83"/>
      <c r="K102" s="56">
        <f t="shared" si="13"/>
        <v>0</v>
      </c>
      <c r="M102" s="196" t="str">
        <f t="shared" si="14"/>
        <v>3000/014Accounting fees</v>
      </c>
      <c r="N102" s="78"/>
      <c r="P102" s="79"/>
      <c r="Q102" s="59"/>
      <c r="R102" s="34"/>
    </row>
    <row r="103" spans="1:18" x14ac:dyDescent="0.2">
      <c r="A103" s="393"/>
      <c r="B103" s="62" t="s">
        <v>234</v>
      </c>
      <c r="C103" s="394" t="s">
        <v>235</v>
      </c>
      <c r="D103" s="435"/>
      <c r="E103" s="434"/>
      <c r="F103" s="87"/>
      <c r="G103" s="55">
        <f>SUMIF(JournalsC!D$14:D$920,TrialBalanceC!M103,JournalsC!J$14:J$920)+SUMIF(JournalsC!E$14:E$920,TrialBalanceC!M103,JournalsC!J$14:J$920)</f>
        <v>0</v>
      </c>
      <c r="H103" s="442"/>
      <c r="I103" s="447">
        <f>ROUND(D103-E103+G103+F103,0)</f>
        <v>0</v>
      </c>
      <c r="J103" s="83"/>
      <c r="K103" s="56">
        <f t="shared" si="13"/>
        <v>0</v>
      </c>
      <c r="M103" s="196" t="str">
        <f t="shared" si="14"/>
        <v>3000/020Bank charges</v>
      </c>
      <c r="N103" s="78"/>
      <c r="P103" s="79"/>
      <c r="Q103" s="59"/>
      <c r="R103" s="34"/>
    </row>
    <row r="104" spans="1:18" x14ac:dyDescent="0.2">
      <c r="A104" s="393"/>
      <c r="B104" s="62" t="s">
        <v>236</v>
      </c>
      <c r="C104" s="394" t="s">
        <v>237</v>
      </c>
      <c r="D104" s="435"/>
      <c r="E104" s="434"/>
      <c r="F104" s="87"/>
      <c r="G104" s="55">
        <f>SUMIF(JournalsC!D$14:D$920,TrialBalanceC!M104,JournalsC!J$14:J$920)+SUMIF(JournalsC!E$14:E$920,TrialBalanceC!M104,JournalsC!J$14:J$920)</f>
        <v>0</v>
      </c>
      <c r="H104" s="442"/>
      <c r="I104" s="447">
        <f t="shared" ref="I104:I171" si="21">ROUND(D104-E104+G104+F104,0)</f>
        <v>0</v>
      </c>
      <c r="J104" s="83"/>
      <c r="K104" s="56">
        <f t="shared" si="13"/>
        <v>0</v>
      </c>
      <c r="M104" s="196" t="str">
        <f t="shared" si="14"/>
        <v>3000/030Bad debts</v>
      </c>
      <c r="N104" s="78"/>
      <c r="P104" s="79"/>
      <c r="Q104" s="59"/>
      <c r="R104" s="34"/>
    </row>
    <row r="105" spans="1:18" x14ac:dyDescent="0.2">
      <c r="A105" s="393"/>
      <c r="B105" s="62" t="s">
        <v>238</v>
      </c>
      <c r="C105" s="394" t="s">
        <v>291</v>
      </c>
      <c r="D105" s="435"/>
      <c r="E105" s="434"/>
      <c r="F105" s="87"/>
      <c r="G105" s="55">
        <f>SUMIF(JournalsC!D$14:D$920,TrialBalanceC!M105,JournalsC!J$14:J$920)+SUMIF(JournalsC!E$14:E$920,TrialBalanceC!M105,JournalsC!J$14:J$920)</f>
        <v>0</v>
      </c>
      <c r="H105" s="442"/>
      <c r="I105" s="447">
        <f t="shared" si="21"/>
        <v>0</v>
      </c>
      <c r="J105" s="83"/>
      <c r="K105" s="56">
        <f t="shared" si="13"/>
        <v>0</v>
      </c>
      <c r="M105" s="196" t="str">
        <f t="shared" si="14"/>
        <v>3000/040Cleaning</v>
      </c>
      <c r="N105" s="78"/>
      <c r="P105" s="79"/>
      <c r="Q105" s="59"/>
      <c r="R105" s="34"/>
    </row>
    <row r="106" spans="1:18" x14ac:dyDescent="0.2">
      <c r="A106" s="393"/>
      <c r="B106" s="62" t="s">
        <v>239</v>
      </c>
      <c r="C106" s="394" t="s">
        <v>240</v>
      </c>
      <c r="D106" s="435"/>
      <c r="E106" s="434"/>
      <c r="F106" s="87"/>
      <c r="G106" s="55">
        <f>SUMIF(JournalsC!D$14:D$920,TrialBalanceC!M106,JournalsC!J$14:J$920)+SUMIF(JournalsC!E$14:E$920,TrialBalanceC!M106,JournalsC!J$14:J$920)</f>
        <v>0</v>
      </c>
      <c r="H106" s="442"/>
      <c r="I106" s="447">
        <f t="shared" si="21"/>
        <v>0</v>
      </c>
      <c r="J106" s="83"/>
      <c r="K106" s="56">
        <f t="shared" si="13"/>
        <v>0</v>
      </c>
      <c r="M106" s="196" t="str">
        <f t="shared" si="14"/>
        <v>3000/050Computer expenses</v>
      </c>
      <c r="N106" s="78"/>
      <c r="P106" s="79"/>
      <c r="Q106" s="59"/>
      <c r="R106" s="34"/>
    </row>
    <row r="107" spans="1:18" x14ac:dyDescent="0.2">
      <c r="A107" s="393"/>
      <c r="B107" s="113" t="s">
        <v>780</v>
      </c>
      <c r="C107" s="397" t="s">
        <v>873</v>
      </c>
      <c r="D107" s="435"/>
      <c r="E107" s="434"/>
      <c r="F107" s="87"/>
      <c r="G107" s="55">
        <f>SUMIF(JournalsC!D$14:D$920,TrialBalanceC!M107,JournalsC!J$14:J$920)+SUMIF(JournalsC!E$14:E$920,TrialBalanceC!M107,JournalsC!J$14:J$920)</f>
        <v>0</v>
      </c>
      <c r="H107" s="442"/>
      <c r="I107" s="447">
        <f t="shared" ref="I107" si="22">ROUND(D107-E107+G107+F107,0)</f>
        <v>0</v>
      </c>
      <c r="J107" s="83"/>
      <c r="K107" s="56">
        <f t="shared" ref="K107" si="23">ROUND(SUM(A107),0)</f>
        <v>0</v>
      </c>
      <c r="M107" s="196" t="str">
        <f t="shared" ref="M107" si="24">CONCATENATE(B107,C107)</f>
        <v>3000/055Consulting and professional fees</v>
      </c>
      <c r="N107" s="78"/>
      <c r="P107" s="79"/>
      <c r="Q107" s="59"/>
      <c r="R107" s="34"/>
    </row>
    <row r="108" spans="1:18" x14ac:dyDescent="0.2">
      <c r="A108" s="393"/>
      <c r="B108" s="113" t="s">
        <v>1758</v>
      </c>
      <c r="C108" s="397" t="s">
        <v>1759</v>
      </c>
      <c r="D108" s="435"/>
      <c r="E108" s="434"/>
      <c r="F108" s="87"/>
      <c r="G108" s="55">
        <f>SUMIF(JournalsC!D$14:D$920,TrialBalanceC!M108,JournalsC!J$14:J$920)+SUMIF(JournalsC!E$14:E$920,TrialBalanceC!M108,JournalsC!J$14:J$920)</f>
        <v>0</v>
      </c>
      <c r="H108" s="442"/>
      <c r="I108" s="447">
        <f t="shared" ref="I108" si="25">ROUND(D108-E108+G108+F108,0)</f>
        <v>0</v>
      </c>
      <c r="J108" s="83"/>
      <c r="K108" s="56">
        <f t="shared" ref="K108" si="26">ROUND(SUM(A108),0)</f>
        <v>0</v>
      </c>
      <c r="M108" s="196" t="str">
        <f t="shared" ref="M108" si="27">CONCATENATE(B108,C108)</f>
        <v>3000/058Defined contribution plan expense</v>
      </c>
      <c r="N108" s="78"/>
      <c r="P108" s="79"/>
      <c r="Q108" s="59"/>
      <c r="R108" s="34"/>
    </row>
    <row r="109" spans="1:18" x14ac:dyDescent="0.2">
      <c r="A109" s="393"/>
      <c r="B109" s="62" t="s">
        <v>241</v>
      </c>
      <c r="C109" s="396" t="s">
        <v>451</v>
      </c>
      <c r="D109" s="436"/>
      <c r="E109" s="434"/>
      <c r="F109" s="87"/>
      <c r="G109" s="55">
        <f>SUMIF(JournalsC!D$14:D$920,TrialBalanceC!M109,JournalsC!J$14:J$920)+SUMIF(JournalsC!E$14:E$920,TrialBalanceC!M109,JournalsC!J$14:J$920)</f>
        <v>0</v>
      </c>
      <c r="H109" s="442"/>
      <c r="I109" s="447">
        <f t="shared" si="21"/>
        <v>0</v>
      </c>
      <c r="J109" s="83"/>
      <c r="K109" s="56">
        <f t="shared" si="13"/>
        <v>0</v>
      </c>
      <c r="M109" s="196" t="str">
        <f t="shared" si="14"/>
        <v>3000/060Depreciation----------------------------</v>
      </c>
      <c r="N109" s="78"/>
      <c r="P109" s="79"/>
      <c r="Q109" s="59"/>
      <c r="R109" s="34"/>
    </row>
    <row r="110" spans="1:18" x14ac:dyDescent="0.2">
      <c r="A110" s="393"/>
      <c r="B110" s="113" t="s">
        <v>242</v>
      </c>
      <c r="C110" s="395" t="s">
        <v>60</v>
      </c>
      <c r="D110" s="434"/>
      <c r="E110" s="434"/>
      <c r="F110" s="87"/>
      <c r="G110" s="55">
        <f>SUMIF(JournalsC!D$14:D$920,TrialBalanceC!M110,JournalsC!J$14:J$920)+SUMIF(JournalsC!E$14:E$920,TrialBalanceC!M110,JournalsC!J$14:J$920)</f>
        <v>0</v>
      </c>
      <c r="H110" s="442"/>
      <c r="I110" s="447">
        <f t="shared" si="21"/>
        <v>0</v>
      </c>
      <c r="J110" s="83"/>
      <c r="K110" s="56">
        <f t="shared" si="13"/>
        <v>0</v>
      </c>
      <c r="M110" s="196" t="str">
        <f t="shared" si="14"/>
        <v>3000/061Depr - Electronic equipment</v>
      </c>
      <c r="N110" s="78"/>
      <c r="P110" s="79"/>
      <c r="Q110" s="59"/>
      <c r="R110" s="34"/>
    </row>
    <row r="111" spans="1:18" x14ac:dyDescent="0.2">
      <c r="A111" s="393"/>
      <c r="B111" s="113" t="s">
        <v>399</v>
      </c>
      <c r="C111" s="397" t="s">
        <v>934</v>
      </c>
      <c r="D111" s="435"/>
      <c r="E111" s="434"/>
      <c r="F111" s="87"/>
      <c r="G111" s="55">
        <f>SUMIF(JournalsC!D$14:D$920,TrialBalanceC!M111,JournalsC!J$14:J$920)+SUMIF(JournalsC!E$14:E$920,TrialBalanceC!M111,JournalsC!J$14:J$920)</f>
        <v>0</v>
      </c>
      <c r="H111" s="442"/>
      <c r="I111" s="447">
        <f t="shared" si="21"/>
        <v>0</v>
      </c>
      <c r="J111" s="83"/>
      <c r="K111" s="56">
        <f t="shared" si="13"/>
        <v>0</v>
      </c>
      <c r="M111" s="196" t="str">
        <f t="shared" si="14"/>
        <v>3000/063Depr - Furniture and fittings</v>
      </c>
      <c r="N111" s="78"/>
      <c r="P111" s="79"/>
      <c r="Q111" s="59"/>
      <c r="R111" s="34"/>
    </row>
    <row r="112" spans="1:18" x14ac:dyDescent="0.2">
      <c r="A112" s="393"/>
      <c r="B112" s="62" t="s">
        <v>400</v>
      </c>
      <c r="C112" s="396" t="s">
        <v>668</v>
      </c>
      <c r="D112" s="436"/>
      <c r="E112" s="434"/>
      <c r="F112" s="87"/>
      <c r="G112" s="55">
        <f>SUMIF(JournalsC!D$14:D$920,TrialBalanceC!M112,JournalsC!J$14:J$920)+SUMIF(JournalsC!E$14:E$920,TrialBalanceC!M112,JournalsC!J$14:J$920)</f>
        <v>0</v>
      </c>
      <c r="H112" s="442"/>
      <c r="I112" s="447">
        <f t="shared" si="21"/>
        <v>0</v>
      </c>
      <c r="J112" s="83"/>
      <c r="K112" s="56">
        <f t="shared" si="13"/>
        <v>0</v>
      </c>
      <c r="M112" s="196" t="str">
        <f t="shared" si="14"/>
        <v>3000/070Directors' remuneration-----------------</v>
      </c>
      <c r="N112" s="78"/>
      <c r="P112" s="79"/>
      <c r="Q112" s="59"/>
      <c r="R112" s="34"/>
    </row>
    <row r="113" spans="1:18" x14ac:dyDescent="0.2">
      <c r="A113" s="393"/>
      <c r="B113" s="62" t="s">
        <v>401</v>
      </c>
      <c r="C113" s="429" t="str">
        <f>Criteria!E41</f>
        <v>A Director</v>
      </c>
      <c r="D113" s="434"/>
      <c r="E113" s="434"/>
      <c r="F113" s="87"/>
      <c r="G113" s="55">
        <f>SUMIF(JournalsC!D$14:D$920,TrialBalanceC!M113,JournalsC!J$14:J$920)+SUMIF(JournalsC!E$14:E$920,TrialBalanceC!M113,JournalsC!J$14:J$920)</f>
        <v>0</v>
      </c>
      <c r="H113" s="442"/>
      <c r="I113" s="447">
        <f t="shared" si="21"/>
        <v>0</v>
      </c>
      <c r="J113" s="83"/>
      <c r="K113" s="56">
        <f t="shared" si="13"/>
        <v>0</v>
      </c>
      <c r="M113" s="196" t="str">
        <f t="shared" si="14"/>
        <v>3000/071A Director</v>
      </c>
      <c r="N113" s="78"/>
      <c r="P113" s="79"/>
      <c r="Q113" s="59"/>
      <c r="R113" s="34"/>
    </row>
    <row r="114" spans="1:18" x14ac:dyDescent="0.2">
      <c r="A114" s="393"/>
      <c r="B114" s="62" t="s">
        <v>402</v>
      </c>
      <c r="C114" s="429" t="str">
        <f>Criteria!E42</f>
        <v>B Director</v>
      </c>
      <c r="D114" s="434"/>
      <c r="E114" s="434"/>
      <c r="F114" s="87"/>
      <c r="G114" s="55">
        <f>SUMIF(JournalsC!D$14:D$920,TrialBalanceC!M114,JournalsC!J$14:J$920)+SUMIF(JournalsC!E$14:E$920,TrialBalanceC!M114,JournalsC!J$14:J$920)</f>
        <v>0</v>
      </c>
      <c r="H114" s="442"/>
      <c r="I114" s="447">
        <f t="shared" si="21"/>
        <v>0</v>
      </c>
      <c r="J114" s="83"/>
      <c r="K114" s="56">
        <f t="shared" si="13"/>
        <v>0</v>
      </c>
      <c r="M114" s="196" t="str">
        <f t="shared" si="14"/>
        <v>3000/072B Director</v>
      </c>
      <c r="N114" s="78"/>
      <c r="P114" s="79"/>
      <c r="Q114" s="59"/>
      <c r="R114" s="34"/>
    </row>
    <row r="115" spans="1:18" x14ac:dyDescent="0.2">
      <c r="A115" s="393"/>
      <c r="B115" s="62" t="s">
        <v>403</v>
      </c>
      <c r="C115" s="429">
        <f>Criteria!E43</f>
        <v>0</v>
      </c>
      <c r="D115" s="434"/>
      <c r="E115" s="434"/>
      <c r="F115" s="87"/>
      <c r="G115" s="55">
        <f>SUMIF(JournalsC!D$14:D$920,TrialBalanceC!M115,JournalsC!J$14:J$920)+SUMIF(JournalsC!E$14:E$920,TrialBalanceC!M115,JournalsC!J$14:J$920)</f>
        <v>0</v>
      </c>
      <c r="H115" s="442"/>
      <c r="I115" s="447">
        <f t="shared" si="21"/>
        <v>0</v>
      </c>
      <c r="J115" s="83"/>
      <c r="K115" s="56">
        <f t="shared" si="13"/>
        <v>0</v>
      </c>
      <c r="M115" s="196" t="str">
        <f t="shared" si="14"/>
        <v>3000/0730</v>
      </c>
      <c r="N115" s="78"/>
      <c r="P115" s="79"/>
      <c r="Q115" s="59"/>
      <c r="R115" s="34"/>
    </row>
    <row r="116" spans="1:18" x14ac:dyDescent="0.2">
      <c r="A116" s="393"/>
      <c r="B116" s="62" t="s">
        <v>404</v>
      </c>
      <c r="C116" s="429">
        <f>Criteria!E44</f>
        <v>0</v>
      </c>
      <c r="D116" s="434"/>
      <c r="E116" s="434"/>
      <c r="F116" s="87"/>
      <c r="G116" s="55">
        <f>SUMIF(JournalsC!D$14:D$920,TrialBalanceC!M116,JournalsC!J$14:J$920)+SUMIF(JournalsC!E$14:E$920,TrialBalanceC!M116,JournalsC!J$14:J$920)</f>
        <v>0</v>
      </c>
      <c r="H116" s="442"/>
      <c r="I116" s="447">
        <f t="shared" si="21"/>
        <v>0</v>
      </c>
      <c r="J116" s="83"/>
      <c r="K116" s="56">
        <f t="shared" si="13"/>
        <v>0</v>
      </c>
      <c r="M116" s="196" t="str">
        <f t="shared" si="14"/>
        <v>3000/0740</v>
      </c>
      <c r="N116" s="78"/>
      <c r="P116" s="79"/>
      <c r="Q116" s="59"/>
      <c r="R116" s="34"/>
    </row>
    <row r="117" spans="1:18" x14ac:dyDescent="0.2">
      <c r="A117" s="393"/>
      <c r="B117" s="62" t="s">
        <v>405</v>
      </c>
      <c r="C117" s="429">
        <f>Criteria!E45</f>
        <v>0</v>
      </c>
      <c r="D117" s="435"/>
      <c r="E117" s="434"/>
      <c r="F117" s="87"/>
      <c r="G117" s="55">
        <f>SUMIF(JournalsC!D$14:D$920,TrialBalanceC!M117,JournalsC!J$14:J$920)+SUMIF(JournalsC!E$14:E$920,TrialBalanceC!M117,JournalsC!J$14:J$920)</f>
        <v>0</v>
      </c>
      <c r="H117" s="442"/>
      <c r="I117" s="447">
        <f t="shared" si="21"/>
        <v>0</v>
      </c>
      <c r="J117" s="83"/>
      <c r="K117" s="56">
        <f t="shared" si="13"/>
        <v>0</v>
      </c>
      <c r="M117" s="196" t="str">
        <f t="shared" si="14"/>
        <v>3000/0750</v>
      </c>
      <c r="N117" s="78"/>
      <c r="P117" s="79"/>
      <c r="Q117" s="59"/>
      <c r="R117" s="34"/>
    </row>
    <row r="118" spans="1:18" x14ac:dyDescent="0.2">
      <c r="A118" s="393"/>
      <c r="B118" s="62" t="s">
        <v>406</v>
      </c>
      <c r="C118" s="394" t="s">
        <v>292</v>
      </c>
      <c r="D118" s="435"/>
      <c r="E118" s="434"/>
      <c r="F118" s="87"/>
      <c r="G118" s="55">
        <f>SUMIF(JournalsC!D$14:D$920,TrialBalanceC!M118,JournalsC!J$14:J$920)+SUMIF(JournalsC!E$14:E$920,TrialBalanceC!M118,JournalsC!J$14:J$920)</f>
        <v>0</v>
      </c>
      <c r="H118" s="442"/>
      <c r="I118" s="447">
        <f t="shared" si="21"/>
        <v>0</v>
      </c>
      <c r="J118" s="83"/>
      <c r="K118" s="56">
        <f t="shared" si="13"/>
        <v>0</v>
      </c>
      <c r="M118" s="196" t="str">
        <f t="shared" si="14"/>
        <v>3000/080Donations</v>
      </c>
      <c r="N118" s="78"/>
      <c r="P118" s="79"/>
      <c r="Q118" s="59"/>
      <c r="R118" s="34"/>
    </row>
    <row r="119" spans="1:18" x14ac:dyDescent="0.2">
      <c r="A119" s="393"/>
      <c r="B119" s="62" t="s">
        <v>407</v>
      </c>
      <c r="C119" s="394" t="s">
        <v>408</v>
      </c>
      <c r="D119" s="435"/>
      <c r="E119" s="434"/>
      <c r="F119" s="87"/>
      <c r="G119" s="55">
        <f>SUMIF(JournalsC!D$14:D$920,TrialBalanceC!M119,JournalsC!J$14:J$920)+SUMIF(JournalsC!E$14:E$920,TrialBalanceC!M119,JournalsC!J$14:J$920)</f>
        <v>0</v>
      </c>
      <c r="H119" s="442"/>
      <c r="I119" s="447">
        <f t="shared" si="21"/>
        <v>0</v>
      </c>
      <c r="J119" s="83"/>
      <c r="K119" s="56">
        <f t="shared" si="13"/>
        <v>0</v>
      </c>
      <c r="M119" s="196" t="str">
        <f t="shared" si="14"/>
        <v>3000/090Entertainment expenses</v>
      </c>
      <c r="N119" s="78"/>
      <c r="P119" s="79"/>
      <c r="Q119" s="59"/>
      <c r="R119" s="34"/>
    </row>
    <row r="120" spans="1:18" x14ac:dyDescent="0.2">
      <c r="A120" s="393"/>
      <c r="B120" s="64" t="s">
        <v>71</v>
      </c>
      <c r="C120" s="401" t="s">
        <v>357</v>
      </c>
      <c r="D120" s="427"/>
      <c r="E120" s="434"/>
      <c r="F120" s="87"/>
      <c r="G120" s="55">
        <f>SUMIF(JournalsC!D$14:D$920,TrialBalanceC!M120,JournalsC!J$14:J$920)+SUMIF(JournalsC!E$14:E$920,TrialBalanceC!M120,JournalsC!J$14:J$920)</f>
        <v>0</v>
      </c>
      <c r="H120" s="442"/>
      <c r="I120" s="447">
        <f t="shared" si="21"/>
        <v>0</v>
      </c>
      <c r="J120" s="83"/>
      <c r="K120" s="56">
        <f t="shared" si="13"/>
        <v>0</v>
      </c>
      <c r="M120" s="196" t="str">
        <f t="shared" si="14"/>
        <v>3000/095Fines</v>
      </c>
      <c r="N120" s="78"/>
      <c r="P120" s="79"/>
      <c r="Q120" s="59"/>
      <c r="R120" s="34"/>
    </row>
    <row r="121" spans="1:18" x14ac:dyDescent="0.2">
      <c r="A121" s="393"/>
      <c r="B121" s="62" t="s">
        <v>409</v>
      </c>
      <c r="C121" s="394" t="s">
        <v>410</v>
      </c>
      <c r="D121" s="435"/>
      <c r="E121" s="434"/>
      <c r="F121" s="87"/>
      <c r="G121" s="55">
        <f>SUMIF(JournalsC!D$14:D$920,TrialBalanceC!M121,JournalsC!J$14:J$920)+SUMIF(JournalsC!E$14:E$920,TrialBalanceC!M121,JournalsC!J$14:J$920)</f>
        <v>0</v>
      </c>
      <c r="H121" s="442"/>
      <c r="I121" s="447">
        <f t="shared" si="21"/>
        <v>0</v>
      </c>
      <c r="J121" s="83"/>
      <c r="K121" s="56">
        <f t="shared" si="13"/>
        <v>0</v>
      </c>
      <c r="M121" s="196" t="str">
        <f t="shared" si="14"/>
        <v>3000/100General expenses</v>
      </c>
      <c r="N121" s="78"/>
      <c r="P121" s="79"/>
      <c r="Q121" s="59"/>
      <c r="R121" s="34"/>
    </row>
    <row r="122" spans="1:18" x14ac:dyDescent="0.2">
      <c r="A122" s="393"/>
      <c r="B122" s="62" t="s">
        <v>328</v>
      </c>
      <c r="C122" s="395" t="s">
        <v>931</v>
      </c>
      <c r="D122" s="427"/>
      <c r="E122" s="434"/>
      <c r="F122" s="87"/>
      <c r="G122" s="55">
        <f>SUMIF(JournalsC!D$14:D$920,TrialBalanceC!M122,JournalsC!J$14:J$920)+SUMIF(JournalsC!E$14:E$920,TrialBalanceC!M122,JournalsC!J$14:J$920)</f>
        <v>0</v>
      </c>
      <c r="H122" s="442"/>
      <c r="I122" s="447">
        <f t="shared" si="21"/>
        <v>0</v>
      </c>
      <c r="J122" s="83"/>
      <c r="K122" s="56">
        <f t="shared" si="13"/>
        <v>0</v>
      </c>
      <c r="M122" s="196" t="str">
        <f t="shared" si="14"/>
        <v>3000/110Legal expenses - tax deductible</v>
      </c>
      <c r="N122" s="78"/>
      <c r="P122" s="79"/>
      <c r="Q122" s="59"/>
      <c r="R122" s="34"/>
    </row>
    <row r="123" spans="1:18" x14ac:dyDescent="0.2">
      <c r="A123" s="393"/>
      <c r="B123" s="62" t="s">
        <v>485</v>
      </c>
      <c r="C123" s="395" t="s">
        <v>932</v>
      </c>
      <c r="D123" s="427"/>
      <c r="E123" s="434"/>
      <c r="F123" s="87"/>
      <c r="G123" s="55">
        <f>SUMIF(JournalsC!D$14:D$920,TrialBalanceC!M123,JournalsC!J$14:J$920)+SUMIF(JournalsC!E$14:E$920,TrialBalanceC!M123,JournalsC!J$14:J$920)</f>
        <v>0</v>
      </c>
      <c r="H123" s="442"/>
      <c r="I123" s="447">
        <f t="shared" si="21"/>
        <v>0</v>
      </c>
      <c r="J123" s="83"/>
      <c r="K123" s="56">
        <f t="shared" si="13"/>
        <v>0</v>
      </c>
      <c r="M123" s="196" t="str">
        <f t="shared" si="14"/>
        <v>3000/111Legal expenses - non deductible</v>
      </c>
      <c r="N123" s="78"/>
      <c r="P123" s="79"/>
      <c r="Q123" s="59"/>
      <c r="R123" s="34"/>
    </row>
    <row r="124" spans="1:18" x14ac:dyDescent="0.2">
      <c r="A124" s="393"/>
      <c r="B124" s="62" t="s">
        <v>329</v>
      </c>
      <c r="C124" s="394" t="s">
        <v>330</v>
      </c>
      <c r="D124" s="435"/>
      <c r="E124" s="434"/>
      <c r="F124" s="87"/>
      <c r="G124" s="55">
        <f>SUMIF(JournalsC!D$14:D$920,TrialBalanceC!M124,JournalsC!J$14:J$920)+SUMIF(JournalsC!E$14:E$920,TrialBalanceC!M124,JournalsC!J$14:J$920)</f>
        <v>0</v>
      </c>
      <c r="H124" s="442"/>
      <c r="I124" s="447">
        <f t="shared" si="21"/>
        <v>0</v>
      </c>
      <c r="J124" s="83"/>
      <c r="K124" s="56">
        <f t="shared" si="13"/>
        <v>0</v>
      </c>
      <c r="M124" s="196" t="str">
        <f t="shared" si="14"/>
        <v>3000/120Printing and stationary</v>
      </c>
      <c r="N124" s="78"/>
      <c r="P124" s="79"/>
      <c r="Q124" s="59"/>
      <c r="R124" s="34"/>
    </row>
    <row r="125" spans="1:18" x14ac:dyDescent="0.2">
      <c r="A125" s="393"/>
      <c r="B125" s="62" t="s">
        <v>331</v>
      </c>
      <c r="C125" s="394" t="s">
        <v>293</v>
      </c>
      <c r="D125" s="435"/>
      <c r="E125" s="434"/>
      <c r="F125" s="87"/>
      <c r="G125" s="55">
        <f>SUMIF(JournalsC!D$14:D$920,TrialBalanceC!M125,JournalsC!J$14:J$920)+SUMIF(JournalsC!E$14:E$920,TrialBalanceC!M125,JournalsC!J$14:J$920)</f>
        <v>0</v>
      </c>
      <c r="H125" s="442"/>
      <c r="I125" s="447">
        <f t="shared" si="21"/>
        <v>0</v>
      </c>
      <c r="J125" s="83"/>
      <c r="K125" s="56">
        <f t="shared" si="13"/>
        <v>0</v>
      </c>
      <c r="M125" s="196" t="str">
        <f t="shared" si="14"/>
        <v>3000/130Refreshments</v>
      </c>
      <c r="N125" s="78"/>
      <c r="P125" s="79"/>
      <c r="Q125" s="59"/>
      <c r="R125" s="34"/>
    </row>
    <row r="126" spans="1:18" x14ac:dyDescent="0.2">
      <c r="A126" s="393"/>
      <c r="B126" s="62" t="s">
        <v>332</v>
      </c>
      <c r="C126" s="394" t="s">
        <v>79</v>
      </c>
      <c r="D126" s="435"/>
      <c r="E126" s="434"/>
      <c r="F126" s="87"/>
      <c r="G126" s="55">
        <f>SUMIF(JournalsC!D$14:D$920,TrialBalanceC!M126,JournalsC!J$14:J$920)+SUMIF(JournalsC!E$14:E$920,TrialBalanceC!M126,JournalsC!J$14:J$920)</f>
        <v>0</v>
      </c>
      <c r="H126" s="442"/>
      <c r="I126" s="447">
        <f t="shared" si="21"/>
        <v>0</v>
      </c>
      <c r="J126" s="83"/>
      <c r="K126" s="56">
        <f t="shared" si="13"/>
        <v>0</v>
      </c>
      <c r="M126" s="196" t="str">
        <f t="shared" si="14"/>
        <v>3000/140Salaries</v>
      </c>
      <c r="N126" s="78"/>
      <c r="P126" s="79"/>
      <c r="Q126" s="59"/>
      <c r="R126" s="34"/>
    </row>
    <row r="127" spans="1:18" x14ac:dyDescent="0.2">
      <c r="A127" s="393"/>
      <c r="B127" s="113" t="s">
        <v>333</v>
      </c>
      <c r="C127" s="394" t="s">
        <v>83</v>
      </c>
      <c r="D127" s="435"/>
      <c r="E127" s="434"/>
      <c r="F127" s="87"/>
      <c r="G127" s="55">
        <f>SUMIF(JournalsC!D$14:D$920,TrialBalanceC!M127,JournalsC!J$14:J$920)+SUMIF(JournalsC!E$14:E$920,TrialBalanceC!M127,JournalsC!J$14:J$920)</f>
        <v>0</v>
      </c>
      <c r="H127" s="442"/>
      <c r="I127" s="447">
        <f t="shared" si="21"/>
        <v>0</v>
      </c>
      <c r="J127" s="83"/>
      <c r="K127" s="56">
        <f t="shared" si="13"/>
        <v>0</v>
      </c>
      <c r="M127" s="196" t="str">
        <f t="shared" si="14"/>
        <v>3000/141Casual wages</v>
      </c>
      <c r="N127" s="78"/>
      <c r="P127" s="79"/>
      <c r="Q127" s="59"/>
      <c r="R127" s="34"/>
    </row>
    <row r="128" spans="1:18" x14ac:dyDescent="0.2">
      <c r="A128" s="393"/>
      <c r="B128" s="62" t="s">
        <v>334</v>
      </c>
      <c r="C128" s="394" t="s">
        <v>294</v>
      </c>
      <c r="D128" s="435"/>
      <c r="E128" s="434"/>
      <c r="F128" s="87"/>
      <c r="G128" s="55">
        <f>SUMIF(JournalsC!D$14:D$920,TrialBalanceC!M128,JournalsC!J$14:J$920)+SUMIF(JournalsC!E$14:E$920,TrialBalanceC!M128,JournalsC!J$14:J$920)</f>
        <v>0</v>
      </c>
      <c r="H128" s="442"/>
      <c r="I128" s="447">
        <f t="shared" si="21"/>
        <v>0</v>
      </c>
      <c r="J128" s="83"/>
      <c r="K128" s="56">
        <f t="shared" si="13"/>
        <v>0</v>
      </c>
      <c r="M128" s="196" t="str">
        <f t="shared" si="14"/>
        <v>3000/150Security</v>
      </c>
      <c r="N128" s="78"/>
      <c r="P128" s="79"/>
      <c r="Q128" s="59"/>
      <c r="R128" s="34"/>
    </row>
    <row r="129" spans="1:18" x14ac:dyDescent="0.2">
      <c r="A129" s="393"/>
      <c r="B129" s="62" t="s">
        <v>335</v>
      </c>
      <c r="C129" s="397" t="s">
        <v>875</v>
      </c>
      <c r="D129" s="437"/>
      <c r="E129" s="434"/>
      <c r="F129" s="87"/>
      <c r="G129" s="55">
        <f>SUMIF(JournalsC!D$14:D$920,TrialBalanceC!M129,JournalsC!J$14:J$920)+SUMIF(JournalsC!E$14:E$920,TrialBalanceC!M129,JournalsC!J$14:J$920)</f>
        <v>0</v>
      </c>
      <c r="H129" s="442"/>
      <c r="I129" s="447">
        <f t="shared" si="21"/>
        <v>0</v>
      </c>
      <c r="J129" s="83"/>
      <c r="K129" s="56">
        <f t="shared" si="13"/>
        <v>0</v>
      </c>
      <c r="M129" s="196" t="str">
        <f t="shared" si="14"/>
        <v>3000/160Subscriptions and membership fees</v>
      </c>
      <c r="N129" s="78"/>
      <c r="P129" s="79"/>
      <c r="Q129" s="59"/>
      <c r="R129" s="34"/>
    </row>
    <row r="130" spans="1:18" x14ac:dyDescent="0.2">
      <c r="A130" s="393"/>
      <c r="B130" s="62" t="s">
        <v>362</v>
      </c>
      <c r="C130" s="397" t="s">
        <v>933</v>
      </c>
      <c r="D130" s="435"/>
      <c r="E130" s="434"/>
      <c r="F130" s="87"/>
      <c r="G130" s="55">
        <f>SUMIF(JournalsC!D$14:D$920,TrialBalanceC!M130,JournalsC!J$14:J$920)+SUMIF(JournalsC!E$14:E$920,TrialBalanceC!M130,JournalsC!J$14:J$920)</f>
        <v>0</v>
      </c>
      <c r="H130" s="442"/>
      <c r="I130" s="447">
        <f t="shared" si="21"/>
        <v>0</v>
      </c>
      <c r="J130" s="83"/>
      <c r="K130" s="56">
        <f t="shared" si="13"/>
        <v>0</v>
      </c>
      <c r="M130" s="196" t="str">
        <f t="shared" si="14"/>
        <v>3000/170Penalties and interest - SARS</v>
      </c>
      <c r="N130" s="78"/>
      <c r="P130" s="79"/>
      <c r="Q130" s="59"/>
      <c r="R130" s="34"/>
    </row>
    <row r="131" spans="1:18" x14ac:dyDescent="0.2">
      <c r="A131" s="393"/>
      <c r="B131" s="62" t="s">
        <v>306</v>
      </c>
      <c r="C131" s="429"/>
      <c r="D131" s="434"/>
      <c r="E131" s="434"/>
      <c r="F131" s="87"/>
      <c r="G131" s="55">
        <f>SUMIF(JournalsC!D$14:D$920,TrialBalanceC!M131,JournalsC!J$14:J$920)+SUMIF(JournalsC!E$14:E$920,TrialBalanceC!M131,JournalsC!J$14:J$920)</f>
        <v>0</v>
      </c>
      <c r="H131" s="442"/>
      <c r="I131" s="447">
        <f t="shared" si="21"/>
        <v>0</v>
      </c>
      <c r="J131" s="83"/>
      <c r="K131" s="56">
        <f t="shared" si="13"/>
        <v>0</v>
      </c>
      <c r="M131" s="196" t="str">
        <f t="shared" si="14"/>
        <v>3000/180</v>
      </c>
      <c r="N131" s="78"/>
      <c r="P131" s="79"/>
      <c r="Q131" s="59"/>
      <c r="R131" s="34"/>
    </row>
    <row r="132" spans="1:18" x14ac:dyDescent="0.2">
      <c r="A132" s="393"/>
      <c r="B132" s="62" t="s">
        <v>307</v>
      </c>
      <c r="C132" s="429"/>
      <c r="D132" s="434"/>
      <c r="E132" s="434"/>
      <c r="F132" s="87"/>
      <c r="G132" s="55">
        <f>SUMIF(JournalsC!D$14:D$920,TrialBalanceC!M132,JournalsC!J$14:J$920)+SUMIF(JournalsC!E$14:E$920,TrialBalanceC!M132,JournalsC!J$14:J$920)</f>
        <v>0</v>
      </c>
      <c r="H132" s="442"/>
      <c r="I132" s="447">
        <f t="shared" si="21"/>
        <v>0</v>
      </c>
      <c r="J132" s="83"/>
      <c r="K132" s="56">
        <f t="shared" si="13"/>
        <v>0</v>
      </c>
      <c r="M132" s="196" t="str">
        <f t="shared" si="14"/>
        <v>3000/190</v>
      </c>
      <c r="N132" s="78"/>
      <c r="P132" s="79"/>
      <c r="Q132" s="59"/>
      <c r="R132" s="34"/>
    </row>
    <row r="133" spans="1:18" x14ac:dyDescent="0.2">
      <c r="A133" s="393"/>
      <c r="B133" s="62" t="s">
        <v>308</v>
      </c>
      <c r="C133" s="430"/>
      <c r="D133" s="427"/>
      <c r="E133" s="434"/>
      <c r="F133" s="87"/>
      <c r="G133" s="55">
        <f>SUMIF(JournalsC!D$14:D$920,TrialBalanceC!M133,JournalsC!J$14:J$920)+SUMIF(JournalsC!E$14:E$920,TrialBalanceC!M133,JournalsC!J$14:J$920)</f>
        <v>0</v>
      </c>
      <c r="H133" s="442"/>
      <c r="I133" s="447">
        <f t="shared" si="21"/>
        <v>0</v>
      </c>
      <c r="J133" s="83"/>
      <c r="K133" s="56">
        <f t="shared" si="13"/>
        <v>0</v>
      </c>
      <c r="M133" s="196" t="str">
        <f t="shared" si="14"/>
        <v>3000/200</v>
      </c>
      <c r="N133" s="78"/>
      <c r="P133" s="79"/>
      <c r="Q133" s="59"/>
      <c r="R133" s="34"/>
    </row>
    <row r="134" spans="1:18" x14ac:dyDescent="0.2">
      <c r="A134" s="393"/>
      <c r="B134" s="62" t="s">
        <v>309</v>
      </c>
      <c r="C134" s="430"/>
      <c r="D134" s="427"/>
      <c r="E134" s="434"/>
      <c r="F134" s="87"/>
      <c r="G134" s="55">
        <f>SUMIF(JournalsC!D$14:D$920,TrialBalanceC!M134,JournalsC!J$14:J$920)+SUMIF(JournalsC!E$14:E$920,TrialBalanceC!M134,JournalsC!J$14:J$920)</f>
        <v>0</v>
      </c>
      <c r="H134" s="442"/>
      <c r="I134" s="447">
        <f t="shared" si="21"/>
        <v>0</v>
      </c>
      <c r="J134" s="83"/>
      <c r="K134" s="56">
        <f t="shared" si="13"/>
        <v>0</v>
      </c>
      <c r="M134" s="196" t="str">
        <f t="shared" si="14"/>
        <v>3000/210</v>
      </c>
      <c r="N134" s="78"/>
      <c r="P134" s="79"/>
      <c r="Q134" s="59"/>
      <c r="R134" s="34"/>
    </row>
    <row r="135" spans="1:18" x14ac:dyDescent="0.2">
      <c r="A135" s="393"/>
      <c r="B135" s="62" t="s">
        <v>310</v>
      </c>
      <c r="C135" s="430"/>
      <c r="D135" s="427"/>
      <c r="E135" s="434"/>
      <c r="F135" s="87"/>
      <c r="G135" s="55">
        <f>SUMIF(JournalsC!D$14:D$920,TrialBalanceC!M135,JournalsC!J$14:J$920)+SUMIF(JournalsC!E$14:E$920,TrialBalanceC!M135,JournalsC!J$14:J$920)</f>
        <v>0</v>
      </c>
      <c r="H135" s="442"/>
      <c r="I135" s="447">
        <f t="shared" si="21"/>
        <v>0</v>
      </c>
      <c r="J135" s="83"/>
      <c r="K135" s="56">
        <f t="shared" si="13"/>
        <v>0</v>
      </c>
      <c r="M135" s="196" t="str">
        <f t="shared" si="14"/>
        <v>3000/220</v>
      </c>
      <c r="N135" s="78"/>
      <c r="P135" s="79"/>
      <c r="Q135" s="59"/>
      <c r="R135" s="34"/>
    </row>
    <row r="136" spans="1:18" x14ac:dyDescent="0.2">
      <c r="A136" s="393"/>
      <c r="B136" s="113" t="s">
        <v>573</v>
      </c>
      <c r="C136" s="430"/>
      <c r="D136" s="427"/>
      <c r="E136" s="434"/>
      <c r="F136" s="87"/>
      <c r="G136" s="55">
        <f>SUMIF(JournalsC!D$14:D$920,TrialBalanceC!M136,JournalsC!J$14:J$920)+SUMIF(JournalsC!E$14:E$920,TrialBalanceC!M136,JournalsC!J$14:J$920)</f>
        <v>0</v>
      </c>
      <c r="H136" s="442"/>
      <c r="I136" s="447">
        <f t="shared" si="21"/>
        <v>0</v>
      </c>
      <c r="J136" s="83"/>
      <c r="K136" s="56">
        <f t="shared" si="13"/>
        <v>0</v>
      </c>
      <c r="M136" s="196" t="str">
        <f t="shared" si="14"/>
        <v>3000/230</v>
      </c>
      <c r="N136" s="78"/>
      <c r="P136" s="79"/>
      <c r="Q136" s="59"/>
      <c r="R136" s="34"/>
    </row>
    <row r="137" spans="1:18" x14ac:dyDescent="0.2">
      <c r="A137" s="393"/>
      <c r="B137" s="113" t="s">
        <v>574</v>
      </c>
      <c r="C137" s="430"/>
      <c r="D137" s="427"/>
      <c r="E137" s="434"/>
      <c r="F137" s="87"/>
      <c r="G137" s="55">
        <f>SUMIF(JournalsC!D$14:D$920,TrialBalanceC!M137,JournalsC!J$14:J$920)+SUMIF(JournalsC!E$14:E$920,TrialBalanceC!M137,JournalsC!J$14:J$920)</f>
        <v>0</v>
      </c>
      <c r="H137" s="442"/>
      <c r="I137" s="447">
        <f t="shared" si="21"/>
        <v>0</v>
      </c>
      <c r="J137" s="83"/>
      <c r="K137" s="56">
        <f t="shared" si="13"/>
        <v>0</v>
      </c>
      <c r="M137" s="196" t="str">
        <f t="shared" si="14"/>
        <v>3000/240</v>
      </c>
      <c r="N137" s="78"/>
      <c r="P137" s="79"/>
      <c r="Q137" s="59"/>
      <c r="R137" s="34"/>
    </row>
    <row r="138" spans="1:18" x14ac:dyDescent="0.2">
      <c r="A138" s="393"/>
      <c r="B138" s="113" t="s">
        <v>575</v>
      </c>
      <c r="C138" s="430"/>
      <c r="D138" s="427"/>
      <c r="E138" s="434"/>
      <c r="F138" s="87"/>
      <c r="G138" s="55">
        <f>SUMIF(JournalsC!D$14:D$920,TrialBalanceC!M138,JournalsC!J$14:J$920)+SUMIF(JournalsC!E$14:E$920,TrialBalanceC!M138,JournalsC!J$14:J$920)</f>
        <v>0</v>
      </c>
      <c r="H138" s="442"/>
      <c r="I138" s="447">
        <f t="shared" si="21"/>
        <v>0</v>
      </c>
      <c r="J138" s="83"/>
      <c r="K138" s="56">
        <f t="shared" si="13"/>
        <v>0</v>
      </c>
      <c r="M138" s="196" t="str">
        <f t="shared" si="14"/>
        <v>3000/250</v>
      </c>
      <c r="N138" s="78"/>
      <c r="P138" s="79"/>
      <c r="Q138" s="59"/>
      <c r="R138" s="34"/>
    </row>
    <row r="139" spans="1:18" x14ac:dyDescent="0.2">
      <c r="A139" s="393"/>
      <c r="B139" s="113" t="s">
        <v>576</v>
      </c>
      <c r="C139" s="430"/>
      <c r="D139" s="427"/>
      <c r="E139" s="434"/>
      <c r="F139" s="87"/>
      <c r="G139" s="55">
        <f>SUMIF(JournalsC!D$14:D$920,TrialBalanceC!M139,JournalsC!J$14:J$920)+SUMIF(JournalsC!E$14:E$920,TrialBalanceC!M139,JournalsC!J$14:J$920)</f>
        <v>0</v>
      </c>
      <c r="H139" s="442"/>
      <c r="I139" s="447">
        <f t="shared" si="21"/>
        <v>0</v>
      </c>
      <c r="J139" s="83"/>
      <c r="K139" s="56">
        <f t="shared" ref="K139:K207" si="28">ROUND(SUM(A139),0)</f>
        <v>0</v>
      </c>
      <c r="M139" s="196" t="str">
        <f t="shared" ref="M139:M207" si="29">CONCATENATE(B139,C139)</f>
        <v>3000/260</v>
      </c>
      <c r="N139" s="78"/>
      <c r="P139" s="79"/>
      <c r="Q139" s="59"/>
      <c r="R139" s="34"/>
    </row>
    <row r="140" spans="1:18" x14ac:dyDescent="0.2">
      <c r="A140" s="393"/>
      <c r="B140" s="113" t="s">
        <v>577</v>
      </c>
      <c r="C140" s="395" t="s">
        <v>1255</v>
      </c>
      <c r="D140" s="434"/>
      <c r="E140" s="434"/>
      <c r="F140" s="87"/>
      <c r="G140" s="55">
        <f>SUMIF(JournalsC!D$14:D$920,TrialBalanceC!M140,JournalsC!J$14:J$920)+SUMIF(JournalsC!E$14:E$920,TrialBalanceC!M140,JournalsC!J$14:J$920)</f>
        <v>0</v>
      </c>
      <c r="H140" s="442"/>
      <c r="I140" s="447">
        <f t="shared" si="21"/>
        <v>0</v>
      </c>
      <c r="J140" s="83"/>
      <c r="K140" s="56">
        <f t="shared" si="28"/>
        <v>0</v>
      </c>
      <c r="M140" s="196" t="str">
        <f t="shared" si="29"/>
        <v>3000/270Amortisation of prepaid lease agreement</v>
      </c>
      <c r="N140" s="78"/>
      <c r="P140" s="79"/>
      <c r="Q140" s="59"/>
      <c r="R140" s="34"/>
    </row>
    <row r="141" spans="1:18" x14ac:dyDescent="0.2">
      <c r="A141" s="393"/>
      <c r="B141" s="113" t="s">
        <v>1257</v>
      </c>
      <c r="C141" s="397" t="s">
        <v>1258</v>
      </c>
      <c r="D141" s="434"/>
      <c r="E141" s="434"/>
      <c r="F141" s="87"/>
      <c r="G141" s="55">
        <f>SUMIF(JournalsC!D$14:D$920,TrialBalanceC!M141,JournalsC!J$14:J$920)+SUMIF(JournalsC!E$14:E$920,TrialBalanceC!M141,JournalsC!J$14:J$920)</f>
        <v>0</v>
      </c>
      <c r="H141" s="442"/>
      <c r="I141" s="447">
        <f t="shared" ref="I141" si="30">ROUND(D141-E141+G141+F141,0)</f>
        <v>0</v>
      </c>
      <c r="J141" s="83"/>
      <c r="K141" s="56">
        <f t="shared" ref="K141" si="31">ROUND(SUM(A141),0)</f>
        <v>0</v>
      </c>
      <c r="M141" s="196" t="str">
        <f t="shared" ref="M141" si="32">CONCATENATE(B141,C141)</f>
        <v>3000/280Amortisation of goodwill</v>
      </c>
      <c r="N141" s="78"/>
      <c r="P141" s="79"/>
      <c r="Q141" s="59"/>
      <c r="R141" s="34"/>
    </row>
    <row r="142" spans="1:18" x14ac:dyDescent="0.2">
      <c r="A142" s="393"/>
      <c r="B142" s="62" t="s">
        <v>336</v>
      </c>
      <c r="C142" s="396" t="s">
        <v>126</v>
      </c>
      <c r="D142" s="436"/>
      <c r="E142" s="434"/>
      <c r="F142" s="87"/>
      <c r="G142" s="55">
        <f>SUMIF(JournalsC!D$14:D$920,TrialBalanceC!M142,JournalsC!J$14:J$920)+SUMIF(JournalsC!E$14:E$920,TrialBalanceC!M142,JournalsC!J$14:J$920)</f>
        <v>0</v>
      </c>
      <c r="H142" s="442"/>
      <c r="I142" s="447">
        <f t="shared" si="21"/>
        <v>0</v>
      </c>
      <c r="J142" s="83"/>
      <c r="K142" s="56">
        <f t="shared" si="28"/>
        <v>0</v>
      </c>
      <c r="M142" s="196" t="str">
        <f t="shared" si="29"/>
        <v>4700/000FINANCE COSTS</v>
      </c>
      <c r="N142" s="78"/>
      <c r="P142" s="79"/>
      <c r="Q142" s="59"/>
      <c r="R142" s="34"/>
    </row>
    <row r="143" spans="1:18" x14ac:dyDescent="0.2">
      <c r="A143" s="393"/>
      <c r="B143" s="62" t="s">
        <v>337</v>
      </c>
      <c r="C143" s="396" t="s">
        <v>338</v>
      </c>
      <c r="D143" s="436"/>
      <c r="E143" s="434"/>
      <c r="F143" s="87"/>
      <c r="G143" s="55">
        <f>SUMIF(JournalsC!D$14:D$920,TrialBalanceC!M143,JournalsC!J$14:J$920)+SUMIF(JournalsC!E$14:E$920,TrialBalanceC!M143,JournalsC!J$14:J$920)</f>
        <v>0</v>
      </c>
      <c r="H143" s="442"/>
      <c r="I143" s="447">
        <f t="shared" si="21"/>
        <v>0</v>
      </c>
      <c r="J143" s="83"/>
      <c r="K143" s="56">
        <f t="shared" si="28"/>
        <v>0</v>
      </c>
      <c r="M143" s="196" t="str">
        <f t="shared" si="29"/>
        <v>4700/010Interest paid---------------------------</v>
      </c>
      <c r="N143" s="78"/>
      <c r="P143" s="79"/>
      <c r="Q143" s="59"/>
      <c r="R143" s="34"/>
    </row>
    <row r="144" spans="1:18" x14ac:dyDescent="0.2">
      <c r="A144" s="393"/>
      <c r="B144" s="62" t="s">
        <v>339</v>
      </c>
      <c r="C144" s="429"/>
      <c r="D144" s="434"/>
      <c r="E144" s="434"/>
      <c r="F144" s="87"/>
      <c r="G144" s="55">
        <f>SUMIF(JournalsC!D$14:D$920,TrialBalanceC!M144,JournalsC!J$14:J$920)+SUMIF(JournalsC!E$14:E$920,TrialBalanceC!M144,JournalsC!J$14:J$920)</f>
        <v>0</v>
      </c>
      <c r="H144" s="442"/>
      <c r="I144" s="447">
        <f t="shared" si="21"/>
        <v>0</v>
      </c>
      <c r="J144" s="83"/>
      <c r="K144" s="56">
        <f t="shared" si="28"/>
        <v>0</v>
      </c>
      <c r="M144" s="196" t="str">
        <f t="shared" si="29"/>
        <v>4700/011</v>
      </c>
      <c r="N144" s="78"/>
      <c r="P144" s="79"/>
      <c r="Q144" s="59"/>
      <c r="R144" s="34"/>
    </row>
    <row r="145" spans="1:18" x14ac:dyDescent="0.2">
      <c r="A145" s="393"/>
      <c r="B145" s="62" t="s">
        <v>340</v>
      </c>
      <c r="C145" s="430"/>
      <c r="D145" s="427"/>
      <c r="E145" s="434"/>
      <c r="F145" s="87"/>
      <c r="G145" s="55">
        <f>SUMIF(JournalsC!D$14:D$920,TrialBalanceC!M145,JournalsC!J$14:J$920)+SUMIF(JournalsC!E$14:E$920,TrialBalanceC!M145,JournalsC!J$14:J$920)</f>
        <v>0</v>
      </c>
      <c r="H145" s="442"/>
      <c r="I145" s="447">
        <f t="shared" si="21"/>
        <v>0</v>
      </c>
      <c r="J145" s="83"/>
      <c r="K145" s="56">
        <f t="shared" si="28"/>
        <v>0</v>
      </c>
      <c r="M145" s="196" t="str">
        <f t="shared" si="29"/>
        <v>4700/012</v>
      </c>
      <c r="N145" s="78"/>
      <c r="P145" s="79"/>
      <c r="Q145" s="59"/>
      <c r="R145" s="34"/>
    </row>
    <row r="146" spans="1:18" x14ac:dyDescent="0.2">
      <c r="A146" s="393"/>
      <c r="B146" s="62" t="s">
        <v>341</v>
      </c>
      <c r="C146" s="430"/>
      <c r="D146" s="427"/>
      <c r="E146" s="434"/>
      <c r="F146" s="87"/>
      <c r="G146" s="55">
        <f>SUMIF(JournalsC!D$14:D$920,TrialBalanceC!M146,JournalsC!J$14:J$920)+SUMIF(JournalsC!E$14:E$920,TrialBalanceC!M146,JournalsC!J$14:J$920)</f>
        <v>0</v>
      </c>
      <c r="H146" s="442"/>
      <c r="I146" s="447">
        <f t="shared" si="21"/>
        <v>0</v>
      </c>
      <c r="J146" s="83"/>
      <c r="K146" s="56">
        <f t="shared" si="28"/>
        <v>0</v>
      </c>
      <c r="M146" s="196" t="str">
        <f t="shared" si="29"/>
        <v>4700/013</v>
      </c>
      <c r="N146" s="78"/>
      <c r="P146" s="79"/>
      <c r="Q146" s="59"/>
      <c r="R146" s="34"/>
    </row>
    <row r="147" spans="1:18" x14ac:dyDescent="0.2">
      <c r="A147" s="393"/>
      <c r="B147" s="62" t="s">
        <v>342</v>
      </c>
      <c r="C147" s="430"/>
      <c r="D147" s="427"/>
      <c r="E147" s="434"/>
      <c r="F147" s="87"/>
      <c r="G147" s="55">
        <f>SUMIF(JournalsC!D$14:D$920,TrialBalanceC!M147,JournalsC!J$14:J$920)+SUMIF(JournalsC!E$14:E$920,TrialBalanceC!M147,JournalsC!J$14:J$920)</f>
        <v>0</v>
      </c>
      <c r="H147" s="442"/>
      <c r="I147" s="447">
        <f t="shared" si="21"/>
        <v>0</v>
      </c>
      <c r="J147" s="83"/>
      <c r="K147" s="56">
        <f t="shared" si="28"/>
        <v>0</v>
      </c>
      <c r="M147" s="196" t="str">
        <f t="shared" si="29"/>
        <v>4700/014</v>
      </c>
      <c r="N147" s="78"/>
      <c r="P147" s="79"/>
      <c r="Q147" s="59"/>
      <c r="R147" s="34"/>
    </row>
    <row r="148" spans="1:18" x14ac:dyDescent="0.2">
      <c r="A148" s="393"/>
      <c r="B148" s="62" t="s">
        <v>549</v>
      </c>
      <c r="C148" s="430"/>
      <c r="D148" s="427"/>
      <c r="E148" s="434"/>
      <c r="F148" s="87"/>
      <c r="G148" s="55">
        <f>SUMIF(JournalsC!D$14:D$920,TrialBalanceC!M148,JournalsC!J$14:J$920)+SUMIF(JournalsC!E$14:E$920,TrialBalanceC!M148,JournalsC!J$14:J$920)</f>
        <v>0</v>
      </c>
      <c r="H148" s="442"/>
      <c r="I148" s="447">
        <f t="shared" si="21"/>
        <v>0</v>
      </c>
      <c r="J148" s="83"/>
      <c r="K148" s="56">
        <f t="shared" si="28"/>
        <v>0</v>
      </c>
      <c r="M148" s="196" t="str">
        <f t="shared" si="29"/>
        <v>4700/015</v>
      </c>
      <c r="N148" s="78"/>
      <c r="P148" s="79"/>
      <c r="Q148" s="59"/>
      <c r="R148" s="34"/>
    </row>
    <row r="149" spans="1:18" x14ac:dyDescent="0.2">
      <c r="A149" s="393"/>
      <c r="B149" s="62" t="s">
        <v>559</v>
      </c>
      <c r="C149" s="430"/>
      <c r="D149" s="427"/>
      <c r="E149" s="434"/>
      <c r="F149" s="87"/>
      <c r="G149" s="55">
        <f>SUMIF(JournalsC!D$14:D$920,TrialBalanceC!M149,JournalsC!J$14:J$920)+SUMIF(JournalsC!E$14:E$920,TrialBalanceC!M149,JournalsC!J$14:J$920)</f>
        <v>0</v>
      </c>
      <c r="H149" s="442"/>
      <c r="I149" s="447">
        <f t="shared" si="21"/>
        <v>0</v>
      </c>
      <c r="J149" s="83"/>
      <c r="K149" s="56">
        <f t="shared" si="28"/>
        <v>0</v>
      </c>
      <c r="M149" s="196" t="str">
        <f t="shared" si="29"/>
        <v>4700/016</v>
      </c>
      <c r="N149" s="78"/>
      <c r="P149" s="79"/>
      <c r="Q149" s="59"/>
      <c r="R149" s="34"/>
    </row>
    <row r="150" spans="1:18" x14ac:dyDescent="0.2">
      <c r="A150" s="393"/>
      <c r="B150" s="113" t="s">
        <v>621</v>
      </c>
      <c r="C150" s="430"/>
      <c r="D150" s="427"/>
      <c r="E150" s="434"/>
      <c r="F150" s="87"/>
      <c r="G150" s="55">
        <f>SUMIF(JournalsC!D$14:D$920,TrialBalanceC!M150,JournalsC!J$14:J$920)+SUMIF(JournalsC!E$14:E$920,TrialBalanceC!M150,JournalsC!J$14:J$920)</f>
        <v>0</v>
      </c>
      <c r="H150" s="442"/>
      <c r="I150" s="447">
        <f t="shared" ref="I150:I152" si="33">ROUND(D150-E150+G150+F150,0)</f>
        <v>0</v>
      </c>
      <c r="J150" s="83"/>
      <c r="K150" s="56">
        <f t="shared" ref="K150:K152" si="34">ROUND(SUM(A150),0)</f>
        <v>0</v>
      </c>
      <c r="M150" s="196" t="str">
        <f t="shared" ref="M150:M152" si="35">CONCATENATE(B150,C150)</f>
        <v>4700/017</v>
      </c>
      <c r="N150" s="78"/>
      <c r="P150" s="79"/>
      <c r="Q150" s="59"/>
      <c r="R150" s="34"/>
    </row>
    <row r="151" spans="1:18" x14ac:dyDescent="0.2">
      <c r="A151" s="393"/>
      <c r="B151" s="113" t="s">
        <v>712</v>
      </c>
      <c r="C151" s="430"/>
      <c r="D151" s="427"/>
      <c r="E151" s="434"/>
      <c r="F151" s="87"/>
      <c r="G151" s="55">
        <f>SUMIF(JournalsC!D$14:D$920,TrialBalanceC!M151,JournalsC!J$14:J$920)+SUMIF(JournalsC!E$14:E$920,TrialBalanceC!M151,JournalsC!J$14:J$920)</f>
        <v>0</v>
      </c>
      <c r="H151" s="442"/>
      <c r="I151" s="447">
        <f t="shared" si="33"/>
        <v>0</v>
      </c>
      <c r="J151" s="83"/>
      <c r="K151" s="56">
        <f t="shared" si="34"/>
        <v>0</v>
      </c>
      <c r="M151" s="196" t="str">
        <f t="shared" si="35"/>
        <v>4700/018</v>
      </c>
      <c r="N151" s="78"/>
      <c r="P151" s="79"/>
      <c r="Q151" s="59"/>
      <c r="R151" s="34"/>
    </row>
    <row r="152" spans="1:18" x14ac:dyDescent="0.2">
      <c r="A152" s="393"/>
      <c r="B152" s="113" t="s">
        <v>713</v>
      </c>
      <c r="C152" s="430"/>
      <c r="D152" s="427"/>
      <c r="E152" s="434"/>
      <c r="F152" s="87"/>
      <c r="G152" s="55">
        <f>SUMIF(JournalsC!D$14:D$920,TrialBalanceC!M152,JournalsC!J$14:J$920)+SUMIF(JournalsC!E$14:E$920,TrialBalanceC!M152,JournalsC!J$14:J$920)</f>
        <v>0</v>
      </c>
      <c r="H152" s="442"/>
      <c r="I152" s="447">
        <f t="shared" si="33"/>
        <v>0</v>
      </c>
      <c r="J152" s="83"/>
      <c r="K152" s="56">
        <f t="shared" si="34"/>
        <v>0</v>
      </c>
      <c r="M152" s="196" t="str">
        <f t="shared" si="35"/>
        <v>4700/019</v>
      </c>
      <c r="N152" s="78"/>
      <c r="P152" s="79"/>
      <c r="Q152" s="59"/>
      <c r="R152" s="34"/>
    </row>
    <row r="153" spans="1:18" x14ac:dyDescent="0.2">
      <c r="A153" s="393"/>
      <c r="B153" s="113" t="s">
        <v>343</v>
      </c>
      <c r="C153" s="430"/>
      <c r="D153" s="427"/>
      <c r="E153" s="434"/>
      <c r="F153" s="87"/>
      <c r="G153" s="55">
        <f>SUMIF(JournalsC!D$14:D$920,TrialBalanceC!M153,JournalsC!J$14:J$920)+SUMIF(JournalsC!E$14:E$920,TrialBalanceC!M153,JournalsC!J$14:J$920)</f>
        <v>0</v>
      </c>
      <c r="H153" s="442"/>
      <c r="I153" s="447">
        <f t="shared" si="21"/>
        <v>0</v>
      </c>
      <c r="J153" s="83"/>
      <c r="K153" s="56">
        <f t="shared" si="28"/>
        <v>0</v>
      </c>
      <c r="M153" s="196" t="str">
        <f t="shared" si="29"/>
        <v>4700/020</v>
      </c>
      <c r="N153" s="78"/>
      <c r="P153" s="79"/>
      <c r="Q153" s="59"/>
      <c r="R153" s="34"/>
    </row>
    <row r="154" spans="1:18" x14ac:dyDescent="0.2">
      <c r="A154" s="393"/>
      <c r="B154" s="113" t="s">
        <v>714</v>
      </c>
      <c r="C154" s="394" t="str">
        <f>CONCATENATE("Finance leases - ",Criteria!H16)</f>
        <v xml:space="preserve">Finance leases - </v>
      </c>
      <c r="D154" s="435"/>
      <c r="E154" s="434"/>
      <c r="F154" s="87"/>
      <c r="G154" s="55">
        <f>SUMIF(JournalsC!D$14:D$920,TrialBalanceC!M154,JournalsC!J$14:J$920)+SUMIF(JournalsC!E$14:E$920,TrialBalanceC!M154,JournalsC!J$14:J$920)</f>
        <v>0</v>
      </c>
      <c r="H154" s="442"/>
      <c r="I154" s="447">
        <f t="shared" si="21"/>
        <v>0</v>
      </c>
      <c r="J154" s="83"/>
      <c r="K154" s="56">
        <f t="shared" si="28"/>
        <v>0</v>
      </c>
      <c r="M154" s="196" t="str">
        <f t="shared" si="29"/>
        <v xml:space="preserve">4700/021Finance leases - </v>
      </c>
      <c r="N154" s="78"/>
      <c r="P154" s="79"/>
      <c r="Q154" s="59"/>
      <c r="R154" s="34"/>
    </row>
    <row r="155" spans="1:18" x14ac:dyDescent="0.2">
      <c r="A155" s="393"/>
      <c r="B155" s="62" t="s">
        <v>486</v>
      </c>
      <c r="C155" s="396" t="s">
        <v>381</v>
      </c>
      <c r="D155" s="436"/>
      <c r="E155" s="434"/>
      <c r="F155" s="87"/>
      <c r="G155" s="55">
        <f>SUMIF(JournalsC!D$14:D$920,TrialBalanceC!M155,JournalsC!J$14:J$920)+SUMIF(JournalsC!E$14:E$920,TrialBalanceC!M155,JournalsC!J$14:J$920)</f>
        <v>0</v>
      </c>
      <c r="H155" s="442"/>
      <c r="I155" s="447">
        <f t="shared" si="21"/>
        <v>0</v>
      </c>
      <c r="J155" s="83"/>
      <c r="K155" s="56">
        <f t="shared" si="28"/>
        <v>0</v>
      </c>
      <c r="M155" s="196" t="str">
        <f t="shared" si="29"/>
        <v>4750/000OTHER</v>
      </c>
      <c r="N155" s="78"/>
      <c r="P155" s="79"/>
      <c r="Q155" s="59"/>
      <c r="R155" s="34"/>
    </row>
    <row r="156" spans="1:18" x14ac:dyDescent="0.2">
      <c r="A156" s="393"/>
      <c r="B156" s="62" t="s">
        <v>487</v>
      </c>
      <c r="C156" s="395" t="s">
        <v>1256</v>
      </c>
      <c r="D156" s="427"/>
      <c r="E156" s="434"/>
      <c r="F156" s="87"/>
      <c r="G156" s="55">
        <f>SUMIF(JournalsC!D$14:D$920,TrialBalanceC!M156,JournalsC!J$14:J$920)+SUMIF(JournalsC!E$14:E$920,TrialBalanceC!M156,JournalsC!J$14:J$920)</f>
        <v>0</v>
      </c>
      <c r="H156" s="442"/>
      <c r="I156" s="447">
        <f t="shared" si="21"/>
        <v>0</v>
      </c>
      <c r="J156" s="83"/>
      <c r="K156" s="56">
        <f t="shared" si="28"/>
        <v>0</v>
      </c>
      <c r="M156" s="196" t="str">
        <f t="shared" si="29"/>
        <v>4750/010Impairment losses</v>
      </c>
      <c r="N156" s="78"/>
      <c r="P156" s="79"/>
      <c r="Q156" s="59"/>
      <c r="R156" s="34"/>
    </row>
    <row r="157" spans="1:18" x14ac:dyDescent="0.2">
      <c r="A157" s="393"/>
      <c r="B157" s="62" t="s">
        <v>344</v>
      </c>
      <c r="C157" s="396" t="s">
        <v>345</v>
      </c>
      <c r="D157" s="436"/>
      <c r="E157" s="434"/>
      <c r="F157" s="87"/>
      <c r="G157" s="55">
        <f>SUMIF(JournalsC!D$14:D$920,TrialBalanceC!M157,JournalsC!J$14:J$920)+SUMIF(JournalsC!E$14:E$920,TrialBalanceC!M157,JournalsC!J$14:J$920)</f>
        <v>0</v>
      </c>
      <c r="H157" s="442"/>
      <c r="I157" s="447">
        <f t="shared" si="21"/>
        <v>0</v>
      </c>
      <c r="J157" s="83"/>
      <c r="K157" s="56">
        <f t="shared" si="28"/>
        <v>0</v>
      </c>
      <c r="M157" s="196" t="str">
        <f t="shared" si="29"/>
        <v>4800/000NORMAL TAXATION</v>
      </c>
      <c r="N157" s="78"/>
      <c r="P157" s="79"/>
      <c r="Q157" s="59"/>
      <c r="R157" s="34"/>
    </row>
    <row r="158" spans="1:18" x14ac:dyDescent="0.2">
      <c r="A158" s="393"/>
      <c r="B158" s="62" t="s">
        <v>346</v>
      </c>
      <c r="C158" s="394" t="s">
        <v>347</v>
      </c>
      <c r="D158" s="435"/>
      <c r="E158" s="434"/>
      <c r="F158" s="87"/>
      <c r="G158" s="55">
        <f>SUMIF(JournalsC!D$14:D$920,TrialBalanceC!M158,JournalsC!J$14:J$920)+SUMIF(JournalsC!E$14:E$920,TrialBalanceC!M158,JournalsC!J$14:J$920)</f>
        <v>0</v>
      </c>
      <c r="H158" s="442"/>
      <c r="I158" s="447">
        <f t="shared" si="21"/>
        <v>0</v>
      </c>
      <c r="J158" s="83"/>
      <c r="K158" s="56">
        <f t="shared" si="28"/>
        <v>0</v>
      </c>
      <c r="M158" s="196" t="str">
        <f t="shared" si="29"/>
        <v>4800/001Tax provided this year</v>
      </c>
      <c r="N158" s="78"/>
      <c r="P158" s="79"/>
      <c r="Q158" s="59"/>
      <c r="R158" s="34"/>
    </row>
    <row r="159" spans="1:18" x14ac:dyDescent="0.2">
      <c r="A159" s="393"/>
      <c r="B159" s="62" t="s">
        <v>348</v>
      </c>
      <c r="C159" s="394" t="s">
        <v>349</v>
      </c>
      <c r="D159" s="435"/>
      <c r="E159" s="434"/>
      <c r="F159" s="87"/>
      <c r="G159" s="55">
        <f>SUMIF(JournalsC!D$14:D$920,TrialBalanceC!M159,JournalsC!J$14:J$920)+SUMIF(JournalsC!E$14:E$920,TrialBalanceC!M159,JournalsC!J$14:J$920)</f>
        <v>0</v>
      </c>
      <c r="H159" s="442"/>
      <c r="I159" s="447">
        <f t="shared" si="21"/>
        <v>0</v>
      </c>
      <c r="J159" s="83"/>
      <c r="K159" s="56">
        <f t="shared" si="28"/>
        <v>0</v>
      </c>
      <c r="M159" s="196" t="str">
        <f t="shared" si="29"/>
        <v>4800/002Tax adjustment previous year</v>
      </c>
      <c r="N159" s="78"/>
      <c r="P159" s="79"/>
      <c r="Q159" s="59"/>
      <c r="R159" s="34"/>
    </row>
    <row r="160" spans="1:18" x14ac:dyDescent="0.2">
      <c r="A160" s="393"/>
      <c r="B160" s="62" t="s">
        <v>211</v>
      </c>
      <c r="C160" s="396" t="s">
        <v>212</v>
      </c>
      <c r="D160" s="436"/>
      <c r="E160" s="434"/>
      <c r="F160" s="87"/>
      <c r="G160" s="55">
        <f>SUMIF(JournalsC!D$14:D$920,TrialBalanceC!M160,JournalsC!J$14:J$920)+SUMIF(JournalsC!E$14:E$920,TrialBalanceC!M160,JournalsC!J$14:J$920)</f>
        <v>0</v>
      </c>
      <c r="H160" s="442"/>
      <c r="I160" s="447">
        <f t="shared" si="21"/>
        <v>0</v>
      </c>
      <c r="J160" s="83"/>
      <c r="K160" s="56">
        <f t="shared" si="28"/>
        <v>0</v>
      </c>
      <c r="M160" s="196" t="str">
        <f t="shared" si="29"/>
        <v>4820/000DEFERRED TAX</v>
      </c>
      <c r="N160" s="78"/>
      <c r="P160" s="79"/>
      <c r="Q160" s="59"/>
      <c r="R160" s="34"/>
    </row>
    <row r="161" spans="1:18" x14ac:dyDescent="0.2">
      <c r="A161" s="393"/>
      <c r="B161" s="62" t="s">
        <v>213</v>
      </c>
      <c r="C161" s="394" t="s">
        <v>214</v>
      </c>
      <c r="D161" s="435"/>
      <c r="E161" s="434"/>
      <c r="F161" s="87"/>
      <c r="G161" s="55">
        <f>SUMIF(JournalsC!D$14:D$920,TrialBalanceC!M161,JournalsC!J$14:J$920)+SUMIF(JournalsC!E$14:E$920,TrialBalanceC!M161,JournalsC!J$14:J$920)</f>
        <v>0</v>
      </c>
      <c r="H161" s="442"/>
      <c r="I161" s="447">
        <f t="shared" si="21"/>
        <v>0</v>
      </c>
      <c r="J161" s="83"/>
      <c r="K161" s="56">
        <f t="shared" si="28"/>
        <v>0</v>
      </c>
      <c r="M161" s="196" t="str">
        <f t="shared" si="29"/>
        <v>4820/001Deferred tax this year</v>
      </c>
      <c r="N161" s="78"/>
      <c r="P161" s="79"/>
      <c r="Q161" s="59"/>
      <c r="R161" s="34"/>
    </row>
    <row r="162" spans="1:18" x14ac:dyDescent="0.2">
      <c r="A162" s="393"/>
      <c r="B162" s="113" t="s">
        <v>215</v>
      </c>
      <c r="C162" s="397" t="s">
        <v>1344</v>
      </c>
      <c r="D162" s="435"/>
      <c r="E162" s="434"/>
      <c r="F162" s="87"/>
      <c r="G162" s="55">
        <f>SUMIF(JournalsC!D$14:D$920,TrialBalanceC!M162,JournalsC!J$14:J$920)+SUMIF(JournalsC!E$14:E$920,TrialBalanceC!M162,JournalsC!J$14:J$920)</f>
        <v>0</v>
      </c>
      <c r="H162" s="442"/>
      <c r="I162" s="447">
        <f t="shared" ref="I162" si="36">ROUND(D162-E162+G162+F162,0)</f>
        <v>0</v>
      </c>
      <c r="J162" s="83"/>
      <c r="K162" s="56">
        <f t="shared" ref="K162" si="37">ROUND(SUM(A162),0)</f>
        <v>0</v>
      </c>
      <c r="M162" s="196" t="str">
        <f t="shared" ref="M162" si="38">CONCATENATE(B162,C162)</f>
        <v>4820/002Deferred tax adjustment on income tax rate change</v>
      </c>
      <c r="N162" s="78"/>
      <c r="P162" s="79"/>
      <c r="Q162" s="59"/>
      <c r="R162" s="34"/>
    </row>
    <row r="163" spans="1:18" x14ac:dyDescent="0.2">
      <c r="A163" s="393"/>
      <c r="B163" s="113" t="s">
        <v>1345</v>
      </c>
      <c r="C163" s="394" t="s">
        <v>216</v>
      </c>
      <c r="D163" s="435"/>
      <c r="E163" s="434"/>
      <c r="F163" s="87"/>
      <c r="G163" s="55">
        <f>SUMIF(JournalsC!D$14:D$920,TrialBalanceC!M163,JournalsC!J$14:J$920)+SUMIF(JournalsC!E$14:E$920,TrialBalanceC!M163,JournalsC!J$14:J$920)</f>
        <v>0</v>
      </c>
      <c r="H163" s="442"/>
      <c r="I163" s="447">
        <f t="shared" si="21"/>
        <v>0</v>
      </c>
      <c r="J163" s="83"/>
      <c r="K163" s="56">
        <f t="shared" si="28"/>
        <v>0</v>
      </c>
      <c r="M163" s="196" t="str">
        <f t="shared" si="29"/>
        <v>4820/003Deferred tax adjustment previous year</v>
      </c>
      <c r="N163" s="78"/>
      <c r="P163" s="79"/>
      <c r="Q163" s="59"/>
      <c r="R163" s="34"/>
    </row>
    <row r="164" spans="1:18" x14ac:dyDescent="0.2">
      <c r="A164" s="393"/>
      <c r="B164" s="62" t="s">
        <v>217</v>
      </c>
      <c r="C164" s="397" t="s">
        <v>525</v>
      </c>
      <c r="D164" s="435"/>
      <c r="E164" s="434"/>
      <c r="F164" s="87"/>
      <c r="G164" s="55">
        <f>SUMIF(JournalsC!D$14:D$920,TrialBalanceC!M164,JournalsC!J$14:J$920)+SUMIF(JournalsC!E$14:E$920,TrialBalanceC!M164,JournalsC!J$14:J$920)</f>
        <v>0</v>
      </c>
      <c r="H164" s="442"/>
      <c r="I164" s="447">
        <f t="shared" si="21"/>
        <v>0</v>
      </c>
      <c r="J164" s="83"/>
      <c r="K164" s="56">
        <f t="shared" si="28"/>
        <v>0</v>
      </c>
      <c r="M164" s="196" t="str">
        <f t="shared" si="29"/>
        <v>4850/000Dividends declared</v>
      </c>
      <c r="N164" s="78"/>
      <c r="P164" s="79"/>
      <c r="Q164" s="59"/>
      <c r="R164" s="34"/>
    </row>
    <row r="165" spans="1:18" x14ac:dyDescent="0.2">
      <c r="A165" s="393"/>
      <c r="B165" s="62" t="s">
        <v>218</v>
      </c>
      <c r="C165" s="394" t="s">
        <v>244</v>
      </c>
      <c r="D165" s="435"/>
      <c r="E165" s="434"/>
      <c r="F165" s="87"/>
      <c r="G165" s="55">
        <f>SUMIF(JournalsC!D$14:D$920,TrialBalanceC!M165,JournalsC!J$14:J$920)+SUMIF(JournalsC!E$14:E$920,TrialBalanceC!M165,JournalsC!J$14:J$920)</f>
        <v>0</v>
      </c>
      <c r="H165" s="442"/>
      <c r="I165" s="447">
        <f t="shared" si="21"/>
        <v>0</v>
      </c>
      <c r="J165" s="83"/>
      <c r="K165" s="56">
        <f t="shared" si="28"/>
        <v>0</v>
      </c>
      <c r="M165" s="196" t="str">
        <f t="shared" si="29"/>
        <v>4860/000Dividends paid</v>
      </c>
      <c r="N165" s="78"/>
      <c r="P165" s="79"/>
      <c r="Q165" s="59"/>
      <c r="R165" s="34"/>
    </row>
    <row r="166" spans="1:18" x14ac:dyDescent="0.2">
      <c r="A166" s="393"/>
      <c r="B166" s="62" t="s">
        <v>263</v>
      </c>
      <c r="C166" s="394"/>
      <c r="D166" s="435"/>
      <c r="E166" s="434"/>
      <c r="F166" s="87"/>
      <c r="G166" s="55"/>
      <c r="H166" s="442"/>
      <c r="I166" s="447">
        <f t="shared" si="21"/>
        <v>0</v>
      </c>
      <c r="J166" s="83"/>
      <c r="K166" s="56">
        <f t="shared" si="28"/>
        <v>0</v>
      </c>
      <c r="M166" s="196" t="str">
        <f t="shared" si="29"/>
        <v/>
      </c>
      <c r="N166" s="78"/>
      <c r="P166" s="79"/>
      <c r="Q166" s="59"/>
      <c r="R166" s="34"/>
    </row>
    <row r="167" spans="1:18" x14ac:dyDescent="0.2">
      <c r="A167" s="393"/>
      <c r="B167" s="62" t="s">
        <v>263</v>
      </c>
      <c r="C167" s="394" t="s">
        <v>263</v>
      </c>
      <c r="D167" s="435"/>
      <c r="E167" s="434"/>
      <c r="F167" s="87"/>
      <c r="G167" s="55"/>
      <c r="H167" s="442"/>
      <c r="I167" s="447">
        <f t="shared" si="21"/>
        <v>0</v>
      </c>
      <c r="J167" s="83"/>
      <c r="K167" s="56">
        <f t="shared" si="28"/>
        <v>0</v>
      </c>
      <c r="M167" s="196" t="str">
        <f t="shared" si="29"/>
        <v/>
      </c>
      <c r="N167" s="78"/>
      <c r="P167" s="79"/>
      <c r="Q167" s="59"/>
      <c r="R167" s="34"/>
    </row>
    <row r="168" spans="1:18" x14ac:dyDescent="0.2">
      <c r="A168" s="393"/>
      <c r="B168" s="62" t="s">
        <v>263</v>
      </c>
      <c r="C168" s="394"/>
      <c r="D168" s="435"/>
      <c r="E168" s="434"/>
      <c r="F168" s="87"/>
      <c r="G168" s="55"/>
      <c r="H168" s="442"/>
      <c r="I168" s="447">
        <f t="shared" si="21"/>
        <v>0</v>
      </c>
      <c r="J168" s="83"/>
      <c r="K168" s="56">
        <f t="shared" si="28"/>
        <v>0</v>
      </c>
      <c r="M168" s="196" t="str">
        <f t="shared" si="29"/>
        <v/>
      </c>
      <c r="N168" s="78"/>
      <c r="P168" s="79"/>
      <c r="Q168" s="59"/>
      <c r="R168" s="34"/>
    </row>
    <row r="169" spans="1:18" x14ac:dyDescent="0.2">
      <c r="A169" s="393"/>
      <c r="B169" s="62" t="s">
        <v>539</v>
      </c>
      <c r="C169" s="396" t="s">
        <v>529</v>
      </c>
      <c r="D169" s="436"/>
      <c r="E169" s="434"/>
      <c r="F169" s="87"/>
      <c r="G169" s="55">
        <f>SUMIF(JournalsC!D$14:D$920,TrialBalanceC!M169,JournalsC!J$14:J$920)+SUMIF(JournalsC!E$14:E$920,TrialBalanceC!M169,JournalsC!J$14:J$920)</f>
        <v>0</v>
      </c>
      <c r="H169" s="442"/>
      <c r="I169" s="447">
        <f t="shared" si="21"/>
        <v>0</v>
      </c>
      <c r="J169" s="83"/>
      <c r="K169" s="56">
        <f t="shared" si="28"/>
        <v>0</v>
      </c>
      <c r="M169" s="196" t="str">
        <f t="shared" si="29"/>
        <v>5100/000SHARE CAPITAL</v>
      </c>
      <c r="N169" s="78"/>
      <c r="P169" s="79"/>
      <c r="Q169" s="59"/>
      <c r="R169" s="34"/>
    </row>
    <row r="170" spans="1:18" x14ac:dyDescent="0.2">
      <c r="A170" s="393"/>
      <c r="B170" s="62" t="s">
        <v>540</v>
      </c>
      <c r="C170" s="397" t="s">
        <v>936</v>
      </c>
      <c r="D170" s="435"/>
      <c r="E170" s="434"/>
      <c r="F170" s="87">
        <f>SUM(K170:K171)</f>
        <v>0</v>
      </c>
      <c r="G170" s="55">
        <f>SUMIF(JournalsC!D$14:D$920,TrialBalanceC!M170,JournalsC!J$14:J$920)+SUMIF(JournalsC!E$14:E$920,TrialBalanceC!M170,JournalsC!J$14:J$920)</f>
        <v>0</v>
      </c>
      <c r="H170" s="442"/>
      <c r="I170" s="447">
        <f t="shared" si="21"/>
        <v>0</v>
      </c>
      <c r="J170" s="83"/>
      <c r="K170" s="56">
        <f t="shared" si="28"/>
        <v>0</v>
      </c>
      <c r="M170" s="196" t="str">
        <f t="shared" si="29"/>
        <v>5100/001Share capital - balance b/fwd</v>
      </c>
      <c r="N170" s="78"/>
      <c r="P170" s="79"/>
      <c r="Q170" s="59"/>
      <c r="R170" s="34"/>
    </row>
    <row r="171" spans="1:18" x14ac:dyDescent="0.2">
      <c r="A171" s="393"/>
      <c r="B171" s="62" t="s">
        <v>541</v>
      </c>
      <c r="C171" s="397" t="s">
        <v>937</v>
      </c>
      <c r="D171" s="435"/>
      <c r="E171" s="434"/>
      <c r="F171" s="87"/>
      <c r="G171" s="55">
        <f>SUMIF(JournalsC!D$14:D$920,TrialBalanceC!M171,JournalsC!J$14:J$920)+SUMIF(JournalsC!E$14:E$920,TrialBalanceC!M171,JournalsC!J$14:J$920)</f>
        <v>0</v>
      </c>
      <c r="H171" s="442"/>
      <c r="I171" s="447">
        <f t="shared" si="21"/>
        <v>0</v>
      </c>
      <c r="J171" s="83"/>
      <c r="K171" s="56">
        <f t="shared" si="28"/>
        <v>0</v>
      </c>
      <c r="M171" s="196" t="str">
        <f t="shared" si="29"/>
        <v>5100/002Share capital - additions</v>
      </c>
      <c r="N171" s="78"/>
      <c r="P171" s="79"/>
      <c r="Q171" s="59"/>
      <c r="R171" s="34"/>
    </row>
    <row r="172" spans="1:18" x14ac:dyDescent="0.2">
      <c r="A172" s="393"/>
      <c r="B172" s="104" t="s">
        <v>542</v>
      </c>
      <c r="C172" s="433" t="s">
        <v>534</v>
      </c>
      <c r="D172" s="445"/>
      <c r="E172" s="434"/>
      <c r="F172" s="87"/>
      <c r="G172" s="55">
        <f>SUMIF(JournalsC!D$14:D$920,TrialBalanceC!M172,JournalsC!J$14:J$920)+SUMIF(JournalsC!E$14:E$920,TrialBalanceC!M172,JournalsC!J$14:J$920)</f>
        <v>0</v>
      </c>
      <c r="H172" s="442"/>
      <c r="I172" s="447">
        <f t="shared" ref="I172:I253" si="39">ROUND(D172-E172+G172+F172,0)</f>
        <v>0</v>
      </c>
      <c r="J172" s="83"/>
      <c r="K172" s="56">
        <f t="shared" si="28"/>
        <v>0</v>
      </c>
      <c r="M172" s="196" t="str">
        <f t="shared" si="29"/>
        <v>5110/000SHARE PREMIUM</v>
      </c>
      <c r="N172" s="78"/>
      <c r="P172" s="79"/>
      <c r="Q172" s="59"/>
      <c r="R172" s="34"/>
    </row>
    <row r="173" spans="1:18" x14ac:dyDescent="0.2">
      <c r="A173" s="393"/>
      <c r="B173" s="104" t="s">
        <v>543</v>
      </c>
      <c r="C173" s="397" t="s">
        <v>938</v>
      </c>
      <c r="D173" s="440"/>
      <c r="E173" s="434"/>
      <c r="F173" s="87">
        <f>SUM(K173:K175)</f>
        <v>0</v>
      </c>
      <c r="G173" s="55">
        <f>SUMIF(JournalsC!D$14:D$920,TrialBalanceC!M173,JournalsC!J$14:J$920)+SUMIF(JournalsC!E$14:E$920,TrialBalanceC!M173,JournalsC!J$14:J$920)</f>
        <v>0</v>
      </c>
      <c r="H173" s="442"/>
      <c r="I173" s="447">
        <f t="shared" si="39"/>
        <v>0</v>
      </c>
      <c r="J173" s="83"/>
      <c r="K173" s="56">
        <f t="shared" si="28"/>
        <v>0</v>
      </c>
      <c r="M173" s="196" t="str">
        <f t="shared" si="29"/>
        <v>5110/001Share premium - balance b/fwd</v>
      </c>
      <c r="N173" s="78"/>
      <c r="P173" s="79"/>
      <c r="Q173" s="59"/>
      <c r="R173" s="34"/>
    </row>
    <row r="174" spans="1:18" x14ac:dyDescent="0.2">
      <c r="A174" s="393"/>
      <c r="B174" s="104" t="s">
        <v>544</v>
      </c>
      <c r="C174" s="397" t="s">
        <v>939</v>
      </c>
      <c r="D174" s="440"/>
      <c r="E174" s="434"/>
      <c r="F174" s="87"/>
      <c r="G174" s="55">
        <f>SUMIF(JournalsC!D$14:D$920,TrialBalanceC!M174,JournalsC!J$14:J$920)+SUMIF(JournalsC!E$14:E$920,TrialBalanceC!M174,JournalsC!J$14:J$920)</f>
        <v>0</v>
      </c>
      <c r="H174" s="442"/>
      <c r="I174" s="447">
        <f t="shared" si="39"/>
        <v>0</v>
      </c>
      <c r="J174" s="83"/>
      <c r="K174" s="56">
        <f t="shared" si="28"/>
        <v>0</v>
      </c>
      <c r="M174" s="196" t="str">
        <f t="shared" si="29"/>
        <v>5110/002Share premium - additions</v>
      </c>
      <c r="N174" s="78"/>
      <c r="P174" s="79"/>
      <c r="Q174" s="59"/>
      <c r="R174" s="34"/>
    </row>
    <row r="175" spans="1:18" x14ac:dyDescent="0.2">
      <c r="A175" s="393"/>
      <c r="B175" s="104" t="s">
        <v>545</v>
      </c>
      <c r="C175" s="403" t="s">
        <v>546</v>
      </c>
      <c r="D175" s="440"/>
      <c r="E175" s="434"/>
      <c r="F175" s="87"/>
      <c r="G175" s="55">
        <f>SUMIF(JournalsC!D$14:D$920,TrialBalanceC!M175,JournalsC!J$14:J$920)+SUMIF(JournalsC!E$14:E$920,TrialBalanceC!M175,JournalsC!J$14:J$920)</f>
        <v>0</v>
      </c>
      <c r="H175" s="442"/>
      <c r="I175" s="447">
        <f t="shared" si="39"/>
        <v>0</v>
      </c>
      <c r="J175" s="83"/>
      <c r="K175" s="56">
        <f t="shared" si="28"/>
        <v>0</v>
      </c>
      <c r="M175" s="196" t="str">
        <f t="shared" si="29"/>
        <v>5110/003Share premium - transfer</v>
      </c>
      <c r="N175" s="78"/>
      <c r="P175" s="79"/>
      <c r="Q175" s="59"/>
      <c r="R175" s="34"/>
    </row>
    <row r="176" spans="1:18" x14ac:dyDescent="0.2">
      <c r="A176" s="393"/>
      <c r="B176" s="62" t="s">
        <v>496</v>
      </c>
      <c r="C176" s="396" t="s">
        <v>1213</v>
      </c>
      <c r="D176" s="436"/>
      <c r="E176" s="434"/>
      <c r="F176" s="87"/>
      <c r="G176" s="55">
        <f>SUMIF(JournalsC!D$14:D$920,TrialBalanceC!M176,JournalsC!J$14:J$920)+SUMIF(JournalsC!E$14:E$920,TrialBalanceC!M176,JournalsC!J$14:J$920)</f>
        <v>0</v>
      </c>
      <c r="H176" s="442"/>
      <c r="I176" s="447">
        <f t="shared" si="39"/>
        <v>0</v>
      </c>
      <c r="J176" s="83"/>
      <c r="K176" s="56">
        <f t="shared" si="28"/>
        <v>0</v>
      </c>
      <c r="M176" s="196" t="str">
        <f t="shared" si="29"/>
        <v>5120/000REVALUATION RESERVE</v>
      </c>
      <c r="N176" s="78"/>
      <c r="P176" s="79"/>
      <c r="Q176" s="59"/>
      <c r="R176" s="34"/>
    </row>
    <row r="177" spans="1:18" x14ac:dyDescent="0.2">
      <c r="A177" s="393"/>
      <c r="B177" s="62" t="s">
        <v>497</v>
      </c>
      <c r="C177" s="397" t="s">
        <v>1214</v>
      </c>
      <c r="D177" s="435"/>
      <c r="E177" s="434"/>
      <c r="F177" s="87">
        <f>SUM(K177:K179)</f>
        <v>0</v>
      </c>
      <c r="G177" s="55">
        <f>SUMIF(JournalsC!D$14:D$920,TrialBalanceC!M177,JournalsC!J$14:J$920)+SUMIF(JournalsC!E$14:E$920,TrialBalanceC!M177,JournalsC!J$14:J$920)</f>
        <v>0</v>
      </c>
      <c r="H177" s="442"/>
      <c r="I177" s="447">
        <f t="shared" si="39"/>
        <v>0</v>
      </c>
      <c r="J177" s="83"/>
      <c r="K177" s="56">
        <f t="shared" si="28"/>
        <v>0</v>
      </c>
      <c r="M177" s="196" t="str">
        <f t="shared" si="29"/>
        <v>5120/001Revaluation reserve - balance b/fwd</v>
      </c>
      <c r="N177" s="78"/>
      <c r="P177" s="79"/>
      <c r="Q177" s="59"/>
      <c r="R177" s="34"/>
    </row>
    <row r="178" spans="1:18" x14ac:dyDescent="0.2">
      <c r="A178" s="393"/>
      <c r="B178" s="62" t="s">
        <v>498</v>
      </c>
      <c r="C178" s="397" t="s">
        <v>1215</v>
      </c>
      <c r="D178" s="435"/>
      <c r="E178" s="434"/>
      <c r="F178" s="87"/>
      <c r="G178" s="55">
        <f>SUMIF(JournalsC!D$14:D$920,TrialBalanceC!M178,JournalsC!J$14:J$920)+SUMIF(JournalsC!E$14:E$920,TrialBalanceC!M178,JournalsC!J$14:J$920)</f>
        <v>0</v>
      </c>
      <c r="H178" s="442"/>
      <c r="I178" s="447">
        <f t="shared" si="39"/>
        <v>0</v>
      </c>
      <c r="J178" s="83"/>
      <c r="K178" s="56">
        <f t="shared" si="28"/>
        <v>0</v>
      </c>
      <c r="M178" s="196" t="str">
        <f t="shared" si="29"/>
        <v>5120/002Revaluation reserve - additions</v>
      </c>
      <c r="N178" s="78"/>
      <c r="P178" s="79"/>
      <c r="Q178" s="59"/>
      <c r="R178" s="34"/>
    </row>
    <row r="179" spans="1:18" x14ac:dyDescent="0.2">
      <c r="A179" s="393"/>
      <c r="B179" s="62" t="s">
        <v>499</v>
      </c>
      <c r="C179" s="397" t="s">
        <v>1216</v>
      </c>
      <c r="D179" s="435"/>
      <c r="E179" s="434"/>
      <c r="F179" s="87"/>
      <c r="G179" s="55">
        <f>SUMIF(JournalsC!D$14:D$920,TrialBalanceC!M179,JournalsC!J$14:J$920)+SUMIF(JournalsC!E$14:E$920,TrialBalanceC!M179,JournalsC!J$14:J$920)</f>
        <v>0</v>
      </c>
      <c r="H179" s="442"/>
      <c r="I179" s="447">
        <f t="shared" si="39"/>
        <v>0</v>
      </c>
      <c r="J179" s="83"/>
      <c r="K179" s="56">
        <f t="shared" si="28"/>
        <v>0</v>
      </c>
      <c r="M179" s="196" t="str">
        <f t="shared" si="29"/>
        <v>5120/003Revaluation reserve - transfer</v>
      </c>
      <c r="N179" s="78"/>
      <c r="P179" s="79"/>
      <c r="Q179" s="59"/>
      <c r="R179" s="34"/>
    </row>
    <row r="180" spans="1:18" x14ac:dyDescent="0.2">
      <c r="A180" s="393"/>
      <c r="B180" s="62" t="s">
        <v>101</v>
      </c>
      <c r="C180" s="396" t="s">
        <v>283</v>
      </c>
      <c r="D180" s="436"/>
      <c r="E180" s="434"/>
      <c r="F180" s="87"/>
      <c r="G180" s="55">
        <f>SUMIF(JournalsC!D$14:D$920,TrialBalanceC!M180,JournalsC!J$14:J$920)+SUMIF(JournalsC!E$14:E$920,TrialBalanceC!M180,JournalsC!J$14:J$920)</f>
        <v>0</v>
      </c>
      <c r="H180" s="442"/>
      <c r="I180" s="447">
        <f t="shared" si="39"/>
        <v>0</v>
      </c>
      <c r="J180" s="83"/>
      <c r="K180" s="56">
        <f t="shared" si="28"/>
        <v>0</v>
      </c>
      <c r="M180" s="196" t="str">
        <f t="shared" si="29"/>
        <v>5130/000OTHER RESERVES</v>
      </c>
      <c r="N180" s="78"/>
      <c r="P180" s="79"/>
      <c r="Q180" s="59"/>
      <c r="R180" s="34"/>
    </row>
    <row r="181" spans="1:18" x14ac:dyDescent="0.2">
      <c r="A181" s="393"/>
      <c r="B181" s="62" t="s">
        <v>284</v>
      </c>
      <c r="C181" s="397" t="s">
        <v>975</v>
      </c>
      <c r="D181" s="435"/>
      <c r="E181" s="434"/>
      <c r="F181" s="87">
        <f>SUM(K181:K183)</f>
        <v>0</v>
      </c>
      <c r="G181" s="55">
        <f>SUMIF(JournalsC!D$14:D$920,TrialBalanceC!M181,JournalsC!J$14:J$920)+SUMIF(JournalsC!E$14:E$920,TrialBalanceC!M181,JournalsC!J$14:J$920)</f>
        <v>0</v>
      </c>
      <c r="H181" s="442"/>
      <c r="I181" s="447">
        <f t="shared" si="39"/>
        <v>0</v>
      </c>
      <c r="J181" s="83"/>
      <c r="K181" s="56">
        <f t="shared" si="28"/>
        <v>0</v>
      </c>
      <c r="M181" s="196" t="str">
        <f t="shared" si="29"/>
        <v>5130/001Other reserves - Balance b/fwd</v>
      </c>
      <c r="N181" s="78"/>
      <c r="P181" s="79"/>
      <c r="Q181" s="59"/>
      <c r="R181" s="34"/>
    </row>
    <row r="182" spans="1:18" x14ac:dyDescent="0.2">
      <c r="A182" s="393"/>
      <c r="B182" s="62" t="s">
        <v>285</v>
      </c>
      <c r="C182" s="397" t="s">
        <v>941</v>
      </c>
      <c r="D182" s="435"/>
      <c r="E182" s="434"/>
      <c r="F182" s="87"/>
      <c r="G182" s="55">
        <f>SUMIF(JournalsC!D$14:D$920,TrialBalanceC!M182,JournalsC!J$14:J$920)+SUMIF(JournalsC!E$14:E$920,TrialBalanceC!M182,JournalsC!J$14:J$920)</f>
        <v>0</v>
      </c>
      <c r="H182" s="442"/>
      <c r="I182" s="447">
        <f t="shared" si="39"/>
        <v>0</v>
      </c>
      <c r="J182" s="83"/>
      <c r="K182" s="56">
        <f t="shared" si="28"/>
        <v>0</v>
      </c>
      <c r="M182" s="196" t="str">
        <f t="shared" si="29"/>
        <v>5130/002Other reserves - additions</v>
      </c>
      <c r="N182" s="78"/>
      <c r="P182" s="79"/>
      <c r="Q182" s="59"/>
      <c r="R182" s="34"/>
    </row>
    <row r="183" spans="1:18" x14ac:dyDescent="0.2">
      <c r="A183" s="393"/>
      <c r="B183" s="62" t="s">
        <v>358</v>
      </c>
      <c r="C183" s="394" t="s">
        <v>423</v>
      </c>
      <c r="D183" s="435"/>
      <c r="E183" s="434"/>
      <c r="F183" s="87"/>
      <c r="G183" s="55">
        <f>SUMIF(JournalsC!D$14:D$920,TrialBalanceC!M183,JournalsC!J$14:J$920)+SUMIF(JournalsC!E$14:E$920,TrialBalanceC!M183,JournalsC!J$14:J$920)</f>
        <v>0</v>
      </c>
      <c r="H183" s="442"/>
      <c r="I183" s="447">
        <f t="shared" si="39"/>
        <v>0</v>
      </c>
      <c r="J183" s="83"/>
      <c r="K183" s="56">
        <f t="shared" si="28"/>
        <v>0</v>
      </c>
      <c r="M183" s="196" t="str">
        <f t="shared" si="29"/>
        <v>5130/003Other reserves - transfer</v>
      </c>
      <c r="N183" s="78"/>
      <c r="P183" s="79"/>
      <c r="Q183" s="59"/>
      <c r="R183" s="34"/>
    </row>
    <row r="184" spans="1:18" x14ac:dyDescent="0.2">
      <c r="A184" s="393"/>
      <c r="B184" s="62" t="s">
        <v>424</v>
      </c>
      <c r="C184" s="396" t="s">
        <v>942</v>
      </c>
      <c r="D184" s="436"/>
      <c r="E184" s="434"/>
      <c r="F184" s="87">
        <f>K184+SUM(K5:K165)</f>
        <v>0</v>
      </c>
      <c r="G184" s="55">
        <f>SUMIF(JournalsC!D$14:D$920,TrialBalanceC!M184,JournalsC!J$14:J$920)+SUMIF(JournalsC!E$14:E$920,TrialBalanceC!M184,JournalsC!J$14:J$920)</f>
        <v>0</v>
      </c>
      <c r="H184" s="442"/>
      <c r="I184" s="447">
        <f t="shared" si="39"/>
        <v>0</v>
      </c>
      <c r="J184" s="83"/>
      <c r="K184" s="56">
        <f t="shared" si="28"/>
        <v>0</v>
      </c>
      <c r="M184" s="196" t="str">
        <f t="shared" si="29"/>
        <v>5200/000(Retained income) / Accumulated loss</v>
      </c>
      <c r="N184" s="78"/>
      <c r="P184" s="79"/>
      <c r="Q184" s="59"/>
      <c r="R184" s="34"/>
    </row>
    <row r="185" spans="1:18" x14ac:dyDescent="0.2">
      <c r="A185" s="393"/>
      <c r="B185" s="62" t="s">
        <v>143</v>
      </c>
      <c r="C185" s="396" t="s">
        <v>144</v>
      </c>
      <c r="D185" s="436"/>
      <c r="E185" s="434"/>
      <c r="F185" s="87"/>
      <c r="G185" s="55">
        <f>SUMIF(JournalsC!D$14:D$920,TrialBalanceC!M185,JournalsC!J$14:J$920)+SUMIF(JournalsC!E$14:E$920,TrialBalanceC!M185,JournalsC!J$14:J$920)</f>
        <v>0</v>
      </c>
      <c r="H185" s="442"/>
      <c r="I185" s="447">
        <f t="shared" si="39"/>
        <v>0</v>
      </c>
      <c r="J185" s="83"/>
      <c r="K185" s="56">
        <f t="shared" si="28"/>
        <v>0</v>
      </c>
      <c r="M185" s="196" t="str">
        <f t="shared" si="29"/>
        <v>5500/000LONG TERM  INTEREST LIABILITIES</v>
      </c>
      <c r="N185" s="78"/>
      <c r="P185" s="79"/>
      <c r="Q185" s="59"/>
      <c r="R185" s="34"/>
    </row>
    <row r="186" spans="1:18" x14ac:dyDescent="0.2">
      <c r="A186" s="393"/>
      <c r="B186" s="62" t="s">
        <v>145</v>
      </c>
      <c r="C186" s="429">
        <f>TrialBalance!C186</f>
        <v>0</v>
      </c>
      <c r="D186" s="434"/>
      <c r="E186" s="434"/>
      <c r="F186" s="87">
        <f>K186</f>
        <v>0</v>
      </c>
      <c r="G186" s="55">
        <f>SUMIF(JournalsC!D$14:D$920,TrialBalanceC!M186,JournalsC!J$14:J$920)+SUMIF(JournalsC!E$14:E$920,TrialBalanceC!M186,JournalsC!J$14:J$920)</f>
        <v>0</v>
      </c>
      <c r="H186" s="442"/>
      <c r="I186" s="447">
        <f t="shared" si="39"/>
        <v>0</v>
      </c>
      <c r="J186" s="83"/>
      <c r="K186" s="56">
        <f t="shared" si="28"/>
        <v>0</v>
      </c>
      <c r="M186" s="196" t="str">
        <f t="shared" si="29"/>
        <v>5500/0010</v>
      </c>
      <c r="N186" s="78"/>
      <c r="P186" s="79"/>
      <c r="Q186" s="59"/>
      <c r="R186" s="34"/>
    </row>
    <row r="187" spans="1:18" x14ac:dyDescent="0.2">
      <c r="A187" s="393"/>
      <c r="B187" s="62" t="s">
        <v>146</v>
      </c>
      <c r="C187" s="429">
        <f>TrialBalance!C187</f>
        <v>0</v>
      </c>
      <c r="D187" s="434"/>
      <c r="E187" s="434"/>
      <c r="F187" s="87">
        <f>K187</f>
        <v>0</v>
      </c>
      <c r="G187" s="55">
        <f>SUMIF(JournalsC!D$14:D$920,TrialBalanceC!M187,JournalsC!J$14:J$920)+SUMIF(JournalsC!E$14:E$920,TrialBalanceC!M187,JournalsC!J$14:J$920)</f>
        <v>0</v>
      </c>
      <c r="H187" s="442"/>
      <c r="I187" s="447">
        <f t="shared" si="39"/>
        <v>0</v>
      </c>
      <c r="J187" s="83"/>
      <c r="K187" s="56">
        <f t="shared" si="28"/>
        <v>0</v>
      </c>
      <c r="M187" s="196" t="str">
        <f t="shared" si="29"/>
        <v>5500/0020</v>
      </c>
      <c r="N187" s="78"/>
      <c r="P187" s="79"/>
      <c r="Q187" s="59"/>
      <c r="R187" s="34"/>
    </row>
    <row r="188" spans="1:18" x14ac:dyDescent="0.2">
      <c r="A188" s="393"/>
      <c r="B188" s="62" t="s">
        <v>147</v>
      </c>
      <c r="C188" s="429">
        <f>TrialBalance!C188</f>
        <v>0</v>
      </c>
      <c r="D188" s="437"/>
      <c r="E188" s="434"/>
      <c r="F188" s="87">
        <f>K188</f>
        <v>0</v>
      </c>
      <c r="G188" s="55">
        <f>SUMIF(JournalsC!D$14:D$920,TrialBalanceC!M188,JournalsC!J$14:J$920)+SUMIF(JournalsC!E$14:E$920,TrialBalanceC!M188,JournalsC!J$14:J$920)</f>
        <v>0</v>
      </c>
      <c r="H188" s="442"/>
      <c r="I188" s="447">
        <f t="shared" si="39"/>
        <v>0</v>
      </c>
      <c r="J188" s="83"/>
      <c r="K188" s="56">
        <f t="shared" si="28"/>
        <v>0</v>
      </c>
      <c r="M188" s="196" t="str">
        <f t="shared" si="29"/>
        <v>5500/0030</v>
      </c>
      <c r="N188" s="78"/>
      <c r="P188" s="79"/>
      <c r="Q188" s="59"/>
      <c r="R188" s="34"/>
    </row>
    <row r="189" spans="1:18" x14ac:dyDescent="0.2">
      <c r="A189" s="393"/>
      <c r="B189" s="62" t="s">
        <v>148</v>
      </c>
      <c r="C189" s="429">
        <f>TrialBalance!C189</f>
        <v>0</v>
      </c>
      <c r="D189" s="435"/>
      <c r="E189" s="434"/>
      <c r="F189" s="87">
        <f>K189</f>
        <v>0</v>
      </c>
      <c r="G189" s="55">
        <f>SUMIF(JournalsC!D$14:D$920,TrialBalanceC!M189,JournalsC!J$14:J$920)+SUMIF(JournalsC!E$14:E$920,TrialBalanceC!M189,JournalsC!J$14:J$920)</f>
        <v>0</v>
      </c>
      <c r="H189" s="442"/>
      <c r="I189" s="447">
        <f t="shared" si="39"/>
        <v>0</v>
      </c>
      <c r="J189" s="83"/>
      <c r="K189" s="56">
        <f t="shared" si="28"/>
        <v>0</v>
      </c>
      <c r="M189" s="196" t="str">
        <f t="shared" si="29"/>
        <v>5500/0040</v>
      </c>
      <c r="N189" s="78"/>
      <c r="P189" s="79"/>
      <c r="Q189" s="59"/>
      <c r="R189" s="34"/>
    </row>
    <row r="190" spans="1:18" x14ac:dyDescent="0.2">
      <c r="A190" s="393"/>
      <c r="B190" s="62" t="s">
        <v>149</v>
      </c>
      <c r="C190" s="429">
        <f>TrialBalance!C190</f>
        <v>0</v>
      </c>
      <c r="D190" s="435"/>
      <c r="E190" s="434"/>
      <c r="F190" s="87">
        <f>K190</f>
        <v>0</v>
      </c>
      <c r="G190" s="55">
        <f>SUMIF(JournalsC!D$14:D$920,TrialBalanceC!M190,JournalsC!J$14:J$920)+SUMIF(JournalsC!E$14:E$920,TrialBalanceC!M190,JournalsC!J$14:J$920)</f>
        <v>0</v>
      </c>
      <c r="H190" s="442"/>
      <c r="I190" s="447">
        <f t="shared" si="39"/>
        <v>0</v>
      </c>
      <c r="J190" s="83"/>
      <c r="K190" s="56">
        <f t="shared" si="28"/>
        <v>0</v>
      </c>
      <c r="M190" s="196" t="str">
        <f t="shared" si="29"/>
        <v>5500/0050</v>
      </c>
      <c r="N190" s="78"/>
      <c r="P190" s="79"/>
      <c r="Q190" s="59"/>
      <c r="R190" s="34"/>
    </row>
    <row r="191" spans="1:18" x14ac:dyDescent="0.2">
      <c r="A191" s="393"/>
      <c r="B191" s="113" t="s">
        <v>654</v>
      </c>
      <c r="C191" s="429">
        <f>TrialBalance!C191</f>
        <v>0</v>
      </c>
      <c r="D191" s="435"/>
      <c r="E191" s="434"/>
      <c r="F191" s="87">
        <f t="shared" ref="F191:F216" si="40">K191</f>
        <v>0</v>
      </c>
      <c r="G191" s="55">
        <f>SUMIF(JournalsC!D$14:D$920,TrialBalanceC!M191,JournalsC!J$14:J$920)+SUMIF(JournalsC!E$14:E$920,TrialBalanceC!M191,JournalsC!J$14:J$920)</f>
        <v>0</v>
      </c>
      <c r="H191" s="442"/>
      <c r="I191" s="447">
        <f t="shared" si="39"/>
        <v>0</v>
      </c>
      <c r="J191" s="83"/>
      <c r="K191" s="56">
        <f t="shared" si="28"/>
        <v>0</v>
      </c>
      <c r="M191" s="196" t="str">
        <f t="shared" si="29"/>
        <v>5500/0060</v>
      </c>
      <c r="N191" s="78"/>
      <c r="P191" s="79"/>
      <c r="Q191" s="59"/>
      <c r="R191" s="34"/>
    </row>
    <row r="192" spans="1:18" x14ac:dyDescent="0.2">
      <c r="A192" s="393"/>
      <c r="B192" s="113" t="s">
        <v>655</v>
      </c>
      <c r="C192" s="429">
        <f>TrialBalance!C192</f>
        <v>0</v>
      </c>
      <c r="D192" s="435"/>
      <c r="E192" s="434"/>
      <c r="F192" s="87">
        <f t="shared" si="40"/>
        <v>0</v>
      </c>
      <c r="G192" s="55">
        <f>SUMIF(JournalsC!D$14:D$920,TrialBalanceC!M192,JournalsC!J$14:J$920)+SUMIF(JournalsC!E$14:E$920,TrialBalanceC!M192,JournalsC!J$14:J$920)</f>
        <v>0</v>
      </c>
      <c r="H192" s="442"/>
      <c r="I192" s="447">
        <f t="shared" si="39"/>
        <v>0</v>
      </c>
      <c r="J192" s="83"/>
      <c r="K192" s="56">
        <f t="shared" si="28"/>
        <v>0</v>
      </c>
      <c r="M192" s="196" t="str">
        <f t="shared" si="29"/>
        <v>5500/0070</v>
      </c>
      <c r="N192" s="78"/>
      <c r="P192" s="79"/>
      <c r="Q192" s="59"/>
      <c r="R192" s="34"/>
    </row>
    <row r="193" spans="1:18" x14ac:dyDescent="0.2">
      <c r="A193" s="393"/>
      <c r="B193" s="113" t="s">
        <v>656</v>
      </c>
      <c r="C193" s="429">
        <f>TrialBalance!C193</f>
        <v>0</v>
      </c>
      <c r="D193" s="435"/>
      <c r="E193" s="434"/>
      <c r="F193" s="87">
        <f t="shared" si="40"/>
        <v>0</v>
      </c>
      <c r="G193" s="55">
        <f>SUMIF(JournalsC!D$14:D$920,TrialBalanceC!M193,JournalsC!J$14:J$920)+SUMIF(JournalsC!E$14:E$920,TrialBalanceC!M193,JournalsC!J$14:J$920)</f>
        <v>0</v>
      </c>
      <c r="H193" s="442"/>
      <c r="I193" s="447">
        <f t="shared" si="39"/>
        <v>0</v>
      </c>
      <c r="J193" s="83"/>
      <c r="K193" s="56">
        <f t="shared" si="28"/>
        <v>0</v>
      </c>
      <c r="M193" s="196" t="str">
        <f t="shared" si="29"/>
        <v>5500/0080</v>
      </c>
      <c r="N193" s="78"/>
      <c r="P193" s="79"/>
      <c r="Q193" s="59"/>
      <c r="R193" s="34"/>
    </row>
    <row r="194" spans="1:18" x14ac:dyDescent="0.2">
      <c r="A194" s="393"/>
      <c r="B194" s="113" t="s">
        <v>657</v>
      </c>
      <c r="C194" s="429">
        <f>TrialBalance!C194</f>
        <v>0</v>
      </c>
      <c r="D194" s="435"/>
      <c r="E194" s="434"/>
      <c r="F194" s="87">
        <f t="shared" si="40"/>
        <v>0</v>
      </c>
      <c r="G194" s="55">
        <f>SUMIF(JournalsC!D$14:D$920,TrialBalanceC!M194,JournalsC!J$14:J$920)+SUMIF(JournalsC!E$14:E$920,TrialBalanceC!M194,JournalsC!J$14:J$920)</f>
        <v>0</v>
      </c>
      <c r="H194" s="442"/>
      <c r="I194" s="447">
        <f t="shared" si="39"/>
        <v>0</v>
      </c>
      <c r="J194" s="83"/>
      <c r="K194" s="56">
        <f t="shared" si="28"/>
        <v>0</v>
      </c>
      <c r="M194" s="196" t="str">
        <f t="shared" si="29"/>
        <v>5500/0090</v>
      </c>
      <c r="N194" s="78"/>
      <c r="P194" s="79"/>
      <c r="Q194" s="59"/>
      <c r="R194" s="34"/>
    </row>
    <row r="195" spans="1:18" x14ac:dyDescent="0.2">
      <c r="A195" s="393"/>
      <c r="B195" s="113" t="s">
        <v>658</v>
      </c>
      <c r="C195" s="429">
        <f>TrialBalance!C195</f>
        <v>0</v>
      </c>
      <c r="D195" s="435"/>
      <c r="E195" s="434"/>
      <c r="F195" s="87">
        <f t="shared" si="40"/>
        <v>0</v>
      </c>
      <c r="G195" s="55">
        <f>SUMIF(JournalsC!D$14:D$920,TrialBalanceC!M195,JournalsC!J$14:J$920)+SUMIF(JournalsC!E$14:E$920,TrialBalanceC!M195,JournalsC!J$14:J$920)</f>
        <v>0</v>
      </c>
      <c r="H195" s="442"/>
      <c r="I195" s="447">
        <f t="shared" si="39"/>
        <v>0</v>
      </c>
      <c r="J195" s="83"/>
      <c r="K195" s="56">
        <f t="shared" si="28"/>
        <v>0</v>
      </c>
      <c r="M195" s="196" t="str">
        <f t="shared" si="29"/>
        <v>5500/0100</v>
      </c>
      <c r="N195" s="78"/>
      <c r="P195" s="79"/>
      <c r="Q195" s="59"/>
      <c r="R195" s="34"/>
    </row>
    <row r="196" spans="1:18" x14ac:dyDescent="0.2">
      <c r="A196" s="393"/>
      <c r="B196" s="113" t="s">
        <v>659</v>
      </c>
      <c r="C196" s="429">
        <f>TrialBalance!C196</f>
        <v>0</v>
      </c>
      <c r="D196" s="435"/>
      <c r="E196" s="434"/>
      <c r="F196" s="87">
        <f t="shared" si="40"/>
        <v>0</v>
      </c>
      <c r="G196" s="55">
        <f>SUMIF(JournalsC!D$14:D$920,TrialBalanceC!M196,JournalsC!J$14:J$920)+SUMIF(JournalsC!E$14:E$920,TrialBalanceC!M196,JournalsC!J$14:J$920)</f>
        <v>0</v>
      </c>
      <c r="H196" s="442"/>
      <c r="I196" s="447">
        <f t="shared" si="39"/>
        <v>0</v>
      </c>
      <c r="J196" s="83"/>
      <c r="K196" s="56">
        <f t="shared" si="28"/>
        <v>0</v>
      </c>
      <c r="M196" s="196" t="str">
        <f t="shared" si="29"/>
        <v>5500/0110</v>
      </c>
      <c r="N196" s="78"/>
      <c r="P196" s="79"/>
      <c r="Q196" s="59"/>
      <c r="R196" s="34"/>
    </row>
    <row r="197" spans="1:18" x14ac:dyDescent="0.2">
      <c r="A197" s="393"/>
      <c r="B197" s="113" t="s">
        <v>660</v>
      </c>
      <c r="C197" s="429">
        <f>TrialBalance!C197</f>
        <v>0</v>
      </c>
      <c r="D197" s="435"/>
      <c r="E197" s="434"/>
      <c r="F197" s="87">
        <f t="shared" si="40"/>
        <v>0</v>
      </c>
      <c r="G197" s="55">
        <f>SUMIF(JournalsC!D$14:D$920,TrialBalanceC!M197,JournalsC!J$14:J$920)+SUMIF(JournalsC!E$14:E$920,TrialBalanceC!M197,JournalsC!J$14:J$920)</f>
        <v>0</v>
      </c>
      <c r="H197" s="442"/>
      <c r="I197" s="447">
        <f t="shared" si="39"/>
        <v>0</v>
      </c>
      <c r="J197" s="83"/>
      <c r="K197" s="56">
        <f t="shared" si="28"/>
        <v>0</v>
      </c>
      <c r="M197" s="196" t="str">
        <f t="shared" si="29"/>
        <v>5500/0120</v>
      </c>
      <c r="N197" s="78"/>
      <c r="P197" s="79"/>
      <c r="Q197" s="59"/>
      <c r="R197" s="34"/>
    </row>
    <row r="198" spans="1:18" x14ac:dyDescent="0.2">
      <c r="A198" s="393"/>
      <c r="B198" s="113" t="s">
        <v>661</v>
      </c>
      <c r="C198" s="429">
        <f>TrialBalance!C198</f>
        <v>0</v>
      </c>
      <c r="D198" s="435"/>
      <c r="E198" s="434"/>
      <c r="F198" s="87">
        <f t="shared" ref="F198:F199" si="41">K198</f>
        <v>0</v>
      </c>
      <c r="G198" s="55">
        <f>SUMIF(JournalsC!D$14:D$920,TrialBalanceC!M198,JournalsC!J$14:J$920)+SUMIF(JournalsC!E$14:E$920,TrialBalanceC!M198,JournalsC!J$14:J$920)</f>
        <v>0</v>
      </c>
      <c r="H198" s="442"/>
      <c r="I198" s="447">
        <f t="shared" ref="I198:I199" si="42">ROUND(D198-E198+G198+F198,0)</f>
        <v>0</v>
      </c>
      <c r="J198" s="83"/>
      <c r="K198" s="56">
        <f t="shared" ref="K198:K199" si="43">ROUND(SUM(A198),0)</f>
        <v>0</v>
      </c>
      <c r="M198" s="196" t="str">
        <f t="shared" ref="M198:M199" si="44">CONCATENATE(B198,C198)</f>
        <v>5500/0130</v>
      </c>
      <c r="N198" s="78"/>
      <c r="P198" s="79"/>
      <c r="Q198" s="59"/>
      <c r="R198" s="34"/>
    </row>
    <row r="199" spans="1:18" x14ac:dyDescent="0.2">
      <c r="A199" s="393"/>
      <c r="B199" s="113" t="s">
        <v>715</v>
      </c>
      <c r="C199" s="429">
        <f>TrialBalance!C199</f>
        <v>0</v>
      </c>
      <c r="D199" s="435"/>
      <c r="E199" s="434"/>
      <c r="F199" s="87">
        <f t="shared" si="41"/>
        <v>0</v>
      </c>
      <c r="G199" s="55">
        <f>SUMIF(JournalsC!D$14:D$920,TrialBalanceC!M199,JournalsC!J$14:J$920)+SUMIF(JournalsC!E$14:E$920,TrialBalanceC!M199,JournalsC!J$14:J$920)</f>
        <v>0</v>
      </c>
      <c r="H199" s="442"/>
      <c r="I199" s="447">
        <f t="shared" si="42"/>
        <v>0</v>
      </c>
      <c r="J199" s="83"/>
      <c r="K199" s="56">
        <f t="shared" si="43"/>
        <v>0</v>
      </c>
      <c r="M199" s="196" t="str">
        <f t="shared" si="44"/>
        <v>5500/0140</v>
      </c>
      <c r="N199" s="78"/>
      <c r="P199" s="79"/>
      <c r="Q199" s="59"/>
      <c r="R199" s="34"/>
    </row>
    <row r="200" spans="1:18" x14ac:dyDescent="0.2">
      <c r="A200" s="393"/>
      <c r="B200" s="113" t="s">
        <v>716</v>
      </c>
      <c r="C200" s="429">
        <f>TrialBalance!C200</f>
        <v>0</v>
      </c>
      <c r="D200" s="435"/>
      <c r="E200" s="434"/>
      <c r="F200" s="87">
        <f t="shared" si="40"/>
        <v>0</v>
      </c>
      <c r="G200" s="55">
        <f>SUMIF(JournalsC!D$14:D$920,TrialBalanceC!M200,JournalsC!J$14:J$920)+SUMIF(JournalsC!E$14:E$920,TrialBalanceC!M200,JournalsC!J$14:J$920)</f>
        <v>0</v>
      </c>
      <c r="H200" s="442"/>
      <c r="I200" s="447">
        <f t="shared" si="39"/>
        <v>0</v>
      </c>
      <c r="J200" s="83"/>
      <c r="K200" s="56">
        <f t="shared" si="28"/>
        <v>0</v>
      </c>
      <c r="M200" s="196" t="str">
        <f t="shared" si="29"/>
        <v>5500/0150</v>
      </c>
      <c r="N200" s="78"/>
      <c r="P200" s="79"/>
      <c r="Q200" s="59"/>
      <c r="R200" s="34"/>
    </row>
    <row r="201" spans="1:18" x14ac:dyDescent="0.2">
      <c r="A201" s="393"/>
      <c r="B201" s="62" t="s">
        <v>150</v>
      </c>
      <c r="C201" s="394" t="s">
        <v>288</v>
      </c>
      <c r="D201" s="435"/>
      <c r="E201" s="434"/>
      <c r="F201" s="87">
        <f t="shared" si="40"/>
        <v>0</v>
      </c>
      <c r="G201" s="55">
        <f>SUMIF(JournalsC!D$14:D$920,TrialBalanceC!M201,JournalsC!J$14:J$920)+SUMIF(JournalsC!E$14:E$920,TrialBalanceC!M201,JournalsC!J$14:J$920)</f>
        <v>0</v>
      </c>
      <c r="H201" s="442"/>
      <c r="I201" s="447">
        <f t="shared" si="39"/>
        <v>0</v>
      </c>
      <c r="J201" s="83"/>
      <c r="K201" s="56">
        <f t="shared" si="28"/>
        <v>0</v>
      </c>
      <c r="M201" s="196" t="str">
        <f t="shared" si="29"/>
        <v>5520/000Short term portion of long term loans</v>
      </c>
      <c r="N201" s="78"/>
      <c r="P201" s="79"/>
      <c r="Q201" s="59"/>
      <c r="R201" s="34"/>
    </row>
    <row r="202" spans="1:18" x14ac:dyDescent="0.2">
      <c r="A202" s="393"/>
      <c r="B202" s="62" t="s">
        <v>152</v>
      </c>
      <c r="C202" s="396" t="s">
        <v>153</v>
      </c>
      <c r="D202" s="436"/>
      <c r="E202" s="434"/>
      <c r="F202" s="87">
        <f t="shared" si="40"/>
        <v>0</v>
      </c>
      <c r="G202" s="55">
        <f>SUMIF(JournalsC!D$14:D$920,TrialBalanceC!M202,JournalsC!J$14:J$920)+SUMIF(JournalsC!E$14:E$920,TrialBalanceC!M202,JournalsC!J$14:J$920)</f>
        <v>0</v>
      </c>
      <c r="H202" s="442"/>
      <c r="I202" s="447">
        <f t="shared" si="39"/>
        <v>0</v>
      </c>
      <c r="J202" s="83"/>
      <c r="K202" s="56">
        <f t="shared" si="28"/>
        <v>0</v>
      </c>
      <c r="M202" s="196" t="str">
        <f t="shared" si="29"/>
        <v>5550/000LONG TERM INTEREST FREE LOANS</v>
      </c>
      <c r="N202" s="78"/>
      <c r="P202" s="79"/>
      <c r="Q202" s="59"/>
      <c r="R202" s="34"/>
    </row>
    <row r="203" spans="1:18" x14ac:dyDescent="0.2">
      <c r="A203" s="393"/>
      <c r="B203" s="62" t="s">
        <v>154</v>
      </c>
      <c r="C203" s="429">
        <f>TrialBalance!C203</f>
        <v>0</v>
      </c>
      <c r="D203" s="437"/>
      <c r="E203" s="434"/>
      <c r="F203" s="87">
        <f t="shared" si="40"/>
        <v>0</v>
      </c>
      <c r="G203" s="55">
        <f>SUMIF(JournalsC!D$14:D$920,TrialBalanceC!M203,JournalsC!J$14:J$920)+SUMIF(JournalsC!E$14:E$920,TrialBalanceC!M203,JournalsC!J$14:J$920)</f>
        <v>0</v>
      </c>
      <c r="H203" s="442"/>
      <c r="I203" s="411">
        <f t="shared" si="39"/>
        <v>0</v>
      </c>
      <c r="J203" s="114"/>
      <c r="K203" s="56">
        <f t="shared" si="28"/>
        <v>0</v>
      </c>
      <c r="M203" s="196" t="str">
        <f t="shared" si="29"/>
        <v>5550/0010</v>
      </c>
      <c r="N203" s="78"/>
      <c r="P203" s="79"/>
      <c r="Q203" s="59"/>
      <c r="R203" s="34"/>
    </row>
    <row r="204" spans="1:18" x14ac:dyDescent="0.2">
      <c r="A204" s="393"/>
      <c r="B204" s="62" t="s">
        <v>155</v>
      </c>
      <c r="C204" s="429">
        <f>TrialBalance!C204</f>
        <v>0</v>
      </c>
      <c r="D204" s="437"/>
      <c r="E204" s="434"/>
      <c r="F204" s="87">
        <f t="shared" si="40"/>
        <v>0</v>
      </c>
      <c r="G204" s="55">
        <f>SUMIF(JournalsC!D$14:D$920,TrialBalanceC!M204,JournalsC!J$14:J$920)+SUMIF(JournalsC!E$14:E$920,TrialBalanceC!M204,JournalsC!J$14:J$920)</f>
        <v>0</v>
      </c>
      <c r="H204" s="442"/>
      <c r="I204" s="447">
        <f t="shared" si="39"/>
        <v>0</v>
      </c>
      <c r="J204" s="83"/>
      <c r="K204" s="56">
        <f t="shared" si="28"/>
        <v>0</v>
      </c>
      <c r="M204" s="196" t="str">
        <f t="shared" si="29"/>
        <v>5550/0020</v>
      </c>
      <c r="N204" s="78"/>
      <c r="P204" s="79"/>
      <c r="Q204" s="59"/>
      <c r="R204" s="34"/>
    </row>
    <row r="205" spans="1:18" x14ac:dyDescent="0.2">
      <c r="A205" s="393"/>
      <c r="B205" s="62" t="s">
        <v>156</v>
      </c>
      <c r="C205" s="429">
        <f>TrialBalance!C205</f>
        <v>0</v>
      </c>
      <c r="D205" s="437"/>
      <c r="E205" s="434"/>
      <c r="F205" s="87">
        <f t="shared" si="40"/>
        <v>0</v>
      </c>
      <c r="G205" s="55">
        <f>SUMIF(JournalsC!D$14:D$920,TrialBalanceC!M205,JournalsC!J$14:J$920)+SUMIF(JournalsC!E$14:E$920,TrialBalanceC!M205,JournalsC!J$14:J$920)</f>
        <v>0</v>
      </c>
      <c r="H205" s="442"/>
      <c r="I205" s="411">
        <f t="shared" si="39"/>
        <v>0</v>
      </c>
      <c r="J205" s="114"/>
      <c r="K205" s="56">
        <f t="shared" si="28"/>
        <v>0</v>
      </c>
      <c r="M205" s="196" t="str">
        <f t="shared" si="29"/>
        <v>5550/0030</v>
      </c>
      <c r="N205" s="78"/>
      <c r="P205" s="79"/>
      <c r="Q205" s="59"/>
      <c r="R205" s="34"/>
    </row>
    <row r="206" spans="1:18" x14ac:dyDescent="0.2">
      <c r="A206" s="393"/>
      <c r="B206" s="62" t="s">
        <v>157</v>
      </c>
      <c r="C206" s="429">
        <f>TrialBalance!C206</f>
        <v>0</v>
      </c>
      <c r="D206" s="437"/>
      <c r="E206" s="434"/>
      <c r="F206" s="87">
        <f t="shared" si="40"/>
        <v>0</v>
      </c>
      <c r="G206" s="55">
        <f>SUMIF(JournalsC!D$14:D$920,TrialBalanceC!M206,JournalsC!J$14:J$920)+SUMIF(JournalsC!E$14:E$920,TrialBalanceC!M206,JournalsC!J$14:J$920)</f>
        <v>0</v>
      </c>
      <c r="H206" s="442"/>
      <c r="I206" s="411">
        <f t="shared" si="39"/>
        <v>0</v>
      </c>
      <c r="J206" s="114"/>
      <c r="K206" s="56">
        <f t="shared" si="28"/>
        <v>0</v>
      </c>
      <c r="M206" s="196" t="str">
        <f t="shared" si="29"/>
        <v>5550/0040</v>
      </c>
      <c r="N206" s="78"/>
      <c r="P206" s="79"/>
      <c r="Q206" s="59"/>
      <c r="R206" s="34"/>
    </row>
    <row r="207" spans="1:18" x14ac:dyDescent="0.2">
      <c r="A207" s="393"/>
      <c r="B207" s="62" t="s">
        <v>158</v>
      </c>
      <c r="C207" s="429">
        <f>TrialBalance!C207</f>
        <v>0</v>
      </c>
      <c r="D207" s="434"/>
      <c r="E207" s="434"/>
      <c r="F207" s="87">
        <f t="shared" si="40"/>
        <v>0</v>
      </c>
      <c r="G207" s="55">
        <f>SUMIF(JournalsC!D$14:D$920,TrialBalanceC!M207,JournalsC!J$14:J$920)+SUMIF(JournalsC!E$14:E$920,TrialBalanceC!M207,JournalsC!J$14:J$920)</f>
        <v>0</v>
      </c>
      <c r="H207" s="442"/>
      <c r="I207" s="447">
        <f t="shared" si="39"/>
        <v>0</v>
      </c>
      <c r="J207" s="83"/>
      <c r="K207" s="56">
        <f t="shared" si="28"/>
        <v>0</v>
      </c>
      <c r="M207" s="196" t="str">
        <f t="shared" si="29"/>
        <v>5550/0050</v>
      </c>
      <c r="N207" s="78"/>
      <c r="P207" s="79"/>
      <c r="Q207" s="59"/>
      <c r="R207" s="34"/>
    </row>
    <row r="208" spans="1:18" x14ac:dyDescent="0.2">
      <c r="A208" s="393"/>
      <c r="B208" s="113" t="s">
        <v>684</v>
      </c>
      <c r="C208" s="429">
        <f>TrialBalance!C208</f>
        <v>0</v>
      </c>
      <c r="D208" s="437"/>
      <c r="E208" s="434"/>
      <c r="F208" s="87">
        <f t="shared" si="40"/>
        <v>0</v>
      </c>
      <c r="G208" s="55">
        <f>SUMIF(JournalsC!D$14:D$920,TrialBalanceC!M208,JournalsC!J$14:J$920)+SUMIF(JournalsC!E$14:E$920,TrialBalanceC!M208,JournalsC!J$14:J$920)</f>
        <v>0</v>
      </c>
      <c r="H208" s="442"/>
      <c r="I208" s="411">
        <f t="shared" si="39"/>
        <v>0</v>
      </c>
      <c r="J208" s="114"/>
      <c r="K208" s="56">
        <f t="shared" ref="K208:K283" si="45">ROUND(SUM(A208),0)</f>
        <v>0</v>
      </c>
      <c r="M208" s="196" t="str">
        <f t="shared" ref="M208:M283" si="46">CONCATENATE(B208,C208)</f>
        <v>5550/0060</v>
      </c>
      <c r="N208" s="78"/>
      <c r="P208" s="79"/>
      <c r="Q208" s="59"/>
      <c r="R208" s="34"/>
    </row>
    <row r="209" spans="1:18" x14ac:dyDescent="0.2">
      <c r="A209" s="393"/>
      <c r="B209" s="113" t="s">
        <v>685</v>
      </c>
      <c r="C209" s="429">
        <f>TrialBalance!C209</f>
        <v>0</v>
      </c>
      <c r="D209" s="434"/>
      <c r="E209" s="434"/>
      <c r="F209" s="87">
        <f t="shared" si="40"/>
        <v>0</v>
      </c>
      <c r="G209" s="55">
        <f>SUMIF(JournalsC!D$14:D$920,TrialBalanceC!M209,JournalsC!J$14:J$920)+SUMIF(JournalsC!E$14:E$920,TrialBalanceC!M209,JournalsC!J$14:J$920)</f>
        <v>0</v>
      </c>
      <c r="H209" s="442"/>
      <c r="I209" s="411">
        <f t="shared" si="39"/>
        <v>0</v>
      </c>
      <c r="J209" s="114"/>
      <c r="K209" s="56">
        <f t="shared" si="45"/>
        <v>0</v>
      </c>
      <c r="M209" s="196" t="str">
        <f t="shared" si="46"/>
        <v>5550/0070</v>
      </c>
      <c r="N209" s="78"/>
      <c r="P209" s="79"/>
      <c r="Q209" s="59"/>
      <c r="R209" s="34"/>
    </row>
    <row r="210" spans="1:18" x14ac:dyDescent="0.2">
      <c r="A210" s="393"/>
      <c r="B210" s="113" t="s">
        <v>686</v>
      </c>
      <c r="C210" s="429">
        <f>TrialBalance!C210</f>
        <v>0</v>
      </c>
      <c r="D210" s="434"/>
      <c r="E210" s="434"/>
      <c r="F210" s="87">
        <f t="shared" si="40"/>
        <v>0</v>
      </c>
      <c r="G210" s="55">
        <f>SUMIF(JournalsC!D$14:D$920,TrialBalanceC!M210,JournalsC!J$14:J$920)+SUMIF(JournalsC!E$14:E$920,TrialBalanceC!M210,JournalsC!J$14:J$920)</f>
        <v>0</v>
      </c>
      <c r="H210" s="442"/>
      <c r="I210" s="447">
        <f t="shared" si="39"/>
        <v>0</v>
      </c>
      <c r="J210" s="83"/>
      <c r="K210" s="56">
        <f t="shared" si="45"/>
        <v>0</v>
      </c>
      <c r="M210" s="196" t="str">
        <f t="shared" si="46"/>
        <v>5550/0080</v>
      </c>
      <c r="N210" s="78"/>
      <c r="P210" s="79"/>
      <c r="Q210" s="59"/>
      <c r="R210" s="34"/>
    </row>
    <row r="211" spans="1:18" x14ac:dyDescent="0.2">
      <c r="A211" s="393"/>
      <c r="B211" s="113" t="s">
        <v>687</v>
      </c>
      <c r="C211" s="429">
        <f>TrialBalance!C211</f>
        <v>0</v>
      </c>
      <c r="D211" s="439"/>
      <c r="E211" s="434"/>
      <c r="F211" s="87">
        <f t="shared" si="40"/>
        <v>0</v>
      </c>
      <c r="G211" s="55">
        <f>SUMIF(JournalsC!D$14:D$920,TrialBalanceC!M211,JournalsC!J$14:J$920)+SUMIF(JournalsC!E$14:E$920,TrialBalanceC!M211,JournalsC!J$14:J$920)</f>
        <v>0</v>
      </c>
      <c r="H211" s="442"/>
      <c r="I211" s="411">
        <f t="shared" si="39"/>
        <v>0</v>
      </c>
      <c r="J211" s="114"/>
      <c r="K211" s="56">
        <f t="shared" si="45"/>
        <v>0</v>
      </c>
      <c r="M211" s="196" t="str">
        <f t="shared" si="46"/>
        <v>5550/0090</v>
      </c>
      <c r="N211" s="78"/>
      <c r="P211" s="79"/>
      <c r="Q211" s="59"/>
      <c r="R211" s="34"/>
    </row>
    <row r="212" spans="1:18" x14ac:dyDescent="0.2">
      <c r="A212" s="393"/>
      <c r="B212" s="113" t="s">
        <v>709</v>
      </c>
      <c r="C212" s="429">
        <f>TrialBalance!C212</f>
        <v>0</v>
      </c>
      <c r="D212" s="441"/>
      <c r="E212" s="434"/>
      <c r="F212" s="87">
        <f t="shared" si="40"/>
        <v>0</v>
      </c>
      <c r="G212" s="55">
        <f>SUMIF(JournalsC!D$14:D$920,TrialBalanceC!M212,JournalsC!J$14:J$920)+SUMIF(JournalsC!E$14:E$920,TrialBalanceC!M212,JournalsC!J$14:J$920)</f>
        <v>0</v>
      </c>
      <c r="H212" s="442"/>
      <c r="I212" s="447">
        <f t="shared" si="39"/>
        <v>0</v>
      </c>
      <c r="J212" s="83"/>
      <c r="K212" s="56">
        <f t="shared" si="45"/>
        <v>0</v>
      </c>
      <c r="M212" s="196" t="str">
        <f t="shared" si="46"/>
        <v>5550/0100</v>
      </c>
      <c r="N212" s="78"/>
      <c r="P212" s="79"/>
      <c r="Q212" s="59"/>
      <c r="R212" s="34"/>
    </row>
    <row r="213" spans="1:18" x14ac:dyDescent="0.2">
      <c r="A213" s="393"/>
      <c r="B213" s="113" t="s">
        <v>722</v>
      </c>
      <c r="C213" s="429">
        <f>TrialBalance!C213</f>
        <v>0</v>
      </c>
      <c r="D213" s="441"/>
      <c r="E213" s="434"/>
      <c r="F213" s="87">
        <f t="shared" si="40"/>
        <v>0</v>
      </c>
      <c r="G213" s="55">
        <f>SUMIF(JournalsC!D$14:D$920,TrialBalanceC!M213,JournalsC!J$14:J$920)+SUMIF(JournalsC!E$14:E$920,TrialBalanceC!M213,JournalsC!J$14:J$920)</f>
        <v>0</v>
      </c>
      <c r="H213" s="442"/>
      <c r="I213" s="447">
        <f t="shared" si="39"/>
        <v>0</v>
      </c>
      <c r="J213" s="83"/>
      <c r="K213" s="56">
        <f t="shared" si="45"/>
        <v>0</v>
      </c>
      <c r="M213" s="196" t="str">
        <f t="shared" si="46"/>
        <v>5550/0110</v>
      </c>
      <c r="N213" s="78"/>
      <c r="P213" s="79"/>
      <c r="Q213" s="59"/>
      <c r="R213" s="34"/>
    </row>
    <row r="214" spans="1:18" x14ac:dyDescent="0.2">
      <c r="A214" s="393"/>
      <c r="B214" s="113" t="s">
        <v>723</v>
      </c>
      <c r="C214" s="429">
        <f>TrialBalance!C214</f>
        <v>0</v>
      </c>
      <c r="D214" s="441"/>
      <c r="E214" s="434"/>
      <c r="F214" s="87">
        <f t="shared" si="40"/>
        <v>0</v>
      </c>
      <c r="G214" s="55">
        <f>SUMIF(JournalsC!D$14:D$920,TrialBalanceC!M214,JournalsC!J$14:J$920)+SUMIF(JournalsC!E$14:E$920,TrialBalanceC!M214,JournalsC!J$14:J$920)</f>
        <v>0</v>
      </c>
      <c r="H214" s="442"/>
      <c r="I214" s="447">
        <f t="shared" si="39"/>
        <v>0</v>
      </c>
      <c r="J214" s="83"/>
      <c r="K214" s="56">
        <f t="shared" si="45"/>
        <v>0</v>
      </c>
      <c r="M214" s="196" t="str">
        <f t="shared" si="46"/>
        <v>5550/0120</v>
      </c>
      <c r="N214" s="78"/>
      <c r="P214" s="79"/>
      <c r="Q214" s="59"/>
      <c r="R214" s="34"/>
    </row>
    <row r="215" spans="1:18" x14ac:dyDescent="0.2">
      <c r="A215" s="393"/>
      <c r="B215" s="113" t="s">
        <v>724</v>
      </c>
      <c r="C215" s="429">
        <f>TrialBalance!C215</f>
        <v>0</v>
      </c>
      <c r="D215" s="441"/>
      <c r="E215" s="434"/>
      <c r="F215" s="87">
        <f t="shared" si="40"/>
        <v>0</v>
      </c>
      <c r="G215" s="55">
        <f>SUMIF(JournalsC!D$14:D$920,TrialBalanceC!M215,JournalsC!J$14:J$920)+SUMIF(JournalsC!E$14:E$920,TrialBalanceC!M215,JournalsC!J$14:J$920)</f>
        <v>0</v>
      </c>
      <c r="H215" s="442"/>
      <c r="I215" s="447">
        <f t="shared" si="39"/>
        <v>0</v>
      </c>
      <c r="J215" s="83"/>
      <c r="K215" s="56">
        <f t="shared" si="45"/>
        <v>0</v>
      </c>
      <c r="M215" s="196" t="str">
        <f t="shared" si="46"/>
        <v>5550/0130</v>
      </c>
      <c r="N215" s="78"/>
      <c r="P215" s="79"/>
      <c r="Q215" s="59"/>
      <c r="R215" s="34"/>
    </row>
    <row r="216" spans="1:18" x14ac:dyDescent="0.2">
      <c r="A216" s="393"/>
      <c r="B216" s="113" t="s">
        <v>725</v>
      </c>
      <c r="C216" s="429">
        <f>TrialBalance!C216</f>
        <v>0</v>
      </c>
      <c r="D216" s="436"/>
      <c r="E216" s="434"/>
      <c r="F216" s="87">
        <f t="shared" si="40"/>
        <v>0</v>
      </c>
      <c r="G216" s="55">
        <f>SUMIF(JournalsC!D$14:D$920,TrialBalanceC!M216,JournalsC!J$14:J$920)+SUMIF(JournalsC!E$14:E$920,TrialBalanceC!M216,JournalsC!J$14:J$920)</f>
        <v>0</v>
      </c>
      <c r="H216" s="442"/>
      <c r="I216" s="447">
        <f t="shared" si="39"/>
        <v>0</v>
      </c>
      <c r="J216" s="83"/>
      <c r="K216" s="56">
        <f t="shared" si="45"/>
        <v>0</v>
      </c>
      <c r="M216" s="196" t="str">
        <f t="shared" si="46"/>
        <v>5550/0140</v>
      </c>
      <c r="N216" s="78"/>
      <c r="P216" s="79"/>
      <c r="Q216" s="59"/>
      <c r="R216" s="34"/>
    </row>
    <row r="217" spans="1:18" x14ac:dyDescent="0.2">
      <c r="A217" s="393"/>
      <c r="B217" s="113" t="s">
        <v>726</v>
      </c>
      <c r="C217" s="429">
        <f>TrialBalance!C217</f>
        <v>0</v>
      </c>
      <c r="D217" s="435"/>
      <c r="E217" s="434"/>
      <c r="F217" s="87">
        <f>K217</f>
        <v>0</v>
      </c>
      <c r="G217" s="55">
        <f>SUMIF(JournalsC!D$14:D$920,TrialBalanceC!M217,JournalsC!J$14:J$920)+SUMIF(JournalsC!E$14:E$920,TrialBalanceC!M217,JournalsC!J$14:J$920)</f>
        <v>0</v>
      </c>
      <c r="H217" s="442"/>
      <c r="I217" s="447">
        <f t="shared" si="39"/>
        <v>0</v>
      </c>
      <c r="J217" s="83"/>
      <c r="K217" s="56">
        <f t="shared" si="45"/>
        <v>0</v>
      </c>
      <c r="M217" s="196" t="str">
        <f t="shared" si="46"/>
        <v>5550/0150</v>
      </c>
      <c r="N217" s="78"/>
      <c r="P217" s="79"/>
      <c r="Q217" s="59"/>
      <c r="R217" s="34"/>
    </row>
    <row r="218" spans="1:18" x14ac:dyDescent="0.2">
      <c r="A218" s="393"/>
      <c r="B218" s="113" t="s">
        <v>727</v>
      </c>
      <c r="C218" s="429">
        <f>TrialBalance!C218</f>
        <v>0</v>
      </c>
      <c r="D218" s="427"/>
      <c r="E218" s="434"/>
      <c r="F218" s="87">
        <f>K218</f>
        <v>0</v>
      </c>
      <c r="G218" s="55">
        <f>SUMIF(JournalsC!D$14:D$920,TrialBalanceC!M218,JournalsC!J$14:J$920)+SUMIF(JournalsC!E$14:E$920,TrialBalanceC!M218,JournalsC!J$14:J$920)</f>
        <v>0</v>
      </c>
      <c r="H218" s="442"/>
      <c r="I218" s="447">
        <f t="shared" si="39"/>
        <v>0</v>
      </c>
      <c r="J218" s="83"/>
      <c r="K218" s="56">
        <f t="shared" si="45"/>
        <v>0</v>
      </c>
      <c r="M218" s="196" t="str">
        <f t="shared" si="46"/>
        <v>5550/0160</v>
      </c>
      <c r="N218" s="78"/>
      <c r="P218" s="79"/>
      <c r="Q218" s="59"/>
      <c r="R218" s="34"/>
    </row>
    <row r="219" spans="1:18" x14ac:dyDescent="0.2">
      <c r="A219" s="393"/>
      <c r="B219" s="113" t="s">
        <v>728</v>
      </c>
      <c r="C219" s="429">
        <f>TrialBalance!C219</f>
        <v>0</v>
      </c>
      <c r="D219" s="439"/>
      <c r="E219" s="434"/>
      <c r="F219" s="87">
        <f>K219</f>
        <v>0</v>
      </c>
      <c r="G219" s="55">
        <f>SUMIF(JournalsC!D$14:D$920,TrialBalanceC!M219,JournalsC!J$14:J$920)+SUMIF(JournalsC!E$14:E$920,TrialBalanceC!M219,JournalsC!J$14:J$920)</f>
        <v>0</v>
      </c>
      <c r="H219" s="442"/>
      <c r="I219" s="447">
        <f t="shared" si="39"/>
        <v>0</v>
      </c>
      <c r="J219" s="83"/>
      <c r="K219" s="56">
        <f t="shared" si="45"/>
        <v>0</v>
      </c>
      <c r="M219" s="196" t="str">
        <f t="shared" si="46"/>
        <v>5550/0170</v>
      </c>
      <c r="N219" s="78"/>
      <c r="P219" s="79"/>
      <c r="Q219" s="59"/>
      <c r="R219" s="34"/>
    </row>
    <row r="220" spans="1:18" x14ac:dyDescent="0.2">
      <c r="A220" s="393"/>
      <c r="B220" s="62" t="s">
        <v>159</v>
      </c>
      <c r="C220" s="394" t="s">
        <v>212</v>
      </c>
      <c r="D220" s="435"/>
      <c r="E220" s="434"/>
      <c r="F220" s="87"/>
      <c r="G220" s="55">
        <f>SUMIF(JournalsC!D$14:D$920,TrialBalanceC!M220,JournalsC!J$14:J$920)+SUMIF(JournalsC!E$14:E$920,TrialBalanceC!M220,JournalsC!J$14:J$920)</f>
        <v>0</v>
      </c>
      <c r="H220" s="442"/>
      <c r="I220" s="447">
        <f t="shared" si="39"/>
        <v>0</v>
      </c>
      <c r="J220" s="83"/>
      <c r="K220" s="56">
        <f t="shared" si="45"/>
        <v>0</v>
      </c>
      <c r="M220" s="196" t="str">
        <f t="shared" si="46"/>
        <v>5700/000DEFERRED TAX</v>
      </c>
      <c r="N220" s="78"/>
      <c r="P220" s="79"/>
      <c r="Q220" s="59"/>
      <c r="R220" s="34"/>
    </row>
    <row r="221" spans="1:18" x14ac:dyDescent="0.2">
      <c r="A221" s="393"/>
      <c r="B221" s="62" t="s">
        <v>160</v>
      </c>
      <c r="C221" s="397" t="s">
        <v>569</v>
      </c>
      <c r="D221" s="437"/>
      <c r="E221" s="434"/>
      <c r="F221" s="87">
        <f>K221+K223+K225+K227</f>
        <v>0</v>
      </c>
      <c r="G221" s="55">
        <f>SUMIF(JournalsC!D$14:D$920,TrialBalanceC!M221,JournalsC!J$14:J$920)+SUMIF(JournalsC!E$14:E$920,TrialBalanceC!M221,JournalsC!J$14:J$920)</f>
        <v>0</v>
      </c>
      <c r="H221" s="442"/>
      <c r="I221" s="447">
        <f t="shared" si="39"/>
        <v>0</v>
      </c>
      <c r="J221" s="83"/>
      <c r="K221" s="56">
        <f t="shared" si="45"/>
        <v>0</v>
      </c>
      <c r="M221" s="196" t="str">
        <f t="shared" si="46"/>
        <v>5700/010Deferred tax balance  depreciation b/fwd</v>
      </c>
      <c r="N221" s="78"/>
      <c r="P221" s="79"/>
      <c r="Q221" s="59"/>
      <c r="R221" s="34"/>
    </row>
    <row r="222" spans="1:18" x14ac:dyDescent="0.2">
      <c r="A222" s="393"/>
      <c r="B222" s="113" t="s">
        <v>688</v>
      </c>
      <c r="C222" s="397" t="s">
        <v>570</v>
      </c>
      <c r="D222" s="437"/>
      <c r="E222" s="434"/>
      <c r="F222" s="87">
        <f>K222+K224+K226+K228</f>
        <v>0</v>
      </c>
      <c r="G222" s="55">
        <f>SUMIF(JournalsC!D$14:D$920,TrialBalanceC!M222,JournalsC!J$14:J$920)+SUMIF(JournalsC!E$14:E$920,TrialBalanceC!M222,JournalsC!J$14:J$920)</f>
        <v>0</v>
      </c>
      <c r="H222" s="442"/>
      <c r="I222" s="447">
        <f t="shared" si="39"/>
        <v>0</v>
      </c>
      <c r="J222" s="83"/>
      <c r="K222" s="56">
        <f t="shared" si="45"/>
        <v>0</v>
      </c>
      <c r="M222" s="196" t="str">
        <f t="shared" si="46"/>
        <v>5700/020Deferred tax balance  tax loss b/fwd</v>
      </c>
      <c r="N222" s="78"/>
      <c r="P222" s="79"/>
      <c r="Q222" s="59"/>
      <c r="R222" s="34"/>
    </row>
    <row r="223" spans="1:18" x14ac:dyDescent="0.2">
      <c r="A223" s="393"/>
      <c r="B223" s="113" t="s">
        <v>1340</v>
      </c>
      <c r="C223" s="397" t="s">
        <v>1341</v>
      </c>
      <c r="D223" s="437"/>
      <c r="E223" s="434"/>
      <c r="F223" s="87"/>
      <c r="G223" s="55">
        <f>SUMIF(JournalsC!D$14:D$920,TrialBalanceC!M223,JournalsC!J$14:J$920)+SUMIF(JournalsC!E$14:E$920,TrialBalanceC!M223,JournalsC!J$14:J$920)</f>
        <v>0</v>
      </c>
      <c r="H223" s="442"/>
      <c r="I223" s="447">
        <f t="shared" ref="I223:I224" si="47">ROUND(D223-E223+G223+F223,0)</f>
        <v>0</v>
      </c>
      <c r="J223" s="83"/>
      <c r="K223" s="56">
        <f t="shared" ref="K223:K224" si="48">ROUND(SUM(A223),0)</f>
        <v>0</v>
      </c>
      <c r="M223" s="196" t="str">
        <f t="shared" ref="M223:M224" si="49">CONCATENATE(B223,C223)</f>
        <v>5700/021Opening balance depreciation tax rate change</v>
      </c>
      <c r="N223" s="78"/>
      <c r="P223" s="79"/>
      <c r="Q223" s="59"/>
      <c r="R223" s="34"/>
    </row>
    <row r="224" spans="1:18" x14ac:dyDescent="0.2">
      <c r="A224" s="393"/>
      <c r="B224" s="113" t="s">
        <v>1342</v>
      </c>
      <c r="C224" s="397" t="s">
        <v>1343</v>
      </c>
      <c r="D224" s="437"/>
      <c r="E224" s="434"/>
      <c r="F224" s="87"/>
      <c r="G224" s="55">
        <f>SUMIF(JournalsC!D$14:D$920,TrialBalanceC!M224,JournalsC!J$14:J$920)+SUMIF(JournalsC!E$14:E$920,TrialBalanceC!M224,JournalsC!J$14:J$920)</f>
        <v>0</v>
      </c>
      <c r="H224" s="442"/>
      <c r="I224" s="447">
        <f t="shared" si="47"/>
        <v>0</v>
      </c>
      <c r="J224" s="83"/>
      <c r="K224" s="56">
        <f t="shared" si="48"/>
        <v>0</v>
      </c>
      <c r="M224" s="196" t="str">
        <f t="shared" si="49"/>
        <v>5700/022Opening balance tax loss tax rate change</v>
      </c>
      <c r="N224" s="78"/>
      <c r="P224" s="79"/>
      <c r="Q224" s="59"/>
      <c r="R224" s="34"/>
    </row>
    <row r="225" spans="1:18" x14ac:dyDescent="0.2">
      <c r="A225" s="393"/>
      <c r="B225" s="113" t="s">
        <v>689</v>
      </c>
      <c r="C225" s="394" t="s">
        <v>161</v>
      </c>
      <c r="D225" s="435"/>
      <c r="E225" s="434"/>
      <c r="F225" s="87"/>
      <c r="G225" s="55">
        <f>SUMIF(JournalsC!D$14:D$920,TrialBalanceC!M225,JournalsC!J$14:J$920)+SUMIF(JournalsC!E$14:E$920,TrialBalanceC!M225,JournalsC!J$14:J$920)</f>
        <v>0</v>
      </c>
      <c r="H225" s="442"/>
      <c r="I225" s="447">
        <f t="shared" si="39"/>
        <v>0</v>
      </c>
      <c r="J225" s="83"/>
      <c r="K225" s="56">
        <f t="shared" si="45"/>
        <v>0</v>
      </c>
      <c r="M225" s="196" t="str">
        <f t="shared" si="46"/>
        <v>5700/030Deferred tax on depreciation for year</v>
      </c>
      <c r="N225" s="78"/>
      <c r="P225" s="79"/>
      <c r="Q225" s="59"/>
      <c r="R225" s="34"/>
    </row>
    <row r="226" spans="1:18" x14ac:dyDescent="0.2">
      <c r="A226" s="393"/>
      <c r="B226" s="113" t="s">
        <v>690</v>
      </c>
      <c r="C226" s="394" t="s">
        <v>162</v>
      </c>
      <c r="D226" s="435"/>
      <c r="E226" s="434"/>
      <c r="F226" s="87"/>
      <c r="G226" s="55">
        <f>SUMIF(JournalsC!D$14:D$920,TrialBalanceC!M226,JournalsC!J$14:J$920)+SUMIF(JournalsC!E$14:E$920,TrialBalanceC!M226,JournalsC!J$14:J$920)</f>
        <v>0</v>
      </c>
      <c r="H226" s="442"/>
      <c r="I226" s="447">
        <f t="shared" si="39"/>
        <v>0</v>
      </c>
      <c r="J226" s="83"/>
      <c r="K226" s="56">
        <f t="shared" si="45"/>
        <v>0</v>
      </c>
      <c r="M226" s="196" t="str">
        <f t="shared" si="46"/>
        <v>5700/040Deferred tax on tax loss for year</v>
      </c>
      <c r="N226" s="78"/>
      <c r="P226" s="79"/>
      <c r="Q226" s="59"/>
      <c r="R226" s="34"/>
    </row>
    <row r="227" spans="1:18" x14ac:dyDescent="0.2">
      <c r="A227" s="393"/>
      <c r="B227" s="113" t="s">
        <v>691</v>
      </c>
      <c r="C227" s="397" t="s">
        <v>670</v>
      </c>
      <c r="D227" s="437"/>
      <c r="E227" s="434"/>
      <c r="F227" s="87"/>
      <c r="G227" s="55">
        <f>SUMIF(JournalsC!D$14:D$920,TrialBalanceC!M227,JournalsC!J$14:J$920)+SUMIF(JournalsC!E$14:E$920,TrialBalanceC!M227,JournalsC!J$14:J$920)</f>
        <v>0</v>
      </c>
      <c r="H227" s="442"/>
      <c r="I227" s="447">
        <f t="shared" si="39"/>
        <v>0</v>
      </c>
      <c r="J227" s="83"/>
      <c r="K227" s="56">
        <f t="shared" si="45"/>
        <v>0</v>
      </c>
      <c r="M227" s="196" t="str">
        <f t="shared" si="46"/>
        <v>5700/050Def tax adj  depreciation previous year</v>
      </c>
      <c r="N227" s="78"/>
      <c r="P227" s="79"/>
      <c r="Q227" s="59"/>
      <c r="R227" s="34"/>
    </row>
    <row r="228" spans="1:18" x14ac:dyDescent="0.2">
      <c r="A228" s="393"/>
      <c r="B228" s="113" t="s">
        <v>692</v>
      </c>
      <c r="C228" s="397" t="s">
        <v>671</v>
      </c>
      <c r="D228" s="437"/>
      <c r="E228" s="434"/>
      <c r="F228" s="87"/>
      <c r="G228" s="55">
        <f>SUMIF(JournalsC!D$14:D$920,TrialBalanceC!M228,JournalsC!J$14:J$920)+SUMIF(JournalsC!E$14:E$920,TrialBalanceC!M228,JournalsC!J$14:J$920)</f>
        <v>0</v>
      </c>
      <c r="H228" s="442"/>
      <c r="I228" s="447">
        <f t="shared" si="39"/>
        <v>0</v>
      </c>
      <c r="J228" s="83"/>
      <c r="K228" s="56">
        <f t="shared" si="45"/>
        <v>0</v>
      </c>
      <c r="M228" s="196" t="str">
        <f t="shared" si="46"/>
        <v>5700/060Def tax adj tax loss previous year</v>
      </c>
      <c r="N228" s="78"/>
      <c r="P228" s="79"/>
      <c r="Q228" s="59"/>
      <c r="R228" s="34"/>
    </row>
    <row r="229" spans="1:18" x14ac:dyDescent="0.2">
      <c r="A229" s="393"/>
      <c r="B229" s="62" t="s">
        <v>163</v>
      </c>
      <c r="C229" s="396" t="s">
        <v>1367</v>
      </c>
      <c r="D229" s="436"/>
      <c r="E229" s="434"/>
      <c r="F229" s="87"/>
      <c r="G229" s="55">
        <f>SUMIF(JournalsC!D$14:D$920,TrialBalanceC!M229,JournalsC!J$14:J$920)+SUMIF(JournalsC!E$14:E$920,TrialBalanceC!M229,JournalsC!J$14:J$920)</f>
        <v>0</v>
      </c>
      <c r="H229" s="442"/>
      <c r="I229" s="447">
        <f t="shared" si="39"/>
        <v>0</v>
      </c>
      <c r="J229" s="83"/>
      <c r="K229" s="56">
        <f t="shared" si="45"/>
        <v>0</v>
      </c>
      <c r="M229" s="196" t="str">
        <f t="shared" si="46"/>
        <v>6100/000PROPERTY - COST</v>
      </c>
      <c r="N229" s="78"/>
      <c r="P229" s="79"/>
      <c r="Q229" s="59"/>
      <c r="R229" s="34"/>
    </row>
    <row r="230" spans="1:18" x14ac:dyDescent="0.2">
      <c r="A230" s="393"/>
      <c r="B230" s="62" t="s">
        <v>164</v>
      </c>
      <c r="C230" s="397" t="s">
        <v>1368</v>
      </c>
      <c r="D230" s="435"/>
      <c r="E230" s="434"/>
      <c r="F230" s="87">
        <f>SUM(K230:K234)</f>
        <v>0</v>
      </c>
      <c r="G230" s="55">
        <f>SUMIF(JournalsC!D$14:D$920,TrialBalanceC!M230,JournalsC!J$14:J$920)+SUMIF(JournalsC!E$14:E$920,TrialBalanceC!M230,JournalsC!J$14:J$920)</f>
        <v>0</v>
      </c>
      <c r="H230" s="442"/>
      <c r="I230" s="447">
        <f t="shared" si="39"/>
        <v>0</v>
      </c>
      <c r="J230" s="83"/>
      <c r="K230" s="56">
        <f t="shared" si="45"/>
        <v>0</v>
      </c>
      <c r="M230" s="196" t="str">
        <f t="shared" si="46"/>
        <v>6100/001Property - cost b/fwd</v>
      </c>
      <c r="N230" s="78"/>
      <c r="P230" s="79"/>
      <c r="Q230" s="59"/>
      <c r="R230" s="34"/>
    </row>
    <row r="231" spans="1:18" x14ac:dyDescent="0.2">
      <c r="A231" s="393"/>
      <c r="B231" s="62" t="s">
        <v>165</v>
      </c>
      <c r="C231" s="397" t="s">
        <v>1369</v>
      </c>
      <c r="D231" s="435"/>
      <c r="E231" s="434"/>
      <c r="F231" s="87"/>
      <c r="G231" s="55">
        <f>SUMIF(JournalsC!D$14:D$920,TrialBalanceC!M231,JournalsC!J$14:J$920)+SUMIF(JournalsC!E$14:E$920,TrialBalanceC!M231,JournalsC!J$14:J$920)</f>
        <v>0</v>
      </c>
      <c r="H231" s="442"/>
      <c r="I231" s="447">
        <f t="shared" si="39"/>
        <v>0</v>
      </c>
      <c r="J231" s="83"/>
      <c r="K231" s="56">
        <f t="shared" si="45"/>
        <v>0</v>
      </c>
      <c r="M231" s="196" t="str">
        <f t="shared" si="46"/>
        <v>6100/002Property - additions</v>
      </c>
      <c r="N231" s="78"/>
      <c r="P231" s="79"/>
      <c r="Q231" s="59"/>
      <c r="R231" s="34"/>
    </row>
    <row r="232" spans="1:18" x14ac:dyDescent="0.2">
      <c r="A232" s="393"/>
      <c r="B232" s="62" t="s">
        <v>166</v>
      </c>
      <c r="C232" s="397" t="s">
        <v>1370</v>
      </c>
      <c r="D232" s="435"/>
      <c r="E232" s="434"/>
      <c r="F232" s="87"/>
      <c r="G232" s="55">
        <f>SUMIF(JournalsC!D$14:D$920,TrialBalanceC!M232,JournalsC!J$14:J$920)+SUMIF(JournalsC!E$14:E$920,TrialBalanceC!M232,JournalsC!J$14:J$920)</f>
        <v>0</v>
      </c>
      <c r="H232" s="442"/>
      <c r="I232" s="447">
        <f t="shared" si="39"/>
        <v>0</v>
      </c>
      <c r="J232" s="83"/>
      <c r="K232" s="56">
        <f t="shared" si="45"/>
        <v>0</v>
      </c>
      <c r="M232" s="196" t="str">
        <f t="shared" si="46"/>
        <v>6100/003Property - cost of sales</v>
      </c>
      <c r="N232" s="78"/>
      <c r="P232" s="79"/>
      <c r="Q232" s="59"/>
      <c r="R232" s="34"/>
    </row>
    <row r="233" spans="1:18" x14ac:dyDescent="0.2">
      <c r="A233" s="393"/>
      <c r="B233" s="113" t="s">
        <v>1238</v>
      </c>
      <c r="C233" s="397" t="s">
        <v>1371</v>
      </c>
      <c r="D233" s="435"/>
      <c r="E233" s="434"/>
      <c r="F233" s="87"/>
      <c r="G233" s="55">
        <f>SUMIF(JournalsC!D$14:D$920,TrialBalanceC!M233,JournalsC!J$14:J$920)+SUMIF(JournalsC!E$14:E$920,TrialBalanceC!M233,JournalsC!J$14:J$920)</f>
        <v>0</v>
      </c>
      <c r="H233" s="442"/>
      <c r="I233" s="447">
        <f t="shared" ref="I233" si="50">ROUND(D233-E233+G233+F233,0)</f>
        <v>0</v>
      </c>
      <c r="J233" s="83"/>
      <c r="K233" s="56">
        <f t="shared" ref="K233" si="51">ROUND(SUM(A233),0)</f>
        <v>0</v>
      </c>
      <c r="M233" s="196" t="str">
        <f t="shared" ref="M233" si="52">CONCATENATE(B233,C233)</f>
        <v>6100/004Property - transfer to investment property</v>
      </c>
      <c r="N233" s="78"/>
      <c r="P233" s="79"/>
      <c r="Q233" s="59"/>
      <c r="R233" s="34"/>
    </row>
    <row r="234" spans="1:18" x14ac:dyDescent="0.2">
      <c r="A234" s="393"/>
      <c r="B234" s="113" t="s">
        <v>1316</v>
      </c>
      <c r="C234" s="397" t="s">
        <v>1372</v>
      </c>
      <c r="D234" s="435"/>
      <c r="E234" s="434"/>
      <c r="F234" s="87"/>
      <c r="G234" s="55">
        <f>SUMIF(JournalsC!D$14:D$920,TrialBalanceC!M234,JournalsC!J$14:J$920)+SUMIF(JournalsC!E$14:E$920,TrialBalanceC!M234,JournalsC!J$14:J$920)</f>
        <v>0</v>
      </c>
      <c r="H234" s="442"/>
      <c r="I234" s="447">
        <f t="shared" ref="I234" si="53">ROUND(D234-E234+G234+F234,0)</f>
        <v>0</v>
      </c>
      <c r="J234" s="83"/>
      <c r="K234" s="56">
        <f t="shared" ref="K234" si="54">ROUND(SUM(A234),0)</f>
        <v>0</v>
      </c>
      <c r="M234" s="196" t="str">
        <f t="shared" ref="M234" si="55">CONCATENATE(B234,C234)</f>
        <v>6100/005Property - transfer from investment property</v>
      </c>
      <c r="N234" s="78"/>
      <c r="P234" s="79"/>
      <c r="Q234" s="59"/>
      <c r="R234" s="34"/>
    </row>
    <row r="235" spans="1:18" x14ac:dyDescent="0.2">
      <c r="A235" s="393"/>
      <c r="B235" s="62" t="s">
        <v>311</v>
      </c>
      <c r="C235" s="396" t="s">
        <v>1373</v>
      </c>
      <c r="D235" s="436"/>
      <c r="E235" s="434"/>
      <c r="F235" s="87"/>
      <c r="G235" s="55">
        <f>SUMIF(JournalsC!D$14:D$920,TrialBalanceC!M235,JournalsC!J$14:J$920)+SUMIF(JournalsC!E$14:E$920,TrialBalanceC!M235,JournalsC!J$14:J$920)</f>
        <v>0</v>
      </c>
      <c r="H235" s="442"/>
      <c r="I235" s="447">
        <f t="shared" si="39"/>
        <v>0</v>
      </c>
      <c r="J235" s="83"/>
      <c r="K235" s="56">
        <f t="shared" si="45"/>
        <v>0</v>
      </c>
      <c r="M235" s="196" t="str">
        <f t="shared" si="46"/>
        <v>6100/020PROPERTY - ACC DEPR</v>
      </c>
      <c r="N235" s="78"/>
      <c r="P235" s="79"/>
      <c r="Q235" s="59"/>
      <c r="R235" s="34"/>
    </row>
    <row r="236" spans="1:18" x14ac:dyDescent="0.2">
      <c r="A236" s="393"/>
      <c r="B236" s="62" t="s">
        <v>312</v>
      </c>
      <c r="C236" s="397" t="s">
        <v>1374</v>
      </c>
      <c r="D236" s="435"/>
      <c r="E236" s="434"/>
      <c r="F236" s="87">
        <f>SUM(K236:K239)</f>
        <v>0</v>
      </c>
      <c r="G236" s="55">
        <f>SUMIF(JournalsC!D$14:D$920,TrialBalanceC!M236,JournalsC!J$14:J$920)+SUMIF(JournalsC!E$14:E$920,TrialBalanceC!M236,JournalsC!J$14:J$920)</f>
        <v>0</v>
      </c>
      <c r="H236" s="442"/>
      <c r="I236" s="447">
        <f t="shared" si="39"/>
        <v>0</v>
      </c>
      <c r="J236" s="83"/>
      <c r="K236" s="56">
        <f t="shared" si="45"/>
        <v>0</v>
      </c>
      <c r="M236" s="196" t="str">
        <f t="shared" si="46"/>
        <v>6100/021Property - acc depr b/fwd</v>
      </c>
      <c r="N236" s="78"/>
      <c r="P236" s="79"/>
      <c r="Q236" s="59"/>
      <c r="R236" s="34"/>
    </row>
    <row r="237" spans="1:18" x14ac:dyDescent="0.2">
      <c r="A237" s="393"/>
      <c r="B237" s="62" t="s">
        <v>313</v>
      </c>
      <c r="C237" s="397" t="s">
        <v>1375</v>
      </c>
      <c r="D237" s="435"/>
      <c r="E237" s="434"/>
      <c r="F237" s="87"/>
      <c r="G237" s="55">
        <f>SUMIF(JournalsC!D$14:D$920,TrialBalanceC!M237,JournalsC!J$14:J$920)+SUMIF(JournalsC!E$14:E$920,TrialBalanceC!M237,JournalsC!J$14:J$920)</f>
        <v>0</v>
      </c>
      <c r="H237" s="442"/>
      <c r="I237" s="447">
        <f t="shared" si="39"/>
        <v>0</v>
      </c>
      <c r="J237" s="83"/>
      <c r="K237" s="56">
        <f t="shared" si="45"/>
        <v>0</v>
      </c>
      <c r="M237" s="196" t="str">
        <f t="shared" si="46"/>
        <v>6100/022Property - depr this year</v>
      </c>
      <c r="N237" s="78"/>
      <c r="P237" s="79"/>
      <c r="Q237" s="59"/>
      <c r="R237" s="34"/>
    </row>
    <row r="238" spans="1:18" x14ac:dyDescent="0.2">
      <c r="A238" s="393"/>
      <c r="B238" s="62" t="s">
        <v>315</v>
      </c>
      <c r="C238" s="397" t="s">
        <v>1376</v>
      </c>
      <c r="D238" s="435"/>
      <c r="E238" s="434"/>
      <c r="F238" s="87"/>
      <c r="G238" s="55">
        <f>SUMIF(JournalsC!D$14:D$920,TrialBalanceC!M238,JournalsC!J$14:J$920)+SUMIF(JournalsC!E$14:E$920,TrialBalanceC!M238,JournalsC!J$14:J$920)</f>
        <v>0</v>
      </c>
      <c r="H238" s="442"/>
      <c r="I238" s="447">
        <f t="shared" si="39"/>
        <v>0</v>
      </c>
      <c r="J238" s="83"/>
      <c r="K238" s="56">
        <f t="shared" si="45"/>
        <v>0</v>
      </c>
      <c r="M238" s="196" t="str">
        <f t="shared" si="46"/>
        <v>6100/023Property - acc depr on sales</v>
      </c>
      <c r="N238" s="78"/>
      <c r="P238" s="79"/>
      <c r="Q238" s="59"/>
      <c r="R238" s="34"/>
    </row>
    <row r="239" spans="1:18" x14ac:dyDescent="0.2">
      <c r="A239" s="393"/>
      <c r="B239" s="113" t="s">
        <v>1307</v>
      </c>
      <c r="C239" s="397" t="s">
        <v>1377</v>
      </c>
      <c r="D239" s="435"/>
      <c r="E239" s="434"/>
      <c r="F239" s="87"/>
      <c r="G239" s="55">
        <f>SUMIF(JournalsC!D$14:D$920,TrialBalanceC!M239,JournalsC!J$14:J$920)+SUMIF(JournalsC!E$14:E$920,TrialBalanceC!M239,JournalsC!J$14:J$920)</f>
        <v>0</v>
      </c>
      <c r="H239" s="442"/>
      <c r="I239" s="447">
        <f t="shared" ref="I239" si="56">ROUND(D239-E239+G239+F239,0)</f>
        <v>0</v>
      </c>
      <c r="J239" s="83"/>
      <c r="K239" s="56">
        <f t="shared" ref="K239" si="57">ROUND(SUM(A239),0)</f>
        <v>0</v>
      </c>
      <c r="M239" s="196" t="str">
        <f t="shared" ref="M239" si="58">CONCATENATE(B239,C239)</f>
        <v>6100/024Property - recoupment of depr</v>
      </c>
      <c r="N239" s="78"/>
      <c r="P239" s="79"/>
      <c r="Q239" s="59"/>
      <c r="R239" s="34"/>
    </row>
    <row r="240" spans="1:18" x14ac:dyDescent="0.2">
      <c r="A240" s="393"/>
      <c r="B240" s="113" t="s">
        <v>805</v>
      </c>
      <c r="C240" s="396" t="s">
        <v>1233</v>
      </c>
      <c r="D240" s="435"/>
      <c r="E240" s="434"/>
      <c r="F240" s="87"/>
      <c r="G240" s="55">
        <f>SUMIF(JournalsC!D$14:D$920,TrialBalanceC!M240,JournalsC!J$14:J$920)+SUMIF(JournalsC!E$14:E$920,TrialBalanceC!M240,JournalsC!J$14:J$920)</f>
        <v>0</v>
      </c>
      <c r="H240" s="442"/>
      <c r="I240" s="447">
        <f t="shared" ref="I240:I244" si="59">ROUND(D240-E240+G240+F240,0)</f>
        <v>0</v>
      </c>
      <c r="J240" s="83"/>
      <c r="K240" s="56">
        <f t="shared" ref="K240:K244" si="60">ROUND(SUM(A240),0)</f>
        <v>0</v>
      </c>
      <c r="M240" s="196" t="str">
        <f t="shared" ref="M240:M244" si="61">CONCATENATE(B240,C240)</f>
        <v>6100/030INVESTMENT PROPERTY - COST</v>
      </c>
      <c r="N240" s="78"/>
      <c r="P240" s="79"/>
      <c r="Q240" s="59"/>
      <c r="R240" s="34"/>
    </row>
    <row r="241" spans="1:18" x14ac:dyDescent="0.2">
      <c r="A241" s="393"/>
      <c r="B241" s="113" t="s">
        <v>806</v>
      </c>
      <c r="C241" s="397" t="s">
        <v>1234</v>
      </c>
      <c r="D241" s="435"/>
      <c r="E241" s="434"/>
      <c r="F241" s="87">
        <f>SUM(K241:K245)</f>
        <v>0</v>
      </c>
      <c r="G241" s="55">
        <f>SUMIF(JournalsC!D$14:D$920,TrialBalanceC!M241,JournalsC!J$14:J$920)+SUMIF(JournalsC!E$14:E$920,TrialBalanceC!M241,JournalsC!J$14:J$920)</f>
        <v>0</v>
      </c>
      <c r="H241" s="442"/>
      <c r="I241" s="447">
        <f t="shared" si="59"/>
        <v>0</v>
      </c>
      <c r="J241" s="83"/>
      <c r="K241" s="56">
        <f t="shared" si="60"/>
        <v>0</v>
      </c>
      <c r="M241" s="196" t="str">
        <f t="shared" si="61"/>
        <v>6100/031Investment property - cost b/fwd</v>
      </c>
      <c r="N241" s="78"/>
      <c r="P241" s="79"/>
      <c r="Q241" s="59"/>
      <c r="R241" s="34"/>
    </row>
    <row r="242" spans="1:18" x14ac:dyDescent="0.2">
      <c r="A242" s="393"/>
      <c r="B242" s="113" t="s">
        <v>807</v>
      </c>
      <c r="C242" s="397" t="s">
        <v>1235</v>
      </c>
      <c r="D242" s="435"/>
      <c r="E242" s="434"/>
      <c r="F242" s="87"/>
      <c r="G242" s="55">
        <f>SUMIF(JournalsC!D$14:D$920,TrialBalanceC!M242,JournalsC!J$14:J$920)+SUMIF(JournalsC!E$14:E$920,TrialBalanceC!M242,JournalsC!J$14:J$920)</f>
        <v>0</v>
      </c>
      <c r="H242" s="442"/>
      <c r="I242" s="447">
        <f t="shared" si="59"/>
        <v>0</v>
      </c>
      <c r="J242" s="83"/>
      <c r="K242" s="56">
        <f t="shared" si="60"/>
        <v>0</v>
      </c>
      <c r="M242" s="196" t="str">
        <f t="shared" si="61"/>
        <v>6100/032Investment property - additions</v>
      </c>
      <c r="N242" s="78"/>
      <c r="P242" s="79"/>
      <c r="Q242" s="59"/>
      <c r="R242" s="34"/>
    </row>
    <row r="243" spans="1:18" x14ac:dyDescent="0.2">
      <c r="A243" s="393"/>
      <c r="B243" s="113" t="s">
        <v>808</v>
      </c>
      <c r="C243" s="397" t="s">
        <v>1236</v>
      </c>
      <c r="D243" s="435"/>
      <c r="E243" s="434"/>
      <c r="F243" s="87"/>
      <c r="G243" s="55">
        <f>SUMIF(JournalsC!D$14:D$920,TrialBalanceC!M243,JournalsC!J$14:J$920)+SUMIF(JournalsC!E$14:E$920,TrialBalanceC!M243,JournalsC!J$14:J$920)</f>
        <v>0</v>
      </c>
      <c r="H243" s="442"/>
      <c r="I243" s="447">
        <f t="shared" si="59"/>
        <v>0</v>
      </c>
      <c r="J243" s="83"/>
      <c r="K243" s="56">
        <f t="shared" si="60"/>
        <v>0</v>
      </c>
      <c r="M243" s="196" t="str">
        <f t="shared" si="61"/>
        <v>6100/033Investment property - cost of sales</v>
      </c>
      <c r="N243" s="78"/>
      <c r="P243" s="79"/>
      <c r="Q243" s="59"/>
      <c r="R243" s="34"/>
    </row>
    <row r="244" spans="1:18" x14ac:dyDescent="0.2">
      <c r="A244" s="393"/>
      <c r="B244" s="113" t="s">
        <v>1299</v>
      </c>
      <c r="C244" s="397" t="s">
        <v>1237</v>
      </c>
      <c r="D244" s="435"/>
      <c r="E244" s="434"/>
      <c r="F244" s="87"/>
      <c r="G244" s="55">
        <f>SUMIF(JournalsC!D$14:D$920,TrialBalanceC!M244,JournalsC!J$14:J$920)+SUMIF(JournalsC!E$14:E$920,TrialBalanceC!M244,JournalsC!J$14:J$920)</f>
        <v>0</v>
      </c>
      <c r="H244" s="442"/>
      <c r="I244" s="447">
        <f t="shared" si="59"/>
        <v>0</v>
      </c>
      <c r="J244" s="83"/>
      <c r="K244" s="56">
        <f t="shared" si="60"/>
        <v>0</v>
      </c>
      <c r="M244" s="196" t="str">
        <f t="shared" si="61"/>
        <v>6100/034Investment property - transfer from property</v>
      </c>
      <c r="N244" s="78"/>
      <c r="P244" s="79"/>
      <c r="Q244" s="59"/>
      <c r="R244" s="34"/>
    </row>
    <row r="245" spans="1:18" x14ac:dyDescent="0.2">
      <c r="A245" s="393"/>
      <c r="B245" s="113" t="s">
        <v>1317</v>
      </c>
      <c r="C245" s="397" t="s">
        <v>1318</v>
      </c>
      <c r="D245" s="435"/>
      <c r="E245" s="434"/>
      <c r="F245" s="87"/>
      <c r="G245" s="55">
        <f>SUMIF(JournalsC!D$14:D$920,TrialBalanceC!M245,JournalsC!J$14:J$920)+SUMIF(JournalsC!E$14:E$920,TrialBalanceC!M245,JournalsC!J$14:J$920)</f>
        <v>0</v>
      </c>
      <c r="H245" s="442"/>
      <c r="I245" s="447">
        <f t="shared" ref="I245" si="62">ROUND(D245-E245+G245+F245,0)</f>
        <v>0</v>
      </c>
      <c r="J245" s="83"/>
      <c r="K245" s="56">
        <f t="shared" ref="K245" si="63">ROUND(SUM(A245),0)</f>
        <v>0</v>
      </c>
      <c r="M245" s="196" t="str">
        <f t="shared" ref="M245" si="64">CONCATENATE(B245,C245)</f>
        <v>6100/035Investment property - transfer to property</v>
      </c>
      <c r="N245" s="78"/>
      <c r="P245" s="79"/>
      <c r="Q245" s="59"/>
      <c r="R245" s="34"/>
    </row>
    <row r="246" spans="1:18" x14ac:dyDescent="0.2">
      <c r="A246" s="393"/>
      <c r="B246" s="113" t="s">
        <v>1300</v>
      </c>
      <c r="C246" s="396" t="s">
        <v>1304</v>
      </c>
      <c r="D246" s="435"/>
      <c r="E246" s="434"/>
      <c r="F246" s="87"/>
      <c r="G246" s="55">
        <f>SUMIF(JournalsC!D$14:D$920,TrialBalanceC!M246,JournalsC!J$14:J$920)+SUMIF(JournalsC!E$14:E$920,TrialBalanceC!M246,JournalsC!J$14:J$920)</f>
        <v>0</v>
      </c>
      <c r="H246" s="442"/>
      <c r="I246" s="447">
        <f t="shared" ref="I246:I250" si="65">ROUND(D246-E246+G246+F246,0)</f>
        <v>0</v>
      </c>
      <c r="J246" s="83"/>
      <c r="K246" s="56">
        <f t="shared" ref="K246:K250" si="66">ROUND(SUM(A246),0)</f>
        <v>0</v>
      </c>
      <c r="M246" s="196" t="str">
        <f t="shared" ref="M246:M250" si="67">CONCATENATE(B246,C246)</f>
        <v>6100/040INVESTMENT PROPERTY - VALUATION</v>
      </c>
      <c r="N246" s="78"/>
      <c r="P246" s="79"/>
      <c r="Q246" s="59"/>
      <c r="R246" s="34"/>
    </row>
    <row r="247" spans="1:18" x14ac:dyDescent="0.2">
      <c r="A247" s="393"/>
      <c r="B247" s="113" t="s">
        <v>1301</v>
      </c>
      <c r="C247" s="397" t="s">
        <v>1305</v>
      </c>
      <c r="D247" s="435"/>
      <c r="E247" s="434"/>
      <c r="F247" s="87">
        <f>SUM(K247:K250)</f>
        <v>0</v>
      </c>
      <c r="G247" s="55">
        <f>SUMIF(JournalsC!D$14:D$920,TrialBalanceC!M247,JournalsC!J$14:J$920)+SUMIF(JournalsC!E$14:E$920,TrialBalanceC!M247,JournalsC!J$14:J$920)</f>
        <v>0</v>
      </c>
      <c r="H247" s="442"/>
      <c r="I247" s="447">
        <f t="shared" si="65"/>
        <v>0</v>
      </c>
      <c r="J247" s="83"/>
      <c r="K247" s="56">
        <f t="shared" si="66"/>
        <v>0</v>
      </c>
      <c r="M247" s="196" t="str">
        <f t="shared" si="67"/>
        <v>6100/041Investment property - valuation b/fwd</v>
      </c>
      <c r="N247" s="78"/>
      <c r="P247" s="79"/>
      <c r="Q247" s="59"/>
      <c r="R247" s="34"/>
    </row>
    <row r="248" spans="1:18" x14ac:dyDescent="0.2">
      <c r="A248" s="393"/>
      <c r="B248" s="113" t="s">
        <v>1302</v>
      </c>
      <c r="C248" s="397" t="s">
        <v>1306</v>
      </c>
      <c r="D248" s="435"/>
      <c r="E248" s="434"/>
      <c r="F248" s="87"/>
      <c r="G248" s="55">
        <f>SUMIF(JournalsC!D$14:D$920,TrialBalanceC!M248,JournalsC!J$14:J$920)+SUMIF(JournalsC!E$14:E$920,TrialBalanceC!M248,JournalsC!J$14:J$920)</f>
        <v>0</v>
      </c>
      <c r="H248" s="442"/>
      <c r="I248" s="447">
        <f t="shared" si="65"/>
        <v>0</v>
      </c>
      <c r="J248" s="83"/>
      <c r="K248" s="56">
        <f t="shared" si="66"/>
        <v>0</v>
      </c>
      <c r="M248" s="196" t="str">
        <f t="shared" si="67"/>
        <v>6100/042Investment property - valuation additions</v>
      </c>
      <c r="N248" s="78"/>
      <c r="P248" s="79"/>
      <c r="Q248" s="59"/>
      <c r="R248" s="34"/>
    </row>
    <row r="249" spans="1:18" x14ac:dyDescent="0.2">
      <c r="A249" s="393"/>
      <c r="B249" s="113" t="s">
        <v>1303</v>
      </c>
      <c r="C249" s="397" t="s">
        <v>1320</v>
      </c>
      <c r="D249" s="435"/>
      <c r="E249" s="434"/>
      <c r="F249" s="87"/>
      <c r="G249" s="55">
        <f>SUMIF(JournalsC!D$14:D$920,TrialBalanceC!M249,JournalsC!J$14:J$920)+SUMIF(JournalsC!E$14:E$920,TrialBalanceC!M249,JournalsC!J$14:J$920)</f>
        <v>0</v>
      </c>
      <c r="H249" s="442"/>
      <c r="I249" s="447">
        <f t="shared" ref="I249" si="68">ROUND(D249-E249+G249+F249,0)</f>
        <v>0</v>
      </c>
      <c r="J249" s="83"/>
      <c r="K249" s="56">
        <f t="shared" ref="K249" si="69">ROUND(SUM(A249),0)</f>
        <v>0</v>
      </c>
      <c r="M249" s="196" t="str">
        <f t="shared" ref="M249" si="70">CONCATENATE(B249,C249)</f>
        <v>6100/043Investment property - valuation reduction on sales</v>
      </c>
      <c r="N249" s="78"/>
      <c r="P249" s="79"/>
      <c r="Q249" s="59"/>
      <c r="R249" s="34"/>
    </row>
    <row r="250" spans="1:18" x14ac:dyDescent="0.2">
      <c r="A250" s="393"/>
      <c r="B250" s="113" t="s">
        <v>1321</v>
      </c>
      <c r="C250" s="397" t="s">
        <v>1322</v>
      </c>
      <c r="D250" s="435"/>
      <c r="E250" s="434"/>
      <c r="F250" s="87"/>
      <c r="G250" s="55">
        <f>SUMIF(JournalsC!D$14:D$920,TrialBalanceC!M250,JournalsC!J$14:J$920)+SUMIF(JournalsC!E$14:E$920,TrialBalanceC!M250,JournalsC!J$14:J$920)</f>
        <v>0</v>
      </c>
      <c r="H250" s="442"/>
      <c r="I250" s="447">
        <f t="shared" si="65"/>
        <v>0</v>
      </c>
      <c r="J250" s="83"/>
      <c r="K250" s="56">
        <f t="shared" si="66"/>
        <v>0</v>
      </c>
      <c r="M250" s="196" t="str">
        <f t="shared" si="67"/>
        <v>6100/044Investment property - valuation reduction on transfers</v>
      </c>
      <c r="N250" s="78"/>
      <c r="P250" s="79"/>
      <c r="Q250" s="59"/>
      <c r="R250" s="34"/>
    </row>
    <row r="251" spans="1:18" x14ac:dyDescent="0.2">
      <c r="A251" s="393"/>
      <c r="B251" s="62" t="s">
        <v>316</v>
      </c>
      <c r="C251" s="396" t="s">
        <v>943</v>
      </c>
      <c r="D251" s="436"/>
      <c r="E251" s="434"/>
      <c r="F251" s="87"/>
      <c r="G251" s="55">
        <f>SUMIF(JournalsC!D$14:D$920,TrialBalanceC!M251,JournalsC!J$14:J$920)+SUMIF(JournalsC!E$14:E$920,TrialBalanceC!M251,JournalsC!J$14:J$920)</f>
        <v>0</v>
      </c>
      <c r="H251" s="442"/>
      <c r="I251" s="447">
        <f t="shared" si="39"/>
        <v>0</v>
      </c>
      <c r="J251" s="83"/>
      <c r="K251" s="56">
        <f t="shared" si="45"/>
        <v>0</v>
      </c>
      <c r="M251" s="196" t="str">
        <f t="shared" si="46"/>
        <v>6150/000PLANT AND MACHINERY - COST</v>
      </c>
      <c r="N251" s="78"/>
      <c r="P251" s="79"/>
      <c r="Q251" s="59"/>
      <c r="R251" s="34"/>
    </row>
    <row r="252" spans="1:18" x14ac:dyDescent="0.2">
      <c r="A252" s="393"/>
      <c r="B252" s="62" t="s">
        <v>41</v>
      </c>
      <c r="C252" s="397" t="s">
        <v>944</v>
      </c>
      <c r="D252" s="435"/>
      <c r="E252" s="434"/>
      <c r="F252" s="87">
        <f>SUM(K252:K254)</f>
        <v>0</v>
      </c>
      <c r="G252" s="55">
        <f>SUMIF(JournalsC!D$14:D$920,TrialBalanceC!M252,JournalsC!J$14:J$920)+SUMIF(JournalsC!E$14:E$920,TrialBalanceC!M252,JournalsC!J$14:J$920)</f>
        <v>0</v>
      </c>
      <c r="H252" s="442"/>
      <c r="I252" s="447">
        <f t="shared" si="39"/>
        <v>0</v>
      </c>
      <c r="J252" s="83"/>
      <c r="K252" s="56">
        <f t="shared" si="45"/>
        <v>0</v>
      </c>
      <c r="M252" s="196" t="str">
        <f t="shared" si="46"/>
        <v>6150/001Plant and machinery - cost b/fwd</v>
      </c>
      <c r="N252" s="78"/>
      <c r="P252" s="79"/>
      <c r="Q252" s="59"/>
      <c r="R252" s="34"/>
    </row>
    <row r="253" spans="1:18" x14ac:dyDescent="0.2">
      <c r="A253" s="393"/>
      <c r="B253" s="62" t="s">
        <v>42</v>
      </c>
      <c r="C253" s="397" t="s">
        <v>945</v>
      </c>
      <c r="D253" s="435"/>
      <c r="E253" s="434"/>
      <c r="F253" s="87"/>
      <c r="G253" s="55">
        <f>SUMIF(JournalsC!D$14:D$920,TrialBalanceC!M253,JournalsC!J$14:J$920)+SUMIF(JournalsC!E$14:E$920,TrialBalanceC!M253,JournalsC!J$14:J$920)</f>
        <v>0</v>
      </c>
      <c r="H253" s="442"/>
      <c r="I253" s="447">
        <f t="shared" si="39"/>
        <v>0</v>
      </c>
      <c r="J253" s="83"/>
      <c r="K253" s="56">
        <f t="shared" si="45"/>
        <v>0</v>
      </c>
      <c r="M253" s="196" t="str">
        <f t="shared" si="46"/>
        <v>6150/002Plant and machinery - additions</v>
      </c>
      <c r="N253" s="78"/>
      <c r="P253" s="79"/>
      <c r="Q253" s="59"/>
      <c r="R253" s="34"/>
    </row>
    <row r="254" spans="1:18" x14ac:dyDescent="0.2">
      <c r="A254" s="393"/>
      <c r="B254" s="62" t="s">
        <v>43</v>
      </c>
      <c r="C254" s="397" t="s">
        <v>946</v>
      </c>
      <c r="D254" s="435"/>
      <c r="E254" s="434"/>
      <c r="F254" s="87"/>
      <c r="G254" s="55">
        <f>SUMIF(JournalsC!D$14:D$920,TrialBalanceC!M254,JournalsC!J$14:J$920)+SUMIF(JournalsC!E$14:E$920,TrialBalanceC!M254,JournalsC!J$14:J$920)</f>
        <v>0</v>
      </c>
      <c r="H254" s="442"/>
      <c r="I254" s="447">
        <f t="shared" ref="I254:I355" si="71">ROUND(D254-E254+G254+F254,0)</f>
        <v>0</v>
      </c>
      <c r="J254" s="83"/>
      <c r="K254" s="56">
        <f t="shared" si="45"/>
        <v>0</v>
      </c>
      <c r="M254" s="196" t="str">
        <f t="shared" si="46"/>
        <v>6150/003Plant and machinery - cost of sales</v>
      </c>
      <c r="N254" s="78"/>
      <c r="P254" s="79"/>
      <c r="Q254" s="59"/>
      <c r="R254" s="34"/>
    </row>
    <row r="255" spans="1:18" x14ac:dyDescent="0.2">
      <c r="A255" s="393"/>
      <c r="B255" s="62" t="s">
        <v>18</v>
      </c>
      <c r="C255" s="396" t="s">
        <v>947</v>
      </c>
      <c r="D255" s="436"/>
      <c r="E255" s="434"/>
      <c r="F255" s="87"/>
      <c r="G255" s="55">
        <f>SUMIF(JournalsC!D$14:D$920,TrialBalanceC!M255,JournalsC!J$14:J$920)+SUMIF(JournalsC!E$14:E$920,TrialBalanceC!M255,JournalsC!J$14:J$920)</f>
        <v>0</v>
      </c>
      <c r="H255" s="442"/>
      <c r="I255" s="447">
        <f t="shared" si="71"/>
        <v>0</v>
      </c>
      <c r="J255" s="83"/>
      <c r="K255" s="56">
        <f t="shared" si="45"/>
        <v>0</v>
      </c>
      <c r="M255" s="196" t="str">
        <f t="shared" si="46"/>
        <v>6150/020PLANT AND MACHINERY - ACC DEPR</v>
      </c>
      <c r="N255" s="78"/>
      <c r="P255" s="79"/>
      <c r="Q255" s="59"/>
      <c r="R255" s="34"/>
    </row>
    <row r="256" spans="1:18" x14ac:dyDescent="0.2">
      <c r="A256" s="393"/>
      <c r="B256" s="62" t="s">
        <v>19</v>
      </c>
      <c r="C256" s="397" t="s">
        <v>948</v>
      </c>
      <c r="D256" s="435"/>
      <c r="E256" s="434"/>
      <c r="F256" s="87">
        <f>SUM(K256:K258)</f>
        <v>0</v>
      </c>
      <c r="G256" s="55">
        <f>SUMIF(JournalsC!D$14:D$920,TrialBalanceC!M256,JournalsC!J$14:J$920)+SUMIF(JournalsC!E$14:E$920,TrialBalanceC!M256,JournalsC!J$14:J$920)</f>
        <v>0</v>
      </c>
      <c r="H256" s="442"/>
      <c r="I256" s="447">
        <f t="shared" si="71"/>
        <v>0</v>
      </c>
      <c r="J256" s="83"/>
      <c r="K256" s="56">
        <f t="shared" si="45"/>
        <v>0</v>
      </c>
      <c r="M256" s="196" t="str">
        <f t="shared" si="46"/>
        <v>6150/021Plant and machinery - acc depr b/fwd</v>
      </c>
      <c r="N256" s="78"/>
      <c r="P256" s="79"/>
      <c r="Q256" s="59"/>
      <c r="R256" s="34"/>
    </row>
    <row r="257" spans="1:18" x14ac:dyDescent="0.2">
      <c r="A257" s="393"/>
      <c r="B257" s="62" t="s">
        <v>35</v>
      </c>
      <c r="C257" s="397" t="s">
        <v>949</v>
      </c>
      <c r="D257" s="435"/>
      <c r="E257" s="434"/>
      <c r="F257" s="87"/>
      <c r="G257" s="55">
        <f>SUMIF(JournalsC!D$14:D$920,TrialBalanceC!M257,JournalsC!J$14:J$920)+SUMIF(JournalsC!E$14:E$920,TrialBalanceC!M257,JournalsC!J$14:J$920)</f>
        <v>0</v>
      </c>
      <c r="H257" s="442"/>
      <c r="I257" s="447">
        <f t="shared" si="71"/>
        <v>0</v>
      </c>
      <c r="J257" s="83"/>
      <c r="K257" s="56">
        <f t="shared" si="45"/>
        <v>0</v>
      </c>
      <c r="M257" s="196" t="str">
        <f t="shared" si="46"/>
        <v>6150/022Plant and machinery - depr this year</v>
      </c>
      <c r="N257" s="78"/>
      <c r="P257" s="79"/>
      <c r="Q257" s="59"/>
      <c r="R257" s="34"/>
    </row>
    <row r="258" spans="1:18" x14ac:dyDescent="0.2">
      <c r="A258" s="393"/>
      <c r="B258" s="62" t="s">
        <v>36</v>
      </c>
      <c r="C258" s="397" t="s">
        <v>950</v>
      </c>
      <c r="D258" s="435"/>
      <c r="E258" s="434"/>
      <c r="F258" s="87"/>
      <c r="G258" s="55">
        <f>SUMIF(JournalsC!D$14:D$920,TrialBalanceC!M258,JournalsC!J$14:J$920)+SUMIF(JournalsC!E$14:E$920,TrialBalanceC!M258,JournalsC!J$14:J$920)</f>
        <v>0</v>
      </c>
      <c r="H258" s="442"/>
      <c r="I258" s="447">
        <f t="shared" si="71"/>
        <v>0</v>
      </c>
      <c r="J258" s="83"/>
      <c r="K258" s="56">
        <f t="shared" si="45"/>
        <v>0</v>
      </c>
      <c r="M258" s="196" t="str">
        <f t="shared" si="46"/>
        <v>6150/023Plant and machinery - acc depr on sales</v>
      </c>
      <c r="N258" s="78"/>
      <c r="P258" s="79"/>
      <c r="Q258" s="59"/>
      <c r="R258" s="34"/>
    </row>
    <row r="259" spans="1:18" x14ac:dyDescent="0.2">
      <c r="A259" s="393"/>
      <c r="B259" s="62" t="s">
        <v>37</v>
      </c>
      <c r="C259" s="396" t="s">
        <v>38</v>
      </c>
      <c r="D259" s="436"/>
      <c r="E259" s="434"/>
      <c r="F259" s="87"/>
      <c r="G259" s="55">
        <f>SUMIF(JournalsC!D$14:D$920,TrialBalanceC!M259,JournalsC!J$14:J$920)+SUMIF(JournalsC!E$14:E$920,TrialBalanceC!M259,JournalsC!J$14:J$920)</f>
        <v>0</v>
      </c>
      <c r="H259" s="442"/>
      <c r="I259" s="447">
        <f t="shared" si="71"/>
        <v>0</v>
      </c>
      <c r="J259" s="83"/>
      <c r="K259" s="56">
        <f t="shared" si="45"/>
        <v>0</v>
      </c>
      <c r="M259" s="196" t="str">
        <f t="shared" si="46"/>
        <v>6200/000MOTOR VEHICLES - COST</v>
      </c>
      <c r="N259" s="78"/>
      <c r="P259" s="79"/>
      <c r="Q259" s="59"/>
      <c r="R259" s="34"/>
    </row>
    <row r="260" spans="1:18" x14ac:dyDescent="0.2">
      <c r="A260" s="393"/>
      <c r="B260" s="62" t="s">
        <v>39</v>
      </c>
      <c r="C260" s="397" t="s">
        <v>951</v>
      </c>
      <c r="D260" s="435"/>
      <c r="E260" s="434"/>
      <c r="F260" s="87">
        <f>SUM(K260:K262)</f>
        <v>0</v>
      </c>
      <c r="G260" s="55">
        <f>SUMIF(JournalsC!D$14:D$920,TrialBalanceC!M260,JournalsC!J$14:J$920)+SUMIF(JournalsC!E$14:E$920,TrialBalanceC!M260,JournalsC!J$14:J$920)</f>
        <v>0</v>
      </c>
      <c r="H260" s="442"/>
      <c r="I260" s="447">
        <f t="shared" si="71"/>
        <v>0</v>
      </c>
      <c r="J260" s="83"/>
      <c r="K260" s="56">
        <f t="shared" si="45"/>
        <v>0</v>
      </c>
      <c r="M260" s="196" t="str">
        <f t="shared" si="46"/>
        <v>6200/001Motor vehicles - cost b/fwd</v>
      </c>
      <c r="N260" s="78"/>
      <c r="P260" s="79"/>
      <c r="Q260" s="59"/>
      <c r="R260" s="34"/>
    </row>
    <row r="261" spans="1:18" x14ac:dyDescent="0.2">
      <c r="A261" s="393"/>
      <c r="B261" s="62" t="s">
        <v>40</v>
      </c>
      <c r="C261" s="397" t="s">
        <v>952</v>
      </c>
      <c r="D261" s="435"/>
      <c r="E261" s="434"/>
      <c r="F261" s="87"/>
      <c r="G261" s="55">
        <f>SUMIF(JournalsC!D$14:D$920,TrialBalanceC!M261,JournalsC!J$14:J$920)+SUMIF(JournalsC!E$14:E$920,TrialBalanceC!M261,JournalsC!J$14:J$920)</f>
        <v>0</v>
      </c>
      <c r="H261" s="442"/>
      <c r="I261" s="447">
        <f t="shared" si="71"/>
        <v>0</v>
      </c>
      <c r="J261" s="83"/>
      <c r="K261" s="56">
        <f t="shared" si="45"/>
        <v>0</v>
      </c>
      <c r="M261" s="196" t="str">
        <f t="shared" si="46"/>
        <v>6200/002Motor vehicles - additions</v>
      </c>
      <c r="N261" s="78"/>
      <c r="P261" s="79"/>
      <c r="Q261" s="59"/>
      <c r="R261" s="34"/>
    </row>
    <row r="262" spans="1:18" x14ac:dyDescent="0.2">
      <c r="A262" s="393"/>
      <c r="B262" s="62" t="s">
        <v>518</v>
      </c>
      <c r="C262" s="397" t="s">
        <v>953</v>
      </c>
      <c r="D262" s="435"/>
      <c r="E262" s="434"/>
      <c r="F262" s="87"/>
      <c r="G262" s="55">
        <f>SUMIF(JournalsC!D$14:D$920,TrialBalanceC!M262,JournalsC!J$14:J$920)+SUMIF(JournalsC!E$14:E$920,TrialBalanceC!M262,JournalsC!J$14:J$920)</f>
        <v>0</v>
      </c>
      <c r="H262" s="442"/>
      <c r="I262" s="447">
        <f t="shared" si="71"/>
        <v>0</v>
      </c>
      <c r="J262" s="83"/>
      <c r="K262" s="56">
        <f t="shared" si="45"/>
        <v>0</v>
      </c>
      <c r="M262" s="196" t="str">
        <f t="shared" si="46"/>
        <v>6200/003Motor vehicles - cost of sales</v>
      </c>
      <c r="N262" s="78"/>
      <c r="P262" s="79"/>
      <c r="Q262" s="59"/>
      <c r="R262" s="34"/>
    </row>
    <row r="263" spans="1:18" x14ac:dyDescent="0.2">
      <c r="A263" s="393"/>
      <c r="B263" s="62" t="s">
        <v>0</v>
      </c>
      <c r="C263" s="396" t="s">
        <v>1</v>
      </c>
      <c r="D263" s="436"/>
      <c r="E263" s="434"/>
      <c r="F263" s="87"/>
      <c r="G263" s="55">
        <f>SUMIF(JournalsC!D$14:D$920,TrialBalanceC!M263,JournalsC!J$14:J$920)+SUMIF(JournalsC!E$14:E$920,TrialBalanceC!M263,JournalsC!J$14:J$920)</f>
        <v>0</v>
      </c>
      <c r="H263" s="442"/>
      <c r="I263" s="447">
        <f t="shared" si="71"/>
        <v>0</v>
      </c>
      <c r="J263" s="83"/>
      <c r="K263" s="56">
        <f t="shared" si="45"/>
        <v>0</v>
      </c>
      <c r="M263" s="196" t="str">
        <f t="shared" si="46"/>
        <v>6200/020MOTOR VEHICLES - ACC DEPR</v>
      </c>
      <c r="N263" s="78"/>
      <c r="P263" s="79"/>
      <c r="Q263" s="59"/>
      <c r="R263" s="34"/>
    </row>
    <row r="264" spans="1:18" x14ac:dyDescent="0.2">
      <c r="A264" s="393"/>
      <c r="B264" s="62" t="s">
        <v>2</v>
      </c>
      <c r="C264" s="397" t="s">
        <v>954</v>
      </c>
      <c r="D264" s="435"/>
      <c r="E264" s="434"/>
      <c r="F264" s="87">
        <f>SUM(K264:K266)</f>
        <v>0</v>
      </c>
      <c r="G264" s="55">
        <f>SUMIF(JournalsC!D$14:D$920,TrialBalanceC!M264,JournalsC!J$14:J$920)+SUMIF(JournalsC!E$14:E$920,TrialBalanceC!M264,JournalsC!J$14:J$920)</f>
        <v>0</v>
      </c>
      <c r="H264" s="442"/>
      <c r="I264" s="447">
        <f t="shared" si="71"/>
        <v>0</v>
      </c>
      <c r="J264" s="83"/>
      <c r="K264" s="56">
        <f t="shared" si="45"/>
        <v>0</v>
      </c>
      <c r="M264" s="196" t="str">
        <f t="shared" si="46"/>
        <v>6200/021Motor vehicles - acc depr b/fwd</v>
      </c>
      <c r="N264" s="78"/>
      <c r="P264" s="79"/>
      <c r="Q264" s="59"/>
      <c r="R264" s="34"/>
    </row>
    <row r="265" spans="1:18" x14ac:dyDescent="0.2">
      <c r="A265" s="393"/>
      <c r="B265" s="62" t="s">
        <v>3</v>
      </c>
      <c r="C265" s="397" t="s">
        <v>955</v>
      </c>
      <c r="D265" s="435"/>
      <c r="E265" s="434"/>
      <c r="F265" s="87"/>
      <c r="G265" s="55">
        <f>SUMIF(JournalsC!D$14:D$920,TrialBalanceC!M265,JournalsC!J$14:J$920)+SUMIF(JournalsC!E$14:E$920,TrialBalanceC!M265,JournalsC!J$14:J$920)</f>
        <v>0</v>
      </c>
      <c r="H265" s="442"/>
      <c r="I265" s="447">
        <f t="shared" si="71"/>
        <v>0</v>
      </c>
      <c r="J265" s="83"/>
      <c r="K265" s="56">
        <f t="shared" si="45"/>
        <v>0</v>
      </c>
      <c r="M265" s="196" t="str">
        <f t="shared" si="46"/>
        <v>6200/022Motor vehicles - depr this year</v>
      </c>
      <c r="N265" s="78"/>
      <c r="P265" s="79"/>
      <c r="Q265" s="59"/>
      <c r="R265" s="34"/>
    </row>
    <row r="266" spans="1:18" x14ac:dyDescent="0.2">
      <c r="A266" s="393"/>
      <c r="B266" s="62" t="s">
        <v>4</v>
      </c>
      <c r="C266" s="397" t="s">
        <v>956</v>
      </c>
      <c r="D266" s="435"/>
      <c r="E266" s="434"/>
      <c r="F266" s="87"/>
      <c r="G266" s="55">
        <f>SUMIF(JournalsC!D$14:D$920,TrialBalanceC!M266,JournalsC!J$14:J$920)+SUMIF(JournalsC!E$14:E$920,TrialBalanceC!M266,JournalsC!J$14:J$920)</f>
        <v>0</v>
      </c>
      <c r="H266" s="442"/>
      <c r="I266" s="447">
        <f t="shared" si="71"/>
        <v>0</v>
      </c>
      <c r="J266" s="83"/>
      <c r="K266" s="56">
        <f t="shared" si="45"/>
        <v>0</v>
      </c>
      <c r="M266" s="196" t="str">
        <f t="shared" si="46"/>
        <v>6200/023Motor vehicles - acc depr on sales</v>
      </c>
      <c r="N266" s="78"/>
      <c r="P266" s="79"/>
      <c r="Q266" s="59"/>
      <c r="R266" s="34"/>
    </row>
    <row r="267" spans="1:18" x14ac:dyDescent="0.2">
      <c r="A267" s="393"/>
      <c r="B267" s="62" t="s">
        <v>5</v>
      </c>
      <c r="C267" s="396" t="s">
        <v>135</v>
      </c>
      <c r="D267" s="436"/>
      <c r="E267" s="434"/>
      <c r="F267" s="87"/>
      <c r="G267" s="55">
        <f>SUMIF(JournalsC!D$14:D$920,TrialBalanceC!M267,JournalsC!J$14:J$920)+SUMIF(JournalsC!E$14:E$920,TrialBalanceC!M267,JournalsC!J$14:J$920)</f>
        <v>0</v>
      </c>
      <c r="H267" s="442"/>
      <c r="I267" s="447">
        <f t="shared" si="71"/>
        <v>0</v>
      </c>
      <c r="J267" s="83"/>
      <c r="K267" s="56">
        <f t="shared" si="45"/>
        <v>0</v>
      </c>
      <c r="M267" s="196" t="str">
        <f t="shared" si="46"/>
        <v>6250/000ELECTRONIC EQUIPMENT - COST</v>
      </c>
      <c r="N267" s="78"/>
      <c r="P267" s="79"/>
      <c r="Q267" s="59"/>
      <c r="R267" s="34"/>
    </row>
    <row r="268" spans="1:18" x14ac:dyDescent="0.2">
      <c r="A268" s="393"/>
      <c r="B268" s="62" t="s">
        <v>6</v>
      </c>
      <c r="C268" s="397" t="s">
        <v>957</v>
      </c>
      <c r="D268" s="435"/>
      <c r="E268" s="434"/>
      <c r="F268" s="87">
        <f>SUM(K268:K270)</f>
        <v>0</v>
      </c>
      <c r="G268" s="55">
        <f>SUMIF(JournalsC!D$14:D$920,TrialBalanceC!M268,JournalsC!J$14:J$920)+SUMIF(JournalsC!E$14:E$920,TrialBalanceC!M268,JournalsC!J$14:J$920)</f>
        <v>0</v>
      </c>
      <c r="H268" s="442"/>
      <c r="I268" s="447">
        <f t="shared" si="71"/>
        <v>0</v>
      </c>
      <c r="J268" s="83"/>
      <c r="K268" s="56">
        <f t="shared" si="45"/>
        <v>0</v>
      </c>
      <c r="M268" s="196" t="str">
        <f t="shared" si="46"/>
        <v>6250/001Electronic equipment - cost b/fwd</v>
      </c>
      <c r="N268" s="78"/>
      <c r="P268" s="79"/>
      <c r="Q268" s="59"/>
      <c r="R268" s="34"/>
    </row>
    <row r="269" spans="1:18" x14ac:dyDescent="0.2">
      <c r="A269" s="393"/>
      <c r="B269" s="62" t="s">
        <v>7</v>
      </c>
      <c r="C269" s="397" t="s">
        <v>958</v>
      </c>
      <c r="D269" s="435"/>
      <c r="E269" s="434"/>
      <c r="F269" s="87"/>
      <c r="G269" s="55">
        <f>SUMIF(JournalsC!D$14:D$920,TrialBalanceC!M269,JournalsC!J$14:J$920)+SUMIF(JournalsC!E$14:E$920,TrialBalanceC!M269,JournalsC!J$14:J$920)</f>
        <v>0</v>
      </c>
      <c r="H269" s="442"/>
      <c r="I269" s="447">
        <f t="shared" si="71"/>
        <v>0</v>
      </c>
      <c r="J269" s="83"/>
      <c r="K269" s="56">
        <f t="shared" si="45"/>
        <v>0</v>
      </c>
      <c r="M269" s="196" t="str">
        <f t="shared" si="46"/>
        <v>6250/002Electronic equipment - additions</v>
      </c>
      <c r="N269" s="78"/>
      <c r="P269" s="79"/>
      <c r="Q269" s="59"/>
      <c r="R269" s="34"/>
    </row>
    <row r="270" spans="1:18" x14ac:dyDescent="0.2">
      <c r="A270" s="393"/>
      <c r="B270" s="62" t="s">
        <v>8</v>
      </c>
      <c r="C270" s="397" t="s">
        <v>959</v>
      </c>
      <c r="D270" s="435"/>
      <c r="E270" s="434"/>
      <c r="F270" s="87"/>
      <c r="G270" s="55">
        <f>SUMIF(JournalsC!D$14:D$920,TrialBalanceC!M270,JournalsC!J$14:J$920)+SUMIF(JournalsC!E$14:E$920,TrialBalanceC!M270,JournalsC!J$14:J$920)</f>
        <v>0</v>
      </c>
      <c r="H270" s="442"/>
      <c r="I270" s="447">
        <f t="shared" si="71"/>
        <v>0</v>
      </c>
      <c r="J270" s="83"/>
      <c r="K270" s="56">
        <f t="shared" si="45"/>
        <v>0</v>
      </c>
      <c r="M270" s="196" t="str">
        <f t="shared" si="46"/>
        <v>6250/003Electronic equipment - cost of sales</v>
      </c>
      <c r="N270" s="78"/>
      <c r="P270" s="79"/>
      <c r="Q270" s="59"/>
      <c r="R270" s="34"/>
    </row>
    <row r="271" spans="1:18" x14ac:dyDescent="0.2">
      <c r="A271" s="393"/>
      <c r="B271" s="62" t="s">
        <v>9</v>
      </c>
      <c r="C271" s="396" t="s">
        <v>136</v>
      </c>
      <c r="D271" s="436"/>
      <c r="E271" s="434"/>
      <c r="F271" s="87"/>
      <c r="G271" s="55">
        <f>SUMIF(JournalsC!D$14:D$920,TrialBalanceC!M271,JournalsC!J$14:J$920)+SUMIF(JournalsC!E$14:E$920,TrialBalanceC!M271,JournalsC!J$14:J$920)</f>
        <v>0</v>
      </c>
      <c r="H271" s="442"/>
      <c r="I271" s="447">
        <f t="shared" si="71"/>
        <v>0</v>
      </c>
      <c r="J271" s="83"/>
      <c r="K271" s="56">
        <f t="shared" si="45"/>
        <v>0</v>
      </c>
      <c r="M271" s="196" t="str">
        <f t="shared" si="46"/>
        <v>6250/020ELECTRONIC EQUIPMENT - ACC DEPR</v>
      </c>
      <c r="N271" s="78"/>
      <c r="P271" s="79"/>
      <c r="Q271" s="59"/>
      <c r="R271" s="34"/>
    </row>
    <row r="272" spans="1:18" x14ac:dyDescent="0.2">
      <c r="A272" s="393"/>
      <c r="B272" s="62" t="s">
        <v>10</v>
      </c>
      <c r="C272" s="397" t="s">
        <v>960</v>
      </c>
      <c r="D272" s="435"/>
      <c r="E272" s="434"/>
      <c r="F272" s="87">
        <f>SUM(K272:K274)</f>
        <v>0</v>
      </c>
      <c r="G272" s="55">
        <f>SUMIF(JournalsC!D$14:D$920,TrialBalanceC!M272,JournalsC!J$14:J$920)+SUMIF(JournalsC!E$14:E$920,TrialBalanceC!M272,JournalsC!J$14:J$920)</f>
        <v>0</v>
      </c>
      <c r="H272" s="442"/>
      <c r="I272" s="447">
        <f t="shared" si="71"/>
        <v>0</v>
      </c>
      <c r="J272" s="83"/>
      <c r="K272" s="56">
        <f t="shared" si="45"/>
        <v>0</v>
      </c>
      <c r="M272" s="196" t="str">
        <f t="shared" si="46"/>
        <v>6250/021Electronic equipment - acc depr b/fwd</v>
      </c>
      <c r="N272" s="78"/>
      <c r="P272" s="79"/>
      <c r="Q272" s="59"/>
      <c r="R272" s="34"/>
    </row>
    <row r="273" spans="1:18" x14ac:dyDescent="0.2">
      <c r="A273" s="393"/>
      <c r="B273" s="62" t="s">
        <v>11</v>
      </c>
      <c r="C273" s="397" t="s">
        <v>961</v>
      </c>
      <c r="D273" s="435"/>
      <c r="E273" s="434"/>
      <c r="F273" s="87"/>
      <c r="G273" s="55">
        <f>SUMIF(JournalsC!D$14:D$920,TrialBalanceC!M273,JournalsC!J$14:J$920)+SUMIF(JournalsC!E$14:E$920,TrialBalanceC!M273,JournalsC!J$14:J$920)</f>
        <v>0</v>
      </c>
      <c r="H273" s="442"/>
      <c r="I273" s="447">
        <f t="shared" si="71"/>
        <v>0</v>
      </c>
      <c r="J273" s="83"/>
      <c r="K273" s="56">
        <f t="shared" si="45"/>
        <v>0</v>
      </c>
      <c r="M273" s="196" t="str">
        <f t="shared" si="46"/>
        <v>6250/022Electronic equipment - depr this year</v>
      </c>
      <c r="N273" s="78"/>
      <c r="P273" s="79"/>
      <c r="Q273" s="59"/>
      <c r="R273" s="34"/>
    </row>
    <row r="274" spans="1:18" x14ac:dyDescent="0.2">
      <c r="A274" s="393"/>
      <c r="B274" s="62" t="s">
        <v>12</v>
      </c>
      <c r="C274" s="397" t="s">
        <v>962</v>
      </c>
      <c r="D274" s="435"/>
      <c r="E274" s="434"/>
      <c r="F274" s="87"/>
      <c r="G274" s="55">
        <f>SUMIF(JournalsC!D$14:D$920,TrialBalanceC!M274,JournalsC!J$14:J$920)+SUMIF(JournalsC!E$14:E$920,TrialBalanceC!M274,JournalsC!J$14:J$920)</f>
        <v>0</v>
      </c>
      <c r="H274" s="442"/>
      <c r="I274" s="447">
        <f t="shared" si="71"/>
        <v>0</v>
      </c>
      <c r="J274" s="83"/>
      <c r="K274" s="56">
        <f t="shared" si="45"/>
        <v>0</v>
      </c>
      <c r="M274" s="196" t="str">
        <f t="shared" si="46"/>
        <v>6250/023Electronic equipment - acc depr on sales</v>
      </c>
      <c r="N274" s="78"/>
      <c r="P274" s="79"/>
      <c r="Q274" s="59"/>
      <c r="R274" s="34"/>
    </row>
    <row r="275" spans="1:18" x14ac:dyDescent="0.2">
      <c r="A275" s="393"/>
      <c r="B275" s="62" t="s">
        <v>14</v>
      </c>
      <c r="C275" s="396" t="s">
        <v>963</v>
      </c>
      <c r="D275" s="436"/>
      <c r="E275" s="434"/>
      <c r="F275" s="87"/>
      <c r="G275" s="55">
        <f>SUMIF(JournalsC!D$14:D$920,TrialBalanceC!M275,JournalsC!J$14:J$920)+SUMIF(JournalsC!E$14:E$920,TrialBalanceC!M275,JournalsC!J$14:J$920)</f>
        <v>0</v>
      </c>
      <c r="H275" s="442"/>
      <c r="I275" s="447">
        <f t="shared" si="71"/>
        <v>0</v>
      </c>
      <c r="J275" s="83"/>
      <c r="K275" s="56">
        <f t="shared" si="45"/>
        <v>0</v>
      </c>
      <c r="M275" s="196" t="str">
        <f t="shared" si="46"/>
        <v>6350/000FURNITURE AND FITTINGS - COST</v>
      </c>
      <c r="N275" s="78"/>
      <c r="P275" s="79"/>
      <c r="Q275" s="59"/>
      <c r="R275" s="34"/>
    </row>
    <row r="276" spans="1:18" x14ac:dyDescent="0.2">
      <c r="A276" s="393"/>
      <c r="B276" s="62" t="s">
        <v>15</v>
      </c>
      <c r="C276" s="397" t="s">
        <v>964</v>
      </c>
      <c r="D276" s="435"/>
      <c r="E276" s="434"/>
      <c r="F276" s="87">
        <f>SUM(K276:K278)</f>
        <v>0</v>
      </c>
      <c r="G276" s="55">
        <f>SUMIF(JournalsC!D$14:D$920,TrialBalanceC!M276,JournalsC!J$14:J$920)+SUMIF(JournalsC!E$14:E$920,TrialBalanceC!M276,JournalsC!J$14:J$920)</f>
        <v>0</v>
      </c>
      <c r="H276" s="442"/>
      <c r="I276" s="447">
        <f t="shared" si="71"/>
        <v>0</v>
      </c>
      <c r="J276" s="83"/>
      <c r="K276" s="56">
        <f t="shared" si="45"/>
        <v>0</v>
      </c>
      <c r="M276" s="196" t="str">
        <f t="shared" si="46"/>
        <v>6350/001Furniture and fittings - cost b/fwd</v>
      </c>
      <c r="N276" s="78"/>
      <c r="P276" s="79"/>
      <c r="Q276" s="59"/>
      <c r="R276" s="34"/>
    </row>
    <row r="277" spans="1:18" x14ac:dyDescent="0.2">
      <c r="A277" s="393"/>
      <c r="B277" s="62" t="s">
        <v>462</v>
      </c>
      <c r="C277" s="397" t="s">
        <v>965</v>
      </c>
      <c r="D277" s="435"/>
      <c r="E277" s="434"/>
      <c r="F277" s="87"/>
      <c r="G277" s="55">
        <f>SUMIF(JournalsC!D$14:D$920,TrialBalanceC!M277,JournalsC!J$14:J$920)+SUMIF(JournalsC!E$14:E$920,TrialBalanceC!M277,JournalsC!J$14:J$920)</f>
        <v>0</v>
      </c>
      <c r="H277" s="442"/>
      <c r="I277" s="447">
        <f t="shared" si="71"/>
        <v>0</v>
      </c>
      <c r="J277" s="83"/>
      <c r="K277" s="56">
        <f t="shared" si="45"/>
        <v>0</v>
      </c>
      <c r="M277" s="196" t="str">
        <f t="shared" si="46"/>
        <v>6350/002Furniture and fittings - additions</v>
      </c>
      <c r="N277" s="78"/>
      <c r="P277" s="79"/>
      <c r="Q277" s="59"/>
      <c r="R277" s="34"/>
    </row>
    <row r="278" spans="1:18" x14ac:dyDescent="0.2">
      <c r="A278" s="393"/>
      <c r="B278" s="62" t="s">
        <v>478</v>
      </c>
      <c r="C278" s="397" t="s">
        <v>966</v>
      </c>
      <c r="D278" s="435"/>
      <c r="E278" s="434"/>
      <c r="F278" s="87"/>
      <c r="G278" s="55">
        <f>SUMIF(JournalsC!D$14:D$920,TrialBalanceC!M278,JournalsC!J$14:J$920)+SUMIF(JournalsC!E$14:E$920,TrialBalanceC!M278,JournalsC!J$14:J$920)</f>
        <v>0</v>
      </c>
      <c r="H278" s="442"/>
      <c r="I278" s="447">
        <f t="shared" si="71"/>
        <v>0</v>
      </c>
      <c r="J278" s="83"/>
      <c r="K278" s="56">
        <f t="shared" si="45"/>
        <v>0</v>
      </c>
      <c r="M278" s="196" t="str">
        <f t="shared" si="46"/>
        <v>6350/003Furniture and fittings - cost of sales</v>
      </c>
      <c r="N278" s="78"/>
      <c r="P278" s="79"/>
      <c r="Q278" s="59"/>
      <c r="R278" s="34"/>
    </row>
    <row r="279" spans="1:18" x14ac:dyDescent="0.2">
      <c r="A279" s="393"/>
      <c r="B279" s="62" t="s">
        <v>300</v>
      </c>
      <c r="C279" s="396" t="s">
        <v>967</v>
      </c>
      <c r="D279" s="436"/>
      <c r="E279" s="434"/>
      <c r="F279" s="87"/>
      <c r="G279" s="55">
        <f>SUMIF(JournalsC!D$14:D$920,TrialBalanceC!M279,JournalsC!J$14:J$920)+SUMIF(JournalsC!E$14:E$920,TrialBalanceC!M279,JournalsC!J$14:J$920)</f>
        <v>0</v>
      </c>
      <c r="H279" s="442"/>
      <c r="I279" s="447">
        <f t="shared" si="71"/>
        <v>0</v>
      </c>
      <c r="J279" s="83"/>
      <c r="K279" s="56">
        <f t="shared" si="45"/>
        <v>0</v>
      </c>
      <c r="M279" s="196" t="str">
        <f t="shared" si="46"/>
        <v>6350/020FURNITURE AND FITTINGS - ACC DEPR</v>
      </c>
      <c r="N279" s="78"/>
      <c r="P279" s="79"/>
      <c r="Q279" s="59"/>
      <c r="R279" s="34"/>
    </row>
    <row r="280" spans="1:18" x14ac:dyDescent="0.2">
      <c r="A280" s="393"/>
      <c r="B280" s="62" t="s">
        <v>168</v>
      </c>
      <c r="C280" s="397" t="s">
        <v>968</v>
      </c>
      <c r="D280" s="435"/>
      <c r="E280" s="434"/>
      <c r="F280" s="87">
        <f>SUM(K280:K282)</f>
        <v>0</v>
      </c>
      <c r="G280" s="55">
        <f>SUMIF(JournalsC!D$14:D$920,TrialBalanceC!M280,JournalsC!J$14:J$920)+SUMIF(JournalsC!E$14:E$920,TrialBalanceC!M280,JournalsC!J$14:J$920)</f>
        <v>0</v>
      </c>
      <c r="H280" s="442"/>
      <c r="I280" s="447">
        <f t="shared" si="71"/>
        <v>0</v>
      </c>
      <c r="J280" s="83"/>
      <c r="K280" s="56">
        <f t="shared" si="45"/>
        <v>0</v>
      </c>
      <c r="M280" s="196" t="str">
        <f t="shared" si="46"/>
        <v>6350/021Furniture and fittings - acc depr b/fwd</v>
      </c>
      <c r="N280" s="78"/>
      <c r="P280" s="79"/>
      <c r="Q280" s="59"/>
      <c r="R280" s="34"/>
    </row>
    <row r="281" spans="1:18" x14ac:dyDescent="0.2">
      <c r="A281" s="393"/>
      <c r="B281" s="62" t="s">
        <v>169</v>
      </c>
      <c r="C281" s="397" t="s">
        <v>969</v>
      </c>
      <c r="D281" s="435"/>
      <c r="E281" s="434"/>
      <c r="F281" s="87"/>
      <c r="G281" s="55">
        <f>SUMIF(JournalsC!D$14:D$920,TrialBalanceC!M281,JournalsC!J$14:J$920)+SUMIF(JournalsC!E$14:E$920,TrialBalanceC!M281,JournalsC!J$14:J$920)</f>
        <v>0</v>
      </c>
      <c r="H281" s="442"/>
      <c r="I281" s="447">
        <f t="shared" si="71"/>
        <v>0</v>
      </c>
      <c r="J281" s="83"/>
      <c r="K281" s="56">
        <f t="shared" si="45"/>
        <v>0</v>
      </c>
      <c r="M281" s="196" t="str">
        <f t="shared" si="46"/>
        <v>6350/022Furniture and fittings - depr this year</v>
      </c>
      <c r="N281" s="78"/>
      <c r="P281" s="79"/>
      <c r="Q281" s="59"/>
      <c r="R281" s="34"/>
    </row>
    <row r="282" spans="1:18" x14ac:dyDescent="0.2">
      <c r="A282" s="393"/>
      <c r="B282" s="62" t="s">
        <v>279</v>
      </c>
      <c r="C282" s="397" t="s">
        <v>970</v>
      </c>
      <c r="D282" s="435"/>
      <c r="E282" s="434"/>
      <c r="F282" s="87"/>
      <c r="G282" s="55">
        <f>SUMIF(JournalsC!D$14:D$920,TrialBalanceC!M282,JournalsC!J$14:J$920)+SUMIF(JournalsC!E$14:E$920,TrialBalanceC!M282,JournalsC!J$14:J$920)</f>
        <v>0</v>
      </c>
      <c r="H282" s="442"/>
      <c r="I282" s="447">
        <f t="shared" si="71"/>
        <v>0</v>
      </c>
      <c r="J282" s="83"/>
      <c r="K282" s="56">
        <f t="shared" si="45"/>
        <v>0</v>
      </c>
      <c r="M282" s="196" t="str">
        <f t="shared" si="46"/>
        <v>6350/023Furniture and fittings - acc depr on sales</v>
      </c>
      <c r="N282" s="78"/>
      <c r="P282" s="79"/>
      <c r="Q282" s="59"/>
      <c r="R282" s="34"/>
    </row>
    <row r="283" spans="1:18" x14ac:dyDescent="0.2">
      <c r="A283" s="393"/>
      <c r="B283" s="62" t="s">
        <v>500</v>
      </c>
      <c r="C283" s="396" t="s">
        <v>55</v>
      </c>
      <c r="D283" s="436"/>
      <c r="E283" s="434"/>
      <c r="F283" s="87"/>
      <c r="G283" s="55">
        <f>SUMIF(JournalsC!D$14:D$920,TrialBalanceC!M283,JournalsC!J$14:J$920)+SUMIF(JournalsC!E$14:E$920,TrialBalanceC!M283,JournalsC!J$14:J$920)</f>
        <v>0</v>
      </c>
      <c r="H283" s="442"/>
      <c r="I283" s="447">
        <f t="shared" si="71"/>
        <v>0</v>
      </c>
      <c r="J283" s="83"/>
      <c r="K283" s="56">
        <f t="shared" si="45"/>
        <v>0</v>
      </c>
      <c r="M283" s="196" t="str">
        <f t="shared" si="46"/>
        <v>7000/000INTANGIBLE ASSETS</v>
      </c>
      <c r="N283" s="78"/>
      <c r="P283" s="79"/>
      <c r="Q283" s="59"/>
      <c r="R283" s="34"/>
    </row>
    <row r="284" spans="1:18" x14ac:dyDescent="0.2">
      <c r="A284" s="393"/>
      <c r="B284" s="113" t="s">
        <v>1259</v>
      </c>
      <c r="C284" s="396" t="s">
        <v>1260</v>
      </c>
      <c r="D284" s="436"/>
      <c r="E284" s="434"/>
      <c r="F284" s="87"/>
      <c r="G284" s="55">
        <f>SUMIF(JournalsC!D$14:D$920,TrialBalanceC!M284,JournalsC!J$14:J$920)+SUMIF(JournalsC!E$14:E$920,TrialBalanceC!M284,JournalsC!J$14:J$920)</f>
        <v>0</v>
      </c>
      <c r="H284" s="442"/>
      <c r="I284" s="447">
        <f t="shared" ref="I284:I301" si="72">ROUND(D284-E284+G284+F284,0)</f>
        <v>0</v>
      </c>
      <c r="J284" s="83"/>
      <c r="K284" s="56">
        <f t="shared" ref="K284:K301" si="73">ROUND(SUM(A284),0)</f>
        <v>0</v>
      </c>
      <c r="M284" s="196" t="str">
        <f t="shared" ref="M284:M301" si="74">CONCATENATE(B284,C284)</f>
        <v>7000/001GOODWILL - COST</v>
      </c>
      <c r="N284" s="78"/>
      <c r="P284" s="79"/>
      <c r="Q284" s="59"/>
      <c r="R284" s="34"/>
    </row>
    <row r="285" spans="1:18" x14ac:dyDescent="0.2">
      <c r="A285" s="393"/>
      <c r="B285" s="113" t="s">
        <v>1261</v>
      </c>
      <c r="C285" s="397" t="s">
        <v>1262</v>
      </c>
      <c r="D285" s="436"/>
      <c r="E285" s="434"/>
      <c r="F285" s="87">
        <f>SUM(K285:K286)</f>
        <v>0</v>
      </c>
      <c r="G285" s="55">
        <f>SUMIF(JournalsC!D$14:D$920,TrialBalanceC!M285,JournalsC!J$14:J$920)+SUMIF(JournalsC!E$14:E$920,TrialBalanceC!M285,JournalsC!J$14:J$920)</f>
        <v>0</v>
      </c>
      <c r="H285" s="442"/>
      <c r="I285" s="447">
        <f t="shared" si="72"/>
        <v>0</v>
      </c>
      <c r="J285" s="83"/>
      <c r="K285" s="56">
        <f t="shared" si="73"/>
        <v>0</v>
      </c>
      <c r="M285" s="196" t="str">
        <f t="shared" si="74"/>
        <v>7000/002Goodwill - cost b/fwd</v>
      </c>
      <c r="N285" s="78"/>
      <c r="P285" s="79"/>
      <c r="Q285" s="59"/>
      <c r="R285" s="34"/>
    </row>
    <row r="286" spans="1:18" x14ac:dyDescent="0.2">
      <c r="A286" s="393"/>
      <c r="B286" s="113" t="s">
        <v>1263</v>
      </c>
      <c r="C286" s="397" t="s">
        <v>1264</v>
      </c>
      <c r="D286" s="436"/>
      <c r="E286" s="434"/>
      <c r="F286" s="87"/>
      <c r="G286" s="55">
        <f>SUMIF(JournalsC!D$14:D$920,TrialBalanceC!M286,JournalsC!J$14:J$920)+SUMIF(JournalsC!E$14:E$920,TrialBalanceC!M286,JournalsC!J$14:J$920)</f>
        <v>0</v>
      </c>
      <c r="H286" s="442"/>
      <c r="I286" s="447">
        <f t="shared" si="72"/>
        <v>0</v>
      </c>
      <c r="J286" s="83"/>
      <c r="K286" s="56">
        <f t="shared" si="73"/>
        <v>0</v>
      </c>
      <c r="M286" s="196" t="str">
        <f t="shared" si="74"/>
        <v>7000/003Goodwill - additions</v>
      </c>
      <c r="N286" s="78"/>
      <c r="P286" s="79"/>
      <c r="Q286" s="59"/>
      <c r="R286" s="34"/>
    </row>
    <row r="287" spans="1:18" x14ac:dyDescent="0.2">
      <c r="A287" s="393"/>
      <c r="B287" s="113" t="s">
        <v>1265</v>
      </c>
      <c r="C287" s="396" t="s">
        <v>1266</v>
      </c>
      <c r="D287" s="436"/>
      <c r="E287" s="434"/>
      <c r="F287" s="87"/>
      <c r="G287" s="55">
        <f>SUMIF(JournalsC!D$14:D$920,TrialBalanceC!M287,JournalsC!J$14:J$920)+SUMIF(JournalsC!E$14:E$920,TrialBalanceC!M287,JournalsC!J$14:J$920)</f>
        <v>0</v>
      </c>
      <c r="H287" s="442"/>
      <c r="I287" s="447">
        <f t="shared" si="72"/>
        <v>0</v>
      </c>
      <c r="J287" s="83"/>
      <c r="K287" s="56">
        <f t="shared" si="73"/>
        <v>0</v>
      </c>
      <c r="M287" s="196" t="str">
        <f t="shared" si="74"/>
        <v>7000/005GOODWILL - ACC AMORTISATION</v>
      </c>
      <c r="N287" s="78"/>
      <c r="P287" s="79"/>
      <c r="Q287" s="59"/>
      <c r="R287" s="34"/>
    </row>
    <row r="288" spans="1:18" x14ac:dyDescent="0.2">
      <c r="A288" s="393"/>
      <c r="B288" s="113" t="s">
        <v>1267</v>
      </c>
      <c r="C288" s="397" t="s">
        <v>1268</v>
      </c>
      <c r="D288" s="436"/>
      <c r="E288" s="434"/>
      <c r="F288" s="87">
        <f>SUM(K288:K289)</f>
        <v>0</v>
      </c>
      <c r="G288" s="55">
        <f>SUMIF(JournalsC!D$14:D$920,TrialBalanceC!M288,JournalsC!J$14:J$920)+SUMIF(JournalsC!E$14:E$920,TrialBalanceC!M288,JournalsC!J$14:J$920)</f>
        <v>0</v>
      </c>
      <c r="H288" s="442"/>
      <c r="I288" s="447">
        <f t="shared" si="72"/>
        <v>0</v>
      </c>
      <c r="J288" s="83"/>
      <c r="K288" s="56">
        <f t="shared" si="73"/>
        <v>0</v>
      </c>
      <c r="M288" s="196" t="str">
        <f t="shared" si="74"/>
        <v>7000/006Goodwill - acc amortisation b/fwd</v>
      </c>
      <c r="N288" s="78"/>
      <c r="P288" s="79"/>
      <c r="Q288" s="59"/>
      <c r="R288" s="34"/>
    </row>
    <row r="289" spans="1:18" x14ac:dyDescent="0.2">
      <c r="A289" s="393"/>
      <c r="B289" s="113" t="s">
        <v>1269</v>
      </c>
      <c r="C289" s="397" t="s">
        <v>1270</v>
      </c>
      <c r="D289" s="436"/>
      <c r="E289" s="434"/>
      <c r="F289" s="87"/>
      <c r="G289" s="55">
        <f>SUMIF(JournalsC!D$14:D$920,TrialBalanceC!M289,JournalsC!J$14:J$920)+SUMIF(JournalsC!E$14:E$920,TrialBalanceC!M289,JournalsC!J$14:J$920)</f>
        <v>0</v>
      </c>
      <c r="H289" s="442"/>
      <c r="I289" s="447">
        <f t="shared" si="72"/>
        <v>0</v>
      </c>
      <c r="J289" s="83"/>
      <c r="K289" s="56">
        <f t="shared" si="73"/>
        <v>0</v>
      </c>
      <c r="M289" s="196" t="str">
        <f t="shared" si="74"/>
        <v>7000/007Goodwill - amortisation this year</v>
      </c>
      <c r="N289" s="78"/>
      <c r="P289" s="79"/>
      <c r="Q289" s="59"/>
      <c r="R289" s="34"/>
    </row>
    <row r="290" spans="1:18" x14ac:dyDescent="0.2">
      <c r="A290" s="393"/>
      <c r="B290" s="113" t="s">
        <v>501</v>
      </c>
      <c r="C290" s="396" t="s">
        <v>1271</v>
      </c>
      <c r="D290" s="436"/>
      <c r="E290" s="434"/>
      <c r="F290" s="87"/>
      <c r="G290" s="55">
        <f>SUMIF(JournalsC!D$14:D$920,TrialBalanceC!M290,JournalsC!J$14:J$920)+SUMIF(JournalsC!E$14:E$920,TrialBalanceC!M290,JournalsC!J$14:J$920)</f>
        <v>0</v>
      </c>
      <c r="H290" s="442"/>
      <c r="I290" s="447">
        <f t="shared" si="72"/>
        <v>0</v>
      </c>
      <c r="J290" s="83"/>
      <c r="K290" s="56">
        <f t="shared" si="73"/>
        <v>0</v>
      </c>
      <c r="M290" s="196" t="str">
        <f t="shared" si="74"/>
        <v>7000/010GOODWILL - IMPAIRMENT</v>
      </c>
      <c r="N290" s="78"/>
      <c r="P290" s="79"/>
      <c r="Q290" s="59"/>
      <c r="R290" s="34"/>
    </row>
    <row r="291" spans="1:18" x14ac:dyDescent="0.2">
      <c r="A291" s="393"/>
      <c r="B291" s="113" t="s">
        <v>707</v>
      </c>
      <c r="C291" s="397" t="s">
        <v>1272</v>
      </c>
      <c r="D291" s="436"/>
      <c r="E291" s="434"/>
      <c r="F291" s="87">
        <f>SUM(K291:K292)</f>
        <v>0</v>
      </c>
      <c r="G291" s="55">
        <f>SUMIF(JournalsC!D$14:D$920,TrialBalanceC!M291,JournalsC!J$14:J$920)+SUMIF(JournalsC!E$14:E$920,TrialBalanceC!M291,JournalsC!J$14:J$920)</f>
        <v>0</v>
      </c>
      <c r="H291" s="442"/>
      <c r="I291" s="447">
        <f t="shared" si="72"/>
        <v>0</v>
      </c>
      <c r="J291" s="83"/>
      <c r="K291" s="56">
        <f t="shared" si="73"/>
        <v>0</v>
      </c>
      <c r="M291" s="196" t="str">
        <f t="shared" si="74"/>
        <v>7000/011Goodwill - impairment loss b/fwd</v>
      </c>
      <c r="N291" s="78"/>
      <c r="P291" s="79"/>
      <c r="Q291" s="59"/>
      <c r="R291" s="34"/>
    </row>
    <row r="292" spans="1:18" x14ac:dyDescent="0.2">
      <c r="A292" s="393"/>
      <c r="B292" s="113" t="s">
        <v>1273</v>
      </c>
      <c r="C292" s="397" t="s">
        <v>1274</v>
      </c>
      <c r="D292" s="436"/>
      <c r="E292" s="434"/>
      <c r="F292" s="87"/>
      <c r="G292" s="55">
        <f>SUMIF(JournalsC!D$14:D$920,TrialBalanceC!M292,JournalsC!J$14:J$920)+SUMIF(JournalsC!E$14:E$920,TrialBalanceC!M292,JournalsC!J$14:J$920)</f>
        <v>0</v>
      </c>
      <c r="H292" s="442"/>
      <c r="I292" s="447">
        <f t="shared" si="72"/>
        <v>0</v>
      </c>
      <c r="J292" s="83"/>
      <c r="K292" s="56">
        <f t="shared" si="73"/>
        <v>0</v>
      </c>
      <c r="M292" s="196" t="str">
        <f t="shared" si="74"/>
        <v>7000/012Goodwill - impairment loss this year</v>
      </c>
      <c r="N292" s="78"/>
      <c r="P292" s="79"/>
      <c r="Q292" s="59"/>
      <c r="R292" s="34"/>
    </row>
    <row r="293" spans="1:18" x14ac:dyDescent="0.2">
      <c r="A293" s="393"/>
      <c r="B293" s="113" t="s">
        <v>1275</v>
      </c>
      <c r="C293" s="396" t="s">
        <v>1276</v>
      </c>
      <c r="D293" s="436"/>
      <c r="E293" s="434"/>
      <c r="F293" s="87"/>
      <c r="G293" s="55">
        <f>SUMIF(JournalsC!D$14:D$920,TrialBalanceC!M293,JournalsC!J$14:J$920)+SUMIF(JournalsC!E$14:E$920,TrialBalanceC!M293,JournalsC!J$14:J$920)</f>
        <v>0</v>
      </c>
      <c r="H293" s="442"/>
      <c r="I293" s="447">
        <f t="shared" si="72"/>
        <v>0</v>
      </c>
      <c r="J293" s="83"/>
      <c r="K293" s="56">
        <f t="shared" si="73"/>
        <v>0</v>
      </c>
      <c r="M293" s="196" t="str">
        <f t="shared" si="74"/>
        <v>7000/021PREPAID LEASE AGREEMENT - COST</v>
      </c>
      <c r="N293" s="78"/>
      <c r="P293" s="79"/>
      <c r="Q293" s="59"/>
      <c r="R293" s="34"/>
    </row>
    <row r="294" spans="1:18" x14ac:dyDescent="0.2">
      <c r="A294" s="393"/>
      <c r="B294" s="113" t="s">
        <v>1277</v>
      </c>
      <c r="C294" s="397" t="s">
        <v>1278</v>
      </c>
      <c r="D294" s="436"/>
      <c r="E294" s="434"/>
      <c r="F294" s="87">
        <f>SUM(K294:K295)</f>
        <v>0</v>
      </c>
      <c r="G294" s="55">
        <f>SUMIF(JournalsC!D$14:D$920,TrialBalanceC!M294,JournalsC!J$14:J$920)+SUMIF(JournalsC!E$14:E$920,TrialBalanceC!M294,JournalsC!J$14:J$920)</f>
        <v>0</v>
      </c>
      <c r="H294" s="442"/>
      <c r="I294" s="447">
        <f t="shared" si="72"/>
        <v>0</v>
      </c>
      <c r="J294" s="83"/>
      <c r="K294" s="56">
        <f t="shared" si="73"/>
        <v>0</v>
      </c>
      <c r="M294" s="196" t="str">
        <f t="shared" si="74"/>
        <v>7000/022Prepaid lease agreement - cost b/fwd</v>
      </c>
      <c r="N294" s="78"/>
      <c r="P294" s="79"/>
      <c r="Q294" s="59"/>
      <c r="R294" s="34"/>
    </row>
    <row r="295" spans="1:18" x14ac:dyDescent="0.2">
      <c r="A295" s="393"/>
      <c r="B295" s="113" t="s">
        <v>1279</v>
      </c>
      <c r="C295" s="397" t="s">
        <v>1280</v>
      </c>
      <c r="D295" s="436"/>
      <c r="E295" s="434"/>
      <c r="F295" s="87"/>
      <c r="G295" s="55">
        <f>SUMIF(JournalsC!D$14:D$920,TrialBalanceC!M295,JournalsC!J$14:J$920)+SUMIF(JournalsC!E$14:E$920,TrialBalanceC!M295,JournalsC!J$14:J$920)</f>
        <v>0</v>
      </c>
      <c r="H295" s="442"/>
      <c r="I295" s="447">
        <f t="shared" si="72"/>
        <v>0</v>
      </c>
      <c r="J295" s="83"/>
      <c r="K295" s="56">
        <f t="shared" si="73"/>
        <v>0</v>
      </c>
      <c r="M295" s="196" t="str">
        <f t="shared" si="74"/>
        <v>7000/023Prepaid lease agreement - additions</v>
      </c>
      <c r="N295" s="78"/>
      <c r="P295" s="79"/>
      <c r="Q295" s="59"/>
      <c r="R295" s="34"/>
    </row>
    <row r="296" spans="1:18" x14ac:dyDescent="0.2">
      <c r="A296" s="393"/>
      <c r="B296" s="113" t="s">
        <v>502</v>
      </c>
      <c r="C296" s="396" t="s">
        <v>1281</v>
      </c>
      <c r="D296" s="436"/>
      <c r="E296" s="434"/>
      <c r="F296" s="87"/>
      <c r="G296" s="55">
        <f>SUMIF(JournalsC!D$14:D$920,TrialBalanceC!M296,JournalsC!J$14:J$920)+SUMIF(JournalsC!E$14:E$920,TrialBalanceC!M296,JournalsC!J$14:J$920)</f>
        <v>0</v>
      </c>
      <c r="H296" s="442"/>
      <c r="I296" s="447">
        <f t="shared" si="72"/>
        <v>0</v>
      </c>
      <c r="J296" s="83"/>
      <c r="K296" s="56">
        <f t="shared" si="73"/>
        <v>0</v>
      </c>
      <c r="M296" s="196" t="str">
        <f t="shared" si="74"/>
        <v>7000/025PREPAID LEASE AGREEMENT - ACC AMORTISATION</v>
      </c>
      <c r="N296" s="78"/>
      <c r="P296" s="79"/>
      <c r="Q296" s="59"/>
      <c r="R296" s="34"/>
    </row>
    <row r="297" spans="1:18" x14ac:dyDescent="0.2">
      <c r="A297" s="393"/>
      <c r="B297" s="113" t="s">
        <v>1282</v>
      </c>
      <c r="C297" s="397" t="s">
        <v>1283</v>
      </c>
      <c r="D297" s="436"/>
      <c r="E297" s="434"/>
      <c r="F297" s="87">
        <f>SUM(K297:K298)</f>
        <v>0</v>
      </c>
      <c r="G297" s="55">
        <f>SUMIF(JournalsC!D$14:D$920,TrialBalanceC!M297,JournalsC!J$14:J$920)+SUMIF(JournalsC!E$14:E$920,TrialBalanceC!M297,JournalsC!J$14:J$920)</f>
        <v>0</v>
      </c>
      <c r="H297" s="442"/>
      <c r="I297" s="447">
        <f t="shared" si="72"/>
        <v>0</v>
      </c>
      <c r="J297" s="83"/>
      <c r="K297" s="56">
        <f t="shared" si="73"/>
        <v>0</v>
      </c>
      <c r="M297" s="196" t="str">
        <f t="shared" si="74"/>
        <v>7000/026Prepaid lease agreement - acc amortisation b/fwd</v>
      </c>
      <c r="N297" s="78"/>
      <c r="P297" s="79"/>
      <c r="Q297" s="59"/>
      <c r="R297" s="34"/>
    </row>
    <row r="298" spans="1:18" x14ac:dyDescent="0.2">
      <c r="A298" s="393"/>
      <c r="B298" s="113" t="s">
        <v>1284</v>
      </c>
      <c r="C298" s="397" t="s">
        <v>1285</v>
      </c>
      <c r="D298" s="436"/>
      <c r="E298" s="434"/>
      <c r="F298" s="87"/>
      <c r="G298" s="55">
        <f>SUMIF(JournalsC!D$14:D$920,TrialBalanceC!M298,JournalsC!J$14:J$920)+SUMIF(JournalsC!E$14:E$920,TrialBalanceC!M298,JournalsC!J$14:J$920)</f>
        <v>0</v>
      </c>
      <c r="H298" s="442"/>
      <c r="I298" s="447">
        <f t="shared" si="72"/>
        <v>0</v>
      </c>
      <c r="J298" s="83"/>
      <c r="K298" s="56">
        <f t="shared" si="73"/>
        <v>0</v>
      </c>
      <c r="M298" s="196" t="str">
        <f t="shared" si="74"/>
        <v>7000/027Prepaid lease agreement - amortisation this year</v>
      </c>
      <c r="N298" s="78"/>
      <c r="P298" s="79"/>
      <c r="Q298" s="59"/>
      <c r="R298" s="34"/>
    </row>
    <row r="299" spans="1:18" x14ac:dyDescent="0.2">
      <c r="A299" s="393"/>
      <c r="B299" s="113" t="s">
        <v>1286</v>
      </c>
      <c r="C299" s="396" t="s">
        <v>1287</v>
      </c>
      <c r="D299" s="436"/>
      <c r="E299" s="434"/>
      <c r="F299" s="87"/>
      <c r="G299" s="55">
        <f>SUMIF(JournalsC!D$14:D$920,TrialBalanceC!M299,JournalsC!J$14:J$920)+SUMIF(JournalsC!E$14:E$920,TrialBalanceC!M299,JournalsC!J$14:J$920)</f>
        <v>0</v>
      </c>
      <c r="H299" s="442"/>
      <c r="I299" s="447">
        <f t="shared" si="72"/>
        <v>0</v>
      </c>
      <c r="J299" s="83"/>
      <c r="K299" s="56">
        <f t="shared" si="73"/>
        <v>0</v>
      </c>
      <c r="M299" s="196" t="str">
        <f t="shared" si="74"/>
        <v>7000/030PREPAID LEASE AGREEMENT - IMPAIRMENT</v>
      </c>
      <c r="N299" s="78"/>
      <c r="P299" s="79"/>
      <c r="Q299" s="59"/>
      <c r="R299" s="34"/>
    </row>
    <row r="300" spans="1:18" x14ac:dyDescent="0.2">
      <c r="A300" s="393"/>
      <c r="B300" s="113" t="s">
        <v>1288</v>
      </c>
      <c r="C300" s="397" t="s">
        <v>1289</v>
      </c>
      <c r="D300" s="436"/>
      <c r="E300" s="434"/>
      <c r="F300" s="87">
        <f>SUM(K300:K301)</f>
        <v>0</v>
      </c>
      <c r="G300" s="55">
        <f>SUMIF(JournalsC!D$14:D$920,TrialBalanceC!M300,JournalsC!J$14:J$920)+SUMIF(JournalsC!E$14:E$920,TrialBalanceC!M300,JournalsC!J$14:J$920)</f>
        <v>0</v>
      </c>
      <c r="H300" s="442"/>
      <c r="I300" s="447">
        <f t="shared" si="72"/>
        <v>0</v>
      </c>
      <c r="J300" s="83"/>
      <c r="K300" s="56">
        <f t="shared" si="73"/>
        <v>0</v>
      </c>
      <c r="M300" s="196" t="str">
        <f t="shared" si="74"/>
        <v>7000/031Prepaid lease agreement - impairment loss b/fwd</v>
      </c>
      <c r="N300" s="78"/>
      <c r="P300" s="79"/>
      <c r="Q300" s="59"/>
      <c r="R300" s="34"/>
    </row>
    <row r="301" spans="1:18" x14ac:dyDescent="0.2">
      <c r="A301" s="393"/>
      <c r="B301" s="113" t="s">
        <v>1290</v>
      </c>
      <c r="C301" s="397" t="s">
        <v>1291</v>
      </c>
      <c r="D301" s="436"/>
      <c r="E301" s="434"/>
      <c r="F301" s="87"/>
      <c r="G301" s="55">
        <f>SUMIF(JournalsC!D$14:D$920,TrialBalanceC!M301,JournalsC!J$14:J$920)+SUMIF(JournalsC!E$14:E$920,TrialBalanceC!M301,JournalsC!J$14:J$920)</f>
        <v>0</v>
      </c>
      <c r="H301" s="442"/>
      <c r="I301" s="447">
        <f t="shared" si="72"/>
        <v>0</v>
      </c>
      <c r="J301" s="83"/>
      <c r="K301" s="56">
        <f t="shared" si="73"/>
        <v>0</v>
      </c>
      <c r="M301" s="196" t="str">
        <f t="shared" si="74"/>
        <v>7000/032Prepaid lease agreement - impairment loss this year</v>
      </c>
      <c r="N301" s="78"/>
      <c r="P301" s="79"/>
      <c r="Q301" s="59"/>
      <c r="R301" s="34"/>
    </row>
    <row r="302" spans="1:18" x14ac:dyDescent="0.2">
      <c r="A302" s="393"/>
      <c r="B302" s="62" t="s">
        <v>503</v>
      </c>
      <c r="C302" s="396" t="s">
        <v>189</v>
      </c>
      <c r="D302" s="436"/>
      <c r="E302" s="434"/>
      <c r="F302" s="87"/>
      <c r="G302" s="55">
        <f>SUMIF(JournalsC!D$14:D$920,TrialBalanceC!M302,JournalsC!J$14:J$920)+SUMIF(JournalsC!E$14:E$920,TrialBalanceC!M302,JournalsC!J$14:J$920)</f>
        <v>0</v>
      </c>
      <c r="H302" s="442"/>
      <c r="I302" s="447">
        <f t="shared" si="71"/>
        <v>0</v>
      </c>
      <c r="J302" s="83"/>
      <c r="K302" s="56">
        <f t="shared" ref="K302:K389" si="75">ROUND(SUM(A302),0)</f>
        <v>0</v>
      </c>
      <c r="M302" s="196" t="str">
        <f t="shared" ref="M302:M389" si="76">CONCATENATE(B302,C302)</f>
        <v>7100/000INVESTMENTS</v>
      </c>
      <c r="N302" s="78"/>
      <c r="P302" s="79"/>
      <c r="Q302" s="59"/>
      <c r="R302" s="34"/>
    </row>
    <row r="303" spans="1:18" x14ac:dyDescent="0.2">
      <c r="A303" s="393"/>
      <c r="B303" s="113" t="s">
        <v>1209</v>
      </c>
      <c r="C303" s="397" t="s">
        <v>1203</v>
      </c>
      <c r="D303" s="436"/>
      <c r="E303" s="434"/>
      <c r="F303" s="87"/>
      <c r="G303" s="55">
        <f>SUMIF(JournalsC!D$14:D$920,TrialBalanceC!M303,JournalsC!J$14:J$920)+SUMIF(JournalsC!E$14:E$920,TrialBalanceC!M303,JournalsC!J$14:J$920)</f>
        <v>0</v>
      </c>
      <c r="H303" s="442"/>
      <c r="I303" s="447">
        <f t="shared" ref="I303:I306" si="77">ROUND(D303-E303+G303+F303,0)</f>
        <v>0</v>
      </c>
      <c r="J303" s="83"/>
      <c r="K303" s="56">
        <f t="shared" ref="K303:K306" si="78">ROUND(SUM(A303),0)</f>
        <v>0</v>
      </c>
      <c r="M303" s="196" t="str">
        <f t="shared" ref="M303:M306" si="79">CONCATENATE(B303,C303)</f>
        <v>7100/050INVESTMENTS IN ASSOCIATES</v>
      </c>
      <c r="N303" s="78"/>
      <c r="P303" s="79"/>
      <c r="Q303" s="59"/>
      <c r="R303" s="34"/>
    </row>
    <row r="304" spans="1:18" x14ac:dyDescent="0.2">
      <c r="A304" s="393"/>
      <c r="B304" s="113" t="s">
        <v>1210</v>
      </c>
      <c r="C304" s="429" t="str">
        <f>TrialBalance!C304</f>
        <v>30 Shares in ABC Company (Pty) Ltd - 30% interest</v>
      </c>
      <c r="D304" s="405"/>
      <c r="E304" s="406"/>
      <c r="F304" s="87">
        <f>K304</f>
        <v>0</v>
      </c>
      <c r="G304" s="55">
        <f>SUMIF(JournalsC!D$14:D$920,TrialBalanceC!M304,JournalsC!J$14:J$920)+SUMIF(JournalsC!E$14:E$920,TrialBalanceC!M304,JournalsC!J$14:J$920)</f>
        <v>0</v>
      </c>
      <c r="H304" s="442"/>
      <c r="I304" s="447">
        <f t="shared" si="77"/>
        <v>0</v>
      </c>
      <c r="J304" s="83"/>
      <c r="K304" s="56">
        <f t="shared" si="78"/>
        <v>0</v>
      </c>
      <c r="M304" s="196" t="str">
        <f t="shared" si="79"/>
        <v>7100/05130 Shares in ABC Company (Pty) Ltd - 30% interest</v>
      </c>
      <c r="N304" s="78"/>
      <c r="P304" s="79"/>
      <c r="Q304" s="59"/>
      <c r="R304" s="34"/>
    </row>
    <row r="305" spans="1:18" x14ac:dyDescent="0.2">
      <c r="A305" s="393"/>
      <c r="B305" s="113" t="s">
        <v>1211</v>
      </c>
      <c r="C305" s="429">
        <f>TrialBalance!C305</f>
        <v>0</v>
      </c>
      <c r="D305" s="405"/>
      <c r="E305" s="406"/>
      <c r="F305" s="87">
        <f>K305</f>
        <v>0</v>
      </c>
      <c r="G305" s="55">
        <f>SUMIF(JournalsC!D$14:D$920,TrialBalanceC!M305,JournalsC!J$14:J$920)+SUMIF(JournalsC!E$14:E$920,TrialBalanceC!M305,JournalsC!J$14:J$920)</f>
        <v>0</v>
      </c>
      <c r="H305" s="442"/>
      <c r="I305" s="447">
        <f t="shared" si="77"/>
        <v>0</v>
      </c>
      <c r="J305" s="83"/>
      <c r="K305" s="56">
        <f t="shared" si="78"/>
        <v>0</v>
      </c>
      <c r="M305" s="196" t="str">
        <f t="shared" si="79"/>
        <v>7100/0520</v>
      </c>
      <c r="N305" s="78"/>
      <c r="P305" s="79"/>
      <c r="Q305" s="59"/>
      <c r="R305" s="34"/>
    </row>
    <row r="306" spans="1:18" x14ac:dyDescent="0.2">
      <c r="A306" s="393"/>
      <c r="B306" s="113" t="s">
        <v>1212</v>
      </c>
      <c r="C306" s="429">
        <f>TrialBalance!C306</f>
        <v>0</v>
      </c>
      <c r="D306" s="405"/>
      <c r="E306" s="406"/>
      <c r="F306" s="87">
        <f>K306</f>
        <v>0</v>
      </c>
      <c r="G306" s="55">
        <f>SUMIF(JournalsC!D$14:D$920,TrialBalanceC!M306,JournalsC!J$14:J$920)+SUMIF(JournalsC!E$14:E$920,TrialBalanceC!M306,JournalsC!J$14:J$920)</f>
        <v>0</v>
      </c>
      <c r="H306" s="442"/>
      <c r="I306" s="447">
        <f t="shared" si="77"/>
        <v>0</v>
      </c>
      <c r="J306" s="83"/>
      <c r="K306" s="56">
        <f t="shared" si="78"/>
        <v>0</v>
      </c>
      <c r="M306" s="196" t="str">
        <f t="shared" si="79"/>
        <v>7100/0530</v>
      </c>
      <c r="N306" s="78"/>
      <c r="P306" s="79"/>
      <c r="Q306" s="59"/>
      <c r="R306" s="34"/>
    </row>
    <row r="307" spans="1:18" x14ac:dyDescent="0.2">
      <c r="A307" s="393"/>
      <c r="B307" s="62" t="s">
        <v>504</v>
      </c>
      <c r="C307" s="394" t="s">
        <v>505</v>
      </c>
      <c r="D307" s="435"/>
      <c r="E307" s="434"/>
      <c r="F307" s="87"/>
      <c r="G307" s="55">
        <f>SUMIF(JournalsC!D$14:D$920,TrialBalanceC!M307,JournalsC!J$14:J$920)+SUMIF(JournalsC!E$14:E$920,TrialBalanceC!M307,JournalsC!J$14:J$920)</f>
        <v>0</v>
      </c>
      <c r="H307" s="442"/>
      <c r="I307" s="447">
        <f t="shared" si="71"/>
        <v>0</v>
      </c>
      <c r="J307" s="83"/>
      <c r="K307" s="56">
        <f t="shared" si="75"/>
        <v>0</v>
      </c>
      <c r="M307" s="196" t="str">
        <f t="shared" si="76"/>
        <v>7100/100LISTED INVESTMENTS</v>
      </c>
      <c r="N307" s="78"/>
      <c r="P307" s="79"/>
      <c r="Q307" s="59"/>
      <c r="R307" s="34"/>
    </row>
    <row r="308" spans="1:18" x14ac:dyDescent="0.2">
      <c r="A308" s="393"/>
      <c r="B308" s="62" t="s">
        <v>506</v>
      </c>
      <c r="C308" s="429">
        <f>TrialBalance!C308</f>
        <v>0</v>
      </c>
      <c r="D308" s="435"/>
      <c r="E308" s="434"/>
      <c r="F308" s="87">
        <f>K308</f>
        <v>0</v>
      </c>
      <c r="G308" s="55">
        <f>SUMIF(JournalsC!D$14:D$920,TrialBalanceC!M308,JournalsC!J$14:J$920)+SUMIF(JournalsC!E$14:E$920,TrialBalanceC!M308,JournalsC!J$14:J$920)</f>
        <v>0</v>
      </c>
      <c r="H308" s="442"/>
      <c r="I308" s="447">
        <f t="shared" si="71"/>
        <v>0</v>
      </c>
      <c r="J308" s="83"/>
      <c r="K308" s="56">
        <f t="shared" si="75"/>
        <v>0</v>
      </c>
      <c r="M308" s="196" t="str">
        <f t="shared" si="76"/>
        <v>7100/1010</v>
      </c>
      <c r="N308" s="78"/>
      <c r="P308" s="79"/>
      <c r="Q308" s="59"/>
      <c r="R308" s="34"/>
    </row>
    <row r="309" spans="1:18" x14ac:dyDescent="0.2">
      <c r="A309" s="393"/>
      <c r="B309" s="62" t="s">
        <v>507</v>
      </c>
      <c r="C309" s="429">
        <f>TrialBalance!C309</f>
        <v>0</v>
      </c>
      <c r="D309" s="435"/>
      <c r="E309" s="434"/>
      <c r="F309" s="87">
        <f t="shared" ref="F309:F377" si="80">K309</f>
        <v>0</v>
      </c>
      <c r="G309" s="55">
        <f>SUMIF(JournalsC!D$14:D$920,TrialBalanceC!M309,JournalsC!J$14:J$920)+SUMIF(JournalsC!E$14:E$920,TrialBalanceC!M309,JournalsC!J$14:J$920)</f>
        <v>0</v>
      </c>
      <c r="H309" s="442"/>
      <c r="I309" s="447">
        <f t="shared" si="71"/>
        <v>0</v>
      </c>
      <c r="J309" s="83"/>
      <c r="K309" s="56">
        <f t="shared" si="75"/>
        <v>0</v>
      </c>
      <c r="M309" s="196" t="str">
        <f t="shared" si="76"/>
        <v>7100/1020</v>
      </c>
      <c r="N309" s="78"/>
      <c r="P309" s="79"/>
      <c r="Q309" s="59"/>
      <c r="R309" s="34"/>
    </row>
    <row r="310" spans="1:18" x14ac:dyDescent="0.2">
      <c r="A310" s="393"/>
      <c r="B310" s="62" t="s">
        <v>508</v>
      </c>
      <c r="C310" s="429">
        <f>TrialBalance!C310</f>
        <v>0</v>
      </c>
      <c r="D310" s="435"/>
      <c r="E310" s="434"/>
      <c r="F310" s="87">
        <f t="shared" si="80"/>
        <v>0</v>
      </c>
      <c r="G310" s="55">
        <f>SUMIF(JournalsC!D$14:D$920,TrialBalanceC!M310,JournalsC!J$14:J$920)+SUMIF(JournalsC!E$14:E$920,TrialBalanceC!M310,JournalsC!J$14:J$920)</f>
        <v>0</v>
      </c>
      <c r="H310" s="442"/>
      <c r="I310" s="447">
        <f t="shared" si="71"/>
        <v>0</v>
      </c>
      <c r="J310" s="83"/>
      <c r="K310" s="56">
        <f t="shared" si="75"/>
        <v>0</v>
      </c>
      <c r="M310" s="196" t="str">
        <f t="shared" si="76"/>
        <v>7100/1030</v>
      </c>
      <c r="N310" s="78"/>
      <c r="P310" s="79"/>
      <c r="Q310" s="59"/>
      <c r="R310" s="34"/>
    </row>
    <row r="311" spans="1:18" x14ac:dyDescent="0.2">
      <c r="A311" s="393"/>
      <c r="B311" s="62" t="s">
        <v>509</v>
      </c>
      <c r="C311" s="429">
        <f>TrialBalance!C311</f>
        <v>0</v>
      </c>
      <c r="D311" s="435"/>
      <c r="E311" s="434"/>
      <c r="F311" s="87">
        <f t="shared" si="80"/>
        <v>0</v>
      </c>
      <c r="G311" s="55">
        <f>SUMIF(JournalsC!D$14:D$920,TrialBalanceC!M311,JournalsC!J$14:J$920)+SUMIF(JournalsC!E$14:E$920,TrialBalanceC!M311,JournalsC!J$14:J$920)</f>
        <v>0</v>
      </c>
      <c r="H311" s="442"/>
      <c r="I311" s="447">
        <f t="shared" si="71"/>
        <v>0</v>
      </c>
      <c r="J311" s="83"/>
      <c r="K311" s="56">
        <f t="shared" si="75"/>
        <v>0</v>
      </c>
      <c r="M311" s="196" t="str">
        <f t="shared" si="76"/>
        <v>7100/1040</v>
      </c>
      <c r="N311" s="78"/>
      <c r="P311" s="79"/>
      <c r="Q311" s="59"/>
      <c r="R311" s="34"/>
    </row>
    <row r="312" spans="1:18" x14ac:dyDescent="0.2">
      <c r="A312" s="393"/>
      <c r="B312" s="62" t="s">
        <v>510</v>
      </c>
      <c r="C312" s="429">
        <f>TrialBalance!C312</f>
        <v>0</v>
      </c>
      <c r="D312" s="435"/>
      <c r="E312" s="434"/>
      <c r="F312" s="87">
        <f t="shared" si="80"/>
        <v>0</v>
      </c>
      <c r="G312" s="55">
        <f>SUMIF(JournalsC!D$14:D$920,TrialBalanceC!M312,JournalsC!J$14:J$920)+SUMIF(JournalsC!E$14:E$920,TrialBalanceC!M312,JournalsC!J$14:J$920)</f>
        <v>0</v>
      </c>
      <c r="H312" s="442"/>
      <c r="I312" s="447">
        <f t="shared" si="71"/>
        <v>0</v>
      </c>
      <c r="J312" s="83"/>
      <c r="K312" s="56">
        <f t="shared" si="75"/>
        <v>0</v>
      </c>
      <c r="M312" s="196" t="str">
        <f t="shared" si="76"/>
        <v>7100/1050</v>
      </c>
      <c r="N312" s="78"/>
      <c r="P312" s="79"/>
      <c r="Q312" s="59"/>
      <c r="R312" s="34"/>
    </row>
    <row r="313" spans="1:18" x14ac:dyDescent="0.2">
      <c r="A313" s="393"/>
      <c r="B313" s="62" t="s">
        <v>511</v>
      </c>
      <c r="C313" s="396" t="s">
        <v>411</v>
      </c>
      <c r="D313" s="436"/>
      <c r="E313" s="434"/>
      <c r="F313" s="87"/>
      <c r="G313" s="55">
        <f>SUMIF(JournalsC!D$14:D$920,TrialBalanceC!M313,JournalsC!J$14:J$920)+SUMIF(JournalsC!E$14:E$920,TrialBalanceC!M313,JournalsC!J$14:J$920)</f>
        <v>0</v>
      </c>
      <c r="H313" s="442"/>
      <c r="I313" s="447">
        <f t="shared" si="71"/>
        <v>0</v>
      </c>
      <c r="J313" s="83"/>
      <c r="K313" s="56">
        <f t="shared" si="75"/>
        <v>0</v>
      </c>
      <c r="M313" s="196" t="str">
        <f t="shared" si="76"/>
        <v>7100/200OTHER INVESTMENTS</v>
      </c>
      <c r="N313" s="78"/>
      <c r="P313" s="79"/>
      <c r="Q313" s="59"/>
      <c r="R313" s="34"/>
    </row>
    <row r="314" spans="1:18" x14ac:dyDescent="0.2">
      <c r="A314" s="393"/>
      <c r="B314" s="62" t="s">
        <v>512</v>
      </c>
      <c r="C314" s="429">
        <f>TrialBalance!C314</f>
        <v>0</v>
      </c>
      <c r="D314" s="437"/>
      <c r="E314" s="434"/>
      <c r="F314" s="87">
        <f t="shared" si="80"/>
        <v>0</v>
      </c>
      <c r="G314" s="55">
        <f>SUMIF(JournalsC!D$14:D$920,TrialBalanceC!M314,JournalsC!J$14:J$920)+SUMIF(JournalsC!E$14:E$920,TrialBalanceC!M314,JournalsC!J$14:J$920)</f>
        <v>0</v>
      </c>
      <c r="H314" s="442"/>
      <c r="I314" s="447">
        <f t="shared" si="71"/>
        <v>0</v>
      </c>
      <c r="J314" s="83"/>
      <c r="K314" s="56">
        <f t="shared" si="75"/>
        <v>0</v>
      </c>
      <c r="M314" s="196" t="str">
        <f t="shared" si="76"/>
        <v>7100/2010</v>
      </c>
      <c r="N314" s="78"/>
      <c r="P314" s="79"/>
      <c r="Q314" s="59"/>
      <c r="R314" s="34"/>
    </row>
    <row r="315" spans="1:18" x14ac:dyDescent="0.2">
      <c r="A315" s="393"/>
      <c r="B315" s="62" t="s">
        <v>513</v>
      </c>
      <c r="C315" s="429">
        <f>TrialBalance!C315</f>
        <v>0</v>
      </c>
      <c r="D315" s="437"/>
      <c r="E315" s="434"/>
      <c r="F315" s="87">
        <f t="shared" si="80"/>
        <v>0</v>
      </c>
      <c r="G315" s="55">
        <f>SUMIF(JournalsC!D$14:D$920,TrialBalanceC!M315,JournalsC!J$14:J$920)+SUMIF(JournalsC!E$14:E$920,TrialBalanceC!M315,JournalsC!J$14:J$920)</f>
        <v>0</v>
      </c>
      <c r="H315" s="442"/>
      <c r="I315" s="447">
        <f t="shared" si="71"/>
        <v>0</v>
      </c>
      <c r="J315" s="83"/>
      <c r="K315" s="56">
        <f t="shared" si="75"/>
        <v>0</v>
      </c>
      <c r="M315" s="196" t="str">
        <f t="shared" si="76"/>
        <v>7100/2020</v>
      </c>
      <c r="N315" s="78"/>
      <c r="P315" s="79"/>
      <c r="Q315" s="59"/>
      <c r="R315" s="34"/>
    </row>
    <row r="316" spans="1:18" x14ac:dyDescent="0.2">
      <c r="A316" s="393"/>
      <c r="B316" s="62" t="s">
        <v>514</v>
      </c>
      <c r="C316" s="429">
        <f>TrialBalance!C316</f>
        <v>0</v>
      </c>
      <c r="D316" s="435"/>
      <c r="E316" s="434"/>
      <c r="F316" s="87">
        <f t="shared" si="80"/>
        <v>0</v>
      </c>
      <c r="G316" s="55">
        <f>SUMIF(JournalsC!D$14:D$920,TrialBalanceC!M316,JournalsC!J$14:J$920)+SUMIF(JournalsC!E$14:E$920,TrialBalanceC!M316,JournalsC!J$14:J$920)</f>
        <v>0</v>
      </c>
      <c r="H316" s="442"/>
      <c r="I316" s="447">
        <f t="shared" si="71"/>
        <v>0</v>
      </c>
      <c r="J316" s="83"/>
      <c r="K316" s="56">
        <f t="shared" si="75"/>
        <v>0</v>
      </c>
      <c r="M316" s="196" t="str">
        <f t="shared" si="76"/>
        <v>7100/2030</v>
      </c>
      <c r="N316" s="78"/>
      <c r="P316" s="79"/>
      <c r="Q316" s="59"/>
      <c r="R316" s="34"/>
    </row>
    <row r="317" spans="1:18" x14ac:dyDescent="0.2">
      <c r="A317" s="393"/>
      <c r="B317" s="62" t="s">
        <v>515</v>
      </c>
      <c r="C317" s="429">
        <f>TrialBalance!C317</f>
        <v>0</v>
      </c>
      <c r="D317" s="435"/>
      <c r="E317" s="434"/>
      <c r="F317" s="87">
        <f t="shared" si="80"/>
        <v>0</v>
      </c>
      <c r="G317" s="55">
        <f>SUMIF(JournalsC!D$14:D$920,TrialBalanceC!M317,JournalsC!J$14:J$920)+SUMIF(JournalsC!E$14:E$920,TrialBalanceC!M317,JournalsC!J$14:J$920)</f>
        <v>0</v>
      </c>
      <c r="H317" s="442"/>
      <c r="I317" s="447">
        <f t="shared" si="71"/>
        <v>0</v>
      </c>
      <c r="J317" s="83"/>
      <c r="K317" s="56">
        <f t="shared" si="75"/>
        <v>0</v>
      </c>
      <c r="M317" s="196" t="str">
        <f t="shared" si="76"/>
        <v>7100/2040</v>
      </c>
      <c r="N317" s="78"/>
      <c r="P317" s="79"/>
      <c r="Q317" s="59"/>
      <c r="R317" s="34"/>
    </row>
    <row r="318" spans="1:18" x14ac:dyDescent="0.2">
      <c r="A318" s="393"/>
      <c r="B318" s="62" t="s">
        <v>170</v>
      </c>
      <c r="C318" s="429">
        <f>TrialBalance!C318</f>
        <v>0</v>
      </c>
      <c r="D318" s="435"/>
      <c r="E318" s="434"/>
      <c r="F318" s="87">
        <f t="shared" si="80"/>
        <v>0</v>
      </c>
      <c r="G318" s="55">
        <f>SUMIF(JournalsC!D$14:D$920,TrialBalanceC!M318,JournalsC!J$14:J$920)+SUMIF(JournalsC!E$14:E$920,TrialBalanceC!M318,JournalsC!J$14:J$920)</f>
        <v>0</v>
      </c>
      <c r="H318" s="442"/>
      <c r="I318" s="447">
        <f t="shared" si="71"/>
        <v>0</v>
      </c>
      <c r="J318" s="83"/>
      <c r="K318" s="56">
        <f t="shared" si="75"/>
        <v>0</v>
      </c>
      <c r="M318" s="196" t="str">
        <f t="shared" si="76"/>
        <v>7100/2050</v>
      </c>
      <c r="N318" s="78"/>
      <c r="P318" s="79"/>
      <c r="Q318" s="59"/>
      <c r="R318" s="34"/>
    </row>
    <row r="319" spans="1:18" x14ac:dyDescent="0.2">
      <c r="A319" s="393"/>
      <c r="B319" s="62" t="s">
        <v>171</v>
      </c>
      <c r="C319" s="397" t="s">
        <v>882</v>
      </c>
      <c r="D319" s="435"/>
      <c r="E319" s="434"/>
      <c r="F319" s="87"/>
      <c r="G319" s="55">
        <f>SUMIF(JournalsC!D$14:D$920,TrialBalanceC!M319,JournalsC!J$14:J$920)+SUMIF(JournalsC!E$14:E$920,TrialBalanceC!M319,JournalsC!J$14:J$920)</f>
        <v>0</v>
      </c>
      <c r="H319" s="442"/>
      <c r="I319" s="447">
        <f t="shared" si="71"/>
        <v>0</v>
      </c>
      <c r="J319" s="83"/>
      <c r="K319" s="56">
        <f t="shared" si="75"/>
        <v>0</v>
      </c>
      <c r="M319" s="196" t="str">
        <f t="shared" si="76"/>
        <v>7450/000CONNECTED ENTITIES LOANS</v>
      </c>
      <c r="N319" s="78"/>
      <c r="P319" s="79"/>
      <c r="Q319" s="59"/>
      <c r="R319" s="34"/>
    </row>
    <row r="320" spans="1:18" x14ac:dyDescent="0.2">
      <c r="A320" s="393"/>
      <c r="B320" s="62" t="s">
        <v>171</v>
      </c>
      <c r="C320" s="397" t="s">
        <v>733</v>
      </c>
      <c r="D320" s="435"/>
      <c r="E320" s="434"/>
      <c r="F320" s="87"/>
      <c r="G320" s="55">
        <f>SUMIF(JournalsC!D$14:D$920,TrialBalanceC!M320,JournalsC!J$14:J$920)+SUMIF(JournalsC!E$14:E$920,TrialBalanceC!M320,JournalsC!J$14:J$920)</f>
        <v>0</v>
      </c>
      <c r="H320" s="442"/>
      <c r="I320" s="447">
        <f t="shared" ref="I320" si="81">ROUND(D320-E320+G320+F320,0)</f>
        <v>0</v>
      </c>
      <c r="J320" s="83"/>
      <c r="K320" s="56">
        <f t="shared" ref="K320" si="82">ROUND(SUM(A320),0)</f>
        <v>0</v>
      </c>
      <c r="M320" s="196" t="str">
        <f t="shared" ref="M320" si="83">CONCATENATE(B320,C320)</f>
        <v>7450/000Interest bearing</v>
      </c>
      <c r="N320" s="78"/>
      <c r="P320" s="79"/>
      <c r="Q320" s="59"/>
      <c r="R320" s="34"/>
    </row>
    <row r="321" spans="1:18" x14ac:dyDescent="0.2">
      <c r="A321" s="393"/>
      <c r="B321" s="62" t="s">
        <v>172</v>
      </c>
      <c r="C321" s="429">
        <f>TrialBalance!C321</f>
        <v>0</v>
      </c>
      <c r="D321" s="437"/>
      <c r="E321" s="434"/>
      <c r="F321" s="87">
        <f t="shared" si="80"/>
        <v>0</v>
      </c>
      <c r="G321" s="55">
        <f>SUMIF(JournalsC!D$14:D$920,TrialBalanceC!M321,JournalsC!J$14:J$920)+SUMIF(JournalsC!E$14:E$920,TrialBalanceC!M321,JournalsC!J$14:J$920)</f>
        <v>0</v>
      </c>
      <c r="H321" s="442"/>
      <c r="I321" s="447">
        <f t="shared" si="71"/>
        <v>0</v>
      </c>
      <c r="J321" s="83"/>
      <c r="K321" s="56">
        <f t="shared" si="75"/>
        <v>0</v>
      </c>
      <c r="M321" s="196" t="str">
        <f t="shared" si="76"/>
        <v>7450/0010</v>
      </c>
      <c r="N321" s="78"/>
      <c r="P321" s="79"/>
      <c r="Q321" s="59"/>
      <c r="R321" s="34"/>
    </row>
    <row r="322" spans="1:18" x14ac:dyDescent="0.2">
      <c r="A322" s="393"/>
      <c r="B322" s="62" t="s">
        <v>173</v>
      </c>
      <c r="C322" s="429">
        <f>TrialBalance!C322</f>
        <v>0</v>
      </c>
      <c r="D322" s="437"/>
      <c r="E322" s="434"/>
      <c r="F322" s="87">
        <f t="shared" ref="F322:F323" si="84">K322</f>
        <v>0</v>
      </c>
      <c r="G322" s="55">
        <f>SUMIF(JournalsC!D$14:D$920,TrialBalanceC!M322,JournalsC!J$14:J$920)+SUMIF(JournalsC!E$14:E$920,TrialBalanceC!M322,JournalsC!J$14:J$920)</f>
        <v>0</v>
      </c>
      <c r="H322" s="442"/>
      <c r="I322" s="447">
        <f t="shared" ref="I322:I323" si="85">ROUND(D322-E322+G322+F322,0)</f>
        <v>0</v>
      </c>
      <c r="J322" s="83"/>
      <c r="K322" s="56">
        <f t="shared" ref="K322:K323" si="86">ROUND(SUM(A322),0)</f>
        <v>0</v>
      </c>
      <c r="M322" s="196" t="str">
        <f t="shared" ref="M322:M323" si="87">CONCATENATE(B322,C322)</f>
        <v>7450/0020</v>
      </c>
      <c r="N322" s="78"/>
      <c r="P322" s="79"/>
      <c r="Q322" s="59"/>
      <c r="R322" s="34"/>
    </row>
    <row r="323" spans="1:18" x14ac:dyDescent="0.2">
      <c r="A323" s="393"/>
      <c r="B323" s="113" t="s">
        <v>174</v>
      </c>
      <c r="C323" s="429">
        <f>TrialBalance!C323</f>
        <v>0</v>
      </c>
      <c r="D323" s="437"/>
      <c r="E323" s="434"/>
      <c r="F323" s="87">
        <f t="shared" si="84"/>
        <v>0</v>
      </c>
      <c r="G323" s="55">
        <f>SUMIF(JournalsC!D$14:D$920,TrialBalanceC!M323,JournalsC!J$14:J$920)+SUMIF(JournalsC!E$14:E$920,TrialBalanceC!M323,JournalsC!J$14:J$920)</f>
        <v>0</v>
      </c>
      <c r="H323" s="442"/>
      <c r="I323" s="447">
        <f t="shared" si="85"/>
        <v>0</v>
      </c>
      <c r="J323" s="83"/>
      <c r="K323" s="56">
        <f t="shared" si="86"/>
        <v>0</v>
      </c>
      <c r="M323" s="196" t="str">
        <f t="shared" si="87"/>
        <v>7450/0030</v>
      </c>
      <c r="N323" s="78"/>
      <c r="P323" s="79"/>
      <c r="Q323" s="59"/>
      <c r="R323" s="34"/>
    </row>
    <row r="324" spans="1:18" x14ac:dyDescent="0.2">
      <c r="A324" s="393"/>
      <c r="B324" s="113" t="s">
        <v>461</v>
      </c>
      <c r="C324" s="429">
        <f>TrialBalance!C324</f>
        <v>0</v>
      </c>
      <c r="D324" s="437"/>
      <c r="E324" s="434"/>
      <c r="F324" s="87">
        <f t="shared" ref="F324:F329" si="88">K324</f>
        <v>0</v>
      </c>
      <c r="G324" s="55">
        <f>SUMIF(JournalsC!D$14:D$920,TrialBalanceC!M324,JournalsC!J$14:J$920)+SUMIF(JournalsC!E$14:E$920,TrialBalanceC!M324,JournalsC!J$14:J$920)</f>
        <v>0</v>
      </c>
      <c r="H324" s="442"/>
      <c r="I324" s="447">
        <f t="shared" ref="I324:I329" si="89">ROUND(D324-E324+G324+F324,0)</f>
        <v>0</v>
      </c>
      <c r="J324" s="83"/>
      <c r="K324" s="56">
        <f t="shared" ref="K324:K329" si="90">ROUND(SUM(A324),0)</f>
        <v>0</v>
      </c>
      <c r="M324" s="196" t="str">
        <f t="shared" ref="M324:M329" si="91">CONCATENATE(B324,C324)</f>
        <v>7450/0040</v>
      </c>
      <c r="N324" s="78"/>
      <c r="P324" s="79"/>
      <c r="Q324" s="59"/>
      <c r="R324" s="34"/>
    </row>
    <row r="325" spans="1:18" x14ac:dyDescent="0.2">
      <c r="A325" s="393"/>
      <c r="B325" s="113" t="s">
        <v>317</v>
      </c>
      <c r="C325" s="429">
        <f>TrialBalance!C325</f>
        <v>0</v>
      </c>
      <c r="D325" s="437"/>
      <c r="E325" s="434"/>
      <c r="F325" s="87">
        <f t="shared" si="88"/>
        <v>0</v>
      </c>
      <c r="G325" s="55">
        <f>SUMIF(JournalsC!D$14:D$920,TrialBalanceC!M325,JournalsC!J$14:J$920)+SUMIF(JournalsC!E$14:E$920,TrialBalanceC!M325,JournalsC!J$14:J$920)</f>
        <v>0</v>
      </c>
      <c r="H325" s="442"/>
      <c r="I325" s="447">
        <f t="shared" si="89"/>
        <v>0</v>
      </c>
      <c r="J325" s="83"/>
      <c r="K325" s="56">
        <f t="shared" si="90"/>
        <v>0</v>
      </c>
      <c r="M325" s="196" t="str">
        <f t="shared" si="91"/>
        <v>7450/0050</v>
      </c>
      <c r="N325" s="78"/>
      <c r="P325" s="79"/>
      <c r="Q325" s="59"/>
      <c r="R325" s="34"/>
    </row>
    <row r="326" spans="1:18" x14ac:dyDescent="0.2">
      <c r="A326" s="393"/>
      <c r="B326" s="113" t="s">
        <v>923</v>
      </c>
      <c r="C326" s="429">
        <f>TrialBalance!C326</f>
        <v>0</v>
      </c>
      <c r="D326" s="437"/>
      <c r="E326" s="434"/>
      <c r="F326" s="87">
        <f t="shared" si="88"/>
        <v>0</v>
      </c>
      <c r="G326" s="55">
        <f>SUMIF(JournalsC!D$14:D$920,TrialBalanceC!M326,JournalsC!J$14:J$920)+SUMIF(JournalsC!E$14:E$920,TrialBalanceC!M326,JournalsC!J$14:J$920)</f>
        <v>0</v>
      </c>
      <c r="H326" s="442"/>
      <c r="I326" s="447">
        <f t="shared" si="89"/>
        <v>0</v>
      </c>
      <c r="J326" s="83"/>
      <c r="K326" s="56">
        <f t="shared" si="90"/>
        <v>0</v>
      </c>
      <c r="M326" s="196" t="str">
        <f t="shared" si="91"/>
        <v>7450/0060</v>
      </c>
      <c r="N326" s="78"/>
      <c r="P326" s="79"/>
      <c r="Q326" s="59"/>
      <c r="R326" s="34"/>
    </row>
    <row r="327" spans="1:18" x14ac:dyDescent="0.2">
      <c r="A327" s="393"/>
      <c r="B327" s="113" t="s">
        <v>1168</v>
      </c>
      <c r="C327" s="429">
        <f>TrialBalance!C327</f>
        <v>0</v>
      </c>
      <c r="D327" s="437"/>
      <c r="E327" s="434"/>
      <c r="F327" s="87">
        <f t="shared" si="88"/>
        <v>0</v>
      </c>
      <c r="G327" s="55">
        <f>SUMIF(JournalsC!D$14:D$920,TrialBalanceC!M327,JournalsC!J$14:J$920)+SUMIF(JournalsC!E$14:E$920,TrialBalanceC!M327,JournalsC!J$14:J$920)</f>
        <v>0</v>
      </c>
      <c r="H327" s="442"/>
      <c r="I327" s="447">
        <f t="shared" si="89"/>
        <v>0</v>
      </c>
      <c r="J327" s="83"/>
      <c r="K327" s="56">
        <f t="shared" si="90"/>
        <v>0</v>
      </c>
      <c r="M327" s="196" t="str">
        <f t="shared" si="91"/>
        <v>7450/0070</v>
      </c>
      <c r="N327" s="78"/>
      <c r="P327" s="79"/>
      <c r="Q327" s="59"/>
      <c r="R327" s="34"/>
    </row>
    <row r="328" spans="1:18" x14ac:dyDescent="0.2">
      <c r="A328" s="393"/>
      <c r="B328" s="113" t="s">
        <v>1169</v>
      </c>
      <c r="C328" s="429">
        <f>TrialBalance!C328</f>
        <v>0</v>
      </c>
      <c r="D328" s="437"/>
      <c r="E328" s="434"/>
      <c r="F328" s="87">
        <f t="shared" si="88"/>
        <v>0</v>
      </c>
      <c r="G328" s="55">
        <f>SUMIF(JournalsC!D$14:D$920,TrialBalanceC!M328,JournalsC!J$14:J$920)+SUMIF(JournalsC!E$14:E$920,TrialBalanceC!M328,JournalsC!J$14:J$920)</f>
        <v>0</v>
      </c>
      <c r="H328" s="442"/>
      <c r="I328" s="447">
        <f t="shared" si="89"/>
        <v>0</v>
      </c>
      <c r="J328" s="83"/>
      <c r="K328" s="56">
        <f t="shared" si="90"/>
        <v>0</v>
      </c>
      <c r="M328" s="196" t="str">
        <f t="shared" si="91"/>
        <v>7450/0080</v>
      </c>
      <c r="N328" s="78"/>
      <c r="P328" s="79"/>
      <c r="Q328" s="59"/>
      <c r="R328" s="34"/>
    </row>
    <row r="329" spans="1:18" x14ac:dyDescent="0.2">
      <c r="A329" s="393"/>
      <c r="B329" s="113" t="s">
        <v>1170</v>
      </c>
      <c r="C329" s="429">
        <f>TrialBalance!C329</f>
        <v>0</v>
      </c>
      <c r="D329" s="437"/>
      <c r="E329" s="434"/>
      <c r="F329" s="87">
        <f t="shared" si="88"/>
        <v>0</v>
      </c>
      <c r="G329" s="55">
        <f>SUMIF(JournalsC!D$14:D$920,TrialBalanceC!M329,JournalsC!J$14:J$920)+SUMIF(JournalsC!E$14:E$920,TrialBalanceC!M329,JournalsC!J$14:J$920)</f>
        <v>0</v>
      </c>
      <c r="H329" s="442"/>
      <c r="I329" s="447">
        <f t="shared" si="89"/>
        <v>0</v>
      </c>
      <c r="J329" s="83"/>
      <c r="K329" s="56">
        <f t="shared" si="90"/>
        <v>0</v>
      </c>
      <c r="M329" s="196" t="str">
        <f t="shared" si="91"/>
        <v>7450/0090</v>
      </c>
      <c r="N329" s="78"/>
      <c r="P329" s="79"/>
      <c r="Q329" s="59"/>
      <c r="R329" s="34"/>
    </row>
    <row r="330" spans="1:18" x14ac:dyDescent="0.2">
      <c r="A330" s="393"/>
      <c r="B330" s="113" t="s">
        <v>1171</v>
      </c>
      <c r="C330" s="429">
        <f>TrialBalance!C330</f>
        <v>0</v>
      </c>
      <c r="D330" s="435"/>
      <c r="E330" s="434"/>
      <c r="F330" s="87">
        <f t="shared" si="80"/>
        <v>0</v>
      </c>
      <c r="G330" s="55">
        <f>SUMIF(JournalsC!D$14:D$920,TrialBalanceC!M330,JournalsC!J$14:J$920)+SUMIF(JournalsC!E$14:E$920,TrialBalanceC!M330,JournalsC!J$14:J$920)</f>
        <v>0</v>
      </c>
      <c r="H330" s="442"/>
      <c r="I330" s="447">
        <f t="shared" si="71"/>
        <v>0</v>
      </c>
      <c r="J330" s="83"/>
      <c r="K330" s="56">
        <f t="shared" si="75"/>
        <v>0</v>
      </c>
      <c r="M330" s="196" t="str">
        <f t="shared" si="76"/>
        <v>7450/0100</v>
      </c>
      <c r="N330" s="78"/>
      <c r="P330" s="79"/>
      <c r="Q330" s="59"/>
      <c r="R330" s="34"/>
    </row>
    <row r="331" spans="1:18" x14ac:dyDescent="0.2">
      <c r="A331" s="393"/>
      <c r="B331" s="113" t="s">
        <v>1172</v>
      </c>
      <c r="C331" s="397" t="s">
        <v>732</v>
      </c>
      <c r="D331" s="435"/>
      <c r="E331" s="434"/>
      <c r="F331" s="87"/>
      <c r="G331" s="55">
        <f>SUMIF(JournalsC!D$14:D$920,TrialBalanceC!M331,JournalsC!J$14:J$920)+SUMIF(JournalsC!E$14:E$920,TrialBalanceC!M331,JournalsC!J$14:J$920)</f>
        <v>0</v>
      </c>
      <c r="H331" s="442"/>
      <c r="I331" s="447">
        <f t="shared" ref="I331" si="92">ROUND(D331-E331+G331+F331,0)</f>
        <v>0</v>
      </c>
      <c r="J331" s="83"/>
      <c r="K331" s="56">
        <f t="shared" ref="K331" si="93">ROUND(SUM(A331),0)</f>
        <v>0</v>
      </c>
      <c r="M331" s="196" t="str">
        <f t="shared" ref="M331" si="94">CONCATENATE(B331,C331)</f>
        <v>7455/000Interest free</v>
      </c>
      <c r="N331" s="78"/>
      <c r="P331" s="79"/>
      <c r="Q331" s="59"/>
      <c r="R331" s="34"/>
    </row>
    <row r="332" spans="1:18" x14ac:dyDescent="0.2">
      <c r="A332" s="393"/>
      <c r="B332" s="113" t="s">
        <v>1173</v>
      </c>
      <c r="C332" s="429">
        <f>TrialBalance!C332</f>
        <v>0</v>
      </c>
      <c r="D332" s="435"/>
      <c r="E332" s="434"/>
      <c r="F332" s="87">
        <f t="shared" si="80"/>
        <v>0</v>
      </c>
      <c r="G332" s="55">
        <f>SUMIF(JournalsC!D$14:D$920,TrialBalanceC!M332,JournalsC!J$14:J$920)+SUMIF(JournalsC!E$14:E$920,TrialBalanceC!M332,JournalsC!J$14:J$920)</f>
        <v>0</v>
      </c>
      <c r="H332" s="442"/>
      <c r="I332" s="447">
        <f t="shared" si="71"/>
        <v>0</v>
      </c>
      <c r="J332" s="83"/>
      <c r="K332" s="56">
        <f t="shared" si="75"/>
        <v>0</v>
      </c>
      <c r="M332" s="196" t="str">
        <f t="shared" si="76"/>
        <v>7455/0010</v>
      </c>
      <c r="N332" s="78"/>
      <c r="P332" s="79"/>
      <c r="Q332" s="59"/>
      <c r="R332" s="34"/>
    </row>
    <row r="333" spans="1:18" x14ac:dyDescent="0.2">
      <c r="A333" s="393"/>
      <c r="B333" s="113" t="s">
        <v>1174</v>
      </c>
      <c r="C333" s="429">
        <f>TrialBalance!C333</f>
        <v>0</v>
      </c>
      <c r="D333" s="435"/>
      <c r="E333" s="434"/>
      <c r="F333" s="87">
        <f t="shared" ref="F333" si="95">K333</f>
        <v>0</v>
      </c>
      <c r="G333" s="55">
        <f>SUMIF(JournalsC!D$14:D$920,TrialBalanceC!M333,JournalsC!J$14:J$920)+SUMIF(JournalsC!E$14:E$920,TrialBalanceC!M333,JournalsC!J$14:J$920)</f>
        <v>0</v>
      </c>
      <c r="H333" s="442"/>
      <c r="I333" s="447">
        <f t="shared" ref="I333" si="96">ROUND(D333-E333+G333+F333,0)</f>
        <v>0</v>
      </c>
      <c r="J333" s="83"/>
      <c r="K333" s="56">
        <f t="shared" ref="K333" si="97">ROUND(SUM(A333),0)</f>
        <v>0</v>
      </c>
      <c r="M333" s="196" t="str">
        <f t="shared" ref="M333" si="98">CONCATENATE(B333,C333)</f>
        <v>7455/0020</v>
      </c>
      <c r="N333" s="78"/>
      <c r="P333" s="79"/>
      <c r="Q333" s="59"/>
      <c r="R333" s="34"/>
    </row>
    <row r="334" spans="1:18" x14ac:dyDescent="0.2">
      <c r="A334" s="393"/>
      <c r="B334" s="113" t="s">
        <v>1175</v>
      </c>
      <c r="C334" s="429">
        <f>TrialBalance!C334</f>
        <v>0</v>
      </c>
      <c r="D334" s="435"/>
      <c r="E334" s="434"/>
      <c r="F334" s="87">
        <f t="shared" si="80"/>
        <v>0</v>
      </c>
      <c r="G334" s="55">
        <f>SUMIF(JournalsC!D$14:D$920,TrialBalanceC!M334,JournalsC!J$14:J$920)+SUMIF(JournalsC!E$14:E$920,TrialBalanceC!M334,JournalsC!J$14:J$920)</f>
        <v>0</v>
      </c>
      <c r="H334" s="442"/>
      <c r="I334" s="447">
        <f t="shared" si="71"/>
        <v>0</v>
      </c>
      <c r="J334" s="83"/>
      <c r="K334" s="56">
        <f t="shared" si="75"/>
        <v>0</v>
      </c>
      <c r="M334" s="196" t="str">
        <f t="shared" si="76"/>
        <v>7455/0030</v>
      </c>
      <c r="N334" s="78"/>
      <c r="P334" s="79"/>
      <c r="Q334" s="59"/>
      <c r="R334" s="34"/>
    </row>
    <row r="335" spans="1:18" x14ac:dyDescent="0.2">
      <c r="A335" s="393"/>
      <c r="B335" s="113" t="s">
        <v>1176</v>
      </c>
      <c r="C335" s="429">
        <f>TrialBalance!C335</f>
        <v>0</v>
      </c>
      <c r="D335" s="435"/>
      <c r="E335" s="434"/>
      <c r="F335" s="87">
        <f t="shared" ref="F335:F340" si="99">K335</f>
        <v>0</v>
      </c>
      <c r="G335" s="55">
        <f>SUMIF(JournalsC!D$14:D$920,TrialBalanceC!M335,JournalsC!J$14:J$920)+SUMIF(JournalsC!E$14:E$920,TrialBalanceC!M335,JournalsC!J$14:J$920)</f>
        <v>0</v>
      </c>
      <c r="H335" s="442"/>
      <c r="I335" s="447">
        <f t="shared" ref="I335:I340" si="100">ROUND(D335-E335+G335+F335,0)</f>
        <v>0</v>
      </c>
      <c r="J335" s="83"/>
      <c r="K335" s="56">
        <f t="shared" ref="K335:K340" si="101">ROUND(SUM(A335),0)</f>
        <v>0</v>
      </c>
      <c r="M335" s="196" t="str">
        <f t="shared" ref="M335:M340" si="102">CONCATENATE(B335,C335)</f>
        <v>7455/0040</v>
      </c>
      <c r="N335" s="78"/>
      <c r="P335" s="79"/>
      <c r="Q335" s="59"/>
      <c r="R335" s="34"/>
    </row>
    <row r="336" spans="1:18" x14ac:dyDescent="0.2">
      <c r="A336" s="393"/>
      <c r="B336" s="113" t="s">
        <v>1177</v>
      </c>
      <c r="C336" s="429">
        <f>TrialBalance!C336</f>
        <v>0</v>
      </c>
      <c r="D336" s="435"/>
      <c r="E336" s="434"/>
      <c r="F336" s="87">
        <f t="shared" si="99"/>
        <v>0</v>
      </c>
      <c r="G336" s="55">
        <f>SUMIF(JournalsC!D$14:D$920,TrialBalanceC!M336,JournalsC!J$14:J$920)+SUMIF(JournalsC!E$14:E$920,TrialBalanceC!M336,JournalsC!J$14:J$920)</f>
        <v>0</v>
      </c>
      <c r="H336" s="442"/>
      <c r="I336" s="447">
        <f t="shared" si="100"/>
        <v>0</v>
      </c>
      <c r="J336" s="83"/>
      <c r="K336" s="56">
        <f t="shared" si="101"/>
        <v>0</v>
      </c>
      <c r="M336" s="196" t="str">
        <f t="shared" si="102"/>
        <v>7455/0050</v>
      </c>
      <c r="N336" s="78"/>
      <c r="P336" s="79"/>
      <c r="Q336" s="59"/>
      <c r="R336" s="34"/>
    </row>
    <row r="337" spans="1:18" x14ac:dyDescent="0.2">
      <c r="A337" s="393"/>
      <c r="B337" s="113" t="s">
        <v>1178</v>
      </c>
      <c r="C337" s="429">
        <f>TrialBalance!C337</f>
        <v>0</v>
      </c>
      <c r="D337" s="435"/>
      <c r="E337" s="434"/>
      <c r="F337" s="87">
        <f t="shared" si="99"/>
        <v>0</v>
      </c>
      <c r="G337" s="55">
        <f>SUMIF(JournalsC!D$14:D$920,TrialBalanceC!M337,JournalsC!J$14:J$920)+SUMIF(JournalsC!E$14:E$920,TrialBalanceC!M337,JournalsC!J$14:J$920)</f>
        <v>0</v>
      </c>
      <c r="H337" s="442"/>
      <c r="I337" s="447">
        <f t="shared" si="100"/>
        <v>0</v>
      </c>
      <c r="J337" s="83"/>
      <c r="K337" s="56">
        <f t="shared" si="101"/>
        <v>0</v>
      </c>
      <c r="M337" s="196" t="str">
        <f t="shared" si="102"/>
        <v>7455/0060</v>
      </c>
      <c r="N337" s="78"/>
      <c r="P337" s="79"/>
      <c r="Q337" s="59"/>
      <c r="R337" s="34"/>
    </row>
    <row r="338" spans="1:18" x14ac:dyDescent="0.2">
      <c r="A338" s="393"/>
      <c r="B338" s="113" t="s">
        <v>1179</v>
      </c>
      <c r="C338" s="429">
        <f>TrialBalance!C338</f>
        <v>0</v>
      </c>
      <c r="D338" s="435"/>
      <c r="E338" s="434"/>
      <c r="F338" s="87">
        <f t="shared" si="99"/>
        <v>0</v>
      </c>
      <c r="G338" s="55">
        <f>SUMIF(JournalsC!D$14:D$920,TrialBalanceC!M338,JournalsC!J$14:J$920)+SUMIF(JournalsC!E$14:E$920,TrialBalanceC!M338,JournalsC!J$14:J$920)</f>
        <v>0</v>
      </c>
      <c r="H338" s="442"/>
      <c r="I338" s="447">
        <f t="shared" si="100"/>
        <v>0</v>
      </c>
      <c r="J338" s="83"/>
      <c r="K338" s="56">
        <f t="shared" si="101"/>
        <v>0</v>
      </c>
      <c r="M338" s="196" t="str">
        <f t="shared" si="102"/>
        <v>7455/0070</v>
      </c>
      <c r="N338" s="78"/>
      <c r="P338" s="79"/>
      <c r="Q338" s="59"/>
      <c r="R338" s="34"/>
    </row>
    <row r="339" spans="1:18" x14ac:dyDescent="0.2">
      <c r="A339" s="393"/>
      <c r="B339" s="113" t="s">
        <v>1180</v>
      </c>
      <c r="C339" s="429">
        <f>TrialBalance!C339</f>
        <v>0</v>
      </c>
      <c r="D339" s="435"/>
      <c r="E339" s="434"/>
      <c r="F339" s="87">
        <f t="shared" si="99"/>
        <v>0</v>
      </c>
      <c r="G339" s="55">
        <f>SUMIF(JournalsC!D$14:D$920,TrialBalanceC!M339,JournalsC!J$14:J$920)+SUMIF(JournalsC!E$14:E$920,TrialBalanceC!M339,JournalsC!J$14:J$920)</f>
        <v>0</v>
      </c>
      <c r="H339" s="442"/>
      <c r="I339" s="447">
        <f t="shared" si="100"/>
        <v>0</v>
      </c>
      <c r="J339" s="83"/>
      <c r="K339" s="56">
        <f t="shared" si="101"/>
        <v>0</v>
      </c>
      <c r="M339" s="196" t="str">
        <f t="shared" si="102"/>
        <v>7455/0080</v>
      </c>
      <c r="N339" s="78"/>
      <c r="P339" s="79"/>
      <c r="Q339" s="59"/>
      <c r="R339" s="34"/>
    </row>
    <row r="340" spans="1:18" x14ac:dyDescent="0.2">
      <c r="A340" s="393"/>
      <c r="B340" s="113" t="s">
        <v>1181</v>
      </c>
      <c r="C340" s="429">
        <f>TrialBalance!C340</f>
        <v>0</v>
      </c>
      <c r="D340" s="435"/>
      <c r="E340" s="434"/>
      <c r="F340" s="87">
        <f t="shared" si="99"/>
        <v>0</v>
      </c>
      <c r="G340" s="55">
        <f>SUMIF(JournalsC!D$14:D$920,TrialBalanceC!M340,JournalsC!J$14:J$920)+SUMIF(JournalsC!E$14:E$920,TrialBalanceC!M340,JournalsC!J$14:J$920)</f>
        <v>0</v>
      </c>
      <c r="H340" s="442"/>
      <c r="I340" s="447">
        <f t="shared" si="100"/>
        <v>0</v>
      </c>
      <c r="J340" s="83"/>
      <c r="K340" s="56">
        <f t="shared" si="101"/>
        <v>0</v>
      </c>
      <c r="M340" s="196" t="str">
        <f t="shared" si="102"/>
        <v>7455/0090</v>
      </c>
      <c r="N340" s="78"/>
      <c r="P340" s="79"/>
      <c r="Q340" s="59"/>
      <c r="R340" s="34"/>
    </row>
    <row r="341" spans="1:18" x14ac:dyDescent="0.2">
      <c r="A341" s="393"/>
      <c r="B341" s="113" t="s">
        <v>1182</v>
      </c>
      <c r="C341" s="429">
        <f>TrialBalance!C341</f>
        <v>0</v>
      </c>
      <c r="D341" s="435"/>
      <c r="E341" s="434"/>
      <c r="F341" s="87">
        <f t="shared" si="80"/>
        <v>0</v>
      </c>
      <c r="G341" s="55">
        <f>SUMIF(JournalsC!D$14:D$920,TrialBalanceC!M341,JournalsC!J$14:J$920)+SUMIF(JournalsC!E$14:E$920,TrialBalanceC!M341,JournalsC!J$14:J$920)</f>
        <v>0</v>
      </c>
      <c r="H341" s="442"/>
      <c r="I341" s="447">
        <f t="shared" si="71"/>
        <v>0</v>
      </c>
      <c r="J341" s="83"/>
      <c r="K341" s="56">
        <f t="shared" si="75"/>
        <v>0</v>
      </c>
      <c r="M341" s="196" t="str">
        <f t="shared" si="76"/>
        <v>7455/0100</v>
      </c>
      <c r="N341" s="78"/>
      <c r="P341" s="79"/>
      <c r="Q341" s="59"/>
      <c r="R341" s="34"/>
    </row>
    <row r="342" spans="1:18" x14ac:dyDescent="0.2">
      <c r="A342" s="393"/>
      <c r="B342" s="62" t="s">
        <v>318</v>
      </c>
      <c r="C342" s="395" t="s">
        <v>868</v>
      </c>
      <c r="D342" s="427"/>
      <c r="E342" s="434"/>
      <c r="F342" s="87"/>
      <c r="G342" s="55">
        <f>SUMIF(JournalsC!D$14:D$920,TrialBalanceC!M342,JournalsC!J$14:J$920)+SUMIF(JournalsC!E$14:E$920,TrialBalanceC!M342,JournalsC!J$14:J$920)</f>
        <v>0</v>
      </c>
      <c r="H342" s="442"/>
      <c r="I342" s="447">
        <f t="shared" si="71"/>
        <v>0</v>
      </c>
      <c r="J342" s="83"/>
      <c r="K342" s="56">
        <f t="shared" si="75"/>
        <v>0</v>
      </c>
      <c r="M342" s="196" t="str">
        <f t="shared" si="76"/>
        <v>7460/000OTHER NON - CURRENT RECEIVABLES</v>
      </c>
      <c r="N342" s="78"/>
      <c r="P342" s="79"/>
      <c r="Q342" s="59"/>
      <c r="R342" s="34"/>
    </row>
    <row r="343" spans="1:18" x14ac:dyDescent="0.2">
      <c r="A343" s="393"/>
      <c r="B343" s="62" t="s">
        <v>318</v>
      </c>
      <c r="C343" s="395" t="s">
        <v>733</v>
      </c>
      <c r="D343" s="427"/>
      <c r="E343" s="434"/>
      <c r="F343" s="87"/>
      <c r="G343" s="55">
        <f>SUMIF(JournalsC!D$14:D$920,TrialBalanceC!M343,JournalsC!J$14:J$920)+SUMIF(JournalsC!E$14:E$920,TrialBalanceC!M343,JournalsC!J$14:J$920)</f>
        <v>0</v>
      </c>
      <c r="H343" s="442"/>
      <c r="I343" s="447">
        <f t="shared" ref="I343" si="103">ROUND(D343-E343+G343+F343,0)</f>
        <v>0</v>
      </c>
      <c r="J343" s="83"/>
      <c r="K343" s="56">
        <f t="shared" ref="K343" si="104">ROUND(SUM(A343),0)</f>
        <v>0</v>
      </c>
      <c r="M343" s="196" t="str">
        <f t="shared" ref="M343" si="105">CONCATENATE(B343,C343)</f>
        <v>7460/000Interest bearing</v>
      </c>
      <c r="N343" s="78"/>
      <c r="P343" s="79"/>
      <c r="Q343" s="59"/>
      <c r="R343" s="34"/>
    </row>
    <row r="344" spans="1:18" x14ac:dyDescent="0.2">
      <c r="A344" s="393"/>
      <c r="B344" s="62" t="s">
        <v>320</v>
      </c>
      <c r="C344" s="429">
        <f>TrialBalance!C344</f>
        <v>0</v>
      </c>
      <c r="D344" s="434"/>
      <c r="E344" s="434"/>
      <c r="F344" s="87">
        <f t="shared" si="80"/>
        <v>0</v>
      </c>
      <c r="G344" s="55">
        <f>SUMIF(JournalsC!D$14:D$920,TrialBalanceC!M344,JournalsC!J$14:J$920)+SUMIF(JournalsC!E$14:E$920,TrialBalanceC!M344,JournalsC!J$14:J$920)</f>
        <v>0</v>
      </c>
      <c r="H344" s="442"/>
      <c r="I344" s="447">
        <f t="shared" si="71"/>
        <v>0</v>
      </c>
      <c r="J344" s="83"/>
      <c r="K344" s="56">
        <f t="shared" si="75"/>
        <v>0</v>
      </c>
      <c r="M344" s="196" t="str">
        <f t="shared" si="76"/>
        <v>7460/0010</v>
      </c>
      <c r="N344" s="78"/>
      <c r="P344" s="79"/>
      <c r="Q344" s="59"/>
      <c r="R344" s="34"/>
    </row>
    <row r="345" spans="1:18" x14ac:dyDescent="0.2">
      <c r="A345" s="393"/>
      <c r="B345" s="62" t="s">
        <v>321</v>
      </c>
      <c r="C345" s="429">
        <f>TrialBalance!C345</f>
        <v>0</v>
      </c>
      <c r="D345" s="434"/>
      <c r="E345" s="434"/>
      <c r="F345" s="87">
        <f t="shared" ref="F345" si="106">K345</f>
        <v>0</v>
      </c>
      <c r="G345" s="55">
        <f>SUMIF(JournalsC!D$14:D$920,TrialBalanceC!M345,JournalsC!J$14:J$920)+SUMIF(JournalsC!E$14:E$920,TrialBalanceC!M345,JournalsC!J$14:J$920)</f>
        <v>0</v>
      </c>
      <c r="H345" s="442"/>
      <c r="I345" s="447">
        <f t="shared" ref="I345" si="107">ROUND(D345-E345+G345+F345,0)</f>
        <v>0</v>
      </c>
      <c r="J345" s="83"/>
      <c r="K345" s="56">
        <f t="shared" ref="K345" si="108">ROUND(SUM(A345),0)</f>
        <v>0</v>
      </c>
      <c r="M345" s="196" t="str">
        <f t="shared" ref="M345" si="109">CONCATENATE(B345,C345)</f>
        <v>7460/0020</v>
      </c>
      <c r="N345" s="78"/>
      <c r="P345" s="79"/>
      <c r="Q345" s="59"/>
      <c r="R345" s="34"/>
    </row>
    <row r="346" spans="1:18" x14ac:dyDescent="0.2">
      <c r="A346" s="393"/>
      <c r="B346" s="62" t="s">
        <v>322</v>
      </c>
      <c r="C346" s="429">
        <f>TrialBalance!C346</f>
        <v>0</v>
      </c>
      <c r="D346" s="435"/>
      <c r="E346" s="434"/>
      <c r="F346" s="87">
        <f t="shared" si="80"/>
        <v>0</v>
      </c>
      <c r="G346" s="55">
        <f>SUMIF(JournalsC!D$14:D$920,TrialBalanceC!M346,JournalsC!J$14:J$920)+SUMIF(JournalsC!E$14:E$920,TrialBalanceC!M346,JournalsC!J$14:J$920)</f>
        <v>0</v>
      </c>
      <c r="H346" s="442"/>
      <c r="I346" s="447">
        <f t="shared" si="71"/>
        <v>0</v>
      </c>
      <c r="J346" s="83"/>
      <c r="K346" s="56">
        <f t="shared" si="75"/>
        <v>0</v>
      </c>
      <c r="M346" s="196" t="str">
        <f t="shared" si="76"/>
        <v>7460/0030</v>
      </c>
      <c r="N346" s="78"/>
      <c r="P346" s="79"/>
      <c r="Q346" s="59"/>
      <c r="R346" s="34"/>
    </row>
    <row r="347" spans="1:18" x14ac:dyDescent="0.2">
      <c r="A347" s="393"/>
      <c r="B347" s="113" t="s">
        <v>693</v>
      </c>
      <c r="C347" s="429">
        <f>TrialBalance!C347</f>
        <v>0</v>
      </c>
      <c r="D347" s="435"/>
      <c r="E347" s="434"/>
      <c r="F347" s="87">
        <f t="shared" si="80"/>
        <v>0</v>
      </c>
      <c r="G347" s="55">
        <f>SUMIF(JournalsC!D$14:D$920,TrialBalanceC!M347,JournalsC!J$14:J$920)+SUMIF(JournalsC!E$14:E$920,TrialBalanceC!M347,JournalsC!J$14:J$920)</f>
        <v>0</v>
      </c>
      <c r="H347" s="442"/>
      <c r="I347" s="447">
        <f t="shared" si="71"/>
        <v>0</v>
      </c>
      <c r="J347" s="83"/>
      <c r="K347" s="56">
        <f t="shared" si="75"/>
        <v>0</v>
      </c>
      <c r="M347" s="196" t="str">
        <f t="shared" si="76"/>
        <v>7460/0040</v>
      </c>
      <c r="N347" s="78"/>
      <c r="P347" s="79"/>
      <c r="Q347" s="59"/>
      <c r="R347" s="34"/>
    </row>
    <row r="348" spans="1:18" x14ac:dyDescent="0.2">
      <c r="A348" s="393"/>
      <c r="B348" s="62" t="s">
        <v>318</v>
      </c>
      <c r="C348" s="397" t="s">
        <v>732</v>
      </c>
      <c r="D348" s="435"/>
      <c r="E348" s="434"/>
      <c r="F348" s="87"/>
      <c r="G348" s="55">
        <f>SUMIF(JournalsC!D$14:D$920,TrialBalanceC!M348,JournalsC!J$14:J$920)+SUMIF(JournalsC!E$14:E$920,TrialBalanceC!M348,JournalsC!J$14:J$920)</f>
        <v>0</v>
      </c>
      <c r="H348" s="442"/>
      <c r="I348" s="447">
        <f t="shared" ref="I348" si="110">ROUND(D348-E348+G348+F348,0)</f>
        <v>0</v>
      </c>
      <c r="J348" s="83"/>
      <c r="K348" s="56">
        <f t="shared" ref="K348" si="111">ROUND(SUM(A348),0)</f>
        <v>0</v>
      </c>
      <c r="M348" s="196" t="str">
        <f t="shared" ref="M348" si="112">CONCATENATE(B348,C348)</f>
        <v>7460/000Interest free</v>
      </c>
      <c r="N348" s="78"/>
      <c r="P348" s="79"/>
      <c r="Q348" s="59"/>
      <c r="R348" s="34"/>
    </row>
    <row r="349" spans="1:18" x14ac:dyDescent="0.2">
      <c r="A349" s="393"/>
      <c r="B349" s="113" t="s">
        <v>693</v>
      </c>
      <c r="C349" s="429">
        <f>TrialBalance!C349</f>
        <v>0</v>
      </c>
      <c r="D349" s="435"/>
      <c r="E349" s="434"/>
      <c r="F349" s="87">
        <f t="shared" si="80"/>
        <v>0</v>
      </c>
      <c r="G349" s="55">
        <f>SUMIF(JournalsC!D$14:D$920,TrialBalanceC!M349,JournalsC!J$14:J$920)+SUMIF(JournalsC!E$14:E$920,TrialBalanceC!M349,JournalsC!J$14:J$920)</f>
        <v>0</v>
      </c>
      <c r="H349" s="442"/>
      <c r="I349" s="447">
        <f t="shared" si="71"/>
        <v>0</v>
      </c>
      <c r="J349" s="83"/>
      <c r="K349" s="56">
        <f t="shared" si="75"/>
        <v>0</v>
      </c>
      <c r="M349" s="196" t="str">
        <f t="shared" si="76"/>
        <v>7460/0040</v>
      </c>
      <c r="N349" s="78"/>
      <c r="P349" s="79"/>
      <c r="Q349" s="59"/>
      <c r="R349" s="34"/>
    </row>
    <row r="350" spans="1:18" x14ac:dyDescent="0.2">
      <c r="A350" s="393"/>
      <c r="B350" s="113" t="s">
        <v>694</v>
      </c>
      <c r="C350" s="429">
        <f>TrialBalance!C350</f>
        <v>0</v>
      </c>
      <c r="D350" s="435"/>
      <c r="E350" s="434"/>
      <c r="F350" s="87">
        <f t="shared" si="80"/>
        <v>0</v>
      </c>
      <c r="G350" s="55">
        <f>SUMIF(JournalsC!D$14:D$920,TrialBalanceC!M350,JournalsC!J$14:J$920)+SUMIF(JournalsC!E$14:E$920,TrialBalanceC!M350,JournalsC!J$14:J$920)</f>
        <v>0</v>
      </c>
      <c r="H350" s="442"/>
      <c r="I350" s="447">
        <f t="shared" si="71"/>
        <v>0</v>
      </c>
      <c r="J350" s="83"/>
      <c r="K350" s="56">
        <f t="shared" si="75"/>
        <v>0</v>
      </c>
      <c r="M350" s="196" t="str">
        <f t="shared" si="76"/>
        <v>7460/0050</v>
      </c>
      <c r="N350" s="78"/>
      <c r="P350" s="79"/>
      <c r="Q350" s="59"/>
      <c r="R350" s="34"/>
    </row>
    <row r="351" spans="1:18" x14ac:dyDescent="0.2">
      <c r="A351" s="393"/>
      <c r="B351" s="113" t="s">
        <v>323</v>
      </c>
      <c r="C351" s="429">
        <f>TrialBalance!C351</f>
        <v>0</v>
      </c>
      <c r="D351" s="435"/>
      <c r="E351" s="434"/>
      <c r="F351" s="87">
        <f>K351</f>
        <v>0</v>
      </c>
      <c r="G351" s="55">
        <f>SUMIF(JournalsC!D$14:D$920,TrialBalanceC!M351,JournalsC!J$14:J$920)+SUMIF(JournalsC!E$14:E$920,TrialBalanceC!M351,JournalsC!J$14:J$920)</f>
        <v>0</v>
      </c>
      <c r="H351" s="442"/>
      <c r="I351" s="447">
        <f t="shared" si="71"/>
        <v>0</v>
      </c>
      <c r="J351" s="83"/>
      <c r="K351" s="56">
        <f t="shared" si="75"/>
        <v>0</v>
      </c>
      <c r="M351" s="196" t="str">
        <f t="shared" si="76"/>
        <v>7460/0060</v>
      </c>
      <c r="N351" s="78"/>
      <c r="P351" s="79"/>
      <c r="Q351" s="59"/>
      <c r="R351" s="34"/>
    </row>
    <row r="352" spans="1:18" x14ac:dyDescent="0.2">
      <c r="A352" s="393"/>
      <c r="B352" s="113" t="s">
        <v>324</v>
      </c>
      <c r="C352" s="429">
        <f>TrialBalance!C352</f>
        <v>0</v>
      </c>
      <c r="D352" s="435"/>
      <c r="E352" s="434"/>
      <c r="F352" s="87">
        <f>K352</f>
        <v>0</v>
      </c>
      <c r="G352" s="55">
        <f>SUMIF(JournalsC!D$14:D$920,TrialBalanceC!M352,JournalsC!J$14:J$920)+SUMIF(JournalsC!E$14:E$920,TrialBalanceC!M352,JournalsC!J$14:J$920)</f>
        <v>0</v>
      </c>
      <c r="H352" s="442"/>
      <c r="I352" s="447">
        <f t="shared" si="71"/>
        <v>0</v>
      </c>
      <c r="J352" s="83"/>
      <c r="K352" s="56">
        <f t="shared" si="75"/>
        <v>0</v>
      </c>
      <c r="M352" s="196" t="str">
        <f t="shared" si="76"/>
        <v>7460/0070</v>
      </c>
      <c r="N352" s="78"/>
      <c r="P352" s="79"/>
      <c r="Q352" s="59"/>
      <c r="R352" s="34"/>
    </row>
    <row r="353" spans="1:18" x14ac:dyDescent="0.2">
      <c r="A353" s="393"/>
      <c r="B353" s="113" t="s">
        <v>548</v>
      </c>
      <c r="C353" s="429">
        <f>TrialBalance!C353</f>
        <v>0</v>
      </c>
      <c r="D353" s="435"/>
      <c r="E353" s="434"/>
      <c r="F353" s="87">
        <f>K353</f>
        <v>0</v>
      </c>
      <c r="G353" s="55">
        <f>SUMIF(JournalsC!D$14:D$920,TrialBalanceC!M353,JournalsC!J$14:J$920)+SUMIF(JournalsC!E$14:E$920,TrialBalanceC!M353,JournalsC!J$14:J$920)</f>
        <v>0</v>
      </c>
      <c r="H353" s="442"/>
      <c r="I353" s="447">
        <f t="shared" si="71"/>
        <v>0</v>
      </c>
      <c r="J353" s="83"/>
      <c r="K353" s="56">
        <f t="shared" si="75"/>
        <v>0</v>
      </c>
      <c r="M353" s="196" t="str">
        <f t="shared" si="76"/>
        <v>7460/0080</v>
      </c>
      <c r="N353" s="78"/>
      <c r="P353" s="79"/>
      <c r="Q353" s="59"/>
      <c r="R353" s="34"/>
    </row>
    <row r="354" spans="1:18" x14ac:dyDescent="0.2">
      <c r="A354" s="393"/>
      <c r="B354" s="62" t="s">
        <v>456</v>
      </c>
      <c r="C354" s="396" t="s">
        <v>56</v>
      </c>
      <c r="D354" s="436"/>
      <c r="E354" s="434"/>
      <c r="F354" s="87"/>
      <c r="G354" s="55">
        <f>SUMIF(JournalsC!D$14:D$920,TrialBalanceC!M354,JournalsC!J$14:J$920)+SUMIF(JournalsC!E$14:E$920,TrialBalanceC!M354,JournalsC!J$14:J$920)</f>
        <v>0</v>
      </c>
      <c r="H354" s="442"/>
      <c r="I354" s="447">
        <f t="shared" si="71"/>
        <v>0</v>
      </c>
      <c r="J354" s="83"/>
      <c r="K354" s="56">
        <f t="shared" si="75"/>
        <v>0</v>
      </c>
      <c r="M354" s="196" t="str">
        <f t="shared" si="76"/>
        <v>7500/000INVENTORY</v>
      </c>
      <c r="N354" s="78"/>
      <c r="P354" s="79"/>
      <c r="Q354" s="59"/>
      <c r="R354" s="34"/>
    </row>
    <row r="355" spans="1:18" x14ac:dyDescent="0.2">
      <c r="A355" s="393"/>
      <c r="B355" s="62" t="s">
        <v>457</v>
      </c>
      <c r="C355" s="394" t="s">
        <v>458</v>
      </c>
      <c r="D355" s="435"/>
      <c r="E355" s="434"/>
      <c r="F355" s="87">
        <f t="shared" si="80"/>
        <v>0</v>
      </c>
      <c r="G355" s="55">
        <f>SUMIF(JournalsC!D$14:D$920,TrialBalanceC!M355,JournalsC!J$14:J$920)+SUMIF(JournalsC!E$14:E$920,TrialBalanceC!M355,JournalsC!J$14:J$920)</f>
        <v>0</v>
      </c>
      <c r="H355" s="442"/>
      <c r="I355" s="447">
        <f t="shared" si="71"/>
        <v>0</v>
      </c>
      <c r="J355" s="83"/>
      <c r="K355" s="56">
        <f t="shared" si="75"/>
        <v>0</v>
      </c>
      <c r="M355" s="196" t="str">
        <f t="shared" si="76"/>
        <v>7500/001Raw materials</v>
      </c>
      <c r="N355" s="78"/>
      <c r="P355" s="79"/>
      <c r="Q355" s="59"/>
      <c r="R355" s="34"/>
    </row>
    <row r="356" spans="1:18" x14ac:dyDescent="0.2">
      <c r="A356" s="393"/>
      <c r="B356" s="62" t="s">
        <v>21</v>
      </c>
      <c r="C356" s="394" t="s">
        <v>22</v>
      </c>
      <c r="D356" s="435"/>
      <c r="E356" s="434"/>
      <c r="F356" s="87">
        <f t="shared" si="80"/>
        <v>0</v>
      </c>
      <c r="G356" s="55">
        <f>SUMIF(JournalsC!D$14:D$920,TrialBalanceC!M356,JournalsC!J$14:J$920)+SUMIF(JournalsC!E$14:E$920,TrialBalanceC!M356,JournalsC!J$14:J$920)</f>
        <v>0</v>
      </c>
      <c r="H356" s="442"/>
      <c r="I356" s="447">
        <f t="shared" ref="I356:I401" si="113">ROUND(D356-E356+G356+F356,0)</f>
        <v>0</v>
      </c>
      <c r="J356" s="83"/>
      <c r="K356" s="56">
        <f t="shared" si="75"/>
        <v>0</v>
      </c>
      <c r="M356" s="196" t="str">
        <f t="shared" si="76"/>
        <v>7500/002Work in progress</v>
      </c>
      <c r="N356" s="78"/>
      <c r="P356" s="79"/>
      <c r="Q356" s="59"/>
      <c r="R356" s="34"/>
    </row>
    <row r="357" spans="1:18" x14ac:dyDescent="0.2">
      <c r="A357" s="393"/>
      <c r="B357" s="62" t="s">
        <v>23</v>
      </c>
      <c r="C357" s="394" t="s">
        <v>24</v>
      </c>
      <c r="D357" s="435"/>
      <c r="E357" s="434"/>
      <c r="F357" s="87">
        <f t="shared" si="80"/>
        <v>0</v>
      </c>
      <c r="G357" s="55">
        <f>SUMIF(JournalsC!D$14:D$920,TrialBalanceC!M357,JournalsC!J$14:J$920)+SUMIF(JournalsC!E$14:E$920,TrialBalanceC!M357,JournalsC!J$14:J$920)</f>
        <v>0</v>
      </c>
      <c r="H357" s="442"/>
      <c r="I357" s="447">
        <f t="shared" si="113"/>
        <v>0</v>
      </c>
      <c r="J357" s="83"/>
      <c r="K357" s="56">
        <f t="shared" si="75"/>
        <v>0</v>
      </c>
      <c r="M357" s="196" t="str">
        <f t="shared" si="76"/>
        <v>7500/003Finished goods</v>
      </c>
      <c r="N357" s="78"/>
      <c r="P357" s="79"/>
      <c r="Q357" s="59"/>
      <c r="R357" s="34"/>
    </row>
    <row r="358" spans="1:18" x14ac:dyDescent="0.2">
      <c r="A358" s="393"/>
      <c r="B358" s="62" t="s">
        <v>27</v>
      </c>
      <c r="C358" s="394" t="s">
        <v>28</v>
      </c>
      <c r="D358" s="435"/>
      <c r="E358" s="434"/>
      <c r="F358" s="87">
        <f t="shared" si="80"/>
        <v>0</v>
      </c>
      <c r="G358" s="55">
        <f>SUMIF(JournalsC!D$14:D$920,TrialBalanceC!M358,JournalsC!J$14:J$920)+SUMIF(JournalsC!E$14:E$920,TrialBalanceC!M358,JournalsC!J$14:J$920)</f>
        <v>0</v>
      </c>
      <c r="H358" s="442"/>
      <c r="I358" s="447">
        <f t="shared" si="113"/>
        <v>0</v>
      </c>
      <c r="J358" s="83"/>
      <c r="K358" s="56">
        <f t="shared" si="75"/>
        <v>0</v>
      </c>
      <c r="M358" s="196" t="str">
        <f t="shared" si="76"/>
        <v>7500/004Trading stock</v>
      </c>
      <c r="N358" s="78"/>
      <c r="P358" s="79"/>
      <c r="Q358" s="59"/>
      <c r="R358" s="34"/>
    </row>
    <row r="359" spans="1:18" x14ac:dyDescent="0.2">
      <c r="A359" s="393"/>
      <c r="B359" s="62" t="s">
        <v>30</v>
      </c>
      <c r="C359" s="396" t="s">
        <v>31</v>
      </c>
      <c r="D359" s="436"/>
      <c r="E359" s="434"/>
      <c r="F359" s="87"/>
      <c r="G359" s="55">
        <f>SUMIF(JournalsC!D$14:D$920,TrialBalanceC!M359,JournalsC!J$14:J$920)+SUMIF(JournalsC!E$14:E$920,TrialBalanceC!M359,JournalsC!J$14:J$920)</f>
        <v>0</v>
      </c>
      <c r="H359" s="442"/>
      <c r="I359" s="447">
        <f t="shared" si="113"/>
        <v>0</v>
      </c>
      <c r="J359" s="83"/>
      <c r="K359" s="56">
        <f t="shared" si="75"/>
        <v>0</v>
      </c>
      <c r="M359" s="196" t="str">
        <f t="shared" si="76"/>
        <v>8000/000DEBTORS</v>
      </c>
      <c r="N359" s="78"/>
      <c r="P359" s="79"/>
      <c r="Q359" s="59"/>
      <c r="R359" s="34"/>
    </row>
    <row r="360" spans="1:18" x14ac:dyDescent="0.2">
      <c r="A360" s="393"/>
      <c r="B360" s="62" t="s">
        <v>32</v>
      </c>
      <c r="C360" s="394" t="s">
        <v>33</v>
      </c>
      <c r="D360" s="435"/>
      <c r="E360" s="434"/>
      <c r="F360" s="87">
        <f t="shared" si="80"/>
        <v>0</v>
      </c>
      <c r="G360" s="55">
        <f>SUMIF(JournalsC!D$14:D$920,TrialBalanceC!M360,JournalsC!J$14:J$920)+SUMIF(JournalsC!E$14:E$920,TrialBalanceC!M360,JournalsC!J$14:J$920)</f>
        <v>0</v>
      </c>
      <c r="H360" s="442"/>
      <c r="I360" s="447">
        <f t="shared" si="113"/>
        <v>0</v>
      </c>
      <c r="J360" s="83"/>
      <c r="K360" s="56">
        <f t="shared" si="75"/>
        <v>0</v>
      </c>
      <c r="M360" s="196" t="str">
        <f t="shared" si="76"/>
        <v>8010/000Trade debtors</v>
      </c>
      <c r="N360" s="78"/>
      <c r="P360" s="79"/>
      <c r="Q360" s="59"/>
      <c r="R360" s="34"/>
    </row>
    <row r="361" spans="1:18" x14ac:dyDescent="0.2">
      <c r="A361" s="393"/>
      <c r="B361" s="113" t="s">
        <v>34</v>
      </c>
      <c r="C361" s="397" t="s">
        <v>635</v>
      </c>
      <c r="D361" s="435"/>
      <c r="E361" s="434"/>
      <c r="F361" s="87">
        <f t="shared" si="80"/>
        <v>0</v>
      </c>
      <c r="G361" s="55">
        <f>SUMIF(JournalsC!D$14:D$920,TrialBalanceC!M361,JournalsC!J$14:J$920)+SUMIF(JournalsC!E$14:E$920,TrialBalanceC!M361,JournalsC!J$14:J$920)</f>
        <v>0</v>
      </c>
      <c r="H361" s="442"/>
      <c r="I361" s="447">
        <f t="shared" si="113"/>
        <v>0</v>
      </c>
      <c r="J361" s="83"/>
      <c r="K361" s="56">
        <f t="shared" si="75"/>
        <v>0</v>
      </c>
      <c r="M361" s="196" t="str">
        <f t="shared" si="76"/>
        <v>8020/000Less: Provision for doubtful debts</v>
      </c>
      <c r="N361" s="78"/>
      <c r="P361" s="79"/>
      <c r="Q361" s="59"/>
      <c r="R361" s="34"/>
    </row>
    <row r="362" spans="1:18" x14ac:dyDescent="0.2">
      <c r="A362" s="393"/>
      <c r="B362" s="113" t="s">
        <v>637</v>
      </c>
      <c r="C362" s="394" t="s">
        <v>359</v>
      </c>
      <c r="D362" s="435"/>
      <c r="E362" s="434"/>
      <c r="F362" s="87">
        <f t="shared" si="80"/>
        <v>0</v>
      </c>
      <c r="G362" s="55">
        <f>SUMIF(JournalsC!D$14:D$920,TrialBalanceC!M362,JournalsC!J$14:J$920)+SUMIF(JournalsC!E$14:E$920,TrialBalanceC!M362,JournalsC!J$14:J$920)</f>
        <v>0</v>
      </c>
      <c r="H362" s="442"/>
      <c r="I362" s="447">
        <f t="shared" si="113"/>
        <v>0</v>
      </c>
      <c r="J362" s="83"/>
      <c r="K362" s="56">
        <f t="shared" si="75"/>
        <v>0</v>
      </c>
      <c r="M362" s="196" t="str">
        <f t="shared" si="76"/>
        <v>8030/000Service deposits</v>
      </c>
      <c r="N362" s="78"/>
      <c r="P362" s="79"/>
      <c r="Q362" s="59"/>
      <c r="R362" s="34"/>
    </row>
    <row r="363" spans="1:18" x14ac:dyDescent="0.2">
      <c r="A363" s="393"/>
      <c r="B363" s="62" t="s">
        <v>516</v>
      </c>
      <c r="C363" s="397" t="s">
        <v>971</v>
      </c>
      <c r="D363" s="435"/>
      <c r="E363" s="434"/>
      <c r="F363" s="87">
        <f t="shared" si="80"/>
        <v>0</v>
      </c>
      <c r="G363" s="55">
        <f>SUMIF(JournalsC!D$14:D$920,TrialBalanceC!M363,JournalsC!J$14:J$920)+SUMIF(JournalsC!E$14:E$920,TrialBalanceC!M363,JournalsC!J$14:J$920)</f>
        <v>0</v>
      </c>
      <c r="H363" s="442"/>
      <c r="I363" s="447">
        <f t="shared" si="113"/>
        <v>0</v>
      </c>
      <c r="J363" s="83"/>
      <c r="K363" s="56">
        <f t="shared" si="75"/>
        <v>0</v>
      </c>
      <c r="M363" s="196" t="str">
        <f t="shared" si="76"/>
        <v>8200/000Sundry customers</v>
      </c>
      <c r="N363" s="78"/>
      <c r="P363" s="79"/>
      <c r="Q363" s="59"/>
      <c r="R363" s="34"/>
    </row>
    <row r="364" spans="1:18" x14ac:dyDescent="0.2">
      <c r="A364" s="393"/>
      <c r="B364" s="62" t="s">
        <v>517</v>
      </c>
      <c r="C364" s="394" t="s">
        <v>414</v>
      </c>
      <c r="D364" s="435"/>
      <c r="E364" s="434"/>
      <c r="F364" s="87">
        <f t="shared" si="80"/>
        <v>0</v>
      </c>
      <c r="G364" s="55">
        <f>SUMIF(JournalsC!D$14:D$920,TrialBalanceC!M364,JournalsC!J$14:J$920)+SUMIF(JournalsC!E$14:E$920,TrialBalanceC!M364,JournalsC!J$14:J$920)</f>
        <v>0</v>
      </c>
      <c r="H364" s="442"/>
      <c r="I364" s="447">
        <f t="shared" si="113"/>
        <v>0</v>
      </c>
      <c r="J364" s="83"/>
      <c r="K364" s="56">
        <f t="shared" si="75"/>
        <v>0</v>
      </c>
      <c r="M364" s="196" t="str">
        <f t="shared" si="76"/>
        <v>8200/010Prepayments</v>
      </c>
      <c r="N364" s="78"/>
      <c r="P364" s="79"/>
      <c r="Q364" s="59"/>
      <c r="R364" s="34"/>
    </row>
    <row r="365" spans="1:18" x14ac:dyDescent="0.2">
      <c r="A365" s="393"/>
      <c r="B365" s="62" t="s">
        <v>272</v>
      </c>
      <c r="C365" s="395" t="s">
        <v>606</v>
      </c>
      <c r="D365" s="427"/>
      <c r="E365" s="434"/>
      <c r="F365" s="87">
        <f t="shared" si="80"/>
        <v>0</v>
      </c>
      <c r="G365" s="55">
        <f>SUMIF(JournalsC!D$14:D$920,TrialBalanceC!M365,JournalsC!J$14:J$920)+SUMIF(JournalsC!E$14:E$920,TrialBalanceC!M365,JournalsC!J$14:J$920)</f>
        <v>0</v>
      </c>
      <c r="H365" s="442"/>
      <c r="I365" s="447">
        <f t="shared" si="113"/>
        <v>0</v>
      </c>
      <c r="J365" s="83"/>
      <c r="K365" s="56">
        <f t="shared" si="75"/>
        <v>0</v>
      </c>
      <c r="M365" s="196" t="str">
        <f t="shared" si="76"/>
        <v>8200/020Staff loans</v>
      </c>
      <c r="N365" s="78"/>
      <c r="P365" s="79"/>
      <c r="Q365" s="59"/>
      <c r="R365" s="34"/>
    </row>
    <row r="366" spans="1:18" x14ac:dyDescent="0.2">
      <c r="A366" s="393"/>
      <c r="B366" s="62" t="s">
        <v>273</v>
      </c>
      <c r="C366" s="399" t="s">
        <v>139</v>
      </c>
      <c r="D366" s="425"/>
      <c r="E366" s="434"/>
      <c r="F366" s="87"/>
      <c r="G366" s="55">
        <f>SUMIF(JournalsC!D$14:D$920,TrialBalanceC!M366,JournalsC!J$14:J$920)+SUMIF(JournalsC!E$14:E$920,TrialBalanceC!M366,JournalsC!J$14:J$920)</f>
        <v>0</v>
      </c>
      <c r="H366" s="442"/>
      <c r="I366" s="447">
        <f t="shared" si="113"/>
        <v>0</v>
      </c>
      <c r="J366" s="83"/>
      <c r="K366" s="56">
        <f t="shared" si="75"/>
        <v>0</v>
      </c>
      <c r="M366" s="196" t="str">
        <f t="shared" si="76"/>
        <v>8400/000BANK ACCOUNTS</v>
      </c>
      <c r="N366" s="78"/>
      <c r="P366" s="79"/>
      <c r="Q366" s="59"/>
      <c r="R366" s="34"/>
    </row>
    <row r="367" spans="1:18" x14ac:dyDescent="0.2">
      <c r="A367" s="393"/>
      <c r="B367" s="62" t="s">
        <v>274</v>
      </c>
      <c r="C367" s="429">
        <f>TrialBalance!C367</f>
        <v>0</v>
      </c>
      <c r="D367" s="434"/>
      <c r="E367" s="434"/>
      <c r="F367" s="87">
        <f t="shared" si="80"/>
        <v>0</v>
      </c>
      <c r="G367" s="55">
        <f>SUMIF(JournalsC!D$14:D$920,TrialBalanceC!M367,JournalsC!J$14:J$920)+SUMIF(JournalsC!E$14:E$920,TrialBalanceC!M367,JournalsC!J$14:J$920)</f>
        <v>0</v>
      </c>
      <c r="H367" s="442"/>
      <c r="I367" s="447">
        <f t="shared" si="113"/>
        <v>0</v>
      </c>
      <c r="J367" s="83"/>
      <c r="K367" s="56">
        <f t="shared" si="75"/>
        <v>0</v>
      </c>
      <c r="M367" s="196" t="str">
        <f t="shared" si="76"/>
        <v>8410/0000</v>
      </c>
      <c r="N367" s="78"/>
      <c r="P367" s="79"/>
      <c r="Q367" s="59"/>
      <c r="R367" s="34"/>
    </row>
    <row r="368" spans="1:18" x14ac:dyDescent="0.2">
      <c r="A368" s="393"/>
      <c r="B368" s="62" t="s">
        <v>275</v>
      </c>
      <c r="C368" s="429">
        <f>TrialBalance!C368</f>
        <v>0</v>
      </c>
      <c r="D368" s="434"/>
      <c r="E368" s="434"/>
      <c r="F368" s="87">
        <f t="shared" si="80"/>
        <v>0</v>
      </c>
      <c r="G368" s="55">
        <f>SUMIF(JournalsC!D$14:D$920,TrialBalanceC!M368,JournalsC!J$14:J$920)+SUMIF(JournalsC!E$14:E$920,TrialBalanceC!M368,JournalsC!J$14:J$920)</f>
        <v>0</v>
      </c>
      <c r="H368" s="442"/>
      <c r="I368" s="447">
        <f t="shared" si="113"/>
        <v>0</v>
      </c>
      <c r="J368" s="83"/>
      <c r="K368" s="56">
        <f t="shared" si="75"/>
        <v>0</v>
      </c>
      <c r="M368" s="196" t="str">
        <f t="shared" si="76"/>
        <v>8420/0000</v>
      </c>
      <c r="N368" s="78"/>
      <c r="P368" s="79"/>
      <c r="Q368" s="59"/>
      <c r="R368" s="34"/>
    </row>
    <row r="369" spans="1:18" x14ac:dyDescent="0.2">
      <c r="A369" s="393"/>
      <c r="B369" s="62" t="s">
        <v>276</v>
      </c>
      <c r="C369" s="429">
        <f>TrialBalance!C369</f>
        <v>0</v>
      </c>
      <c r="D369" s="427"/>
      <c r="E369" s="434"/>
      <c r="F369" s="87">
        <f t="shared" si="80"/>
        <v>0</v>
      </c>
      <c r="G369" s="55">
        <f>SUMIF(JournalsC!D$14:D$920,TrialBalanceC!M369,JournalsC!J$14:J$920)+SUMIF(JournalsC!E$14:E$920,TrialBalanceC!M369,JournalsC!J$14:J$920)</f>
        <v>0</v>
      </c>
      <c r="H369" s="442"/>
      <c r="I369" s="447">
        <f t="shared" si="113"/>
        <v>0</v>
      </c>
      <c r="J369" s="83"/>
      <c r="K369" s="56">
        <f t="shared" si="75"/>
        <v>0</v>
      </c>
      <c r="M369" s="196" t="str">
        <f t="shared" si="76"/>
        <v>8430/0000</v>
      </c>
      <c r="N369" s="78"/>
      <c r="P369" s="79"/>
      <c r="Q369" s="59"/>
      <c r="R369" s="34"/>
    </row>
    <row r="370" spans="1:18" x14ac:dyDescent="0.2">
      <c r="A370" s="393"/>
      <c r="B370" s="62" t="s">
        <v>277</v>
      </c>
      <c r="C370" s="429">
        <f>TrialBalance!C370</f>
        <v>0</v>
      </c>
      <c r="D370" s="435"/>
      <c r="E370" s="434"/>
      <c r="F370" s="87">
        <f t="shared" si="80"/>
        <v>0</v>
      </c>
      <c r="G370" s="55">
        <f>SUMIF(JournalsC!D$14:D$920,TrialBalanceC!M370,JournalsC!J$14:J$920)+SUMIF(JournalsC!E$14:E$920,TrialBalanceC!M370,JournalsC!J$14:J$920)</f>
        <v>0</v>
      </c>
      <c r="H370" s="442"/>
      <c r="I370" s="447">
        <f t="shared" si="113"/>
        <v>0</v>
      </c>
      <c r="J370" s="83"/>
      <c r="K370" s="56">
        <f t="shared" si="75"/>
        <v>0</v>
      </c>
      <c r="M370" s="196" t="str">
        <f t="shared" si="76"/>
        <v>8440/0000</v>
      </c>
      <c r="N370" s="78"/>
      <c r="P370" s="79"/>
      <c r="Q370" s="59"/>
      <c r="R370" s="34"/>
    </row>
    <row r="371" spans="1:18" x14ac:dyDescent="0.2">
      <c r="A371" s="393"/>
      <c r="B371" s="62" t="s">
        <v>278</v>
      </c>
      <c r="C371" s="429">
        <f>TrialBalance!C371</f>
        <v>0</v>
      </c>
      <c r="D371" s="435"/>
      <c r="E371" s="434"/>
      <c r="F371" s="87">
        <f t="shared" si="80"/>
        <v>0</v>
      </c>
      <c r="G371" s="55">
        <f>SUMIF(JournalsC!D$14:D$920,TrialBalanceC!M371,JournalsC!J$14:J$920)+SUMIF(JournalsC!E$14:E$920,TrialBalanceC!M371,JournalsC!J$14:J$920)</f>
        <v>0</v>
      </c>
      <c r="H371" s="442"/>
      <c r="I371" s="447">
        <f t="shared" si="113"/>
        <v>0</v>
      </c>
      <c r="J371" s="83"/>
      <c r="K371" s="56">
        <f t="shared" si="75"/>
        <v>0</v>
      </c>
      <c r="M371" s="196" t="str">
        <f t="shared" si="76"/>
        <v>8450/0000</v>
      </c>
      <c r="N371" s="78"/>
      <c r="P371" s="79"/>
      <c r="Q371" s="59"/>
      <c r="R371" s="34"/>
    </row>
    <row r="372" spans="1:18" x14ac:dyDescent="0.2">
      <c r="A372" s="393"/>
      <c r="B372" s="62" t="s">
        <v>140</v>
      </c>
      <c r="C372" s="429">
        <f>TrialBalance!C372</f>
        <v>0</v>
      </c>
      <c r="D372" s="435"/>
      <c r="E372" s="434"/>
      <c r="F372" s="87">
        <f t="shared" si="80"/>
        <v>0</v>
      </c>
      <c r="G372" s="55">
        <f>SUMIF(JournalsC!D$14:D$920,TrialBalanceC!M372,JournalsC!J$14:J$920)+SUMIF(JournalsC!E$14:E$920,TrialBalanceC!M372,JournalsC!J$14:J$920)</f>
        <v>0</v>
      </c>
      <c r="H372" s="442"/>
      <c r="I372" s="447">
        <f t="shared" si="113"/>
        <v>0</v>
      </c>
      <c r="J372" s="83"/>
      <c r="K372" s="56">
        <f t="shared" si="75"/>
        <v>0</v>
      </c>
      <c r="M372" s="196" t="str">
        <f t="shared" si="76"/>
        <v>8460/0000</v>
      </c>
      <c r="N372" s="78"/>
      <c r="P372" s="79"/>
      <c r="Q372" s="59"/>
      <c r="R372" s="34"/>
    </row>
    <row r="373" spans="1:18" x14ac:dyDescent="0.2">
      <c r="A373" s="393"/>
      <c r="B373" s="62" t="s">
        <v>463</v>
      </c>
      <c r="C373" s="401" t="s">
        <v>464</v>
      </c>
      <c r="D373" s="427"/>
      <c r="E373" s="434"/>
      <c r="F373" s="87">
        <f t="shared" si="80"/>
        <v>0</v>
      </c>
      <c r="G373" s="55">
        <f>SUMIF(JournalsC!D$14:D$920,TrialBalanceC!M373,JournalsC!J$14:J$920)+SUMIF(JournalsC!E$14:E$920,TrialBalanceC!M373,JournalsC!J$14:J$920)</f>
        <v>0</v>
      </c>
      <c r="H373" s="442"/>
      <c r="I373" s="447">
        <f t="shared" si="113"/>
        <v>0</v>
      </c>
      <c r="J373" s="83"/>
      <c r="K373" s="56">
        <f t="shared" si="75"/>
        <v>0</v>
      </c>
      <c r="M373" s="196" t="str">
        <f t="shared" si="76"/>
        <v>8500/000Cash on hand</v>
      </c>
      <c r="N373" s="78"/>
      <c r="P373" s="79"/>
      <c r="Q373" s="59"/>
      <c r="R373" s="34"/>
    </row>
    <row r="374" spans="1:18" x14ac:dyDescent="0.2">
      <c r="A374" s="393"/>
      <c r="B374" s="62" t="s">
        <v>465</v>
      </c>
      <c r="C374" s="399" t="s">
        <v>314</v>
      </c>
      <c r="D374" s="425"/>
      <c r="E374" s="434"/>
      <c r="F374" s="87"/>
      <c r="G374" s="55">
        <f>SUMIF(JournalsC!D$14:D$920,TrialBalanceC!M374,JournalsC!J$14:J$920)+SUMIF(JournalsC!E$14:E$920,TrialBalanceC!M374,JournalsC!J$14:J$920)</f>
        <v>0</v>
      </c>
      <c r="H374" s="442"/>
      <c r="I374" s="447">
        <f t="shared" si="113"/>
        <v>0</v>
      </c>
      <c r="J374" s="83"/>
      <c r="K374" s="56">
        <f t="shared" si="75"/>
        <v>0</v>
      </c>
      <c r="M374" s="196" t="str">
        <f t="shared" si="76"/>
        <v>8900/000SHORT TERM LOANS</v>
      </c>
      <c r="N374" s="78"/>
      <c r="P374" s="79"/>
      <c r="Q374" s="59"/>
      <c r="R374" s="34"/>
    </row>
    <row r="375" spans="1:18" x14ac:dyDescent="0.2">
      <c r="A375" s="393"/>
      <c r="B375" s="62" t="s">
        <v>466</v>
      </c>
      <c r="C375" s="429">
        <f>TrialBalance!C375</f>
        <v>0</v>
      </c>
      <c r="D375" s="427"/>
      <c r="E375" s="434"/>
      <c r="F375" s="87">
        <f t="shared" si="80"/>
        <v>0</v>
      </c>
      <c r="G375" s="55">
        <f>SUMIF(JournalsC!D$14:D$920,TrialBalanceC!M375,JournalsC!J$14:J$920)+SUMIF(JournalsC!E$14:E$920,TrialBalanceC!M375,JournalsC!J$14:J$920)</f>
        <v>0</v>
      </c>
      <c r="H375" s="442"/>
      <c r="I375" s="447">
        <f t="shared" si="113"/>
        <v>0</v>
      </c>
      <c r="J375" s="83"/>
      <c r="K375" s="56">
        <f t="shared" si="75"/>
        <v>0</v>
      </c>
      <c r="M375" s="196" t="str">
        <f t="shared" si="76"/>
        <v>8900/0010</v>
      </c>
      <c r="N375" s="78"/>
      <c r="P375" s="79"/>
      <c r="Q375" s="59"/>
      <c r="R375" s="34"/>
    </row>
    <row r="376" spans="1:18" x14ac:dyDescent="0.2">
      <c r="A376" s="393"/>
      <c r="B376" s="62" t="s">
        <v>467</v>
      </c>
      <c r="C376" s="429">
        <f>TrialBalance!C376</f>
        <v>0</v>
      </c>
      <c r="D376" s="435"/>
      <c r="E376" s="434"/>
      <c r="F376" s="87">
        <f t="shared" si="80"/>
        <v>0</v>
      </c>
      <c r="G376" s="55">
        <f>SUMIF(JournalsC!D$14:D$920,TrialBalanceC!M376,JournalsC!J$14:J$920)+SUMIF(JournalsC!E$14:E$920,TrialBalanceC!M376,JournalsC!J$14:J$920)</f>
        <v>0</v>
      </c>
      <c r="H376" s="442"/>
      <c r="I376" s="447">
        <f t="shared" si="113"/>
        <v>0</v>
      </c>
      <c r="J376" s="83"/>
      <c r="K376" s="56">
        <f t="shared" si="75"/>
        <v>0</v>
      </c>
      <c r="M376" s="196" t="str">
        <f t="shared" si="76"/>
        <v>8900/0020</v>
      </c>
      <c r="N376" s="78"/>
      <c r="P376" s="79"/>
      <c r="Q376" s="59"/>
      <c r="R376" s="34"/>
    </row>
    <row r="377" spans="1:18" x14ac:dyDescent="0.2">
      <c r="A377" s="393"/>
      <c r="B377" s="62" t="s">
        <v>468</v>
      </c>
      <c r="C377" s="429">
        <f>TrialBalance!C377</f>
        <v>0</v>
      </c>
      <c r="D377" s="435"/>
      <c r="E377" s="434"/>
      <c r="F377" s="87">
        <f t="shared" si="80"/>
        <v>0</v>
      </c>
      <c r="G377" s="55">
        <f>SUMIF(JournalsC!D$14:D$920,TrialBalanceC!M377,JournalsC!J$14:J$920)+SUMIF(JournalsC!E$14:E$920,TrialBalanceC!M377,JournalsC!J$14:J$920)</f>
        <v>0</v>
      </c>
      <c r="H377" s="442"/>
      <c r="I377" s="447">
        <f t="shared" si="113"/>
        <v>0</v>
      </c>
      <c r="J377" s="83"/>
      <c r="K377" s="56">
        <f t="shared" si="75"/>
        <v>0</v>
      </c>
      <c r="M377" s="196" t="str">
        <f t="shared" si="76"/>
        <v>8900/0030</v>
      </c>
      <c r="N377" s="78"/>
      <c r="P377" s="79"/>
      <c r="Q377" s="59"/>
      <c r="R377" s="34"/>
    </row>
    <row r="378" spans="1:18" x14ac:dyDescent="0.2">
      <c r="A378" s="393"/>
      <c r="B378" s="62" t="s">
        <v>469</v>
      </c>
      <c r="C378" s="396" t="s">
        <v>288</v>
      </c>
      <c r="D378" s="436"/>
      <c r="E378" s="434"/>
      <c r="F378" s="87"/>
      <c r="G378" s="55">
        <f>SUMIF(JournalsC!D$14:D$920,TrialBalanceC!M378,JournalsC!J$14:J$920)+SUMIF(JournalsC!E$14:E$920,TrialBalanceC!M378,JournalsC!J$14:J$920)</f>
        <v>0</v>
      </c>
      <c r="H378" s="442"/>
      <c r="I378" s="447">
        <f t="shared" si="113"/>
        <v>0</v>
      </c>
      <c r="J378" s="83"/>
      <c r="K378" s="56">
        <f t="shared" si="75"/>
        <v>0</v>
      </c>
      <c r="M378" s="196" t="str">
        <f t="shared" si="76"/>
        <v>8900/004Short term portion of long term loans</v>
      </c>
      <c r="N378" s="78"/>
      <c r="P378" s="79"/>
      <c r="Q378" s="59"/>
      <c r="R378" s="34"/>
    </row>
    <row r="379" spans="1:18" x14ac:dyDescent="0.2">
      <c r="A379" s="393"/>
      <c r="B379" s="62" t="s">
        <v>470</v>
      </c>
      <c r="C379" s="396" t="s">
        <v>471</v>
      </c>
      <c r="D379" s="436"/>
      <c r="E379" s="434"/>
      <c r="F379" s="87"/>
      <c r="G379" s="55">
        <f>SUMIF(JournalsC!D$14:D$920,TrialBalanceC!M379,JournalsC!J$14:J$920)+SUMIF(JournalsC!E$14:E$920,TrialBalanceC!M379,JournalsC!J$14:J$920)</f>
        <v>0</v>
      </c>
      <c r="H379" s="442"/>
      <c r="I379" s="447">
        <f t="shared" si="113"/>
        <v>0</v>
      </c>
      <c r="J379" s="83"/>
      <c r="K379" s="56">
        <f t="shared" si="75"/>
        <v>0</v>
      </c>
      <c r="M379" s="196" t="str">
        <f t="shared" si="76"/>
        <v>9000/000CREDITORS</v>
      </c>
      <c r="N379" s="78"/>
      <c r="P379" s="79"/>
      <c r="Q379" s="59"/>
      <c r="R379" s="34"/>
    </row>
    <row r="380" spans="1:18" x14ac:dyDescent="0.2">
      <c r="A380" s="393"/>
      <c r="B380" s="62" t="s">
        <v>472</v>
      </c>
      <c r="C380" s="394" t="s">
        <v>473</v>
      </c>
      <c r="D380" s="435"/>
      <c r="E380" s="434"/>
      <c r="F380" s="87">
        <f>K380</f>
        <v>0</v>
      </c>
      <c r="G380" s="55">
        <f>SUMIF(JournalsC!D$14:D$920,TrialBalanceC!M380,JournalsC!J$14:J$920)+SUMIF(JournalsC!E$14:E$920,TrialBalanceC!M380,JournalsC!J$14:J$920)</f>
        <v>0</v>
      </c>
      <c r="H380" s="442"/>
      <c r="I380" s="447">
        <f t="shared" si="113"/>
        <v>0</v>
      </c>
      <c r="J380" s="83"/>
      <c r="K380" s="56">
        <f t="shared" si="75"/>
        <v>0</v>
      </c>
      <c r="M380" s="196" t="str">
        <f t="shared" si="76"/>
        <v>9010/000Trade creditors</v>
      </c>
      <c r="N380" s="78"/>
      <c r="P380" s="79"/>
      <c r="Q380" s="59"/>
      <c r="R380" s="34"/>
    </row>
    <row r="381" spans="1:18" x14ac:dyDescent="0.2">
      <c r="A381" s="393"/>
      <c r="B381" s="62" t="s">
        <v>474</v>
      </c>
      <c r="C381" s="397" t="s">
        <v>622</v>
      </c>
      <c r="D381" s="435"/>
      <c r="E381" s="434"/>
      <c r="F381" s="87">
        <f>K381</f>
        <v>0</v>
      </c>
      <c r="G381" s="55">
        <f>SUMIF(JournalsC!D$14:D$920,TrialBalanceC!M381,JournalsC!J$14:J$920)+SUMIF(JournalsC!E$14:E$920,TrialBalanceC!M381,JournalsC!J$14:J$920)</f>
        <v>0</v>
      </c>
      <c r="H381" s="442"/>
      <c r="I381" s="447">
        <f t="shared" si="113"/>
        <v>0</v>
      </c>
      <c r="J381" s="83"/>
      <c r="K381" s="56">
        <f t="shared" si="75"/>
        <v>0</v>
      </c>
      <c r="M381" s="196" t="str">
        <f t="shared" si="76"/>
        <v>9200/000Sundry suppliers</v>
      </c>
      <c r="N381" s="78"/>
      <c r="P381" s="79"/>
      <c r="Q381" s="59"/>
      <c r="R381" s="34"/>
    </row>
    <row r="382" spans="1:18" x14ac:dyDescent="0.2">
      <c r="A382" s="393"/>
      <c r="B382" s="62" t="s">
        <v>475</v>
      </c>
      <c r="C382" s="397" t="s">
        <v>921</v>
      </c>
      <c r="D382" s="437"/>
      <c r="E382" s="434"/>
      <c r="F382" s="87">
        <f>K382</f>
        <v>0</v>
      </c>
      <c r="G382" s="55">
        <f>SUMIF(JournalsC!D$14:D$920,TrialBalanceC!M382,JournalsC!J$14:J$920)+SUMIF(JournalsC!E$14:E$920,TrialBalanceC!M382,JournalsC!J$14:J$920)</f>
        <v>0</v>
      </c>
      <c r="H382" s="442"/>
      <c r="I382" s="447">
        <f t="shared" si="113"/>
        <v>0</v>
      </c>
      <c r="J382" s="83"/>
      <c r="K382" s="56">
        <f t="shared" si="75"/>
        <v>0</v>
      </c>
      <c r="M382" s="196" t="str">
        <f t="shared" si="76"/>
        <v>9200/010Audit and accounting fee accrual</v>
      </c>
      <c r="N382" s="78"/>
      <c r="P382" s="79"/>
      <c r="Q382" s="59"/>
      <c r="R382" s="34"/>
    </row>
    <row r="383" spans="1:18" x14ac:dyDescent="0.2">
      <c r="A383" s="393"/>
      <c r="B383" s="62" t="s">
        <v>476</v>
      </c>
      <c r="C383" s="397" t="s">
        <v>623</v>
      </c>
      <c r="D383" s="435"/>
      <c r="E383" s="434"/>
      <c r="F383" s="87">
        <f>K383</f>
        <v>0</v>
      </c>
      <c r="G383" s="55">
        <f>SUMIF(JournalsC!D$14:D$920,TrialBalanceC!M383,JournalsC!J$14:J$920)+SUMIF(JournalsC!E$14:E$920,TrialBalanceC!M383,JournalsC!J$14:J$920)</f>
        <v>0</v>
      </c>
      <c r="H383" s="442"/>
      <c r="I383" s="447">
        <f t="shared" si="113"/>
        <v>0</v>
      </c>
      <c r="J383" s="83"/>
      <c r="K383" s="56">
        <f t="shared" si="75"/>
        <v>0</v>
      </c>
      <c r="M383" s="196" t="str">
        <f t="shared" si="76"/>
        <v>9200/020Other accruals</v>
      </c>
      <c r="N383" s="78"/>
      <c r="P383" s="79"/>
      <c r="Q383" s="59"/>
      <c r="R383" s="34"/>
    </row>
    <row r="384" spans="1:18" x14ac:dyDescent="0.2">
      <c r="A384" s="393"/>
      <c r="B384" s="62" t="s">
        <v>477</v>
      </c>
      <c r="C384" s="397" t="s">
        <v>900</v>
      </c>
      <c r="D384" s="435"/>
      <c r="E384" s="434"/>
      <c r="F384" s="87">
        <f>K384</f>
        <v>0</v>
      </c>
      <c r="G384" s="55">
        <f>SUMIF(JournalsC!D$14:D$920,TrialBalanceC!M384,JournalsC!J$14:J$920)+SUMIF(JournalsC!E$14:E$920,TrialBalanceC!M384,JournalsC!J$14:J$920)</f>
        <v>0</v>
      </c>
      <c r="H384" s="442"/>
      <c r="I384" s="447">
        <f t="shared" si="113"/>
        <v>0</v>
      </c>
      <c r="J384" s="83"/>
      <c r="K384" s="56">
        <f t="shared" si="75"/>
        <v>0</v>
      </c>
      <c r="M384" s="196" t="str">
        <f t="shared" si="76"/>
        <v>9250/000Salary and wages control</v>
      </c>
      <c r="N384" s="78"/>
      <c r="P384" s="79"/>
      <c r="Q384" s="59"/>
      <c r="R384" s="34"/>
    </row>
    <row r="385" spans="1:18" x14ac:dyDescent="0.2">
      <c r="A385" s="393"/>
      <c r="B385" s="62" t="s">
        <v>368</v>
      </c>
      <c r="C385" s="396" t="s">
        <v>127</v>
      </c>
      <c r="D385" s="436"/>
      <c r="E385" s="434"/>
      <c r="F385" s="87"/>
      <c r="G385" s="55">
        <f>SUMIF(JournalsC!D$14:D$920,TrialBalanceC!M385,JournalsC!J$14:J$920)+SUMIF(JournalsC!E$14:E$920,TrialBalanceC!M385,JournalsC!J$14:J$920)</f>
        <v>0</v>
      </c>
      <c r="H385" s="442"/>
      <c r="I385" s="447">
        <f t="shared" si="113"/>
        <v>0</v>
      </c>
      <c r="J385" s="83"/>
      <c r="K385" s="56">
        <f t="shared" si="75"/>
        <v>0</v>
      </c>
      <c r="M385" s="196" t="str">
        <f t="shared" si="76"/>
        <v>9300/000TAXATION</v>
      </c>
      <c r="N385" s="78"/>
      <c r="P385" s="79"/>
      <c r="Q385" s="59"/>
      <c r="R385" s="34"/>
    </row>
    <row r="386" spans="1:18" x14ac:dyDescent="0.2">
      <c r="A386" s="393"/>
      <c r="B386" s="62" t="s">
        <v>488</v>
      </c>
      <c r="C386" s="394" t="s">
        <v>98</v>
      </c>
      <c r="D386" s="435"/>
      <c r="E386" s="434"/>
      <c r="F386" s="87">
        <f>SUM(K386:K393)</f>
        <v>0</v>
      </c>
      <c r="G386" s="55">
        <f>SUMIF(JournalsC!D$14:D$920,TrialBalanceC!M386,JournalsC!J$14:J$920)+SUMIF(JournalsC!E$14:E$920,TrialBalanceC!M386,JournalsC!J$14:J$920)</f>
        <v>0</v>
      </c>
      <c r="H386" s="442"/>
      <c r="I386" s="447">
        <f t="shared" si="113"/>
        <v>0</v>
      </c>
      <c r="J386" s="83"/>
      <c r="K386" s="56">
        <f t="shared" si="75"/>
        <v>0</v>
      </c>
      <c r="M386" s="196" t="str">
        <f t="shared" si="76"/>
        <v>9300/010Balance b/fwd</v>
      </c>
      <c r="N386" s="78"/>
      <c r="P386" s="79"/>
      <c r="Q386" s="59"/>
      <c r="R386" s="34"/>
    </row>
    <row r="387" spans="1:18" x14ac:dyDescent="0.2">
      <c r="A387" s="393"/>
      <c r="B387" s="62" t="s">
        <v>489</v>
      </c>
      <c r="C387" s="401" t="s">
        <v>137</v>
      </c>
      <c r="D387" s="427"/>
      <c r="E387" s="434"/>
      <c r="F387" s="87"/>
      <c r="G387" s="55">
        <f>SUMIF(JournalsC!D$14:D$920,TrialBalanceC!M387,JournalsC!J$14:J$920)+SUMIF(JournalsC!E$14:E$920,TrialBalanceC!M387,JournalsC!J$14:J$920)</f>
        <v>0</v>
      </c>
      <c r="H387" s="442"/>
      <c r="I387" s="447">
        <f t="shared" si="113"/>
        <v>0</v>
      </c>
      <c r="J387" s="83"/>
      <c r="K387" s="56">
        <f t="shared" si="75"/>
        <v>0</v>
      </c>
      <c r="M387" s="196" t="str">
        <f t="shared" si="76"/>
        <v>9300/020Tax provision this year</v>
      </c>
      <c r="N387" s="78"/>
      <c r="P387" s="79"/>
      <c r="Q387" s="59"/>
      <c r="R387" s="34"/>
    </row>
    <row r="388" spans="1:18" x14ac:dyDescent="0.2">
      <c r="A388" s="393"/>
      <c r="B388" s="62" t="s">
        <v>490</v>
      </c>
      <c r="C388" s="397" t="s">
        <v>1094</v>
      </c>
      <c r="D388" s="435"/>
      <c r="E388" s="434"/>
      <c r="F388" s="87"/>
      <c r="G388" s="55">
        <f>SUMIF(JournalsC!D$14:D$920,TrialBalanceC!M388,JournalsC!J$14:J$920)+SUMIF(JournalsC!E$14:E$920,TrialBalanceC!M388,JournalsC!J$14:J$920)</f>
        <v>0</v>
      </c>
      <c r="H388" s="442"/>
      <c r="I388" s="447">
        <f t="shared" si="113"/>
        <v>0</v>
      </c>
      <c r="J388" s="83"/>
      <c r="K388" s="56">
        <f t="shared" si="75"/>
        <v>0</v>
      </c>
      <c r="M388" s="196" t="str">
        <f t="shared" si="76"/>
        <v>9300/030Over-/(Under) provision previous year</v>
      </c>
      <c r="N388" s="78"/>
      <c r="P388" s="79"/>
      <c r="Q388" s="59"/>
      <c r="R388" s="34"/>
    </row>
    <row r="389" spans="1:18" x14ac:dyDescent="0.2">
      <c r="A389" s="393"/>
      <c r="B389" s="62" t="s">
        <v>491</v>
      </c>
      <c r="C389" s="397" t="s">
        <v>1095</v>
      </c>
      <c r="D389" s="435"/>
      <c r="E389" s="434"/>
      <c r="F389" s="87"/>
      <c r="G389" s="55">
        <f>SUMIF(JournalsC!D$14:D$920,TrialBalanceC!M389,JournalsC!J$14:J$920)+SUMIF(JournalsC!E$14:E$920,TrialBalanceC!M389,JournalsC!J$14:J$920)</f>
        <v>0</v>
      </c>
      <c r="H389" s="442"/>
      <c r="I389" s="447">
        <f t="shared" si="113"/>
        <v>0</v>
      </c>
      <c r="J389" s="83"/>
      <c r="K389" s="56">
        <f t="shared" si="75"/>
        <v>0</v>
      </c>
      <c r="M389" s="196" t="str">
        <f t="shared" si="76"/>
        <v>9300/040Tax paid/(refund) for previous year provisions</v>
      </c>
      <c r="N389" s="78"/>
      <c r="P389" s="79"/>
      <c r="Q389" s="59"/>
      <c r="R389" s="34"/>
    </row>
    <row r="390" spans="1:18" x14ac:dyDescent="0.2">
      <c r="A390" s="393"/>
      <c r="B390" s="62" t="s">
        <v>492</v>
      </c>
      <c r="C390" s="397" t="s">
        <v>972</v>
      </c>
      <c r="D390" s="435"/>
      <c r="E390" s="434"/>
      <c r="F390" s="87"/>
      <c r="G390" s="55">
        <f>SUMIF(JournalsC!D$14:D$920,TrialBalanceC!M390,JournalsC!J$14:J$920)+SUMIF(JournalsC!E$14:E$920,TrialBalanceC!M390,JournalsC!J$14:J$920)</f>
        <v>0</v>
      </c>
      <c r="H390" s="442"/>
      <c r="I390" s="447">
        <f t="shared" si="113"/>
        <v>0</v>
      </c>
      <c r="J390" s="83"/>
      <c r="K390" s="56">
        <f t="shared" ref="K390:K401" si="114">ROUND(SUM(A390),0)</f>
        <v>0</v>
      </c>
      <c r="M390" s="196" t="str">
        <f t="shared" ref="M390:M401" si="115">CONCATENATE(B390,C390)</f>
        <v>9300/0501st Provisional paid</v>
      </c>
      <c r="N390" s="78"/>
      <c r="P390" s="79"/>
      <c r="Q390" s="59"/>
      <c r="R390" s="34"/>
    </row>
    <row r="391" spans="1:18" x14ac:dyDescent="0.2">
      <c r="A391" s="393"/>
      <c r="B391" s="62" t="s">
        <v>493</v>
      </c>
      <c r="C391" s="397" t="s">
        <v>973</v>
      </c>
      <c r="D391" s="435"/>
      <c r="E391" s="434"/>
      <c r="F391" s="87"/>
      <c r="G391" s="55">
        <f>SUMIF(JournalsC!D$14:D$920,TrialBalanceC!M391,JournalsC!J$14:J$920)+SUMIF(JournalsC!E$14:E$920,TrialBalanceC!M391,JournalsC!J$14:J$920)</f>
        <v>0</v>
      </c>
      <c r="H391" s="442"/>
      <c r="I391" s="447">
        <f t="shared" si="113"/>
        <v>0</v>
      </c>
      <c r="J391" s="83"/>
      <c r="K391" s="56">
        <f t="shared" si="114"/>
        <v>0</v>
      </c>
      <c r="M391" s="196" t="str">
        <f t="shared" si="115"/>
        <v>9300/0602nd Provisional paid</v>
      </c>
      <c r="N391" s="78"/>
      <c r="P391" s="79"/>
      <c r="Q391" s="59"/>
      <c r="R391" s="34"/>
    </row>
    <row r="392" spans="1:18" x14ac:dyDescent="0.2">
      <c r="A392" s="393"/>
      <c r="B392" s="62" t="s">
        <v>494</v>
      </c>
      <c r="C392" s="394" t="s">
        <v>138</v>
      </c>
      <c r="D392" s="435"/>
      <c r="E392" s="434"/>
      <c r="F392" s="87"/>
      <c r="G392" s="55">
        <f>SUMIF(JournalsC!D$14:D$920,TrialBalanceC!M392,JournalsC!J$14:J$920)+SUMIF(JournalsC!E$14:E$920,TrialBalanceC!M392,JournalsC!J$14:J$920)</f>
        <v>0</v>
      </c>
      <c r="H392" s="442"/>
      <c r="I392" s="447">
        <f t="shared" si="113"/>
        <v>0</v>
      </c>
      <c r="J392" s="83"/>
      <c r="K392" s="56">
        <f t="shared" si="114"/>
        <v>0</v>
      </c>
      <c r="M392" s="196" t="str">
        <f t="shared" si="115"/>
        <v>9300/0703rd Provisional paid</v>
      </c>
      <c r="N392" s="78"/>
      <c r="P392" s="79"/>
      <c r="Q392" s="59"/>
      <c r="R392" s="34"/>
    </row>
    <row r="393" spans="1:18" x14ac:dyDescent="0.2">
      <c r="A393" s="393"/>
      <c r="B393" s="62" t="s">
        <v>495</v>
      </c>
      <c r="C393" s="397" t="s">
        <v>1097</v>
      </c>
      <c r="D393" s="435"/>
      <c r="E393" s="434"/>
      <c r="F393" s="87"/>
      <c r="G393" s="55">
        <f>SUMIF(JournalsC!D$14:D$920,TrialBalanceC!M393,JournalsC!J$14:J$920)+SUMIF(JournalsC!E$14:E$920,TrialBalanceC!M393,JournalsC!J$14:J$920)</f>
        <v>0</v>
      </c>
      <c r="H393" s="442"/>
      <c r="I393" s="447">
        <f t="shared" si="113"/>
        <v>0</v>
      </c>
      <c r="J393" s="83"/>
      <c r="K393" s="56">
        <f t="shared" si="114"/>
        <v>0</v>
      </c>
      <c r="M393" s="196" t="str">
        <f t="shared" si="115"/>
        <v>9300/090Dividends tax provision</v>
      </c>
      <c r="N393" s="78"/>
      <c r="P393" s="79"/>
      <c r="Q393" s="59"/>
      <c r="R393" s="34"/>
    </row>
    <row r="394" spans="1:18" x14ac:dyDescent="0.2">
      <c r="A394" s="393"/>
      <c r="B394" s="62" t="s">
        <v>369</v>
      </c>
      <c r="C394" s="397" t="s">
        <v>608</v>
      </c>
      <c r="D394" s="435"/>
      <c r="E394" s="434"/>
      <c r="F394" s="87">
        <f>K394</f>
        <v>0</v>
      </c>
      <c r="G394" s="55">
        <f>SUMIF(JournalsC!D$14:D$920,TrialBalanceC!M394,JournalsC!J$14:J$920)+SUMIF(JournalsC!E$14:E$920,TrialBalanceC!M394,JournalsC!J$14:J$920)</f>
        <v>0</v>
      </c>
      <c r="H394" s="442"/>
      <c r="I394" s="447">
        <f t="shared" si="113"/>
        <v>0</v>
      </c>
      <c r="J394" s="83"/>
      <c r="K394" s="56">
        <f t="shared" si="114"/>
        <v>0</v>
      </c>
      <c r="M394" s="196" t="str">
        <f t="shared" si="115"/>
        <v>9350/000Dividends payable</v>
      </c>
      <c r="N394" s="78"/>
      <c r="P394" s="79"/>
      <c r="Q394" s="59"/>
      <c r="R394" s="34"/>
    </row>
    <row r="395" spans="1:18" x14ac:dyDescent="0.2">
      <c r="A395" s="393"/>
      <c r="B395" s="62" t="s">
        <v>370</v>
      </c>
      <c r="C395" s="397" t="s">
        <v>609</v>
      </c>
      <c r="D395" s="435"/>
      <c r="E395" s="434"/>
      <c r="F395" s="87">
        <f>K395</f>
        <v>0</v>
      </c>
      <c r="G395" s="55">
        <f>SUMIF(JournalsC!D$14:D$920,TrialBalanceC!M395,JournalsC!J$14:J$920)+SUMIF(JournalsC!E$14:E$920,TrialBalanceC!M395,JournalsC!J$14:J$920)</f>
        <v>0</v>
      </c>
      <c r="H395" s="442"/>
      <c r="I395" s="447">
        <f t="shared" si="113"/>
        <v>0</v>
      </c>
      <c r="J395" s="83"/>
      <c r="K395" s="56">
        <f t="shared" si="114"/>
        <v>0</v>
      </c>
      <c r="M395" s="196" t="str">
        <f t="shared" si="115"/>
        <v>9400/000Provision for future expenses</v>
      </c>
      <c r="N395" s="78"/>
      <c r="P395" s="79"/>
      <c r="Q395" s="59"/>
      <c r="R395" s="34"/>
    </row>
    <row r="396" spans="1:18" x14ac:dyDescent="0.2">
      <c r="A396" s="393"/>
      <c r="B396" s="62" t="s">
        <v>371</v>
      </c>
      <c r="C396" s="397" t="s">
        <v>610</v>
      </c>
      <c r="D396" s="435"/>
      <c r="E396" s="434"/>
      <c r="F396" s="87">
        <f>K396</f>
        <v>0</v>
      </c>
      <c r="G396" s="55">
        <f>SUMIF(JournalsC!D$14:D$920,TrialBalanceC!M396,JournalsC!J$14:J$920)+SUMIF(JournalsC!E$14:E$920,TrialBalanceC!M396,JournalsC!J$14:J$920)</f>
        <v>0</v>
      </c>
      <c r="H396" s="442"/>
      <c r="I396" s="447">
        <f t="shared" si="113"/>
        <v>0</v>
      </c>
      <c r="J396" s="83"/>
      <c r="K396" s="56">
        <f t="shared" si="114"/>
        <v>0</v>
      </c>
      <c r="M396" s="196" t="str">
        <f t="shared" si="115"/>
        <v>9400/010Provision for insurance</v>
      </c>
      <c r="N396" s="78"/>
      <c r="P396" s="79"/>
      <c r="Q396" s="59"/>
      <c r="R396" s="34"/>
    </row>
    <row r="397" spans="1:18" x14ac:dyDescent="0.2">
      <c r="A397" s="393"/>
      <c r="B397" s="62" t="s">
        <v>372</v>
      </c>
      <c r="C397" s="397" t="s">
        <v>611</v>
      </c>
      <c r="D397" s="435"/>
      <c r="E397" s="434"/>
      <c r="F397" s="87">
        <f>K397</f>
        <v>0</v>
      </c>
      <c r="G397" s="55">
        <f>SUMIF(JournalsC!D$14:D$920,TrialBalanceC!M397,JournalsC!J$14:J$920)+SUMIF(JournalsC!E$14:E$920,TrialBalanceC!M397,JournalsC!J$14:J$920)</f>
        <v>0</v>
      </c>
      <c r="H397" s="442"/>
      <c r="I397" s="447">
        <f t="shared" si="113"/>
        <v>0</v>
      </c>
      <c r="J397" s="83"/>
      <c r="K397" s="56">
        <f t="shared" si="114"/>
        <v>0</v>
      </c>
      <c r="M397" s="196" t="str">
        <f t="shared" si="115"/>
        <v>9400/020Provision for salary bonus</v>
      </c>
      <c r="N397" s="78"/>
      <c r="P397" s="79"/>
      <c r="Q397" s="59"/>
      <c r="R397" s="34"/>
    </row>
    <row r="398" spans="1:18" x14ac:dyDescent="0.2">
      <c r="A398" s="393"/>
      <c r="B398" s="62" t="s">
        <v>373</v>
      </c>
      <c r="C398" s="396" t="s">
        <v>374</v>
      </c>
      <c r="D398" s="436"/>
      <c r="E398" s="434"/>
      <c r="F398" s="87"/>
      <c r="G398" s="55">
        <f>SUMIF(JournalsC!D$14:D$920,TrialBalanceC!M398,JournalsC!J$14:J$920)+SUMIF(JournalsC!E$14:E$920,TrialBalanceC!M398,JournalsC!J$14:J$920)</f>
        <v>0</v>
      </c>
      <c r="H398" s="442"/>
      <c r="I398" s="447">
        <f t="shared" si="113"/>
        <v>0</v>
      </c>
      <c r="J398" s="83"/>
      <c r="K398" s="56">
        <f t="shared" si="114"/>
        <v>0</v>
      </c>
      <c r="M398" s="196" t="str">
        <f t="shared" si="115"/>
        <v>9500/000VALUE ADDED TAX</v>
      </c>
      <c r="N398" s="78"/>
      <c r="P398" s="79"/>
      <c r="Q398" s="59"/>
      <c r="R398" s="34"/>
    </row>
    <row r="399" spans="1:18" x14ac:dyDescent="0.2">
      <c r="A399" s="393"/>
      <c r="B399" s="62" t="s">
        <v>375</v>
      </c>
      <c r="C399" s="394" t="s">
        <v>376</v>
      </c>
      <c r="D399" s="435"/>
      <c r="E399" s="434"/>
      <c r="F399" s="87">
        <f>K399</f>
        <v>0</v>
      </c>
      <c r="G399" s="55">
        <f>SUMIF(JournalsC!D$14:D$920,TrialBalanceC!M399,JournalsC!J$14:J$920)+SUMIF(JournalsC!E$14:E$920,TrialBalanceC!M399,JournalsC!J$14:J$920)</f>
        <v>0</v>
      </c>
      <c r="H399" s="442"/>
      <c r="I399" s="447">
        <f t="shared" si="113"/>
        <v>0</v>
      </c>
      <c r="J399" s="83"/>
      <c r="K399" s="56">
        <f t="shared" si="114"/>
        <v>0</v>
      </c>
      <c r="M399" s="196" t="str">
        <f t="shared" si="115"/>
        <v>9501/000VAT account</v>
      </c>
      <c r="N399" s="78"/>
      <c r="P399" s="79"/>
      <c r="Q399" s="59"/>
      <c r="R399" s="34"/>
    </row>
    <row r="400" spans="1:18" x14ac:dyDescent="0.2">
      <c r="A400" s="393"/>
      <c r="B400" s="62" t="s">
        <v>377</v>
      </c>
      <c r="C400" s="394" t="s">
        <v>29</v>
      </c>
      <c r="D400" s="435"/>
      <c r="E400" s="434"/>
      <c r="F400" s="87"/>
      <c r="G400" s="55">
        <f>SUMIF(JournalsC!D$14:D$920,TrialBalanceC!M400,JournalsC!J$14:J$920)+SUMIF(JournalsC!E$14:E$920,TrialBalanceC!M400,JournalsC!J$14:J$920)</f>
        <v>0</v>
      </c>
      <c r="H400" s="442"/>
      <c r="I400" s="447">
        <f t="shared" si="113"/>
        <v>0</v>
      </c>
      <c r="J400" s="83"/>
      <c r="K400" s="56">
        <f t="shared" si="114"/>
        <v>0</v>
      </c>
      <c r="M400" s="196" t="str">
        <f t="shared" si="115"/>
        <v>9510/000----------------------------------------</v>
      </c>
      <c r="N400" s="78"/>
      <c r="P400" s="79"/>
      <c r="Q400" s="59"/>
      <c r="R400" s="34"/>
    </row>
    <row r="401" spans="1:18" x14ac:dyDescent="0.2">
      <c r="A401" s="393"/>
      <c r="B401" s="62" t="s">
        <v>378</v>
      </c>
      <c r="C401" s="396" t="s">
        <v>974</v>
      </c>
      <c r="D401" s="436"/>
      <c r="E401" s="434"/>
      <c r="F401" s="87">
        <f>K401</f>
        <v>0</v>
      </c>
      <c r="G401" s="55">
        <f>SUMIF(JournalsC!D$14:D$920,TrialBalanceC!M401,JournalsC!J$14:J$920)+SUMIF(JournalsC!E$14:E$920,TrialBalanceC!M401,JournalsC!J$14:J$920)</f>
        <v>0</v>
      </c>
      <c r="H401" s="442"/>
      <c r="I401" s="447">
        <f t="shared" si="113"/>
        <v>0</v>
      </c>
      <c r="J401" s="83"/>
      <c r="K401" s="56">
        <f t="shared" si="114"/>
        <v>0</v>
      </c>
      <c r="M401" s="196" t="str">
        <f t="shared" si="115"/>
        <v>9990/000Suspense account</v>
      </c>
      <c r="N401" s="78"/>
      <c r="P401" s="79"/>
      <c r="Q401" s="59"/>
      <c r="R401" s="34"/>
    </row>
    <row r="402" spans="1:18" x14ac:dyDescent="0.2">
      <c r="A402" s="393"/>
      <c r="B402" s="62"/>
      <c r="C402" s="62"/>
      <c r="D402" s="435"/>
      <c r="E402" s="427"/>
      <c r="F402" s="87"/>
      <c r="G402" s="55"/>
      <c r="H402" s="442"/>
      <c r="I402" s="447"/>
      <c r="J402" s="83"/>
      <c r="K402" s="56"/>
      <c r="M402" s="196"/>
      <c r="N402" s="78"/>
      <c r="P402" s="79"/>
      <c r="Q402" s="59"/>
      <c r="R402" s="34"/>
    </row>
    <row r="403" spans="1:18" x14ac:dyDescent="0.2">
      <c r="A403" s="393"/>
      <c r="B403" s="62" t="s">
        <v>263</v>
      </c>
      <c r="C403" s="63" t="s">
        <v>263</v>
      </c>
      <c r="D403" s="418"/>
      <c r="E403" s="418"/>
      <c r="F403" s="90"/>
      <c r="G403" s="55"/>
      <c r="H403" s="442"/>
      <c r="I403" s="447"/>
      <c r="J403" s="83"/>
      <c r="K403" s="56"/>
      <c r="M403" s="196">
        <v>0</v>
      </c>
      <c r="N403" s="78"/>
      <c r="P403" s="81"/>
      <c r="Q403" s="81"/>
      <c r="R403" s="34"/>
    </row>
    <row r="404" spans="1:18" ht="13.5" thickBot="1" x14ac:dyDescent="0.25">
      <c r="A404" s="49">
        <f>SUM(A5:A403)</f>
        <v>0</v>
      </c>
      <c r="B404" s="62" t="s">
        <v>263</v>
      </c>
      <c r="C404" s="63" t="s">
        <v>263</v>
      </c>
      <c r="D404" s="49">
        <f>SUM(D5:D403)</f>
        <v>0</v>
      </c>
      <c r="E404" s="49">
        <f>SUM(E5:E403)</f>
        <v>0</v>
      </c>
      <c r="F404" s="49">
        <f>SUM(F5:F403)</f>
        <v>0</v>
      </c>
      <c r="G404" s="49">
        <f>SUM(G5:G403)</f>
        <v>0</v>
      </c>
      <c r="H404" s="49"/>
      <c r="I404" s="49">
        <f>SUM(I5:I403)</f>
        <v>0</v>
      </c>
      <c r="J404" s="49"/>
      <c r="K404" s="49">
        <f>SUM(K5:K403)</f>
        <v>0</v>
      </c>
      <c r="M404" s="196">
        <v>0</v>
      </c>
      <c r="N404" s="82"/>
      <c r="O404" s="82"/>
      <c r="P404" s="82"/>
      <c r="Q404" s="82"/>
      <c r="R404" s="82"/>
    </row>
    <row r="405" spans="1:18" ht="13.5" thickTop="1" x14ac:dyDescent="0.2">
      <c r="A405" s="46"/>
      <c r="B405" s="50"/>
      <c r="C405" s="53"/>
      <c r="D405" s="47"/>
      <c r="E405" s="47"/>
      <c r="F405" s="47"/>
      <c r="G405" s="47"/>
      <c r="H405" s="47"/>
      <c r="I405" s="67"/>
      <c r="J405" s="67"/>
      <c r="K405" s="46"/>
      <c r="M405" s="196"/>
      <c r="P405" s="47"/>
      <c r="Q405" s="47"/>
    </row>
    <row r="406" spans="1:18" x14ac:dyDescent="0.2">
      <c r="A406" s="46"/>
      <c r="B406" s="50"/>
      <c r="C406" s="53"/>
      <c r="D406" s="47"/>
      <c r="E406" s="47"/>
      <c r="F406" s="47"/>
      <c r="G406" s="47"/>
      <c r="H406" s="47"/>
      <c r="K406" s="50"/>
      <c r="P406" s="47"/>
      <c r="Q406" s="47"/>
    </row>
    <row r="407" spans="1:18" x14ac:dyDescent="0.2">
      <c r="A407" s="46"/>
      <c r="B407" s="50"/>
      <c r="C407" s="53"/>
      <c r="D407" s="47"/>
      <c r="E407" s="47"/>
      <c r="F407" s="47"/>
      <c r="G407" s="47"/>
      <c r="H407" s="47"/>
      <c r="K407" s="50"/>
      <c r="P407" s="47"/>
      <c r="Q407" s="47"/>
    </row>
    <row r="408" spans="1:18" x14ac:dyDescent="0.2">
      <c r="A408" s="46"/>
      <c r="B408" s="50"/>
      <c r="C408" s="53"/>
      <c r="D408" s="47"/>
      <c r="E408" s="47"/>
      <c r="F408" s="47"/>
      <c r="G408" s="47"/>
      <c r="H408" s="47"/>
      <c r="K408" s="50"/>
      <c r="P408" s="47"/>
      <c r="Q408" s="47"/>
    </row>
    <row r="409" spans="1:18" x14ac:dyDescent="0.2">
      <c r="A409" s="46"/>
      <c r="B409" s="50"/>
      <c r="C409" s="53"/>
      <c r="D409" s="47"/>
      <c r="E409" s="47"/>
      <c r="F409" s="47"/>
      <c r="G409" s="47"/>
      <c r="H409" s="47"/>
      <c r="K409" s="50"/>
      <c r="P409" s="47"/>
      <c r="Q409" s="47"/>
    </row>
    <row r="410" spans="1:18" x14ac:dyDescent="0.2">
      <c r="A410" s="46"/>
      <c r="B410" s="50"/>
      <c r="C410" s="53"/>
      <c r="D410" s="47"/>
      <c r="E410" s="47"/>
      <c r="F410" s="47"/>
      <c r="G410" s="47"/>
      <c r="H410" s="47"/>
      <c r="K410" s="50"/>
      <c r="P410" s="47"/>
      <c r="Q410" s="47"/>
    </row>
    <row r="411" spans="1:18" x14ac:dyDescent="0.2">
      <c r="A411" s="46"/>
      <c r="B411" s="50"/>
      <c r="C411" s="53"/>
      <c r="D411" s="47"/>
      <c r="E411" s="47"/>
      <c r="F411" s="47"/>
      <c r="G411" s="47"/>
      <c r="H411" s="47"/>
      <c r="K411" s="50"/>
      <c r="P411" s="47"/>
      <c r="Q411" s="47"/>
    </row>
    <row r="412" spans="1:18" x14ac:dyDescent="0.2">
      <c r="A412" s="46"/>
      <c r="B412" s="50"/>
      <c r="C412" s="53"/>
      <c r="D412" s="47"/>
      <c r="E412" s="47"/>
      <c r="F412" s="47"/>
      <c r="G412" s="47"/>
      <c r="H412" s="47"/>
      <c r="K412" s="50"/>
      <c r="P412" s="47" t="s">
        <v>111</v>
      </c>
      <c r="Q412" s="47" t="s">
        <v>111</v>
      </c>
    </row>
    <row r="413" spans="1:18" x14ac:dyDescent="0.2">
      <c r="A413" s="46"/>
      <c r="B413" s="50"/>
      <c r="C413" s="53"/>
      <c r="D413" s="47"/>
      <c r="E413" s="47"/>
      <c r="F413" s="47"/>
      <c r="G413" s="47"/>
      <c r="H413" s="47"/>
      <c r="K413" s="50"/>
      <c r="P413" s="47" t="s">
        <v>111</v>
      </c>
      <c r="Q413" s="47" t="s">
        <v>111</v>
      </c>
    </row>
    <row r="414" spans="1:18" x14ac:dyDescent="0.2">
      <c r="A414" s="46"/>
      <c r="B414" s="50"/>
      <c r="C414" s="53"/>
      <c r="D414" s="47"/>
      <c r="E414" s="47"/>
      <c r="F414" s="47"/>
      <c r="G414" s="47"/>
      <c r="H414" s="47"/>
      <c r="K414" s="50"/>
      <c r="P414" s="47" t="s">
        <v>111</v>
      </c>
      <c r="Q414" s="47" t="s">
        <v>111</v>
      </c>
    </row>
    <row r="415" spans="1:18" x14ac:dyDescent="0.2">
      <c r="A415" s="46"/>
      <c r="B415" s="50"/>
      <c r="C415" s="53"/>
      <c r="D415" s="47"/>
      <c r="E415" s="47"/>
      <c r="F415" s="47"/>
      <c r="G415" s="47"/>
      <c r="H415" s="47"/>
      <c r="K415" s="50"/>
      <c r="P415" s="47" t="s">
        <v>111</v>
      </c>
      <c r="Q415" s="47" t="s">
        <v>111</v>
      </c>
    </row>
    <row r="416" spans="1:18" x14ac:dyDescent="0.2">
      <c r="A416" s="46"/>
      <c r="B416" s="50"/>
      <c r="C416" s="53"/>
      <c r="D416" s="47"/>
      <c r="E416" s="47"/>
      <c r="F416" s="47"/>
      <c r="G416" s="47"/>
      <c r="H416" s="47"/>
      <c r="K416" s="50"/>
      <c r="P416" s="47" t="s">
        <v>111</v>
      </c>
      <c r="Q416" s="47" t="s">
        <v>111</v>
      </c>
    </row>
    <row r="417" spans="1:17" x14ac:dyDescent="0.2">
      <c r="A417" s="46"/>
      <c r="B417" s="50"/>
      <c r="C417" s="53"/>
      <c r="D417" s="47"/>
      <c r="E417" s="47"/>
      <c r="F417" s="47"/>
      <c r="G417" s="47"/>
      <c r="H417" s="47"/>
      <c r="K417" s="50"/>
      <c r="P417" s="47"/>
      <c r="Q417" s="47"/>
    </row>
    <row r="418" spans="1:17" x14ac:dyDescent="0.2">
      <c r="A418" s="46"/>
      <c r="B418" s="50"/>
      <c r="C418" s="53"/>
      <c r="D418" s="47"/>
      <c r="E418" s="47"/>
      <c r="F418" s="47"/>
      <c r="G418" s="47"/>
      <c r="H418" s="47"/>
      <c r="K418" s="50"/>
      <c r="P418" s="47"/>
      <c r="Q418" s="47"/>
    </row>
    <row r="419" spans="1:17" x14ac:dyDescent="0.2">
      <c r="A419" s="46"/>
      <c r="B419" s="50"/>
      <c r="C419" s="53"/>
      <c r="D419" s="47"/>
      <c r="E419" s="47"/>
      <c r="F419" s="47"/>
      <c r="G419" s="47"/>
      <c r="H419" s="47"/>
      <c r="K419" s="50"/>
      <c r="P419" s="47"/>
      <c r="Q419" s="47"/>
    </row>
    <row r="420" spans="1:17" x14ac:dyDescent="0.2">
      <c r="A420" s="46"/>
      <c r="B420" s="50"/>
      <c r="C420" s="53"/>
      <c r="D420" s="47"/>
      <c r="E420" s="47"/>
      <c r="F420" s="47"/>
      <c r="G420" s="47"/>
      <c r="H420" s="47"/>
      <c r="K420" s="50"/>
      <c r="P420" s="47"/>
      <c r="Q420" s="47"/>
    </row>
    <row r="421" spans="1:17" x14ac:dyDescent="0.2">
      <c r="A421" s="46"/>
      <c r="B421" s="50"/>
      <c r="C421" s="53"/>
      <c r="D421" s="47"/>
      <c r="E421" s="47"/>
      <c r="F421" s="47"/>
      <c r="G421" s="47"/>
      <c r="H421" s="47"/>
      <c r="K421" s="50"/>
      <c r="P421" s="47"/>
      <c r="Q421" s="47"/>
    </row>
    <row r="422" spans="1:17" x14ac:dyDescent="0.2">
      <c r="A422" s="46"/>
      <c r="B422" s="50"/>
      <c r="C422" s="53"/>
      <c r="D422" s="47"/>
      <c r="E422" s="47"/>
      <c r="F422" s="47"/>
      <c r="G422" s="47"/>
      <c r="H422" s="47"/>
      <c r="K422" s="50"/>
      <c r="P422" s="47"/>
      <c r="Q422" s="47"/>
    </row>
    <row r="423" spans="1:17" x14ac:dyDescent="0.2">
      <c r="A423" s="46"/>
      <c r="B423" s="50"/>
      <c r="C423" s="53"/>
      <c r="D423" s="47"/>
      <c r="E423" s="47"/>
      <c r="F423" s="47"/>
      <c r="G423" s="47"/>
      <c r="H423" s="47"/>
      <c r="K423" s="50"/>
      <c r="P423" s="47"/>
      <c r="Q423" s="47"/>
    </row>
    <row r="424" spans="1:17" x14ac:dyDescent="0.2">
      <c r="A424" s="46"/>
      <c r="B424" s="50"/>
      <c r="C424" s="53"/>
      <c r="D424" s="47"/>
      <c r="E424" s="47"/>
      <c r="F424" s="47"/>
      <c r="G424" s="47"/>
      <c r="H424" s="47"/>
      <c r="K424" s="50"/>
      <c r="P424" s="47"/>
      <c r="Q424" s="47"/>
    </row>
    <row r="425" spans="1:17" x14ac:dyDescent="0.2">
      <c r="A425" s="46"/>
      <c r="B425" s="50"/>
      <c r="C425" s="53"/>
      <c r="D425" s="47"/>
      <c r="E425" s="47"/>
      <c r="F425" s="47"/>
      <c r="G425" s="47"/>
      <c r="H425" s="47"/>
      <c r="K425" s="50"/>
      <c r="P425" s="47"/>
      <c r="Q425" s="47"/>
    </row>
    <row r="426" spans="1:17" x14ac:dyDescent="0.2">
      <c r="A426" s="46"/>
      <c r="B426" s="50"/>
      <c r="C426" s="53"/>
      <c r="D426" s="47"/>
      <c r="E426" s="47"/>
      <c r="F426" s="47"/>
      <c r="G426" s="47"/>
      <c r="H426" s="47"/>
      <c r="K426" s="50"/>
      <c r="P426" s="47"/>
      <c r="Q426" s="47"/>
    </row>
    <row r="427" spans="1:17" x14ac:dyDescent="0.2">
      <c r="A427" s="46"/>
      <c r="B427" s="50"/>
      <c r="C427" s="53"/>
      <c r="D427" s="47"/>
      <c r="E427" s="47"/>
      <c r="F427" s="47"/>
      <c r="G427" s="47"/>
      <c r="H427" s="47"/>
      <c r="K427" s="50"/>
      <c r="P427" s="47"/>
      <c r="Q427" s="47"/>
    </row>
    <row r="428" spans="1:17" x14ac:dyDescent="0.2">
      <c r="A428" s="46"/>
      <c r="B428" s="50"/>
      <c r="C428" s="53"/>
      <c r="D428" s="47"/>
      <c r="E428" s="47"/>
      <c r="F428" s="47"/>
      <c r="G428" s="47"/>
      <c r="H428" s="47"/>
      <c r="K428" s="50"/>
      <c r="P428" s="47"/>
      <c r="Q428" s="47"/>
    </row>
    <row r="429" spans="1:17" x14ac:dyDescent="0.2">
      <c r="A429" s="46"/>
      <c r="B429" s="50"/>
      <c r="C429" s="53"/>
      <c r="D429" s="47"/>
      <c r="E429" s="47"/>
      <c r="F429" s="47"/>
      <c r="G429" s="47"/>
      <c r="H429" s="47"/>
      <c r="K429" s="50"/>
      <c r="P429" s="47"/>
      <c r="Q429" s="47"/>
    </row>
    <row r="430" spans="1:17" x14ac:dyDescent="0.2">
      <c r="A430" s="46"/>
      <c r="B430" s="50"/>
      <c r="C430" s="53"/>
      <c r="D430" s="47"/>
      <c r="E430" s="47"/>
      <c r="F430" s="47"/>
      <c r="G430" s="47"/>
      <c r="H430" s="47"/>
      <c r="K430" s="50"/>
      <c r="P430" s="47"/>
      <c r="Q430" s="47"/>
    </row>
    <row r="431" spans="1:17" x14ac:dyDescent="0.2">
      <c r="A431" s="46"/>
      <c r="B431" s="50"/>
      <c r="C431" s="53"/>
      <c r="G431" s="47"/>
      <c r="H431" s="47"/>
      <c r="K431" s="50"/>
      <c r="P431" s="47"/>
      <c r="Q431" s="47"/>
    </row>
    <row r="432" spans="1:17" x14ac:dyDescent="0.2">
      <c r="P432" s="16"/>
      <c r="Q432" s="16"/>
    </row>
  </sheetData>
  <sheetProtection algorithmName="SHA-512" hashValue="pUiJDxpGuMTCtjUUVJ1hfgd5Bd/7VH63B7YjtpgkWg6R6HJhNEyhtQzf1TtHOhGpi/DqHg0OJ1EC0C4Piz2Vdg==" saltValue="nX79mkRoFVc2U5DDmtv1Mg==" spinCount="100000" sheet="1" objects="1" scenarios="1" formatColumns="0" selectLockedCells="1"/>
  <mergeCells count="1">
    <mergeCell ref="D2:E2"/>
  </mergeCells>
  <hyperlinks>
    <hyperlink ref="B17" location="bank2!A1" display="2000/010" xr:uid="{9824FCB6-6D36-4514-B9E8-840810C17BC8}"/>
    <hyperlink ref="B18" location="bank2!A1" display="2000/011" xr:uid="{C5A27E2E-3B1A-4C3A-97BE-1F44F5CA0A56}"/>
    <hyperlink ref="C1" location="TrialBalance!A1" display="TrialBalance!A1" xr:uid="{F5A2E56B-6DDA-4515-A8D1-0943365CC102}"/>
    <hyperlink ref="B5" location="bank2!A1" display="1000/001" xr:uid="{F2B16931-D66B-4D0D-AC8A-C344D70FF5B5}"/>
  </hyperlinks>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C3AEE-60AC-40D2-9121-4260EBC241FA}">
  <dimension ref="A2:L116"/>
  <sheetViews>
    <sheetView workbookViewId="0">
      <selection activeCell="D9" sqref="D9"/>
    </sheetView>
  </sheetViews>
  <sheetFormatPr defaultRowHeight="15.75" x14ac:dyDescent="0.25"/>
  <cols>
    <col min="1" max="1" width="9.140625" style="241"/>
    <col min="2" max="2" width="3.7109375" style="241" customWidth="1"/>
    <col min="3" max="3" width="28.140625" style="241" customWidth="1"/>
    <col min="4" max="4" width="25.42578125" style="241" customWidth="1"/>
    <col min="5" max="5" width="9.140625" style="241"/>
    <col min="6" max="6" width="3.85546875" style="241" customWidth="1"/>
    <col min="7" max="7" width="24.42578125" style="241" customWidth="1"/>
    <col min="8" max="8" width="24.140625" style="241" customWidth="1"/>
    <col min="9" max="9" width="9.140625" style="241"/>
    <col min="10" max="10" width="4.140625" style="241" customWidth="1"/>
    <col min="11" max="11" width="21.28515625" style="241" customWidth="1"/>
    <col min="12" max="12" width="20.5703125" style="241" customWidth="1"/>
    <col min="13" max="16384" width="9.140625" style="241"/>
  </cols>
  <sheetData>
    <row r="2" spans="2:9" ht="30" x14ac:dyDescent="0.4">
      <c r="D2" s="242" t="s">
        <v>1104</v>
      </c>
      <c r="H2" s="243"/>
    </row>
    <row r="6" spans="2:9" x14ac:dyDescent="0.25">
      <c r="B6" s="241" t="s">
        <v>751</v>
      </c>
    </row>
    <row r="7" spans="2:9" x14ac:dyDescent="0.25">
      <c r="B7" s="241" t="s">
        <v>752</v>
      </c>
    </row>
    <row r="8" spans="2:9" x14ac:dyDescent="0.25">
      <c r="B8" s="244" t="s">
        <v>748</v>
      </c>
      <c r="C8" s="245">
        <f>FS!M611+FS!M618+FS!M628+FS!M641</f>
        <v>0</v>
      </c>
      <c r="D8" s="246"/>
    </row>
    <row r="10" spans="2:9" x14ac:dyDescent="0.25">
      <c r="B10" s="241" t="s">
        <v>753</v>
      </c>
    </row>
    <row r="11" spans="2:9" x14ac:dyDescent="0.25">
      <c r="B11" s="241" t="s">
        <v>754</v>
      </c>
    </row>
    <row r="12" spans="2:9" x14ac:dyDescent="0.25">
      <c r="B12" s="244" t="s">
        <v>748</v>
      </c>
      <c r="C12" s="245">
        <f>FS!M692</f>
        <v>0</v>
      </c>
      <c r="D12" s="246"/>
    </row>
    <row r="14" spans="2:9" x14ac:dyDescent="0.25">
      <c r="C14" s="241" t="s">
        <v>1103</v>
      </c>
      <c r="E14" s="269"/>
      <c r="G14" s="241" t="s">
        <v>756</v>
      </c>
      <c r="I14" s="269"/>
    </row>
    <row r="16" spans="2:9" x14ac:dyDescent="0.25">
      <c r="B16" s="247"/>
      <c r="C16" s="247"/>
      <c r="D16" s="247"/>
      <c r="E16" s="247"/>
      <c r="F16" s="247"/>
      <c r="G16" s="247"/>
      <c r="H16" s="247"/>
      <c r="I16" s="247"/>
    </row>
    <row r="19" spans="2:12" x14ac:dyDescent="0.25">
      <c r="B19" s="248" t="s">
        <v>121</v>
      </c>
      <c r="C19" s="249"/>
      <c r="D19" s="249"/>
      <c r="F19" s="248" t="s">
        <v>122</v>
      </c>
      <c r="G19" s="249"/>
      <c r="H19" s="249"/>
      <c r="J19" s="244"/>
    </row>
    <row r="20" spans="2:12" x14ac:dyDescent="0.25">
      <c r="B20" s="244"/>
      <c r="F20" s="244"/>
    </row>
    <row r="21" spans="2:12" x14ac:dyDescent="0.25">
      <c r="B21" s="241" t="s">
        <v>1105</v>
      </c>
      <c r="F21" s="241" t="s">
        <v>1113</v>
      </c>
    </row>
    <row r="22" spans="2:12" x14ac:dyDescent="0.25">
      <c r="B22" s="241" t="s">
        <v>748</v>
      </c>
      <c r="C22" s="252"/>
      <c r="D22" s="253">
        <f>FS!M670+FS!M671-FS!J1768+FS!M672</f>
        <v>0</v>
      </c>
      <c r="F22" s="241" t="s">
        <v>748</v>
      </c>
      <c r="G22" s="254"/>
      <c r="H22" s="253">
        <f>FS!M697</f>
        <v>0</v>
      </c>
      <c r="K22" s="340"/>
      <c r="L22" s="340"/>
    </row>
    <row r="24" spans="2:12" x14ac:dyDescent="0.25">
      <c r="B24" s="241" t="s">
        <v>1106</v>
      </c>
      <c r="F24" s="241" t="s">
        <v>1114</v>
      </c>
    </row>
    <row r="25" spans="2:12" x14ac:dyDescent="0.25">
      <c r="B25" s="241" t="s">
        <v>748</v>
      </c>
      <c r="C25" s="252"/>
      <c r="D25" s="253">
        <f>FS!J1768</f>
        <v>0</v>
      </c>
      <c r="F25" s="241" t="s">
        <v>748</v>
      </c>
      <c r="G25" s="254"/>
      <c r="H25" s="253">
        <f>FS!M709+FS!M710</f>
        <v>0</v>
      </c>
      <c r="K25" s="340"/>
      <c r="L25" s="340"/>
    </row>
    <row r="27" spans="2:12" x14ac:dyDescent="0.25">
      <c r="B27" s="241" t="s">
        <v>1107</v>
      </c>
      <c r="F27" s="241" t="s">
        <v>1115</v>
      </c>
    </row>
    <row r="28" spans="2:12" x14ac:dyDescent="0.25">
      <c r="B28" s="241" t="s">
        <v>748</v>
      </c>
      <c r="C28" s="254"/>
      <c r="D28" s="253">
        <f>FS!M677</f>
        <v>0</v>
      </c>
      <c r="F28" s="241" t="s">
        <v>1116</v>
      </c>
    </row>
    <row r="29" spans="2:12" x14ac:dyDescent="0.25">
      <c r="F29" s="241" t="s">
        <v>748</v>
      </c>
      <c r="G29" s="254"/>
      <c r="H29" s="253">
        <f>FS!M717</f>
        <v>0</v>
      </c>
    </row>
    <row r="30" spans="2:12" x14ac:dyDescent="0.25">
      <c r="B30" s="241" t="s">
        <v>1109</v>
      </c>
      <c r="K30" s="341"/>
      <c r="L30" s="342"/>
    </row>
    <row r="31" spans="2:12" x14ac:dyDescent="0.25">
      <c r="B31" s="241" t="s">
        <v>1108</v>
      </c>
      <c r="F31" s="241" t="s">
        <v>1117</v>
      </c>
      <c r="K31" s="341"/>
      <c r="L31" s="342"/>
    </row>
    <row r="32" spans="2:12" x14ac:dyDescent="0.25">
      <c r="B32" s="241" t="s">
        <v>748</v>
      </c>
      <c r="C32" s="252"/>
      <c r="D32" s="253">
        <f>FS!M684</f>
        <v>0</v>
      </c>
      <c r="F32" s="241" t="s">
        <v>748</v>
      </c>
      <c r="G32" s="254"/>
      <c r="H32" s="253">
        <f>FS!M711+FS!M718+FS!M719+FS!M720+FS!M721+FS!M722</f>
        <v>0</v>
      </c>
      <c r="K32" s="341"/>
      <c r="L32" s="342"/>
    </row>
    <row r="33" spans="2:12" x14ac:dyDescent="0.25">
      <c r="K33" s="341"/>
      <c r="L33" s="342"/>
    </row>
    <row r="34" spans="2:12" x14ac:dyDescent="0.25">
      <c r="B34" s="241" t="s">
        <v>1110</v>
      </c>
      <c r="F34" s="241" t="s">
        <v>749</v>
      </c>
      <c r="K34" s="341"/>
      <c r="L34" s="342"/>
    </row>
    <row r="35" spans="2:12" x14ac:dyDescent="0.25">
      <c r="B35" s="241" t="s">
        <v>1108</v>
      </c>
      <c r="F35" s="241" t="s">
        <v>854</v>
      </c>
      <c r="K35" s="341"/>
      <c r="L35" s="342"/>
    </row>
    <row r="36" spans="2:12" x14ac:dyDescent="0.25">
      <c r="B36" s="241" t="s">
        <v>748</v>
      </c>
      <c r="C36" s="252"/>
      <c r="D36" s="253">
        <f>FS!M685</f>
        <v>0</v>
      </c>
      <c r="G36" s="255" t="str">
        <f>IF(FS!M711&gt;0,FS!D711," ")</f>
        <v xml:space="preserve"> </v>
      </c>
      <c r="H36" s="256" t="str">
        <f>IF(FS!M711&gt;0,FS!M711," ")</f>
        <v xml:space="preserve"> </v>
      </c>
      <c r="K36" s="341"/>
      <c r="L36" s="342"/>
    </row>
    <row r="37" spans="2:12" x14ac:dyDescent="0.25">
      <c r="G37" s="257" t="str">
        <f>IF(FS!M718&gt;0,FS!D718," ")</f>
        <v xml:space="preserve"> </v>
      </c>
      <c r="H37" s="258" t="str">
        <f>IF(FS!M718&gt;0,FS!M718," ")</f>
        <v xml:space="preserve"> </v>
      </c>
      <c r="K37" s="341"/>
      <c r="L37" s="342"/>
    </row>
    <row r="38" spans="2:12" x14ac:dyDescent="0.25">
      <c r="B38" s="241" t="s">
        <v>1111</v>
      </c>
      <c r="G38" s="257" t="str">
        <f>IF(FS!M719&gt;0,FS!D719," ")</f>
        <v xml:space="preserve"> </v>
      </c>
      <c r="H38" s="258" t="str">
        <f>IF(FS!M719&gt;0,FS!M719," ")</f>
        <v xml:space="preserve"> </v>
      </c>
      <c r="L38" s="261"/>
    </row>
    <row r="39" spans="2:12" x14ac:dyDescent="0.25">
      <c r="B39" s="241" t="s">
        <v>748</v>
      </c>
      <c r="C39" s="252"/>
      <c r="D39" s="253">
        <f>FS!M686</f>
        <v>0</v>
      </c>
      <c r="G39" s="257" t="str">
        <f>IF(FS!M720&gt;0,FS!D720," ")</f>
        <v xml:space="preserve"> </v>
      </c>
      <c r="H39" s="258" t="str">
        <f>IF(FS!M720&gt;0,FS!M720," ")</f>
        <v xml:space="preserve"> </v>
      </c>
      <c r="L39" s="261"/>
    </row>
    <row r="40" spans="2:12" x14ac:dyDescent="0.25">
      <c r="D40" s="339"/>
      <c r="G40" s="257" t="str">
        <f>IF(FS!M721&gt;0,FS!D721," ")</f>
        <v xml:space="preserve"> </v>
      </c>
      <c r="H40" s="258" t="str">
        <f>IF(FS!M721&gt;0,FS!M721," ")</f>
        <v xml:space="preserve"> </v>
      </c>
      <c r="L40" s="261"/>
    </row>
    <row r="41" spans="2:12" x14ac:dyDescent="0.25">
      <c r="B41" s="241" t="s">
        <v>1112</v>
      </c>
      <c r="G41" s="259" t="str">
        <f>IF(FS!M722&gt;0,FS!D722," ")</f>
        <v xml:space="preserve"> </v>
      </c>
      <c r="H41" s="260" t="str">
        <f>IF(FS!M722&gt;0,FS!M722," ")</f>
        <v xml:space="preserve"> </v>
      </c>
      <c r="J41" s="244"/>
      <c r="K41" s="244"/>
      <c r="L41" s="244"/>
    </row>
    <row r="42" spans="2:12" x14ac:dyDescent="0.25">
      <c r="B42" s="241" t="s">
        <v>748</v>
      </c>
      <c r="C42" s="252"/>
      <c r="D42" s="253">
        <f>FS!M673+FS!M674+FS!M675+FS!M676+FS!M678+FS!M687</f>
        <v>0</v>
      </c>
      <c r="H42" s="264">
        <f>SUM(H36:H41)-H32</f>
        <v>0</v>
      </c>
      <c r="J42" s="244"/>
      <c r="K42" s="343"/>
      <c r="L42" s="343"/>
    </row>
    <row r="43" spans="2:12" x14ac:dyDescent="0.25">
      <c r="F43" s="244" t="s">
        <v>1118</v>
      </c>
      <c r="G43" s="244"/>
      <c r="H43" s="244"/>
    </row>
    <row r="44" spans="2:12" x14ac:dyDescent="0.25">
      <c r="B44" s="241" t="s">
        <v>749</v>
      </c>
      <c r="F44" s="244" t="s">
        <v>748</v>
      </c>
      <c r="G44" s="262"/>
      <c r="H44" s="263">
        <f>H22+H25+H29+H32</f>
        <v>0</v>
      </c>
      <c r="J44" s="244"/>
    </row>
    <row r="45" spans="2:12" x14ac:dyDescent="0.25">
      <c r="B45" s="241" t="s">
        <v>855</v>
      </c>
      <c r="F45" s="244"/>
      <c r="G45" s="246"/>
      <c r="H45" s="246"/>
    </row>
    <row r="46" spans="2:12" x14ac:dyDescent="0.25">
      <c r="C46" s="255" t="str">
        <f>IF(FS!M673&gt;0,FS!D673," ")</f>
        <v xml:space="preserve"> </v>
      </c>
      <c r="D46" s="265" t="str">
        <f>IF(FS!M673&gt;0,FS!M673," ")</f>
        <v xml:space="preserve"> </v>
      </c>
      <c r="F46" s="244"/>
      <c r="G46" s="241" t="s">
        <v>106</v>
      </c>
      <c r="H46" s="261">
        <f>D54-H44</f>
        <v>0</v>
      </c>
    </row>
    <row r="47" spans="2:12" x14ac:dyDescent="0.25">
      <c r="C47" s="257" t="str">
        <f>IF(FS!M674&gt;0,FS!D674," ")</f>
        <v xml:space="preserve"> </v>
      </c>
      <c r="D47" s="266" t="str">
        <f>IF(FS!M674&gt;0,FS!M674," ")</f>
        <v xml:space="preserve"> </v>
      </c>
      <c r="F47" s="244"/>
      <c r="H47" s="261"/>
    </row>
    <row r="48" spans="2:12" x14ac:dyDescent="0.25">
      <c r="C48" s="257" t="str">
        <f>IF(FS!M675&gt;0,FS!D675," ")</f>
        <v xml:space="preserve"> </v>
      </c>
      <c r="D48" s="266" t="str">
        <f>IF(FS!M675&gt;0,FS!M675," ")</f>
        <v xml:space="preserve"> </v>
      </c>
      <c r="F48" s="244"/>
    </row>
    <row r="49" spans="1:12" x14ac:dyDescent="0.25">
      <c r="C49" s="257" t="str">
        <f>IF(FS!M676&gt;0,FS!D676," ")</f>
        <v xml:space="preserve"> </v>
      </c>
      <c r="D49" s="266" t="str">
        <f>IF(FS!M676&gt;0,FS!M676," ")</f>
        <v xml:space="preserve"> </v>
      </c>
    </row>
    <row r="50" spans="1:12" x14ac:dyDescent="0.25">
      <c r="C50" s="257" t="str">
        <f>IF(FS!M678&gt;0,FS!D678," ")</f>
        <v xml:space="preserve"> </v>
      </c>
      <c r="D50" s="266" t="str">
        <f>IF(FS!M678&gt;0,FS!M678," ")</f>
        <v xml:space="preserve"> </v>
      </c>
    </row>
    <row r="51" spans="1:12" x14ac:dyDescent="0.25">
      <c r="C51" s="259" t="str">
        <f>IF(FS!M687&gt;0,FS!D687," ")</f>
        <v xml:space="preserve"> </v>
      </c>
      <c r="D51" s="267" t="str">
        <f>IF(FS!M687&gt;0,FS!M687," ")</f>
        <v xml:space="preserve"> </v>
      </c>
    </row>
    <row r="52" spans="1:12" x14ac:dyDescent="0.25">
      <c r="D52" s="261">
        <f>SUM(D46:D51)-D42</f>
        <v>0</v>
      </c>
      <c r="F52" s="244"/>
      <c r="J52" s="244"/>
      <c r="K52" s="340"/>
      <c r="L52" s="340"/>
    </row>
    <row r="53" spans="1:12" x14ac:dyDescent="0.25">
      <c r="B53" s="244" t="s">
        <v>862</v>
      </c>
      <c r="C53" s="244"/>
      <c r="D53" s="244"/>
    </row>
    <row r="54" spans="1:12" x14ac:dyDescent="0.25">
      <c r="B54" s="244" t="s">
        <v>748</v>
      </c>
      <c r="C54" s="262"/>
      <c r="D54" s="263">
        <f>D22+D25+D28+D32+D36+D39+D42</f>
        <v>0</v>
      </c>
    </row>
    <row r="55" spans="1:12" x14ac:dyDescent="0.25">
      <c r="F55" s="244"/>
      <c r="G55" s="340"/>
      <c r="H55" s="340"/>
      <c r="J55" s="244"/>
      <c r="K55" s="340"/>
      <c r="L55" s="340"/>
    </row>
    <row r="56" spans="1:12" x14ac:dyDescent="0.25">
      <c r="C56" s="241" t="s">
        <v>755</v>
      </c>
      <c r="D56" s="268">
        <f>D54-C12</f>
        <v>0</v>
      </c>
    </row>
    <row r="57" spans="1:12" x14ac:dyDescent="0.25">
      <c r="A57" s="247"/>
      <c r="B57" s="247"/>
      <c r="C57" s="247"/>
      <c r="D57" s="247"/>
      <c r="E57" s="247"/>
      <c r="F57" s="247"/>
      <c r="G57" s="247"/>
      <c r="H57" s="247"/>
      <c r="I57" s="247"/>
    </row>
    <row r="59" spans="1:12" x14ac:dyDescent="0.25">
      <c r="B59" s="248" t="s">
        <v>280</v>
      </c>
      <c r="C59" s="249"/>
      <c r="D59" s="249"/>
      <c r="F59" s="248" t="s">
        <v>765</v>
      </c>
      <c r="G59" s="249"/>
      <c r="H59" s="249"/>
    </row>
    <row r="60" spans="1:12" x14ac:dyDescent="0.25">
      <c r="B60" s="244"/>
    </row>
    <row r="61" spans="1:12" x14ac:dyDescent="0.25">
      <c r="B61" s="250" t="s">
        <v>757</v>
      </c>
      <c r="C61" s="251"/>
      <c r="D61" s="251"/>
      <c r="F61" s="250" t="s">
        <v>766</v>
      </c>
      <c r="G61" s="251"/>
      <c r="H61" s="251"/>
    </row>
    <row r="63" spans="1:12" x14ac:dyDescent="0.25">
      <c r="B63" s="241" t="s">
        <v>758</v>
      </c>
      <c r="F63" s="241" t="s">
        <v>1121</v>
      </c>
    </row>
    <row r="64" spans="1:12" x14ac:dyDescent="0.25">
      <c r="B64" s="241" t="s">
        <v>748</v>
      </c>
      <c r="C64" s="252"/>
      <c r="D64" s="253">
        <f>FS!M611</f>
        <v>0</v>
      </c>
      <c r="F64" s="241" t="s">
        <v>748</v>
      </c>
      <c r="G64" s="252"/>
      <c r="H64" s="253"/>
    </row>
    <row r="65" spans="2:8" x14ac:dyDescent="0.25">
      <c r="B65" s="241" t="s">
        <v>1119</v>
      </c>
      <c r="F65" s="241" t="s">
        <v>1122</v>
      </c>
    </row>
    <row r="66" spans="2:8" x14ac:dyDescent="0.25">
      <c r="B66" s="241" t="s">
        <v>748</v>
      </c>
      <c r="C66" s="252"/>
      <c r="D66" s="253">
        <f>-FS!M613</f>
        <v>0</v>
      </c>
      <c r="F66" s="241" t="s">
        <v>1123</v>
      </c>
    </row>
    <row r="67" spans="2:8" x14ac:dyDescent="0.25">
      <c r="F67" s="241" t="s">
        <v>748</v>
      </c>
      <c r="G67" s="252"/>
      <c r="H67" s="253">
        <f>FS!M1399</f>
        <v>0</v>
      </c>
    </row>
    <row r="68" spans="2:8" x14ac:dyDescent="0.25">
      <c r="B68" s="244" t="s">
        <v>759</v>
      </c>
      <c r="C68" s="244"/>
      <c r="D68" s="244"/>
      <c r="F68" s="241" t="s">
        <v>1124</v>
      </c>
    </row>
    <row r="69" spans="2:8" x14ac:dyDescent="0.25">
      <c r="B69" s="244" t="s">
        <v>748</v>
      </c>
      <c r="C69" s="270"/>
      <c r="D69" s="263">
        <f>IF((D64-D66)&gt;0,D64-D66,0)</f>
        <v>0</v>
      </c>
      <c r="F69" s="241" t="s">
        <v>1125</v>
      </c>
    </row>
    <row r="70" spans="2:8" x14ac:dyDescent="0.25">
      <c r="B70" s="244" t="s">
        <v>760</v>
      </c>
      <c r="C70" s="244"/>
      <c r="D70" s="271"/>
      <c r="F70" s="241" t="s">
        <v>748</v>
      </c>
      <c r="G70" s="252"/>
      <c r="H70" s="253"/>
    </row>
    <row r="71" spans="2:8" x14ac:dyDescent="0.25">
      <c r="B71" s="244" t="s">
        <v>748</v>
      </c>
      <c r="C71" s="270"/>
      <c r="D71" s="263">
        <f>IF((D64-D66)&lt;0,-(D64-D66),0)</f>
        <v>0</v>
      </c>
      <c r="F71" s="241" t="s">
        <v>1126</v>
      </c>
    </row>
    <row r="72" spans="2:8" x14ac:dyDescent="0.25">
      <c r="F72" s="241" t="s">
        <v>748</v>
      </c>
      <c r="G72" s="252"/>
      <c r="H72" s="253"/>
    </row>
    <row r="73" spans="2:8" x14ac:dyDescent="0.25">
      <c r="B73" s="250" t="s">
        <v>761</v>
      </c>
      <c r="C73" s="251"/>
      <c r="D73" s="251"/>
      <c r="F73" s="241" t="s">
        <v>225</v>
      </c>
    </row>
    <row r="74" spans="2:8" x14ac:dyDescent="0.25">
      <c r="F74" s="241" t="s">
        <v>748</v>
      </c>
      <c r="G74" s="252"/>
      <c r="H74" s="253">
        <f>FS!M1207+SUM(FS!M1209:M1212)+FS!M1213+SUM(FS!M1215:M1218)+FS!M1219+SUM(FS!M1221:M1224)+FS!M1225+SUM(FS!M1227:M1230)+FS!M1367+FS!M1400+FS!M1402+FS!M1489</f>
        <v>0</v>
      </c>
    </row>
    <row r="75" spans="2:8" x14ac:dyDescent="0.25">
      <c r="B75" s="241" t="s">
        <v>1120</v>
      </c>
    </row>
    <row r="76" spans="2:8" x14ac:dyDescent="0.25">
      <c r="B76" s="241" t="s">
        <v>748</v>
      </c>
      <c r="C76" s="252"/>
      <c r="D76" s="253">
        <f>FS!M1375</f>
        <v>0</v>
      </c>
      <c r="F76" s="244" t="s">
        <v>769</v>
      </c>
    </row>
    <row r="77" spans="2:8" x14ac:dyDescent="0.25">
      <c r="B77" s="241" t="s">
        <v>768</v>
      </c>
      <c r="F77" s="244" t="s">
        <v>748</v>
      </c>
      <c r="G77" s="270"/>
      <c r="H77" s="263">
        <f>SUM(D76:D84)+SUM(H64:H74)</f>
        <v>0</v>
      </c>
    </row>
    <row r="78" spans="2:8" x14ac:dyDescent="0.25">
      <c r="B78" s="241" t="s">
        <v>748</v>
      </c>
      <c r="C78" s="252"/>
      <c r="D78" s="253"/>
      <c r="G78" s="241" t="s">
        <v>779</v>
      </c>
      <c r="H78" s="261">
        <f>C8-D64-H77</f>
        <v>0</v>
      </c>
    </row>
    <row r="79" spans="2:8" x14ac:dyDescent="0.25">
      <c r="B79" s="241" t="s">
        <v>762</v>
      </c>
      <c r="H79" s="340"/>
    </row>
    <row r="80" spans="2:8" x14ac:dyDescent="0.25">
      <c r="B80" s="241" t="s">
        <v>748</v>
      </c>
      <c r="C80" s="252"/>
      <c r="D80" s="253">
        <f>FS!M1401</f>
        <v>0</v>
      </c>
      <c r="H80" s="340"/>
    </row>
    <row r="81" spans="1:12" x14ac:dyDescent="0.25">
      <c r="B81" s="241" t="s">
        <v>763</v>
      </c>
      <c r="H81" s="340"/>
    </row>
    <row r="82" spans="1:12" x14ac:dyDescent="0.25">
      <c r="B82" s="241" t="s">
        <v>748</v>
      </c>
      <c r="C82" s="252"/>
      <c r="D82" s="253"/>
      <c r="H82" s="340"/>
    </row>
    <row r="83" spans="1:12" x14ac:dyDescent="0.25">
      <c r="B83" s="241" t="s">
        <v>764</v>
      </c>
      <c r="H83" s="340"/>
    </row>
    <row r="84" spans="1:12" x14ac:dyDescent="0.25">
      <c r="B84" s="241" t="s">
        <v>748</v>
      </c>
      <c r="C84" s="252"/>
      <c r="D84" s="253">
        <f>FS!M1208+FS!M1214+FS!M1220+FS!M1226</f>
        <v>0</v>
      </c>
      <c r="H84" s="340"/>
    </row>
    <row r="85" spans="1:12" x14ac:dyDescent="0.25">
      <c r="H85" s="340"/>
    </row>
    <row r="86" spans="1:12" x14ac:dyDescent="0.25">
      <c r="A86" s="247"/>
      <c r="B86" s="247"/>
      <c r="C86" s="247"/>
      <c r="D86" s="344"/>
      <c r="E86" s="247"/>
      <c r="F86" s="247"/>
      <c r="G86" s="247"/>
      <c r="H86" s="345"/>
      <c r="I86" s="247"/>
    </row>
    <row r="87" spans="1:12" x14ac:dyDescent="0.25">
      <c r="H87" s="340"/>
      <c r="J87" s="244"/>
    </row>
    <row r="88" spans="1:12" x14ac:dyDescent="0.25">
      <c r="B88" s="671" t="s">
        <v>770</v>
      </c>
      <c r="C88" s="671"/>
      <c r="D88" s="671"/>
      <c r="E88" s="671"/>
      <c r="F88" s="671"/>
      <c r="G88" s="671"/>
      <c r="H88" s="671"/>
    </row>
    <row r="90" spans="1:12" x14ac:dyDescent="0.25">
      <c r="B90" s="241" t="s">
        <v>771</v>
      </c>
      <c r="F90" s="241" t="s">
        <v>772</v>
      </c>
    </row>
    <row r="91" spans="1:12" x14ac:dyDescent="0.25">
      <c r="B91" s="241" t="s">
        <v>748</v>
      </c>
      <c r="C91" s="252"/>
      <c r="D91" s="253">
        <f>FS!M2992</f>
        <v>0</v>
      </c>
      <c r="F91" s="241" t="s">
        <v>748</v>
      </c>
      <c r="G91" s="252"/>
      <c r="H91" s="253">
        <f>FS!M2906+FS!M3213+FS!M3541+FS!M3869</f>
        <v>0</v>
      </c>
    </row>
    <row r="92" spans="1:12" x14ac:dyDescent="0.25">
      <c r="B92" s="241" t="s">
        <v>304</v>
      </c>
      <c r="F92" s="241" t="s">
        <v>773</v>
      </c>
    </row>
    <row r="93" spans="1:12" x14ac:dyDescent="0.25">
      <c r="B93" s="241" t="s">
        <v>748</v>
      </c>
      <c r="C93" s="252"/>
      <c r="D93" s="253">
        <f>FS!M1347</f>
        <v>0</v>
      </c>
      <c r="F93" s="241" t="s">
        <v>748</v>
      </c>
      <c r="G93" s="252"/>
      <c r="H93" s="253"/>
    </row>
    <row r="94" spans="1:12" x14ac:dyDescent="0.25">
      <c r="B94" s="241" t="s">
        <v>774</v>
      </c>
      <c r="F94" s="241" t="s">
        <v>1129</v>
      </c>
    </row>
    <row r="95" spans="1:12" x14ac:dyDescent="0.25">
      <c r="B95" s="241" t="s">
        <v>748</v>
      </c>
      <c r="C95" s="252"/>
      <c r="D95" s="253">
        <f>FS!M2988</f>
        <v>0</v>
      </c>
      <c r="F95" s="241" t="s">
        <v>1130</v>
      </c>
    </row>
    <row r="96" spans="1:12" x14ac:dyDescent="0.25">
      <c r="B96" s="241" t="s">
        <v>710</v>
      </c>
      <c r="F96" s="241" t="s">
        <v>748</v>
      </c>
      <c r="G96" s="252"/>
      <c r="H96" s="253">
        <f>FS!M2856+FS!M3164+FS!M3492+FS!M3820</f>
        <v>0</v>
      </c>
      <c r="L96" s="339"/>
    </row>
    <row r="97" spans="2:12" x14ac:dyDescent="0.25">
      <c r="B97" s="241" t="s">
        <v>748</v>
      </c>
      <c r="C97" s="252"/>
      <c r="D97" s="253"/>
      <c r="F97" s="241" t="s">
        <v>1131</v>
      </c>
    </row>
    <row r="98" spans="2:12" x14ac:dyDescent="0.25">
      <c r="B98" s="241" t="s">
        <v>1127</v>
      </c>
      <c r="F98" s="241" t="s">
        <v>1132</v>
      </c>
      <c r="L98" s="339"/>
    </row>
    <row r="99" spans="2:12" x14ac:dyDescent="0.25">
      <c r="B99" s="241" t="s">
        <v>748</v>
      </c>
      <c r="C99" s="252"/>
      <c r="D99" s="253">
        <f>FS!M2858+FS!M2863+FS!M3166+FS!M3171+FS!M3494+FS!M3499+FS!M3822+FS!M3827</f>
        <v>0</v>
      </c>
      <c r="F99" s="241" t="s">
        <v>748</v>
      </c>
      <c r="G99" s="252"/>
      <c r="H99" s="253">
        <f>FS!M2865+FS!M2913+FS!M2923+FS!M3173+FS!M3220+FS!M3230+FS!M3501+FS!M3548+FS!M3558+FS!M3829+FS!M3876+FS!M3886</f>
        <v>0</v>
      </c>
    </row>
    <row r="100" spans="2:12" x14ac:dyDescent="0.25">
      <c r="B100" s="241" t="s">
        <v>1128</v>
      </c>
      <c r="F100" s="241" t="s">
        <v>775</v>
      </c>
    </row>
    <row r="101" spans="2:12" x14ac:dyDescent="0.25">
      <c r="B101" s="241" t="s">
        <v>748</v>
      </c>
      <c r="C101" s="252"/>
      <c r="D101" s="253">
        <f>-(FS!M620+FS!M622+FS!M630)-SUM(D91:D99)-SUM(H91:H101)</f>
        <v>0</v>
      </c>
      <c r="F101" s="241" t="s">
        <v>748</v>
      </c>
      <c r="G101" s="252"/>
      <c r="H101" s="253">
        <f>FS!M2868+FS!M3176+FS!M3504+FS!M3832</f>
        <v>0</v>
      </c>
    </row>
    <row r="103" spans="2:12" x14ac:dyDescent="0.25">
      <c r="F103" s="244" t="s">
        <v>769</v>
      </c>
    </row>
    <row r="104" spans="2:12" x14ac:dyDescent="0.25">
      <c r="F104" s="244" t="s">
        <v>748</v>
      </c>
      <c r="G104" s="270"/>
      <c r="H104" s="263">
        <f>SUM(D91:D101)+SUM(H91:H101)</f>
        <v>0</v>
      </c>
    </row>
    <row r="106" spans="2:12" x14ac:dyDescent="0.25">
      <c r="B106" s="250" t="s">
        <v>776</v>
      </c>
      <c r="C106" s="251"/>
      <c r="D106" s="251"/>
      <c r="H106" s="339"/>
    </row>
    <row r="107" spans="2:12" x14ac:dyDescent="0.25">
      <c r="B107" s="244" t="s">
        <v>777</v>
      </c>
      <c r="F107" s="244" t="s">
        <v>778</v>
      </c>
    </row>
    <row r="108" spans="2:12" x14ac:dyDescent="0.25">
      <c r="B108" s="244" t="s">
        <v>748</v>
      </c>
      <c r="C108" s="270"/>
      <c r="D108" s="263">
        <f>IF(IF(D71=0,D69+H77-H104,-D71+H77-H104)&lt;0,0,IF(D71=0,D69+H77-H104,-D71+H77-H104))</f>
        <v>0</v>
      </c>
      <c r="F108" s="244" t="s">
        <v>748</v>
      </c>
      <c r="G108" s="270"/>
      <c r="H108" s="263">
        <f>IF(IF(D71=0,D69+H77-H104,-D71+H77-H104)&lt;0,IF(D71=0,-(D69+H77-H104),-(-D71+H77-H104)),0)</f>
        <v>0</v>
      </c>
    </row>
    <row r="109" spans="2:12" x14ac:dyDescent="0.25">
      <c r="G109" s="241" t="s">
        <v>785</v>
      </c>
      <c r="H109" s="261">
        <f>D108-H108-FS!M634-FS!M641</f>
        <v>0</v>
      </c>
    </row>
    <row r="110" spans="2:12" x14ac:dyDescent="0.25">
      <c r="H110" s="339"/>
    </row>
    <row r="113" spans="8:12" x14ac:dyDescent="0.25">
      <c r="K113" s="341"/>
      <c r="L113" s="341"/>
    </row>
    <row r="114" spans="8:12" x14ac:dyDescent="0.25">
      <c r="H114" s="339"/>
      <c r="K114" s="341"/>
      <c r="L114" s="346"/>
    </row>
    <row r="115" spans="8:12" x14ac:dyDescent="0.25">
      <c r="K115" s="341"/>
      <c r="L115" s="341"/>
    </row>
    <row r="116" spans="8:12" x14ac:dyDescent="0.25">
      <c r="K116" s="341"/>
      <c r="L116" s="341"/>
    </row>
  </sheetData>
  <mergeCells count="1">
    <mergeCell ref="B88:H88"/>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4F91E-A868-4580-BDF5-29498DF02DC9}">
  <dimension ref="A1:M486"/>
  <sheetViews>
    <sheetView view="pageBreakPreview" zoomScale="85" zoomScaleNormal="85" zoomScaleSheetLayoutView="85" workbookViewId="0">
      <pane ySplit="13" topLeftCell="A14" activePane="bottomLeft" state="frozen"/>
      <selection pane="bottomLeft" activeCell="D15" sqref="D15"/>
    </sheetView>
  </sheetViews>
  <sheetFormatPr defaultColWidth="11.28515625" defaultRowHeight="15.75" x14ac:dyDescent="0.25"/>
  <cols>
    <col min="1" max="1" width="12.28515625" style="2" bestFit="1" customWidth="1"/>
    <col min="2" max="2" width="5.85546875" style="5" customWidth="1"/>
    <col min="3" max="3" width="38.42578125" style="2" customWidth="1"/>
    <col min="4" max="4" width="30" style="2" customWidth="1"/>
    <col min="5" max="5" width="35.42578125" style="2" customWidth="1"/>
    <col min="6" max="6" width="16.85546875" style="4" customWidth="1"/>
    <col min="7" max="7" width="16.140625" style="4" bestFit="1" customWidth="1"/>
    <col min="8" max="8" width="15.7109375" style="4" bestFit="1" customWidth="1"/>
    <col min="9" max="9" width="16.140625" style="4" bestFit="1" customWidth="1"/>
    <col min="10" max="10" width="15.7109375" style="2" bestFit="1" customWidth="1"/>
    <col min="11" max="13" width="11.28515625" style="2" bestFit="1" customWidth="1"/>
    <col min="14" max="255" width="11.28515625" bestFit="1" customWidth="1"/>
  </cols>
  <sheetData>
    <row r="1" spans="1:13" x14ac:dyDescent="0.25">
      <c r="H1" s="43"/>
      <c r="I1" s="43"/>
    </row>
    <row r="2" spans="1:13" x14ac:dyDescent="0.25">
      <c r="C2" s="3" t="str">
        <f>Criteria!E9</f>
        <v>ABC COMPANY (PROPRIETARY) LIMITED</v>
      </c>
    </row>
    <row r="3" spans="1:13" x14ac:dyDescent="0.25">
      <c r="H3" s="85" t="s">
        <v>96</v>
      </c>
      <c r="I3" s="85"/>
    </row>
    <row r="4" spans="1:13" x14ac:dyDescent="0.25">
      <c r="C4" s="3" t="s">
        <v>95</v>
      </c>
      <c r="D4" s="43" t="str">
        <f>Criteria!E20</f>
        <v>28 FEBRUARY 2026</v>
      </c>
    </row>
    <row r="5" spans="1:13" x14ac:dyDescent="0.25">
      <c r="H5" s="85" t="s">
        <v>97</v>
      </c>
      <c r="I5" s="85"/>
    </row>
    <row r="6" spans="1:13" x14ac:dyDescent="0.25">
      <c r="C6" s="3" t="s">
        <v>184</v>
      </c>
      <c r="H6" s="43"/>
      <c r="I6" s="43"/>
    </row>
    <row r="7" spans="1:13" x14ac:dyDescent="0.25">
      <c r="C7" s="7"/>
      <c r="D7" s="7"/>
      <c r="E7" s="7"/>
      <c r="F7" s="86"/>
      <c r="G7" s="86"/>
      <c r="H7" s="86"/>
      <c r="I7" s="86"/>
    </row>
    <row r="8" spans="1:13" x14ac:dyDescent="0.25">
      <c r="D8" s="9" t="str">
        <f>IF(F8=0," ","OUT OF BALANCE")</f>
        <v xml:space="preserve"> </v>
      </c>
      <c r="E8" s="9"/>
      <c r="F8" s="4">
        <f>ROUND(F484-G484+H484-I484,2)</f>
        <v>0</v>
      </c>
    </row>
    <row r="9" spans="1:13" x14ac:dyDescent="0.25">
      <c r="D9" s="9" t="s">
        <v>319</v>
      </c>
      <c r="E9" s="9"/>
      <c r="F9" s="4">
        <f>F486</f>
        <v>0</v>
      </c>
    </row>
    <row r="10" spans="1:13" x14ac:dyDescent="0.25">
      <c r="D10" s="9"/>
      <c r="E10" s="9"/>
    </row>
    <row r="11" spans="1:13" x14ac:dyDescent="0.25">
      <c r="A11" s="42" t="s">
        <v>297</v>
      </c>
      <c r="F11" s="684"/>
      <c r="G11" s="684"/>
      <c r="H11" s="684"/>
      <c r="I11" s="684"/>
    </row>
    <row r="12" spans="1:13" x14ac:dyDescent="0.25">
      <c r="A12" s="42" t="s">
        <v>717</v>
      </c>
      <c r="F12" s="684" t="s">
        <v>382</v>
      </c>
      <c r="G12" s="684"/>
      <c r="H12" s="684" t="s">
        <v>110</v>
      </c>
      <c r="I12" s="684"/>
    </row>
    <row r="13" spans="1:13" x14ac:dyDescent="0.25">
      <c r="A13" s="42" t="s">
        <v>298</v>
      </c>
      <c r="B13" s="35" t="s">
        <v>825</v>
      </c>
      <c r="C13" s="35" t="s">
        <v>261</v>
      </c>
      <c r="D13" s="35" t="s">
        <v>280</v>
      </c>
      <c r="E13" s="35" t="s">
        <v>454</v>
      </c>
      <c r="F13" s="25" t="s">
        <v>264</v>
      </c>
      <c r="G13" s="25" t="s">
        <v>265</v>
      </c>
      <c r="H13" s="25" t="s">
        <v>264</v>
      </c>
      <c r="I13" s="25" t="s">
        <v>265</v>
      </c>
    </row>
    <row r="14" spans="1:13" x14ac:dyDescent="0.25">
      <c r="A14" s="42"/>
    </row>
    <row r="15" spans="1:13" x14ac:dyDescent="0.25">
      <c r="A15" s="42" t="str">
        <f t="shared" ref="A15:A78" si="0">IF(COUNTIF(K15:M15,"ERROR")&gt;0,"ERROR"," ")</f>
        <v xml:space="preserve"> </v>
      </c>
      <c r="B15" s="5">
        <v>1</v>
      </c>
      <c r="D15" s="41"/>
      <c r="E15" s="41"/>
      <c r="J15" s="17">
        <f>F15-G15+H15-I15</f>
        <v>0</v>
      </c>
      <c r="K15" s="2" t="str">
        <f>IF(COUNTA(D15:E15)=2,"ERROR"," ")</f>
        <v xml:space="preserve"> </v>
      </c>
      <c r="L15" s="2" t="str">
        <f t="shared" ref="L15:L78" si="1">IF(D15=0," ",IF(COUNTIF(ProfitLoss4,D15)&gt;0," ","ERROR"))</f>
        <v xml:space="preserve"> </v>
      </c>
      <c r="M15" s="2" t="str">
        <f t="shared" ref="M15:M78" si="2">IF(E15=0," ",IF(COUNTIF(BalanceSheet4,E15)&gt;0," ","ERROR"))</f>
        <v xml:space="preserve"> </v>
      </c>
    </row>
    <row r="16" spans="1:13" x14ac:dyDescent="0.25">
      <c r="A16" s="42" t="str">
        <f t="shared" si="0"/>
        <v xml:space="preserve"> </v>
      </c>
      <c r="B16" s="28"/>
      <c r="D16" s="41"/>
      <c r="E16" s="41"/>
      <c r="J16" s="17">
        <f t="shared" ref="J16:J79" si="3">F16-G16+H16-I16</f>
        <v>0</v>
      </c>
      <c r="K16" s="2" t="str">
        <f t="shared" ref="K16:K79" si="4">IF(COUNTA(D16:E16)=2,"ERROR"," ")</f>
        <v xml:space="preserve"> </v>
      </c>
      <c r="L16" s="2" t="str">
        <f t="shared" si="1"/>
        <v xml:space="preserve"> </v>
      </c>
      <c r="M16" s="2" t="str">
        <f t="shared" si="2"/>
        <v xml:space="preserve"> </v>
      </c>
    </row>
    <row r="17" spans="1:13" x14ac:dyDescent="0.25">
      <c r="A17" s="42" t="str">
        <f t="shared" si="0"/>
        <v xml:space="preserve"> </v>
      </c>
      <c r="D17" s="41"/>
      <c r="E17" s="41"/>
      <c r="J17" s="17">
        <f t="shared" si="3"/>
        <v>0</v>
      </c>
      <c r="K17" s="2" t="str">
        <f t="shared" si="4"/>
        <v xml:space="preserve"> </v>
      </c>
      <c r="L17" s="2" t="str">
        <f t="shared" si="1"/>
        <v xml:space="preserve"> </v>
      </c>
      <c r="M17" s="2" t="str">
        <f t="shared" si="2"/>
        <v xml:space="preserve"> </v>
      </c>
    </row>
    <row r="18" spans="1:13" x14ac:dyDescent="0.25">
      <c r="A18" s="42" t="str">
        <f t="shared" si="0"/>
        <v xml:space="preserve"> </v>
      </c>
      <c r="D18" s="41"/>
      <c r="E18" s="41"/>
      <c r="J18" s="17">
        <f t="shared" si="3"/>
        <v>0</v>
      </c>
      <c r="K18" s="2" t="str">
        <f t="shared" si="4"/>
        <v xml:space="preserve"> </v>
      </c>
      <c r="L18" s="2" t="str">
        <f t="shared" si="1"/>
        <v xml:space="preserve"> </v>
      </c>
      <c r="M18" s="2" t="str">
        <f t="shared" si="2"/>
        <v xml:space="preserve"> </v>
      </c>
    </row>
    <row r="19" spans="1:13" x14ac:dyDescent="0.25">
      <c r="A19" s="42" t="str">
        <f t="shared" si="0"/>
        <v xml:space="preserve"> </v>
      </c>
      <c r="D19" s="41"/>
      <c r="E19" s="41"/>
      <c r="J19" s="17">
        <f t="shared" si="3"/>
        <v>0</v>
      </c>
      <c r="K19" s="2" t="str">
        <f t="shared" si="4"/>
        <v xml:space="preserve"> </v>
      </c>
      <c r="L19" s="2" t="str">
        <f t="shared" si="1"/>
        <v xml:space="preserve"> </v>
      </c>
      <c r="M19" s="2" t="str">
        <f t="shared" si="2"/>
        <v xml:space="preserve"> </v>
      </c>
    </row>
    <row r="20" spans="1:13" x14ac:dyDescent="0.25">
      <c r="A20" s="42" t="str">
        <f t="shared" si="0"/>
        <v xml:space="preserve"> </v>
      </c>
      <c r="D20" s="41"/>
      <c r="E20" s="41"/>
      <c r="J20" s="17">
        <f t="shared" si="3"/>
        <v>0</v>
      </c>
      <c r="K20" s="2" t="str">
        <f t="shared" si="4"/>
        <v xml:space="preserve"> </v>
      </c>
      <c r="L20" s="2" t="str">
        <f t="shared" si="1"/>
        <v xml:space="preserve"> </v>
      </c>
      <c r="M20" s="2" t="str">
        <f t="shared" si="2"/>
        <v xml:space="preserve"> </v>
      </c>
    </row>
    <row r="21" spans="1:13" x14ac:dyDescent="0.25">
      <c r="A21" s="42" t="str">
        <f t="shared" si="0"/>
        <v xml:space="preserve"> </v>
      </c>
      <c r="D21" s="41"/>
      <c r="E21" s="41"/>
      <c r="J21" s="17">
        <f t="shared" si="3"/>
        <v>0</v>
      </c>
      <c r="K21" s="2" t="str">
        <f t="shared" si="4"/>
        <v xml:space="preserve"> </v>
      </c>
      <c r="L21" s="2" t="str">
        <f t="shared" si="1"/>
        <v xml:space="preserve"> </v>
      </c>
      <c r="M21" s="2" t="str">
        <f t="shared" si="2"/>
        <v xml:space="preserve"> </v>
      </c>
    </row>
    <row r="22" spans="1:13" x14ac:dyDescent="0.25">
      <c r="A22" s="42" t="str">
        <f t="shared" si="0"/>
        <v xml:space="preserve"> </v>
      </c>
      <c r="D22" s="41"/>
      <c r="E22" s="41"/>
      <c r="J22" s="17">
        <f t="shared" si="3"/>
        <v>0</v>
      </c>
      <c r="K22" s="2" t="str">
        <f t="shared" si="4"/>
        <v xml:space="preserve"> </v>
      </c>
      <c r="L22" s="2" t="str">
        <f t="shared" si="1"/>
        <v xml:space="preserve"> </v>
      </c>
      <c r="M22" s="2" t="str">
        <f t="shared" si="2"/>
        <v xml:space="preserve"> </v>
      </c>
    </row>
    <row r="23" spans="1:13" x14ac:dyDescent="0.25">
      <c r="A23" s="42" t="str">
        <f t="shared" si="0"/>
        <v xml:space="preserve"> </v>
      </c>
      <c r="D23" s="41"/>
      <c r="E23" s="41"/>
      <c r="J23" s="17">
        <f t="shared" si="3"/>
        <v>0</v>
      </c>
      <c r="K23" s="2" t="str">
        <f t="shared" si="4"/>
        <v xml:space="preserve"> </v>
      </c>
      <c r="L23" s="2" t="str">
        <f t="shared" si="1"/>
        <v xml:space="preserve"> </v>
      </c>
      <c r="M23" s="2" t="str">
        <f t="shared" si="2"/>
        <v xml:space="preserve"> </v>
      </c>
    </row>
    <row r="24" spans="1:13" x14ac:dyDescent="0.25">
      <c r="A24" s="42" t="str">
        <f t="shared" si="0"/>
        <v xml:space="preserve"> </v>
      </c>
      <c r="D24" s="41"/>
      <c r="E24" s="41"/>
      <c r="J24" s="17">
        <f t="shared" si="3"/>
        <v>0</v>
      </c>
      <c r="K24" s="2" t="str">
        <f t="shared" si="4"/>
        <v xml:space="preserve"> </v>
      </c>
      <c r="L24" s="2" t="str">
        <f t="shared" si="1"/>
        <v xml:space="preserve"> </v>
      </c>
      <c r="M24" s="2" t="str">
        <f t="shared" si="2"/>
        <v xml:space="preserve"> </v>
      </c>
    </row>
    <row r="25" spans="1:13" x14ac:dyDescent="0.25">
      <c r="A25" s="42" t="str">
        <f t="shared" si="0"/>
        <v xml:space="preserve"> </v>
      </c>
      <c r="C25" s="60"/>
      <c r="D25" s="41"/>
      <c r="E25" s="41"/>
      <c r="J25" s="17">
        <f t="shared" si="3"/>
        <v>0</v>
      </c>
      <c r="K25" s="2" t="str">
        <f t="shared" si="4"/>
        <v xml:space="preserve"> </v>
      </c>
      <c r="L25" s="2" t="str">
        <f t="shared" si="1"/>
        <v xml:space="preserve"> </v>
      </c>
      <c r="M25" s="2" t="str">
        <f t="shared" si="2"/>
        <v xml:space="preserve"> </v>
      </c>
    </row>
    <row r="26" spans="1:13" x14ac:dyDescent="0.25">
      <c r="A26" s="42" t="str">
        <f t="shared" si="0"/>
        <v xml:space="preserve"> </v>
      </c>
      <c r="D26" s="41"/>
      <c r="E26" s="41"/>
      <c r="J26" s="17">
        <f t="shared" si="3"/>
        <v>0</v>
      </c>
      <c r="K26" s="2" t="str">
        <f t="shared" si="4"/>
        <v xml:space="preserve"> </v>
      </c>
      <c r="L26" s="2" t="str">
        <f t="shared" si="1"/>
        <v xml:space="preserve"> </v>
      </c>
      <c r="M26" s="2" t="str">
        <f t="shared" si="2"/>
        <v xml:space="preserve"> </v>
      </c>
    </row>
    <row r="27" spans="1:13" x14ac:dyDescent="0.25">
      <c r="A27" s="42" t="str">
        <f t="shared" si="0"/>
        <v xml:space="preserve"> </v>
      </c>
      <c r="D27" s="41"/>
      <c r="E27" s="41"/>
      <c r="J27" s="17">
        <f t="shared" si="3"/>
        <v>0</v>
      </c>
      <c r="K27" s="2" t="str">
        <f t="shared" si="4"/>
        <v xml:space="preserve"> </v>
      </c>
      <c r="L27" s="2" t="str">
        <f t="shared" si="1"/>
        <v xml:space="preserve"> </v>
      </c>
      <c r="M27" s="2" t="str">
        <f t="shared" si="2"/>
        <v xml:space="preserve"> </v>
      </c>
    </row>
    <row r="28" spans="1:13" x14ac:dyDescent="0.25">
      <c r="A28" s="42" t="str">
        <f t="shared" si="0"/>
        <v xml:space="preserve"> </v>
      </c>
      <c r="D28" s="41"/>
      <c r="E28" s="41"/>
      <c r="J28" s="17">
        <f t="shared" si="3"/>
        <v>0</v>
      </c>
      <c r="K28" s="2" t="str">
        <f t="shared" si="4"/>
        <v xml:space="preserve"> </v>
      </c>
      <c r="L28" s="2" t="str">
        <f t="shared" si="1"/>
        <v xml:space="preserve"> </v>
      </c>
      <c r="M28" s="2" t="str">
        <f t="shared" si="2"/>
        <v xml:space="preserve"> </v>
      </c>
    </row>
    <row r="29" spans="1:13" x14ac:dyDescent="0.25">
      <c r="A29" s="42" t="str">
        <f t="shared" si="0"/>
        <v xml:space="preserve"> </v>
      </c>
      <c r="D29" s="41"/>
      <c r="E29" s="41"/>
      <c r="J29" s="17">
        <f t="shared" si="3"/>
        <v>0</v>
      </c>
      <c r="K29" s="2" t="str">
        <f t="shared" si="4"/>
        <v xml:space="preserve"> </v>
      </c>
      <c r="L29" s="2" t="str">
        <f t="shared" si="1"/>
        <v xml:space="preserve"> </v>
      </c>
      <c r="M29" s="2" t="str">
        <f t="shared" si="2"/>
        <v xml:space="preserve"> </v>
      </c>
    </row>
    <row r="30" spans="1:13" x14ac:dyDescent="0.25">
      <c r="A30" s="42" t="str">
        <f t="shared" si="0"/>
        <v xml:space="preserve"> </v>
      </c>
      <c r="D30" s="41"/>
      <c r="E30" s="41"/>
      <c r="J30" s="17">
        <f t="shared" si="3"/>
        <v>0</v>
      </c>
      <c r="K30" s="2" t="str">
        <f t="shared" si="4"/>
        <v xml:space="preserve"> </v>
      </c>
      <c r="L30" s="2" t="str">
        <f t="shared" si="1"/>
        <v xml:space="preserve"> </v>
      </c>
      <c r="M30" s="2" t="str">
        <f t="shared" si="2"/>
        <v xml:space="preserve"> </v>
      </c>
    </row>
    <row r="31" spans="1:13" x14ac:dyDescent="0.25">
      <c r="A31" s="42" t="str">
        <f t="shared" si="0"/>
        <v xml:space="preserve"> </v>
      </c>
      <c r="D31" s="41"/>
      <c r="E31" s="41"/>
      <c r="J31" s="17">
        <f t="shared" si="3"/>
        <v>0</v>
      </c>
      <c r="K31" s="2" t="str">
        <f t="shared" si="4"/>
        <v xml:space="preserve"> </v>
      </c>
      <c r="L31" s="2" t="str">
        <f t="shared" si="1"/>
        <v xml:space="preserve"> </v>
      </c>
      <c r="M31" s="2" t="str">
        <f t="shared" si="2"/>
        <v xml:space="preserve"> </v>
      </c>
    </row>
    <row r="32" spans="1:13" x14ac:dyDescent="0.25">
      <c r="A32" s="42" t="str">
        <f t="shared" si="0"/>
        <v xml:space="preserve"> </v>
      </c>
      <c r="D32" s="41"/>
      <c r="E32" s="41"/>
      <c r="J32" s="17">
        <f t="shared" si="3"/>
        <v>0</v>
      </c>
      <c r="K32" s="2" t="str">
        <f t="shared" si="4"/>
        <v xml:space="preserve"> </v>
      </c>
      <c r="L32" s="2" t="str">
        <f t="shared" si="1"/>
        <v xml:space="preserve"> </v>
      </c>
      <c r="M32" s="2" t="str">
        <f t="shared" si="2"/>
        <v xml:space="preserve"> </v>
      </c>
    </row>
    <row r="33" spans="1:13" x14ac:dyDescent="0.25">
      <c r="A33" s="42" t="str">
        <f t="shared" si="0"/>
        <v xml:space="preserve"> </v>
      </c>
      <c r="D33" s="41"/>
      <c r="E33" s="41"/>
      <c r="J33" s="17">
        <f t="shared" si="3"/>
        <v>0</v>
      </c>
      <c r="K33" s="2" t="str">
        <f t="shared" si="4"/>
        <v xml:space="preserve"> </v>
      </c>
      <c r="L33" s="2" t="str">
        <f t="shared" si="1"/>
        <v xml:space="preserve"> </v>
      </c>
      <c r="M33" s="2" t="str">
        <f t="shared" si="2"/>
        <v xml:space="preserve"> </v>
      </c>
    </row>
    <row r="34" spans="1:13" x14ac:dyDescent="0.25">
      <c r="A34" s="42" t="str">
        <f t="shared" si="0"/>
        <v xml:space="preserve"> </v>
      </c>
      <c r="D34" s="41"/>
      <c r="E34" s="41"/>
      <c r="J34" s="17">
        <f t="shared" si="3"/>
        <v>0</v>
      </c>
      <c r="K34" s="2" t="str">
        <f t="shared" si="4"/>
        <v xml:space="preserve"> </v>
      </c>
      <c r="L34" s="2" t="str">
        <f t="shared" si="1"/>
        <v xml:space="preserve"> </v>
      </c>
      <c r="M34" s="2" t="str">
        <f t="shared" si="2"/>
        <v xml:space="preserve"> </v>
      </c>
    </row>
    <row r="35" spans="1:13" x14ac:dyDescent="0.25">
      <c r="A35" s="42" t="str">
        <f t="shared" si="0"/>
        <v xml:space="preserve"> </v>
      </c>
      <c r="D35" s="41"/>
      <c r="E35" s="41"/>
      <c r="J35" s="17">
        <f t="shared" si="3"/>
        <v>0</v>
      </c>
      <c r="K35" s="2" t="str">
        <f t="shared" si="4"/>
        <v xml:space="preserve"> </v>
      </c>
      <c r="L35" s="2" t="str">
        <f t="shared" si="1"/>
        <v xml:space="preserve"> </v>
      </c>
      <c r="M35" s="2" t="str">
        <f t="shared" si="2"/>
        <v xml:space="preserve"> </v>
      </c>
    </row>
    <row r="36" spans="1:13" x14ac:dyDescent="0.25">
      <c r="A36" s="42" t="str">
        <f t="shared" si="0"/>
        <v xml:space="preserve"> </v>
      </c>
      <c r="D36" s="41"/>
      <c r="E36" s="41"/>
      <c r="J36" s="17">
        <f t="shared" si="3"/>
        <v>0</v>
      </c>
      <c r="K36" s="2" t="str">
        <f t="shared" si="4"/>
        <v xml:space="preserve"> </v>
      </c>
      <c r="L36" s="2" t="str">
        <f t="shared" si="1"/>
        <v xml:space="preserve"> </v>
      </c>
      <c r="M36" s="2" t="str">
        <f t="shared" si="2"/>
        <v xml:space="preserve"> </v>
      </c>
    </row>
    <row r="37" spans="1:13" x14ac:dyDescent="0.25">
      <c r="A37" s="42" t="str">
        <f t="shared" si="0"/>
        <v xml:space="preserve"> </v>
      </c>
      <c r="D37" s="41"/>
      <c r="E37" s="41"/>
      <c r="J37" s="17">
        <f t="shared" si="3"/>
        <v>0</v>
      </c>
      <c r="K37" s="2" t="str">
        <f t="shared" si="4"/>
        <v xml:space="preserve"> </v>
      </c>
      <c r="L37" s="2" t="str">
        <f t="shared" si="1"/>
        <v xml:space="preserve"> </v>
      </c>
      <c r="M37" s="2" t="str">
        <f t="shared" si="2"/>
        <v xml:space="preserve"> </v>
      </c>
    </row>
    <row r="38" spans="1:13" x14ac:dyDescent="0.25">
      <c r="A38" s="42" t="str">
        <f t="shared" si="0"/>
        <v xml:space="preserve"> </v>
      </c>
      <c r="D38" s="41"/>
      <c r="E38" s="41"/>
      <c r="J38" s="17">
        <f t="shared" si="3"/>
        <v>0</v>
      </c>
      <c r="K38" s="2" t="str">
        <f t="shared" si="4"/>
        <v xml:space="preserve"> </v>
      </c>
      <c r="L38" s="2" t="str">
        <f t="shared" si="1"/>
        <v xml:space="preserve"> </v>
      </c>
      <c r="M38" s="2" t="str">
        <f t="shared" si="2"/>
        <v xml:space="preserve"> </v>
      </c>
    </row>
    <row r="39" spans="1:13" x14ac:dyDescent="0.25">
      <c r="A39" s="42" t="str">
        <f t="shared" si="0"/>
        <v xml:space="preserve"> </v>
      </c>
      <c r="D39" s="41"/>
      <c r="E39" s="41"/>
      <c r="J39" s="17">
        <f t="shared" si="3"/>
        <v>0</v>
      </c>
      <c r="K39" s="2" t="str">
        <f t="shared" si="4"/>
        <v xml:space="preserve"> </v>
      </c>
      <c r="L39" s="2" t="str">
        <f t="shared" si="1"/>
        <v xml:space="preserve"> </v>
      </c>
      <c r="M39" s="2" t="str">
        <f t="shared" si="2"/>
        <v xml:space="preserve"> </v>
      </c>
    </row>
    <row r="40" spans="1:13" x14ac:dyDescent="0.25">
      <c r="A40" s="42" t="str">
        <f t="shared" si="0"/>
        <v xml:space="preserve"> </v>
      </c>
      <c r="D40" s="41"/>
      <c r="E40" s="41"/>
      <c r="J40" s="17">
        <f t="shared" si="3"/>
        <v>0</v>
      </c>
      <c r="K40" s="2" t="str">
        <f t="shared" si="4"/>
        <v xml:space="preserve"> </v>
      </c>
      <c r="L40" s="2" t="str">
        <f t="shared" si="1"/>
        <v xml:space="preserve"> </v>
      </c>
      <c r="M40" s="2" t="str">
        <f t="shared" si="2"/>
        <v xml:space="preserve"> </v>
      </c>
    </row>
    <row r="41" spans="1:13" x14ac:dyDescent="0.25">
      <c r="A41" s="42" t="str">
        <f t="shared" si="0"/>
        <v xml:space="preserve"> </v>
      </c>
      <c r="D41" s="41"/>
      <c r="E41" s="41"/>
      <c r="J41" s="17">
        <f t="shared" si="3"/>
        <v>0</v>
      </c>
      <c r="K41" s="2" t="str">
        <f t="shared" si="4"/>
        <v xml:space="preserve"> </v>
      </c>
      <c r="L41" s="2" t="str">
        <f t="shared" si="1"/>
        <v xml:space="preserve"> </v>
      </c>
      <c r="M41" s="2" t="str">
        <f t="shared" si="2"/>
        <v xml:space="preserve"> </v>
      </c>
    </row>
    <row r="42" spans="1:13" x14ac:dyDescent="0.25">
      <c r="A42" s="42" t="str">
        <f t="shared" si="0"/>
        <v xml:space="preserve"> </v>
      </c>
      <c r="D42" s="41"/>
      <c r="E42" s="41"/>
      <c r="J42" s="17">
        <f t="shared" si="3"/>
        <v>0</v>
      </c>
      <c r="K42" s="2" t="str">
        <f t="shared" si="4"/>
        <v xml:space="preserve"> </v>
      </c>
      <c r="L42" s="2" t="str">
        <f t="shared" si="1"/>
        <v xml:space="preserve"> </v>
      </c>
      <c r="M42" s="2" t="str">
        <f t="shared" si="2"/>
        <v xml:space="preserve"> </v>
      </c>
    </row>
    <row r="43" spans="1:13" x14ac:dyDescent="0.25">
      <c r="A43" s="42" t="str">
        <f t="shared" si="0"/>
        <v xml:space="preserve"> </v>
      </c>
      <c r="D43" s="41"/>
      <c r="E43" s="41"/>
      <c r="J43" s="17">
        <f t="shared" si="3"/>
        <v>0</v>
      </c>
      <c r="K43" s="2" t="str">
        <f t="shared" si="4"/>
        <v xml:space="preserve"> </v>
      </c>
      <c r="L43" s="2" t="str">
        <f t="shared" si="1"/>
        <v xml:space="preserve"> </v>
      </c>
      <c r="M43" s="2" t="str">
        <f t="shared" si="2"/>
        <v xml:space="preserve"> </v>
      </c>
    </row>
    <row r="44" spans="1:13" x14ac:dyDescent="0.25">
      <c r="A44" s="42" t="str">
        <f t="shared" si="0"/>
        <v xml:space="preserve"> </v>
      </c>
      <c r="D44" s="41"/>
      <c r="E44" s="41"/>
      <c r="J44" s="17">
        <f t="shared" si="3"/>
        <v>0</v>
      </c>
      <c r="K44" s="2" t="str">
        <f t="shared" si="4"/>
        <v xml:space="preserve"> </v>
      </c>
      <c r="L44" s="2" t="str">
        <f t="shared" si="1"/>
        <v xml:space="preserve"> </v>
      </c>
      <c r="M44" s="2" t="str">
        <f t="shared" si="2"/>
        <v xml:space="preserve"> </v>
      </c>
    </row>
    <row r="45" spans="1:13" x14ac:dyDescent="0.25">
      <c r="A45" s="42" t="str">
        <f t="shared" si="0"/>
        <v xml:space="preserve"> </v>
      </c>
      <c r="D45" s="41"/>
      <c r="E45" s="41"/>
      <c r="J45" s="17">
        <f t="shared" si="3"/>
        <v>0</v>
      </c>
      <c r="K45" s="2" t="str">
        <f t="shared" si="4"/>
        <v xml:space="preserve"> </v>
      </c>
      <c r="L45" s="2" t="str">
        <f t="shared" si="1"/>
        <v xml:space="preserve"> </v>
      </c>
      <c r="M45" s="2" t="str">
        <f t="shared" si="2"/>
        <v xml:space="preserve"> </v>
      </c>
    </row>
    <row r="46" spans="1:13" x14ac:dyDescent="0.25">
      <c r="A46" s="42" t="str">
        <f t="shared" si="0"/>
        <v xml:space="preserve"> </v>
      </c>
      <c r="D46" s="41"/>
      <c r="E46" s="41"/>
      <c r="J46" s="17">
        <f t="shared" si="3"/>
        <v>0</v>
      </c>
      <c r="K46" s="2" t="str">
        <f t="shared" si="4"/>
        <v xml:space="preserve"> </v>
      </c>
      <c r="L46" s="2" t="str">
        <f t="shared" si="1"/>
        <v xml:space="preserve"> </v>
      </c>
      <c r="M46" s="2" t="str">
        <f t="shared" si="2"/>
        <v xml:space="preserve"> </v>
      </c>
    </row>
    <row r="47" spans="1:13" x14ac:dyDescent="0.25">
      <c r="A47" s="42" t="str">
        <f t="shared" si="0"/>
        <v xml:space="preserve"> </v>
      </c>
      <c r="D47" s="41"/>
      <c r="E47" s="41"/>
      <c r="J47" s="17">
        <f t="shared" si="3"/>
        <v>0</v>
      </c>
      <c r="K47" s="2" t="str">
        <f t="shared" si="4"/>
        <v xml:space="preserve"> </v>
      </c>
      <c r="L47" s="2" t="str">
        <f t="shared" si="1"/>
        <v xml:space="preserve"> </v>
      </c>
      <c r="M47" s="2" t="str">
        <f t="shared" si="2"/>
        <v xml:space="preserve"> </v>
      </c>
    </row>
    <row r="48" spans="1:13" x14ac:dyDescent="0.25">
      <c r="A48" s="42" t="str">
        <f t="shared" si="0"/>
        <v xml:space="preserve"> </v>
      </c>
      <c r="D48" s="41"/>
      <c r="E48" s="41"/>
      <c r="J48" s="17">
        <f t="shared" si="3"/>
        <v>0</v>
      </c>
      <c r="K48" s="2" t="str">
        <f t="shared" si="4"/>
        <v xml:space="preserve"> </v>
      </c>
      <c r="L48" s="2" t="str">
        <f t="shared" si="1"/>
        <v xml:space="preserve"> </v>
      </c>
      <c r="M48" s="2" t="str">
        <f t="shared" si="2"/>
        <v xml:space="preserve"> </v>
      </c>
    </row>
    <row r="49" spans="1:13" x14ac:dyDescent="0.25">
      <c r="A49" s="42" t="str">
        <f t="shared" si="0"/>
        <v xml:space="preserve"> </v>
      </c>
      <c r="D49" s="41"/>
      <c r="E49" s="41"/>
      <c r="J49" s="17">
        <f t="shared" si="3"/>
        <v>0</v>
      </c>
      <c r="K49" s="2" t="str">
        <f t="shared" si="4"/>
        <v xml:space="preserve"> </v>
      </c>
      <c r="L49" s="2" t="str">
        <f t="shared" si="1"/>
        <v xml:space="preserve"> </v>
      </c>
      <c r="M49" s="2" t="str">
        <f t="shared" si="2"/>
        <v xml:space="preserve"> </v>
      </c>
    </row>
    <row r="50" spans="1:13" x14ac:dyDescent="0.25">
      <c r="A50" s="42" t="str">
        <f t="shared" si="0"/>
        <v xml:space="preserve"> </v>
      </c>
      <c r="D50" s="41"/>
      <c r="E50" s="41"/>
      <c r="J50" s="17">
        <f t="shared" si="3"/>
        <v>0</v>
      </c>
      <c r="K50" s="2" t="str">
        <f t="shared" si="4"/>
        <v xml:space="preserve"> </v>
      </c>
      <c r="L50" s="2" t="str">
        <f t="shared" si="1"/>
        <v xml:space="preserve"> </v>
      </c>
      <c r="M50" s="2" t="str">
        <f t="shared" si="2"/>
        <v xml:space="preserve"> </v>
      </c>
    </row>
    <row r="51" spans="1:13" x14ac:dyDescent="0.25">
      <c r="A51" s="42" t="str">
        <f t="shared" si="0"/>
        <v xml:space="preserve"> </v>
      </c>
      <c r="D51" s="41"/>
      <c r="E51" s="41"/>
      <c r="J51" s="17">
        <f t="shared" si="3"/>
        <v>0</v>
      </c>
      <c r="K51" s="2" t="str">
        <f t="shared" si="4"/>
        <v xml:space="preserve"> </v>
      </c>
      <c r="L51" s="2" t="str">
        <f t="shared" si="1"/>
        <v xml:space="preserve"> </v>
      </c>
      <c r="M51" s="2" t="str">
        <f t="shared" si="2"/>
        <v xml:space="preserve"> </v>
      </c>
    </row>
    <row r="52" spans="1:13" x14ac:dyDescent="0.25">
      <c r="A52" s="42" t="str">
        <f t="shared" si="0"/>
        <v xml:space="preserve"> </v>
      </c>
      <c r="D52" s="41"/>
      <c r="E52" s="41"/>
      <c r="J52" s="17">
        <f t="shared" si="3"/>
        <v>0</v>
      </c>
      <c r="K52" s="2" t="str">
        <f t="shared" si="4"/>
        <v xml:space="preserve"> </v>
      </c>
      <c r="L52" s="2" t="str">
        <f t="shared" si="1"/>
        <v xml:space="preserve"> </v>
      </c>
      <c r="M52" s="2" t="str">
        <f t="shared" si="2"/>
        <v xml:space="preserve"> </v>
      </c>
    </row>
    <row r="53" spans="1:13" x14ac:dyDescent="0.25">
      <c r="A53" s="42" t="str">
        <f t="shared" si="0"/>
        <v xml:space="preserve"> </v>
      </c>
      <c r="D53" s="41"/>
      <c r="E53" s="41"/>
      <c r="J53" s="17">
        <f t="shared" si="3"/>
        <v>0</v>
      </c>
      <c r="K53" s="2" t="str">
        <f t="shared" si="4"/>
        <v xml:space="preserve"> </v>
      </c>
      <c r="L53" s="2" t="str">
        <f t="shared" si="1"/>
        <v xml:space="preserve"> </v>
      </c>
      <c r="M53" s="2" t="str">
        <f t="shared" si="2"/>
        <v xml:space="preserve"> </v>
      </c>
    </row>
    <row r="54" spans="1:13" x14ac:dyDescent="0.25">
      <c r="A54" s="42" t="str">
        <f t="shared" si="0"/>
        <v xml:space="preserve"> </v>
      </c>
      <c r="D54" s="41"/>
      <c r="E54" s="41"/>
      <c r="J54" s="17">
        <f t="shared" si="3"/>
        <v>0</v>
      </c>
      <c r="K54" s="2" t="str">
        <f t="shared" si="4"/>
        <v xml:space="preserve"> </v>
      </c>
      <c r="L54" s="2" t="str">
        <f t="shared" si="1"/>
        <v xml:space="preserve"> </v>
      </c>
      <c r="M54" s="2" t="str">
        <f t="shared" si="2"/>
        <v xml:space="preserve"> </v>
      </c>
    </row>
    <row r="55" spans="1:13" x14ac:dyDescent="0.25">
      <c r="A55" s="42" t="str">
        <f t="shared" si="0"/>
        <v xml:space="preserve"> </v>
      </c>
      <c r="D55" s="41"/>
      <c r="E55" s="41"/>
      <c r="J55" s="17">
        <f t="shared" si="3"/>
        <v>0</v>
      </c>
      <c r="K55" s="2" t="str">
        <f t="shared" si="4"/>
        <v xml:space="preserve"> </v>
      </c>
      <c r="L55" s="2" t="str">
        <f t="shared" si="1"/>
        <v xml:space="preserve"> </v>
      </c>
      <c r="M55" s="2" t="str">
        <f t="shared" si="2"/>
        <v xml:space="preserve"> </v>
      </c>
    </row>
    <row r="56" spans="1:13" x14ac:dyDescent="0.25">
      <c r="A56" s="42" t="str">
        <f t="shared" si="0"/>
        <v xml:space="preserve"> </v>
      </c>
      <c r="D56" s="41"/>
      <c r="E56" s="41"/>
      <c r="J56" s="17">
        <f t="shared" si="3"/>
        <v>0</v>
      </c>
      <c r="K56" s="2" t="str">
        <f t="shared" si="4"/>
        <v xml:space="preserve"> </v>
      </c>
      <c r="L56" s="2" t="str">
        <f t="shared" si="1"/>
        <v xml:space="preserve"> </v>
      </c>
      <c r="M56" s="2" t="str">
        <f t="shared" si="2"/>
        <v xml:space="preserve"> </v>
      </c>
    </row>
    <row r="57" spans="1:13" x14ac:dyDescent="0.25">
      <c r="A57" s="42" t="str">
        <f t="shared" si="0"/>
        <v xml:space="preserve"> </v>
      </c>
      <c r="D57" s="41"/>
      <c r="E57" s="41"/>
      <c r="J57" s="17">
        <f t="shared" si="3"/>
        <v>0</v>
      </c>
      <c r="K57" s="2" t="str">
        <f t="shared" si="4"/>
        <v xml:space="preserve"> </v>
      </c>
      <c r="L57" s="2" t="str">
        <f t="shared" si="1"/>
        <v xml:space="preserve"> </v>
      </c>
      <c r="M57" s="2" t="str">
        <f t="shared" si="2"/>
        <v xml:space="preserve"> </v>
      </c>
    </row>
    <row r="58" spans="1:13" x14ac:dyDescent="0.25">
      <c r="A58" s="42" t="str">
        <f t="shared" si="0"/>
        <v xml:space="preserve"> </v>
      </c>
      <c r="D58" s="41"/>
      <c r="E58" s="41"/>
      <c r="J58" s="17">
        <f t="shared" si="3"/>
        <v>0</v>
      </c>
      <c r="K58" s="2" t="str">
        <f t="shared" si="4"/>
        <v xml:space="preserve"> </v>
      </c>
      <c r="L58" s="2" t="str">
        <f t="shared" si="1"/>
        <v xml:space="preserve"> </v>
      </c>
      <c r="M58" s="2" t="str">
        <f t="shared" si="2"/>
        <v xml:space="preserve"> </v>
      </c>
    </row>
    <row r="59" spans="1:13" x14ac:dyDescent="0.25">
      <c r="A59" s="42" t="str">
        <f t="shared" si="0"/>
        <v xml:space="preserve"> </v>
      </c>
      <c r="D59" s="41"/>
      <c r="E59" s="41"/>
      <c r="J59" s="17">
        <f t="shared" si="3"/>
        <v>0</v>
      </c>
      <c r="K59" s="2" t="str">
        <f t="shared" si="4"/>
        <v xml:space="preserve"> </v>
      </c>
      <c r="L59" s="2" t="str">
        <f t="shared" si="1"/>
        <v xml:space="preserve"> </v>
      </c>
      <c r="M59" s="2" t="str">
        <f t="shared" si="2"/>
        <v xml:space="preserve"> </v>
      </c>
    </row>
    <row r="60" spans="1:13" x14ac:dyDescent="0.25">
      <c r="A60" s="42" t="str">
        <f t="shared" si="0"/>
        <v xml:space="preserve"> </v>
      </c>
      <c r="D60" s="41"/>
      <c r="E60" s="41"/>
      <c r="J60" s="17">
        <f t="shared" si="3"/>
        <v>0</v>
      </c>
      <c r="K60" s="2" t="str">
        <f t="shared" si="4"/>
        <v xml:space="preserve"> </v>
      </c>
      <c r="L60" s="2" t="str">
        <f t="shared" si="1"/>
        <v xml:space="preserve"> </v>
      </c>
      <c r="M60" s="2" t="str">
        <f t="shared" si="2"/>
        <v xml:space="preserve"> </v>
      </c>
    </row>
    <row r="61" spans="1:13" x14ac:dyDescent="0.25">
      <c r="A61" s="42" t="str">
        <f t="shared" si="0"/>
        <v xml:space="preserve"> </v>
      </c>
      <c r="D61" s="41"/>
      <c r="E61" s="41"/>
      <c r="J61" s="17">
        <f t="shared" si="3"/>
        <v>0</v>
      </c>
      <c r="K61" s="2" t="str">
        <f t="shared" si="4"/>
        <v xml:space="preserve"> </v>
      </c>
      <c r="L61" s="2" t="str">
        <f t="shared" si="1"/>
        <v xml:space="preserve"> </v>
      </c>
      <c r="M61" s="2" t="str">
        <f t="shared" si="2"/>
        <v xml:space="preserve"> </v>
      </c>
    </row>
    <row r="62" spans="1:13" x14ac:dyDescent="0.25">
      <c r="A62" s="42" t="str">
        <f t="shared" si="0"/>
        <v xml:space="preserve"> </v>
      </c>
      <c r="D62" s="41"/>
      <c r="E62" s="41"/>
      <c r="J62" s="17">
        <f t="shared" si="3"/>
        <v>0</v>
      </c>
      <c r="K62" s="2" t="str">
        <f t="shared" si="4"/>
        <v xml:space="preserve"> </v>
      </c>
      <c r="L62" s="2" t="str">
        <f t="shared" si="1"/>
        <v xml:space="preserve"> </v>
      </c>
      <c r="M62" s="2" t="str">
        <f t="shared" si="2"/>
        <v xml:space="preserve"> </v>
      </c>
    </row>
    <row r="63" spans="1:13" x14ac:dyDescent="0.25">
      <c r="A63" s="42" t="str">
        <f t="shared" si="0"/>
        <v xml:space="preserve"> </v>
      </c>
      <c r="D63" s="41"/>
      <c r="E63" s="41"/>
      <c r="J63" s="17">
        <f t="shared" si="3"/>
        <v>0</v>
      </c>
      <c r="K63" s="2" t="str">
        <f t="shared" si="4"/>
        <v xml:space="preserve"> </v>
      </c>
      <c r="L63" s="2" t="str">
        <f t="shared" si="1"/>
        <v xml:space="preserve"> </v>
      </c>
      <c r="M63" s="2" t="str">
        <f t="shared" si="2"/>
        <v xml:space="preserve"> </v>
      </c>
    </row>
    <row r="64" spans="1:13" x14ac:dyDescent="0.25">
      <c r="A64" s="42" t="str">
        <f t="shared" si="0"/>
        <v xml:space="preserve"> </v>
      </c>
      <c r="D64" s="41"/>
      <c r="E64" s="41"/>
      <c r="J64" s="17">
        <f t="shared" si="3"/>
        <v>0</v>
      </c>
      <c r="K64" s="2" t="str">
        <f t="shared" si="4"/>
        <v xml:space="preserve"> </v>
      </c>
      <c r="L64" s="2" t="str">
        <f t="shared" si="1"/>
        <v xml:space="preserve"> </v>
      </c>
      <c r="M64" s="2" t="str">
        <f t="shared" si="2"/>
        <v xml:space="preserve"> </v>
      </c>
    </row>
    <row r="65" spans="1:13" x14ac:dyDescent="0.25">
      <c r="A65" s="42" t="str">
        <f t="shared" si="0"/>
        <v xml:space="preserve"> </v>
      </c>
      <c r="D65" s="41"/>
      <c r="E65" s="41"/>
      <c r="J65" s="17">
        <f t="shared" si="3"/>
        <v>0</v>
      </c>
      <c r="K65" s="2" t="str">
        <f t="shared" si="4"/>
        <v xml:space="preserve"> </v>
      </c>
      <c r="L65" s="2" t="str">
        <f t="shared" si="1"/>
        <v xml:space="preserve"> </v>
      </c>
      <c r="M65" s="2" t="str">
        <f t="shared" si="2"/>
        <v xml:space="preserve"> </v>
      </c>
    </row>
    <row r="66" spans="1:13" x14ac:dyDescent="0.25">
      <c r="A66" s="42" t="str">
        <f t="shared" si="0"/>
        <v xml:space="preserve"> </v>
      </c>
      <c r="D66" s="41"/>
      <c r="E66" s="41"/>
      <c r="J66" s="17">
        <f t="shared" si="3"/>
        <v>0</v>
      </c>
      <c r="K66" s="2" t="str">
        <f t="shared" si="4"/>
        <v xml:space="preserve"> </v>
      </c>
      <c r="L66" s="2" t="str">
        <f t="shared" si="1"/>
        <v xml:space="preserve"> </v>
      </c>
      <c r="M66" s="2" t="str">
        <f t="shared" si="2"/>
        <v xml:space="preserve"> </v>
      </c>
    </row>
    <row r="67" spans="1:13" x14ac:dyDescent="0.25">
      <c r="A67" s="42" t="str">
        <f t="shared" si="0"/>
        <v xml:space="preserve"> </v>
      </c>
      <c r="D67" s="41"/>
      <c r="E67" s="41"/>
      <c r="J67" s="17">
        <f t="shared" si="3"/>
        <v>0</v>
      </c>
      <c r="K67" s="2" t="str">
        <f t="shared" si="4"/>
        <v xml:space="preserve"> </v>
      </c>
      <c r="L67" s="2" t="str">
        <f t="shared" si="1"/>
        <v xml:space="preserve"> </v>
      </c>
      <c r="M67" s="2" t="str">
        <f t="shared" si="2"/>
        <v xml:space="preserve"> </v>
      </c>
    </row>
    <row r="68" spans="1:13" x14ac:dyDescent="0.25">
      <c r="A68" s="42" t="str">
        <f t="shared" si="0"/>
        <v xml:space="preserve"> </v>
      </c>
      <c r="D68" s="41"/>
      <c r="E68" s="41"/>
      <c r="J68" s="17">
        <f t="shared" si="3"/>
        <v>0</v>
      </c>
      <c r="K68" s="2" t="str">
        <f t="shared" si="4"/>
        <v xml:space="preserve"> </v>
      </c>
      <c r="L68" s="2" t="str">
        <f t="shared" si="1"/>
        <v xml:space="preserve"> </v>
      </c>
      <c r="M68" s="2" t="str">
        <f t="shared" si="2"/>
        <v xml:space="preserve"> </v>
      </c>
    </row>
    <row r="69" spans="1:13" x14ac:dyDescent="0.25">
      <c r="A69" s="42" t="str">
        <f t="shared" si="0"/>
        <v xml:space="preserve"> </v>
      </c>
      <c r="D69" s="41"/>
      <c r="E69" s="41"/>
      <c r="J69" s="17">
        <f t="shared" si="3"/>
        <v>0</v>
      </c>
      <c r="K69" s="2" t="str">
        <f t="shared" si="4"/>
        <v xml:space="preserve"> </v>
      </c>
      <c r="L69" s="2" t="str">
        <f t="shared" si="1"/>
        <v xml:space="preserve"> </v>
      </c>
      <c r="M69" s="2" t="str">
        <f t="shared" si="2"/>
        <v xml:space="preserve"> </v>
      </c>
    </row>
    <row r="70" spans="1:13" x14ac:dyDescent="0.25">
      <c r="A70" s="42" t="str">
        <f t="shared" si="0"/>
        <v xml:space="preserve"> </v>
      </c>
      <c r="D70" s="41"/>
      <c r="E70" s="41"/>
      <c r="J70" s="17">
        <f t="shared" si="3"/>
        <v>0</v>
      </c>
      <c r="K70" s="2" t="str">
        <f t="shared" si="4"/>
        <v xml:space="preserve"> </v>
      </c>
      <c r="L70" s="2" t="str">
        <f t="shared" si="1"/>
        <v xml:space="preserve"> </v>
      </c>
      <c r="M70" s="2" t="str">
        <f t="shared" si="2"/>
        <v xml:space="preserve"> </v>
      </c>
    </row>
    <row r="71" spans="1:13" x14ac:dyDescent="0.25">
      <c r="A71" s="42" t="str">
        <f t="shared" si="0"/>
        <v xml:space="preserve"> </v>
      </c>
      <c r="D71" s="41"/>
      <c r="E71" s="41"/>
      <c r="J71" s="17">
        <f t="shared" si="3"/>
        <v>0</v>
      </c>
      <c r="K71" s="2" t="str">
        <f t="shared" si="4"/>
        <v xml:space="preserve"> </v>
      </c>
      <c r="L71" s="2" t="str">
        <f t="shared" si="1"/>
        <v xml:space="preserve"> </v>
      </c>
      <c r="M71" s="2" t="str">
        <f t="shared" si="2"/>
        <v xml:space="preserve"> </v>
      </c>
    </row>
    <row r="72" spans="1:13" x14ac:dyDescent="0.25">
      <c r="A72" s="42" t="str">
        <f t="shared" si="0"/>
        <v xml:space="preserve"> </v>
      </c>
      <c r="D72" s="41"/>
      <c r="E72" s="41"/>
      <c r="J72" s="17">
        <f t="shared" si="3"/>
        <v>0</v>
      </c>
      <c r="K72" s="2" t="str">
        <f t="shared" si="4"/>
        <v xml:space="preserve"> </v>
      </c>
      <c r="L72" s="2" t="str">
        <f t="shared" si="1"/>
        <v xml:space="preserve"> </v>
      </c>
      <c r="M72" s="2" t="str">
        <f t="shared" si="2"/>
        <v xml:space="preserve"> </v>
      </c>
    </row>
    <row r="73" spans="1:13" x14ac:dyDescent="0.25">
      <c r="A73" s="42" t="str">
        <f t="shared" si="0"/>
        <v xml:space="preserve"> </v>
      </c>
      <c r="D73" s="41"/>
      <c r="E73" s="41"/>
      <c r="J73" s="17">
        <f t="shared" si="3"/>
        <v>0</v>
      </c>
      <c r="K73" s="2" t="str">
        <f t="shared" si="4"/>
        <v xml:space="preserve"> </v>
      </c>
      <c r="L73" s="2" t="str">
        <f t="shared" si="1"/>
        <v xml:space="preserve"> </v>
      </c>
      <c r="M73" s="2" t="str">
        <f t="shared" si="2"/>
        <v xml:space="preserve"> </v>
      </c>
    </row>
    <row r="74" spans="1:13" x14ac:dyDescent="0.25">
      <c r="A74" s="42" t="str">
        <f t="shared" si="0"/>
        <v xml:space="preserve"> </v>
      </c>
      <c r="D74" s="41"/>
      <c r="E74" s="41"/>
      <c r="J74" s="17">
        <f t="shared" si="3"/>
        <v>0</v>
      </c>
      <c r="K74" s="2" t="str">
        <f t="shared" si="4"/>
        <v xml:space="preserve"> </v>
      </c>
      <c r="L74" s="2" t="str">
        <f t="shared" si="1"/>
        <v xml:space="preserve"> </v>
      </c>
      <c r="M74" s="2" t="str">
        <f t="shared" si="2"/>
        <v xml:space="preserve"> </v>
      </c>
    </row>
    <row r="75" spans="1:13" x14ac:dyDescent="0.25">
      <c r="A75" s="42" t="str">
        <f t="shared" si="0"/>
        <v xml:space="preserve"> </v>
      </c>
      <c r="D75" s="41"/>
      <c r="E75" s="41"/>
      <c r="J75" s="17">
        <f t="shared" si="3"/>
        <v>0</v>
      </c>
      <c r="K75" s="2" t="str">
        <f t="shared" si="4"/>
        <v xml:space="preserve"> </v>
      </c>
      <c r="L75" s="2" t="str">
        <f t="shared" si="1"/>
        <v xml:space="preserve"> </v>
      </c>
      <c r="M75" s="2" t="str">
        <f t="shared" si="2"/>
        <v xml:space="preserve"> </v>
      </c>
    </row>
    <row r="76" spans="1:13" x14ac:dyDescent="0.25">
      <c r="A76" s="42" t="str">
        <f t="shared" si="0"/>
        <v xml:space="preserve"> </v>
      </c>
      <c r="D76" s="41"/>
      <c r="E76" s="41"/>
      <c r="J76" s="17">
        <f t="shared" si="3"/>
        <v>0</v>
      </c>
      <c r="K76" s="2" t="str">
        <f t="shared" si="4"/>
        <v xml:space="preserve"> </v>
      </c>
      <c r="L76" s="2" t="str">
        <f t="shared" si="1"/>
        <v xml:space="preserve"> </v>
      </c>
      <c r="M76" s="2" t="str">
        <f t="shared" si="2"/>
        <v xml:space="preserve"> </v>
      </c>
    </row>
    <row r="77" spans="1:13" x14ac:dyDescent="0.25">
      <c r="A77" s="42" t="str">
        <f t="shared" si="0"/>
        <v xml:space="preserve"> </v>
      </c>
      <c r="D77" s="41"/>
      <c r="E77" s="41"/>
      <c r="J77" s="17">
        <f t="shared" si="3"/>
        <v>0</v>
      </c>
      <c r="K77" s="2" t="str">
        <f t="shared" si="4"/>
        <v xml:space="preserve"> </v>
      </c>
      <c r="L77" s="2" t="str">
        <f t="shared" si="1"/>
        <v xml:space="preserve"> </v>
      </c>
      <c r="M77" s="2" t="str">
        <f t="shared" si="2"/>
        <v xml:space="preserve"> </v>
      </c>
    </row>
    <row r="78" spans="1:13" x14ac:dyDescent="0.25">
      <c r="A78" s="42" t="str">
        <f t="shared" si="0"/>
        <v xml:space="preserve"> </v>
      </c>
      <c r="D78" s="41"/>
      <c r="E78" s="41"/>
      <c r="J78" s="17">
        <f t="shared" si="3"/>
        <v>0</v>
      </c>
      <c r="K78" s="2" t="str">
        <f t="shared" si="4"/>
        <v xml:space="preserve"> </v>
      </c>
      <c r="L78" s="2" t="str">
        <f t="shared" si="1"/>
        <v xml:space="preserve"> </v>
      </c>
      <c r="M78" s="2" t="str">
        <f t="shared" si="2"/>
        <v xml:space="preserve"> </v>
      </c>
    </row>
    <row r="79" spans="1:13" x14ac:dyDescent="0.25">
      <c r="A79" s="42" t="str">
        <f t="shared" ref="A79:A142" si="5">IF(COUNTIF(K79:M79,"ERROR")&gt;0,"ERROR"," ")</f>
        <v xml:space="preserve"> </v>
      </c>
      <c r="D79" s="41"/>
      <c r="E79" s="41"/>
      <c r="J79" s="17">
        <f t="shared" si="3"/>
        <v>0</v>
      </c>
      <c r="K79" s="2" t="str">
        <f t="shared" si="4"/>
        <v xml:space="preserve"> </v>
      </c>
      <c r="L79" s="2" t="str">
        <f t="shared" ref="L79:L142" si="6">IF(D79=0," ",IF(COUNTIF(ProfitLoss4,D79)&gt;0," ","ERROR"))</f>
        <v xml:space="preserve"> </v>
      </c>
      <c r="M79" s="2" t="str">
        <f t="shared" ref="M79:M142" si="7">IF(E79=0," ",IF(COUNTIF(BalanceSheet4,E79)&gt;0," ","ERROR"))</f>
        <v xml:space="preserve"> </v>
      </c>
    </row>
    <row r="80" spans="1:13" x14ac:dyDescent="0.25">
      <c r="A80" s="42" t="str">
        <f t="shared" si="5"/>
        <v xml:space="preserve"> </v>
      </c>
      <c r="D80" s="41"/>
      <c r="E80" s="41"/>
      <c r="J80" s="17">
        <f t="shared" ref="J80:J143" si="8">F80-G80+H80-I80</f>
        <v>0</v>
      </c>
      <c r="K80" s="2" t="str">
        <f t="shared" ref="K80:K143" si="9">IF(COUNTA(D80:E80)=2,"ERROR"," ")</f>
        <v xml:space="preserve"> </v>
      </c>
      <c r="L80" s="2" t="str">
        <f t="shared" si="6"/>
        <v xml:space="preserve"> </v>
      </c>
      <c r="M80" s="2" t="str">
        <f t="shared" si="7"/>
        <v xml:space="preserve"> </v>
      </c>
    </row>
    <row r="81" spans="1:13" x14ac:dyDescent="0.25">
      <c r="A81" s="42" t="str">
        <f t="shared" si="5"/>
        <v xml:space="preserve"> </v>
      </c>
      <c r="D81" s="41"/>
      <c r="E81" s="41"/>
      <c r="J81" s="17">
        <f t="shared" si="8"/>
        <v>0</v>
      </c>
      <c r="K81" s="2" t="str">
        <f t="shared" si="9"/>
        <v xml:space="preserve"> </v>
      </c>
      <c r="L81" s="2" t="str">
        <f t="shared" si="6"/>
        <v xml:space="preserve"> </v>
      </c>
      <c r="M81" s="2" t="str">
        <f t="shared" si="7"/>
        <v xml:space="preserve"> </v>
      </c>
    </row>
    <row r="82" spans="1:13" x14ac:dyDescent="0.25">
      <c r="A82" s="42" t="str">
        <f t="shared" si="5"/>
        <v xml:space="preserve"> </v>
      </c>
      <c r="D82" s="41"/>
      <c r="E82" s="41"/>
      <c r="J82" s="17">
        <f t="shared" si="8"/>
        <v>0</v>
      </c>
      <c r="K82" s="2" t="str">
        <f t="shared" si="9"/>
        <v xml:space="preserve"> </v>
      </c>
      <c r="L82" s="2" t="str">
        <f t="shared" si="6"/>
        <v xml:space="preserve"> </v>
      </c>
      <c r="M82" s="2" t="str">
        <f t="shared" si="7"/>
        <v xml:space="preserve"> </v>
      </c>
    </row>
    <row r="83" spans="1:13" x14ac:dyDescent="0.25">
      <c r="A83" s="42" t="str">
        <f t="shared" si="5"/>
        <v xml:space="preserve"> </v>
      </c>
      <c r="D83" s="41"/>
      <c r="E83" s="41"/>
      <c r="J83" s="17">
        <f t="shared" si="8"/>
        <v>0</v>
      </c>
      <c r="K83" s="2" t="str">
        <f t="shared" si="9"/>
        <v xml:space="preserve"> </v>
      </c>
      <c r="L83" s="2" t="str">
        <f t="shared" si="6"/>
        <v xml:space="preserve"> </v>
      </c>
      <c r="M83" s="2" t="str">
        <f t="shared" si="7"/>
        <v xml:space="preserve"> </v>
      </c>
    </row>
    <row r="84" spans="1:13" x14ac:dyDescent="0.25">
      <c r="A84" s="42" t="str">
        <f t="shared" si="5"/>
        <v xml:space="preserve"> </v>
      </c>
      <c r="D84" s="41"/>
      <c r="E84" s="41"/>
      <c r="J84" s="17">
        <f t="shared" si="8"/>
        <v>0</v>
      </c>
      <c r="K84" s="2" t="str">
        <f t="shared" si="9"/>
        <v xml:space="preserve"> </v>
      </c>
      <c r="L84" s="2" t="str">
        <f t="shared" si="6"/>
        <v xml:space="preserve"> </v>
      </c>
      <c r="M84" s="2" t="str">
        <f t="shared" si="7"/>
        <v xml:space="preserve"> </v>
      </c>
    </row>
    <row r="85" spans="1:13" x14ac:dyDescent="0.25">
      <c r="A85" s="42" t="str">
        <f t="shared" si="5"/>
        <v xml:space="preserve"> </v>
      </c>
      <c r="D85" s="41"/>
      <c r="E85" s="41"/>
      <c r="J85" s="17">
        <f t="shared" si="8"/>
        <v>0</v>
      </c>
      <c r="K85" s="2" t="str">
        <f t="shared" si="9"/>
        <v xml:space="preserve"> </v>
      </c>
      <c r="L85" s="2" t="str">
        <f t="shared" si="6"/>
        <v xml:space="preserve"> </v>
      </c>
      <c r="M85" s="2" t="str">
        <f t="shared" si="7"/>
        <v xml:space="preserve"> </v>
      </c>
    </row>
    <row r="86" spans="1:13" x14ac:dyDescent="0.25">
      <c r="A86" s="42" t="str">
        <f t="shared" si="5"/>
        <v xml:space="preserve"> </v>
      </c>
      <c r="D86" s="41"/>
      <c r="E86" s="41"/>
      <c r="J86" s="17">
        <f t="shared" si="8"/>
        <v>0</v>
      </c>
      <c r="K86" s="2" t="str">
        <f t="shared" si="9"/>
        <v xml:space="preserve"> </v>
      </c>
      <c r="L86" s="2" t="str">
        <f t="shared" si="6"/>
        <v xml:space="preserve"> </v>
      </c>
      <c r="M86" s="2" t="str">
        <f t="shared" si="7"/>
        <v xml:space="preserve"> </v>
      </c>
    </row>
    <row r="87" spans="1:13" x14ac:dyDescent="0.25">
      <c r="A87" s="42" t="str">
        <f t="shared" si="5"/>
        <v xml:space="preserve"> </v>
      </c>
      <c r="D87" s="41"/>
      <c r="E87" s="41"/>
      <c r="J87" s="17">
        <f t="shared" si="8"/>
        <v>0</v>
      </c>
      <c r="K87" s="2" t="str">
        <f t="shared" si="9"/>
        <v xml:space="preserve"> </v>
      </c>
      <c r="L87" s="2" t="str">
        <f t="shared" si="6"/>
        <v xml:space="preserve"> </v>
      </c>
      <c r="M87" s="2" t="str">
        <f t="shared" si="7"/>
        <v xml:space="preserve"> </v>
      </c>
    </row>
    <row r="88" spans="1:13" x14ac:dyDescent="0.25">
      <c r="A88" s="42" t="str">
        <f t="shared" si="5"/>
        <v xml:space="preserve"> </v>
      </c>
      <c r="D88" s="41"/>
      <c r="E88" s="41"/>
      <c r="J88" s="17">
        <f t="shared" si="8"/>
        <v>0</v>
      </c>
      <c r="K88" s="2" t="str">
        <f t="shared" si="9"/>
        <v xml:space="preserve"> </v>
      </c>
      <c r="L88" s="2" t="str">
        <f t="shared" si="6"/>
        <v xml:space="preserve"> </v>
      </c>
      <c r="M88" s="2" t="str">
        <f t="shared" si="7"/>
        <v xml:space="preserve"> </v>
      </c>
    </row>
    <row r="89" spans="1:13" x14ac:dyDescent="0.25">
      <c r="A89" s="42" t="str">
        <f t="shared" si="5"/>
        <v xml:space="preserve"> </v>
      </c>
      <c r="D89" s="41"/>
      <c r="E89" s="41"/>
      <c r="J89" s="17">
        <f t="shared" si="8"/>
        <v>0</v>
      </c>
      <c r="K89" s="2" t="str">
        <f t="shared" si="9"/>
        <v xml:space="preserve"> </v>
      </c>
      <c r="L89" s="2" t="str">
        <f t="shared" si="6"/>
        <v xml:space="preserve"> </v>
      </c>
      <c r="M89" s="2" t="str">
        <f t="shared" si="7"/>
        <v xml:space="preserve"> </v>
      </c>
    </row>
    <row r="90" spans="1:13" x14ac:dyDescent="0.25">
      <c r="A90" s="42" t="str">
        <f t="shared" si="5"/>
        <v xml:space="preserve"> </v>
      </c>
      <c r="D90" s="41"/>
      <c r="E90" s="41"/>
      <c r="J90" s="17">
        <f t="shared" si="8"/>
        <v>0</v>
      </c>
      <c r="K90" s="2" t="str">
        <f t="shared" si="9"/>
        <v xml:space="preserve"> </v>
      </c>
      <c r="L90" s="2" t="str">
        <f t="shared" si="6"/>
        <v xml:space="preserve"> </v>
      </c>
      <c r="M90" s="2" t="str">
        <f t="shared" si="7"/>
        <v xml:space="preserve"> </v>
      </c>
    </row>
    <row r="91" spans="1:13" x14ac:dyDescent="0.25">
      <c r="A91" s="42" t="str">
        <f t="shared" si="5"/>
        <v xml:space="preserve"> </v>
      </c>
      <c r="D91" s="41"/>
      <c r="E91" s="41"/>
      <c r="J91" s="17">
        <f t="shared" si="8"/>
        <v>0</v>
      </c>
      <c r="K91" s="2" t="str">
        <f t="shared" si="9"/>
        <v xml:space="preserve"> </v>
      </c>
      <c r="L91" s="2" t="str">
        <f t="shared" si="6"/>
        <v xml:space="preserve"> </v>
      </c>
      <c r="M91" s="2" t="str">
        <f t="shared" si="7"/>
        <v xml:space="preserve"> </v>
      </c>
    </row>
    <row r="92" spans="1:13" x14ac:dyDescent="0.25">
      <c r="A92" s="42" t="str">
        <f t="shared" si="5"/>
        <v xml:space="preserve"> </v>
      </c>
      <c r="D92" s="41"/>
      <c r="E92" s="41"/>
      <c r="J92" s="17">
        <f t="shared" si="8"/>
        <v>0</v>
      </c>
      <c r="K92" s="2" t="str">
        <f t="shared" si="9"/>
        <v xml:space="preserve"> </v>
      </c>
      <c r="L92" s="2" t="str">
        <f t="shared" si="6"/>
        <v xml:space="preserve"> </v>
      </c>
      <c r="M92" s="2" t="str">
        <f t="shared" si="7"/>
        <v xml:space="preserve"> </v>
      </c>
    </row>
    <row r="93" spans="1:13" x14ac:dyDescent="0.25">
      <c r="A93" s="42" t="str">
        <f t="shared" si="5"/>
        <v xml:space="preserve"> </v>
      </c>
      <c r="D93" s="41"/>
      <c r="E93" s="41"/>
      <c r="J93" s="17">
        <f t="shared" si="8"/>
        <v>0</v>
      </c>
      <c r="K93" s="2" t="str">
        <f t="shared" si="9"/>
        <v xml:space="preserve"> </v>
      </c>
      <c r="L93" s="2" t="str">
        <f t="shared" si="6"/>
        <v xml:space="preserve"> </v>
      </c>
      <c r="M93" s="2" t="str">
        <f t="shared" si="7"/>
        <v xml:space="preserve"> </v>
      </c>
    </row>
    <row r="94" spans="1:13" x14ac:dyDescent="0.25">
      <c r="A94" s="42" t="str">
        <f t="shared" si="5"/>
        <v xml:space="preserve"> </v>
      </c>
      <c r="D94" s="41"/>
      <c r="E94" s="41"/>
      <c r="J94" s="17">
        <f t="shared" si="8"/>
        <v>0</v>
      </c>
      <c r="K94" s="2" t="str">
        <f t="shared" si="9"/>
        <v xml:space="preserve"> </v>
      </c>
      <c r="L94" s="2" t="str">
        <f t="shared" si="6"/>
        <v xml:space="preserve"> </v>
      </c>
      <c r="M94" s="2" t="str">
        <f t="shared" si="7"/>
        <v xml:space="preserve"> </v>
      </c>
    </row>
    <row r="95" spans="1:13" x14ac:dyDescent="0.25">
      <c r="A95" s="42" t="str">
        <f t="shared" si="5"/>
        <v xml:space="preserve"> </v>
      </c>
      <c r="D95" s="41"/>
      <c r="E95" s="41"/>
      <c r="J95" s="17">
        <f t="shared" si="8"/>
        <v>0</v>
      </c>
      <c r="K95" s="2" t="str">
        <f t="shared" si="9"/>
        <v xml:space="preserve"> </v>
      </c>
      <c r="L95" s="2" t="str">
        <f t="shared" si="6"/>
        <v xml:space="preserve"> </v>
      </c>
      <c r="M95" s="2" t="str">
        <f t="shared" si="7"/>
        <v xml:space="preserve"> </v>
      </c>
    </row>
    <row r="96" spans="1:13" x14ac:dyDescent="0.25">
      <c r="A96" s="42" t="str">
        <f t="shared" si="5"/>
        <v xml:space="preserve"> </v>
      </c>
      <c r="D96" s="41"/>
      <c r="E96" s="41"/>
      <c r="J96" s="17">
        <f t="shared" si="8"/>
        <v>0</v>
      </c>
      <c r="K96" s="2" t="str">
        <f t="shared" si="9"/>
        <v xml:space="preserve"> </v>
      </c>
      <c r="L96" s="2" t="str">
        <f t="shared" si="6"/>
        <v xml:space="preserve"> </v>
      </c>
      <c r="M96" s="2" t="str">
        <f t="shared" si="7"/>
        <v xml:space="preserve"> </v>
      </c>
    </row>
    <row r="97" spans="1:13" x14ac:dyDescent="0.25">
      <c r="A97" s="42" t="str">
        <f t="shared" si="5"/>
        <v xml:space="preserve"> </v>
      </c>
      <c r="D97" s="41"/>
      <c r="E97" s="41"/>
      <c r="J97" s="17">
        <f t="shared" si="8"/>
        <v>0</v>
      </c>
      <c r="K97" s="2" t="str">
        <f t="shared" si="9"/>
        <v xml:space="preserve"> </v>
      </c>
      <c r="L97" s="2" t="str">
        <f t="shared" si="6"/>
        <v xml:space="preserve"> </v>
      </c>
      <c r="M97" s="2" t="str">
        <f t="shared" si="7"/>
        <v xml:space="preserve"> </v>
      </c>
    </row>
    <row r="98" spans="1:13" x14ac:dyDescent="0.25">
      <c r="A98" s="42" t="str">
        <f t="shared" si="5"/>
        <v xml:space="preserve"> </v>
      </c>
      <c r="D98" s="41"/>
      <c r="E98" s="41"/>
      <c r="J98" s="17">
        <f t="shared" si="8"/>
        <v>0</v>
      </c>
      <c r="K98" s="2" t="str">
        <f t="shared" si="9"/>
        <v xml:space="preserve"> </v>
      </c>
      <c r="L98" s="2" t="str">
        <f t="shared" si="6"/>
        <v xml:space="preserve"> </v>
      </c>
      <c r="M98" s="2" t="str">
        <f t="shared" si="7"/>
        <v xml:space="preserve"> </v>
      </c>
    </row>
    <row r="99" spans="1:13" x14ac:dyDescent="0.25">
      <c r="A99" s="42" t="str">
        <f t="shared" si="5"/>
        <v xml:space="preserve"> </v>
      </c>
      <c r="D99" s="41"/>
      <c r="E99" s="41"/>
      <c r="J99" s="17">
        <f t="shared" si="8"/>
        <v>0</v>
      </c>
      <c r="K99" s="2" t="str">
        <f t="shared" si="9"/>
        <v xml:space="preserve"> </v>
      </c>
      <c r="L99" s="2" t="str">
        <f t="shared" si="6"/>
        <v xml:space="preserve"> </v>
      </c>
      <c r="M99" s="2" t="str">
        <f t="shared" si="7"/>
        <v xml:space="preserve"> </v>
      </c>
    </row>
    <row r="100" spans="1:13" x14ac:dyDescent="0.25">
      <c r="A100" s="42" t="str">
        <f t="shared" si="5"/>
        <v xml:space="preserve"> </v>
      </c>
      <c r="D100" s="41"/>
      <c r="E100" s="41"/>
      <c r="J100" s="17">
        <f t="shared" si="8"/>
        <v>0</v>
      </c>
      <c r="K100" s="2" t="str">
        <f t="shared" si="9"/>
        <v xml:space="preserve"> </v>
      </c>
      <c r="L100" s="2" t="str">
        <f t="shared" si="6"/>
        <v xml:space="preserve"> </v>
      </c>
      <c r="M100" s="2" t="str">
        <f t="shared" si="7"/>
        <v xml:space="preserve"> </v>
      </c>
    </row>
    <row r="101" spans="1:13" x14ac:dyDescent="0.25">
      <c r="A101" s="42" t="str">
        <f t="shared" si="5"/>
        <v xml:space="preserve"> </v>
      </c>
      <c r="D101" s="41"/>
      <c r="E101" s="41"/>
      <c r="J101" s="17">
        <f t="shared" si="8"/>
        <v>0</v>
      </c>
      <c r="K101" s="2" t="str">
        <f t="shared" si="9"/>
        <v xml:space="preserve"> </v>
      </c>
      <c r="L101" s="2" t="str">
        <f t="shared" si="6"/>
        <v xml:space="preserve"> </v>
      </c>
      <c r="M101" s="2" t="str">
        <f t="shared" si="7"/>
        <v xml:space="preserve"> </v>
      </c>
    </row>
    <row r="102" spans="1:13" x14ac:dyDescent="0.25">
      <c r="A102" s="42" t="str">
        <f t="shared" si="5"/>
        <v xml:space="preserve"> </v>
      </c>
      <c r="D102" s="41"/>
      <c r="E102" s="41"/>
      <c r="J102" s="17">
        <f t="shared" si="8"/>
        <v>0</v>
      </c>
      <c r="K102" s="2" t="str">
        <f t="shared" si="9"/>
        <v xml:space="preserve"> </v>
      </c>
      <c r="L102" s="2" t="str">
        <f t="shared" si="6"/>
        <v xml:space="preserve"> </v>
      </c>
      <c r="M102" s="2" t="str">
        <f t="shared" si="7"/>
        <v xml:space="preserve"> </v>
      </c>
    </row>
    <row r="103" spans="1:13" x14ac:dyDescent="0.25">
      <c r="A103" s="42" t="str">
        <f t="shared" si="5"/>
        <v xml:space="preserve"> </v>
      </c>
      <c r="D103" s="41"/>
      <c r="E103" s="41"/>
      <c r="J103" s="17">
        <f t="shared" si="8"/>
        <v>0</v>
      </c>
      <c r="K103" s="2" t="str">
        <f t="shared" si="9"/>
        <v xml:space="preserve"> </v>
      </c>
      <c r="L103" s="2" t="str">
        <f t="shared" si="6"/>
        <v xml:space="preserve"> </v>
      </c>
      <c r="M103" s="2" t="str">
        <f t="shared" si="7"/>
        <v xml:space="preserve"> </v>
      </c>
    </row>
    <row r="104" spans="1:13" x14ac:dyDescent="0.25">
      <c r="A104" s="42" t="str">
        <f t="shared" si="5"/>
        <v xml:space="preserve"> </v>
      </c>
      <c r="D104" s="41"/>
      <c r="E104" s="41"/>
      <c r="J104" s="17">
        <f t="shared" si="8"/>
        <v>0</v>
      </c>
      <c r="K104" s="2" t="str">
        <f t="shared" si="9"/>
        <v xml:space="preserve"> </v>
      </c>
      <c r="L104" s="2" t="str">
        <f t="shared" si="6"/>
        <v xml:space="preserve"> </v>
      </c>
      <c r="M104" s="2" t="str">
        <f t="shared" si="7"/>
        <v xml:space="preserve"> </v>
      </c>
    </row>
    <row r="105" spans="1:13" x14ac:dyDescent="0.25">
      <c r="A105" s="42" t="str">
        <f t="shared" si="5"/>
        <v xml:space="preserve"> </v>
      </c>
      <c r="D105" s="41"/>
      <c r="E105" s="41"/>
      <c r="J105" s="17">
        <f t="shared" si="8"/>
        <v>0</v>
      </c>
      <c r="K105" s="2" t="str">
        <f t="shared" si="9"/>
        <v xml:space="preserve"> </v>
      </c>
      <c r="L105" s="2" t="str">
        <f t="shared" si="6"/>
        <v xml:space="preserve"> </v>
      </c>
      <c r="M105" s="2" t="str">
        <f t="shared" si="7"/>
        <v xml:space="preserve"> </v>
      </c>
    </row>
    <row r="106" spans="1:13" x14ac:dyDescent="0.25">
      <c r="A106" s="42" t="str">
        <f t="shared" si="5"/>
        <v xml:space="preserve"> </v>
      </c>
      <c r="D106" s="41"/>
      <c r="E106" s="41"/>
      <c r="J106" s="17">
        <f t="shared" si="8"/>
        <v>0</v>
      </c>
      <c r="K106" s="2" t="str">
        <f t="shared" si="9"/>
        <v xml:space="preserve"> </v>
      </c>
      <c r="L106" s="2" t="str">
        <f t="shared" si="6"/>
        <v xml:space="preserve"> </v>
      </c>
      <c r="M106" s="2" t="str">
        <f t="shared" si="7"/>
        <v xml:space="preserve"> </v>
      </c>
    </row>
    <row r="107" spans="1:13" x14ac:dyDescent="0.25">
      <c r="A107" s="42" t="str">
        <f t="shared" si="5"/>
        <v xml:space="preserve"> </v>
      </c>
      <c r="D107" s="41"/>
      <c r="E107" s="41"/>
      <c r="J107" s="17">
        <f t="shared" si="8"/>
        <v>0</v>
      </c>
      <c r="K107" s="2" t="str">
        <f t="shared" si="9"/>
        <v xml:space="preserve"> </v>
      </c>
      <c r="L107" s="2" t="str">
        <f t="shared" si="6"/>
        <v xml:space="preserve"> </v>
      </c>
      <c r="M107" s="2" t="str">
        <f t="shared" si="7"/>
        <v xml:space="preserve"> </v>
      </c>
    </row>
    <row r="108" spans="1:13" x14ac:dyDescent="0.25">
      <c r="A108" s="42" t="str">
        <f t="shared" si="5"/>
        <v xml:space="preserve"> </v>
      </c>
      <c r="D108" s="41"/>
      <c r="E108" s="41"/>
      <c r="J108" s="17">
        <f t="shared" si="8"/>
        <v>0</v>
      </c>
      <c r="K108" s="2" t="str">
        <f t="shared" si="9"/>
        <v xml:space="preserve"> </v>
      </c>
      <c r="L108" s="2" t="str">
        <f t="shared" si="6"/>
        <v xml:space="preserve"> </v>
      </c>
      <c r="M108" s="2" t="str">
        <f t="shared" si="7"/>
        <v xml:space="preserve"> </v>
      </c>
    </row>
    <row r="109" spans="1:13" x14ac:dyDescent="0.25">
      <c r="A109" s="42" t="str">
        <f t="shared" si="5"/>
        <v xml:space="preserve"> </v>
      </c>
      <c r="D109" s="41"/>
      <c r="E109" s="41"/>
      <c r="J109" s="17">
        <f t="shared" si="8"/>
        <v>0</v>
      </c>
      <c r="K109" s="2" t="str">
        <f t="shared" si="9"/>
        <v xml:space="preserve"> </v>
      </c>
      <c r="L109" s="2" t="str">
        <f t="shared" si="6"/>
        <v xml:space="preserve"> </v>
      </c>
      <c r="M109" s="2" t="str">
        <f t="shared" si="7"/>
        <v xml:space="preserve"> </v>
      </c>
    </row>
    <row r="110" spans="1:13" x14ac:dyDescent="0.25">
      <c r="A110" s="42" t="str">
        <f t="shared" si="5"/>
        <v xml:space="preserve"> </v>
      </c>
      <c r="B110" s="20"/>
      <c r="D110" s="41"/>
      <c r="E110" s="41"/>
      <c r="J110" s="17">
        <f t="shared" si="8"/>
        <v>0</v>
      </c>
      <c r="K110" s="2" t="str">
        <f t="shared" si="9"/>
        <v xml:space="preserve"> </v>
      </c>
      <c r="L110" s="2" t="str">
        <f t="shared" si="6"/>
        <v xml:space="preserve"> </v>
      </c>
      <c r="M110" s="2" t="str">
        <f t="shared" si="7"/>
        <v xml:space="preserve"> </v>
      </c>
    </row>
    <row r="111" spans="1:13" x14ac:dyDescent="0.25">
      <c r="A111" s="42" t="str">
        <f t="shared" si="5"/>
        <v xml:space="preserve"> </v>
      </c>
      <c r="D111" s="41"/>
      <c r="E111" s="41"/>
      <c r="J111" s="17">
        <f t="shared" si="8"/>
        <v>0</v>
      </c>
      <c r="K111" s="2" t="str">
        <f t="shared" si="9"/>
        <v xml:space="preserve"> </v>
      </c>
      <c r="L111" s="2" t="str">
        <f t="shared" si="6"/>
        <v xml:space="preserve"> </v>
      </c>
      <c r="M111" s="2" t="str">
        <f t="shared" si="7"/>
        <v xml:space="preserve"> </v>
      </c>
    </row>
    <row r="112" spans="1:13" x14ac:dyDescent="0.25">
      <c r="A112" s="42" t="str">
        <f t="shared" si="5"/>
        <v xml:space="preserve"> </v>
      </c>
      <c r="D112" s="41"/>
      <c r="E112" s="41"/>
      <c r="J112" s="17">
        <f t="shared" si="8"/>
        <v>0</v>
      </c>
      <c r="K112" s="2" t="str">
        <f t="shared" si="9"/>
        <v xml:space="preserve"> </v>
      </c>
      <c r="L112" s="2" t="str">
        <f t="shared" si="6"/>
        <v xml:space="preserve"> </v>
      </c>
      <c r="M112" s="2" t="str">
        <f t="shared" si="7"/>
        <v xml:space="preserve"> </v>
      </c>
    </row>
    <row r="113" spans="1:13" x14ac:dyDescent="0.25">
      <c r="A113" s="42" t="str">
        <f t="shared" si="5"/>
        <v xml:space="preserve"> </v>
      </c>
      <c r="D113" s="41"/>
      <c r="E113" s="41"/>
      <c r="J113" s="17">
        <f t="shared" si="8"/>
        <v>0</v>
      </c>
      <c r="K113" s="2" t="str">
        <f t="shared" si="9"/>
        <v xml:space="preserve"> </v>
      </c>
      <c r="L113" s="2" t="str">
        <f t="shared" si="6"/>
        <v xml:space="preserve"> </v>
      </c>
      <c r="M113" s="2" t="str">
        <f t="shared" si="7"/>
        <v xml:space="preserve"> </v>
      </c>
    </row>
    <row r="114" spans="1:13" x14ac:dyDescent="0.25">
      <c r="A114" s="42" t="str">
        <f t="shared" si="5"/>
        <v xml:space="preserve"> </v>
      </c>
      <c r="D114" s="41"/>
      <c r="E114" s="41"/>
      <c r="J114" s="17">
        <f t="shared" si="8"/>
        <v>0</v>
      </c>
      <c r="K114" s="2" t="str">
        <f t="shared" si="9"/>
        <v xml:space="preserve"> </v>
      </c>
      <c r="L114" s="2" t="str">
        <f t="shared" si="6"/>
        <v xml:space="preserve"> </v>
      </c>
      <c r="M114" s="2" t="str">
        <f t="shared" si="7"/>
        <v xml:space="preserve"> </v>
      </c>
    </row>
    <row r="115" spans="1:13" x14ac:dyDescent="0.25">
      <c r="A115" s="42" t="str">
        <f t="shared" si="5"/>
        <v xml:space="preserve"> </v>
      </c>
      <c r="D115" s="41"/>
      <c r="E115" s="41"/>
      <c r="J115" s="17">
        <f t="shared" si="8"/>
        <v>0</v>
      </c>
      <c r="K115" s="2" t="str">
        <f t="shared" si="9"/>
        <v xml:space="preserve"> </v>
      </c>
      <c r="L115" s="2" t="str">
        <f t="shared" si="6"/>
        <v xml:space="preserve"> </v>
      </c>
      <c r="M115" s="2" t="str">
        <f t="shared" si="7"/>
        <v xml:space="preserve"> </v>
      </c>
    </row>
    <row r="116" spans="1:13" x14ac:dyDescent="0.25">
      <c r="A116" s="42" t="str">
        <f t="shared" si="5"/>
        <v xml:space="preserve"> </v>
      </c>
      <c r="D116" s="41"/>
      <c r="E116" s="41"/>
      <c r="J116" s="17">
        <f t="shared" si="8"/>
        <v>0</v>
      </c>
      <c r="K116" s="2" t="str">
        <f t="shared" si="9"/>
        <v xml:space="preserve"> </v>
      </c>
      <c r="L116" s="2" t="str">
        <f t="shared" si="6"/>
        <v xml:space="preserve"> </v>
      </c>
      <c r="M116" s="2" t="str">
        <f t="shared" si="7"/>
        <v xml:space="preserve"> </v>
      </c>
    </row>
    <row r="117" spans="1:13" x14ac:dyDescent="0.25">
      <c r="A117" s="42" t="str">
        <f t="shared" si="5"/>
        <v xml:space="preserve"> </v>
      </c>
      <c r="D117" s="41"/>
      <c r="E117" s="41"/>
      <c r="J117" s="17">
        <f t="shared" si="8"/>
        <v>0</v>
      </c>
      <c r="K117" s="2" t="str">
        <f t="shared" si="9"/>
        <v xml:space="preserve"> </v>
      </c>
      <c r="L117" s="2" t="str">
        <f t="shared" si="6"/>
        <v xml:space="preserve"> </v>
      </c>
      <c r="M117" s="2" t="str">
        <f t="shared" si="7"/>
        <v xml:space="preserve"> </v>
      </c>
    </row>
    <row r="118" spans="1:13" x14ac:dyDescent="0.25">
      <c r="A118" s="42" t="str">
        <f t="shared" si="5"/>
        <v xml:space="preserve"> </v>
      </c>
      <c r="D118" s="41"/>
      <c r="E118" s="41"/>
      <c r="J118" s="17">
        <f t="shared" si="8"/>
        <v>0</v>
      </c>
      <c r="K118" s="2" t="str">
        <f t="shared" si="9"/>
        <v xml:space="preserve"> </v>
      </c>
      <c r="L118" s="2" t="str">
        <f t="shared" si="6"/>
        <v xml:space="preserve"> </v>
      </c>
      <c r="M118" s="2" t="str">
        <f t="shared" si="7"/>
        <v xml:space="preserve"> </v>
      </c>
    </row>
    <row r="119" spans="1:13" x14ac:dyDescent="0.25">
      <c r="A119" s="42" t="str">
        <f t="shared" si="5"/>
        <v xml:space="preserve"> </v>
      </c>
      <c r="D119" s="41"/>
      <c r="E119" s="41"/>
      <c r="J119" s="17">
        <f t="shared" si="8"/>
        <v>0</v>
      </c>
      <c r="K119" s="2" t="str">
        <f t="shared" si="9"/>
        <v xml:space="preserve"> </v>
      </c>
      <c r="L119" s="2" t="str">
        <f t="shared" si="6"/>
        <v xml:space="preserve"> </v>
      </c>
      <c r="M119" s="2" t="str">
        <f t="shared" si="7"/>
        <v xml:space="preserve"> </v>
      </c>
    </row>
    <row r="120" spans="1:13" x14ac:dyDescent="0.25">
      <c r="A120" s="42" t="str">
        <f t="shared" si="5"/>
        <v xml:space="preserve"> </v>
      </c>
      <c r="D120" s="41"/>
      <c r="E120" s="41"/>
      <c r="J120" s="17">
        <f t="shared" si="8"/>
        <v>0</v>
      </c>
      <c r="K120" s="2" t="str">
        <f t="shared" si="9"/>
        <v xml:space="preserve"> </v>
      </c>
      <c r="L120" s="2" t="str">
        <f t="shared" si="6"/>
        <v xml:space="preserve"> </v>
      </c>
      <c r="M120" s="2" t="str">
        <f t="shared" si="7"/>
        <v xml:space="preserve"> </v>
      </c>
    </row>
    <row r="121" spans="1:13" x14ac:dyDescent="0.25">
      <c r="A121" s="42" t="str">
        <f t="shared" si="5"/>
        <v xml:space="preserve"> </v>
      </c>
      <c r="D121" s="41"/>
      <c r="E121" s="41"/>
      <c r="J121" s="17">
        <f t="shared" si="8"/>
        <v>0</v>
      </c>
      <c r="K121" s="2" t="str">
        <f t="shared" si="9"/>
        <v xml:space="preserve"> </v>
      </c>
      <c r="L121" s="2" t="str">
        <f t="shared" si="6"/>
        <v xml:space="preserve"> </v>
      </c>
      <c r="M121" s="2" t="str">
        <f t="shared" si="7"/>
        <v xml:space="preserve"> </v>
      </c>
    </row>
    <row r="122" spans="1:13" x14ac:dyDescent="0.25">
      <c r="A122" s="42" t="str">
        <f t="shared" si="5"/>
        <v xml:space="preserve"> </v>
      </c>
      <c r="D122" s="41"/>
      <c r="E122" s="41"/>
      <c r="J122" s="17">
        <f t="shared" si="8"/>
        <v>0</v>
      </c>
      <c r="K122" s="2" t="str">
        <f t="shared" si="9"/>
        <v xml:space="preserve"> </v>
      </c>
      <c r="L122" s="2" t="str">
        <f t="shared" si="6"/>
        <v xml:space="preserve"> </v>
      </c>
      <c r="M122" s="2" t="str">
        <f t="shared" si="7"/>
        <v xml:space="preserve"> </v>
      </c>
    </row>
    <row r="123" spans="1:13" x14ac:dyDescent="0.25">
      <c r="A123" s="42" t="str">
        <f t="shared" si="5"/>
        <v xml:space="preserve"> </v>
      </c>
      <c r="D123" s="41"/>
      <c r="E123" s="41"/>
      <c r="J123" s="17">
        <f t="shared" si="8"/>
        <v>0</v>
      </c>
      <c r="K123" s="2" t="str">
        <f t="shared" si="9"/>
        <v xml:space="preserve"> </v>
      </c>
      <c r="L123" s="2" t="str">
        <f t="shared" si="6"/>
        <v xml:space="preserve"> </v>
      </c>
      <c r="M123" s="2" t="str">
        <f t="shared" si="7"/>
        <v xml:space="preserve"> </v>
      </c>
    </row>
    <row r="124" spans="1:13" x14ac:dyDescent="0.25">
      <c r="A124" s="42" t="str">
        <f t="shared" si="5"/>
        <v xml:space="preserve"> </v>
      </c>
      <c r="C124" s="48"/>
      <c r="D124" s="41"/>
      <c r="E124" s="41"/>
      <c r="J124" s="17">
        <f t="shared" si="8"/>
        <v>0</v>
      </c>
      <c r="K124" s="2" t="str">
        <f t="shared" si="9"/>
        <v xml:space="preserve"> </v>
      </c>
      <c r="L124" s="2" t="str">
        <f t="shared" si="6"/>
        <v xml:space="preserve"> </v>
      </c>
      <c r="M124" s="2" t="str">
        <f t="shared" si="7"/>
        <v xml:space="preserve"> </v>
      </c>
    </row>
    <row r="125" spans="1:13" x14ac:dyDescent="0.25">
      <c r="A125" s="42" t="str">
        <f t="shared" si="5"/>
        <v xml:space="preserve"> </v>
      </c>
      <c r="D125" s="41"/>
      <c r="E125" s="41"/>
      <c r="J125" s="17">
        <f t="shared" si="8"/>
        <v>0</v>
      </c>
      <c r="K125" s="2" t="str">
        <f t="shared" si="9"/>
        <v xml:space="preserve"> </v>
      </c>
      <c r="L125" s="2" t="str">
        <f t="shared" si="6"/>
        <v xml:space="preserve"> </v>
      </c>
      <c r="M125" s="2" t="str">
        <f t="shared" si="7"/>
        <v xml:space="preserve"> </v>
      </c>
    </row>
    <row r="126" spans="1:13" x14ac:dyDescent="0.25">
      <c r="A126" s="42" t="str">
        <f t="shared" si="5"/>
        <v xml:space="preserve"> </v>
      </c>
      <c r="D126" s="41"/>
      <c r="E126" s="41"/>
      <c r="J126" s="17">
        <f t="shared" si="8"/>
        <v>0</v>
      </c>
      <c r="K126" s="2" t="str">
        <f t="shared" si="9"/>
        <v xml:space="preserve"> </v>
      </c>
      <c r="L126" s="2" t="str">
        <f t="shared" si="6"/>
        <v xml:space="preserve"> </v>
      </c>
      <c r="M126" s="2" t="str">
        <f t="shared" si="7"/>
        <v xml:space="preserve"> </v>
      </c>
    </row>
    <row r="127" spans="1:13" x14ac:dyDescent="0.25">
      <c r="A127" s="42" t="str">
        <f t="shared" si="5"/>
        <v xml:space="preserve"> </v>
      </c>
      <c r="D127" s="41"/>
      <c r="E127" s="41"/>
      <c r="J127" s="17">
        <f t="shared" si="8"/>
        <v>0</v>
      </c>
      <c r="K127" s="2" t="str">
        <f t="shared" si="9"/>
        <v xml:space="preserve"> </v>
      </c>
      <c r="L127" s="2" t="str">
        <f t="shared" si="6"/>
        <v xml:space="preserve"> </v>
      </c>
      <c r="M127" s="2" t="str">
        <f t="shared" si="7"/>
        <v xml:space="preserve"> </v>
      </c>
    </row>
    <row r="128" spans="1:13" x14ac:dyDescent="0.25">
      <c r="A128" s="42" t="str">
        <f t="shared" si="5"/>
        <v xml:space="preserve"> </v>
      </c>
      <c r="D128" s="41"/>
      <c r="E128" s="41"/>
      <c r="J128" s="17">
        <f t="shared" si="8"/>
        <v>0</v>
      </c>
      <c r="K128" s="2" t="str">
        <f t="shared" si="9"/>
        <v xml:space="preserve"> </v>
      </c>
      <c r="L128" s="2" t="str">
        <f t="shared" si="6"/>
        <v xml:space="preserve"> </v>
      </c>
      <c r="M128" s="2" t="str">
        <f t="shared" si="7"/>
        <v xml:space="preserve"> </v>
      </c>
    </row>
    <row r="129" spans="1:13" x14ac:dyDescent="0.25">
      <c r="A129" s="42" t="str">
        <f t="shared" si="5"/>
        <v xml:space="preserve"> </v>
      </c>
      <c r="D129" s="41"/>
      <c r="E129" s="41"/>
      <c r="J129" s="17">
        <f t="shared" si="8"/>
        <v>0</v>
      </c>
      <c r="K129" s="2" t="str">
        <f t="shared" si="9"/>
        <v xml:space="preserve"> </v>
      </c>
      <c r="L129" s="2" t="str">
        <f t="shared" si="6"/>
        <v xml:space="preserve"> </v>
      </c>
      <c r="M129" s="2" t="str">
        <f t="shared" si="7"/>
        <v xml:space="preserve"> </v>
      </c>
    </row>
    <row r="130" spans="1:13" x14ac:dyDescent="0.25">
      <c r="A130" s="42" t="str">
        <f t="shared" si="5"/>
        <v xml:space="preserve"> </v>
      </c>
      <c r="D130" s="41"/>
      <c r="E130" s="41"/>
      <c r="J130" s="17">
        <f t="shared" si="8"/>
        <v>0</v>
      </c>
      <c r="K130" s="2" t="str">
        <f t="shared" si="9"/>
        <v xml:space="preserve"> </v>
      </c>
      <c r="L130" s="2" t="str">
        <f t="shared" si="6"/>
        <v xml:space="preserve"> </v>
      </c>
      <c r="M130" s="2" t="str">
        <f t="shared" si="7"/>
        <v xml:space="preserve"> </v>
      </c>
    </row>
    <row r="131" spans="1:13" x14ac:dyDescent="0.25">
      <c r="A131" s="42" t="str">
        <f t="shared" si="5"/>
        <v xml:space="preserve"> </v>
      </c>
      <c r="D131" s="41"/>
      <c r="E131" s="41"/>
      <c r="J131" s="17">
        <f t="shared" si="8"/>
        <v>0</v>
      </c>
      <c r="K131" s="2" t="str">
        <f t="shared" si="9"/>
        <v xml:space="preserve"> </v>
      </c>
      <c r="L131" s="2" t="str">
        <f t="shared" si="6"/>
        <v xml:space="preserve"> </v>
      </c>
      <c r="M131" s="2" t="str">
        <f t="shared" si="7"/>
        <v xml:space="preserve"> </v>
      </c>
    </row>
    <row r="132" spans="1:13" x14ac:dyDescent="0.25">
      <c r="A132" s="42" t="str">
        <f t="shared" si="5"/>
        <v xml:space="preserve"> </v>
      </c>
      <c r="D132" s="41"/>
      <c r="E132" s="41"/>
      <c r="J132" s="17">
        <f t="shared" si="8"/>
        <v>0</v>
      </c>
      <c r="K132" s="2" t="str">
        <f t="shared" si="9"/>
        <v xml:space="preserve"> </v>
      </c>
      <c r="L132" s="2" t="str">
        <f t="shared" si="6"/>
        <v xml:space="preserve"> </v>
      </c>
      <c r="M132" s="2" t="str">
        <f t="shared" si="7"/>
        <v xml:space="preserve"> </v>
      </c>
    </row>
    <row r="133" spans="1:13" x14ac:dyDescent="0.25">
      <c r="A133" s="42" t="str">
        <f t="shared" si="5"/>
        <v xml:space="preserve"> </v>
      </c>
      <c r="D133" s="41"/>
      <c r="E133" s="41"/>
      <c r="J133" s="17">
        <f t="shared" si="8"/>
        <v>0</v>
      </c>
      <c r="K133" s="2" t="str">
        <f t="shared" si="9"/>
        <v xml:space="preserve"> </v>
      </c>
      <c r="L133" s="2" t="str">
        <f t="shared" si="6"/>
        <v xml:space="preserve"> </v>
      </c>
      <c r="M133" s="2" t="str">
        <f t="shared" si="7"/>
        <v xml:space="preserve"> </v>
      </c>
    </row>
    <row r="134" spans="1:13" x14ac:dyDescent="0.25">
      <c r="A134" s="42" t="str">
        <f t="shared" si="5"/>
        <v xml:space="preserve"> </v>
      </c>
      <c r="D134" s="41"/>
      <c r="E134" s="41"/>
      <c r="J134" s="17">
        <f t="shared" si="8"/>
        <v>0</v>
      </c>
      <c r="K134" s="2" t="str">
        <f t="shared" si="9"/>
        <v xml:space="preserve"> </v>
      </c>
      <c r="L134" s="2" t="str">
        <f t="shared" si="6"/>
        <v xml:space="preserve"> </v>
      </c>
      <c r="M134" s="2" t="str">
        <f t="shared" si="7"/>
        <v xml:space="preserve"> </v>
      </c>
    </row>
    <row r="135" spans="1:13" x14ac:dyDescent="0.25">
      <c r="A135" s="42" t="str">
        <f t="shared" si="5"/>
        <v xml:space="preserve"> </v>
      </c>
      <c r="D135" s="41"/>
      <c r="E135" s="41"/>
      <c r="J135" s="17">
        <f t="shared" si="8"/>
        <v>0</v>
      </c>
      <c r="K135" s="2" t="str">
        <f t="shared" si="9"/>
        <v xml:space="preserve"> </v>
      </c>
      <c r="L135" s="2" t="str">
        <f t="shared" si="6"/>
        <v xml:space="preserve"> </v>
      </c>
      <c r="M135" s="2" t="str">
        <f t="shared" si="7"/>
        <v xml:space="preserve"> </v>
      </c>
    </row>
    <row r="136" spans="1:13" x14ac:dyDescent="0.25">
      <c r="A136" s="42" t="str">
        <f t="shared" si="5"/>
        <v xml:space="preserve"> </v>
      </c>
      <c r="D136" s="41"/>
      <c r="E136" s="41"/>
      <c r="J136" s="17">
        <f t="shared" si="8"/>
        <v>0</v>
      </c>
      <c r="K136" s="2" t="str">
        <f t="shared" si="9"/>
        <v xml:space="preserve"> </v>
      </c>
      <c r="L136" s="2" t="str">
        <f t="shared" si="6"/>
        <v xml:space="preserve"> </v>
      </c>
      <c r="M136" s="2" t="str">
        <f t="shared" si="7"/>
        <v xml:space="preserve"> </v>
      </c>
    </row>
    <row r="137" spans="1:13" x14ac:dyDescent="0.25">
      <c r="A137" s="42" t="str">
        <f t="shared" si="5"/>
        <v xml:space="preserve"> </v>
      </c>
      <c r="D137" s="41"/>
      <c r="E137" s="41"/>
      <c r="J137" s="17">
        <f t="shared" si="8"/>
        <v>0</v>
      </c>
      <c r="K137" s="2" t="str">
        <f t="shared" si="9"/>
        <v xml:space="preserve"> </v>
      </c>
      <c r="L137" s="2" t="str">
        <f t="shared" si="6"/>
        <v xml:space="preserve"> </v>
      </c>
      <c r="M137" s="2" t="str">
        <f t="shared" si="7"/>
        <v xml:space="preserve"> </v>
      </c>
    </row>
    <row r="138" spans="1:13" x14ac:dyDescent="0.25">
      <c r="A138" s="42" t="str">
        <f t="shared" si="5"/>
        <v xml:space="preserve"> </v>
      </c>
      <c r="D138" s="41"/>
      <c r="E138" s="41"/>
      <c r="J138" s="17">
        <f t="shared" si="8"/>
        <v>0</v>
      </c>
      <c r="K138" s="2" t="str">
        <f t="shared" si="9"/>
        <v xml:space="preserve"> </v>
      </c>
      <c r="L138" s="2" t="str">
        <f t="shared" si="6"/>
        <v xml:space="preserve"> </v>
      </c>
      <c r="M138" s="2" t="str">
        <f t="shared" si="7"/>
        <v xml:space="preserve"> </v>
      </c>
    </row>
    <row r="139" spans="1:13" x14ac:dyDescent="0.25">
      <c r="A139" s="42" t="str">
        <f t="shared" si="5"/>
        <v xml:space="preserve"> </v>
      </c>
      <c r="D139" s="41"/>
      <c r="E139" s="41"/>
      <c r="J139" s="17">
        <f t="shared" si="8"/>
        <v>0</v>
      </c>
      <c r="K139" s="2" t="str">
        <f t="shared" si="9"/>
        <v xml:space="preserve"> </v>
      </c>
      <c r="L139" s="2" t="str">
        <f t="shared" si="6"/>
        <v xml:space="preserve"> </v>
      </c>
      <c r="M139" s="2" t="str">
        <f t="shared" si="7"/>
        <v xml:space="preserve"> </v>
      </c>
    </row>
    <row r="140" spans="1:13" x14ac:dyDescent="0.25">
      <c r="A140" s="42" t="str">
        <f t="shared" si="5"/>
        <v xml:space="preserve"> </v>
      </c>
      <c r="D140" s="41"/>
      <c r="E140" s="41"/>
      <c r="J140" s="17">
        <f t="shared" si="8"/>
        <v>0</v>
      </c>
      <c r="K140" s="2" t="str">
        <f t="shared" si="9"/>
        <v xml:space="preserve"> </v>
      </c>
      <c r="L140" s="2" t="str">
        <f t="shared" si="6"/>
        <v xml:space="preserve"> </v>
      </c>
      <c r="M140" s="2" t="str">
        <f t="shared" si="7"/>
        <v xml:space="preserve"> </v>
      </c>
    </row>
    <row r="141" spans="1:13" x14ac:dyDescent="0.25">
      <c r="A141" s="42" t="str">
        <f t="shared" si="5"/>
        <v xml:space="preserve"> </v>
      </c>
      <c r="D141" s="41"/>
      <c r="E141" s="41"/>
      <c r="J141" s="17">
        <f t="shared" si="8"/>
        <v>0</v>
      </c>
      <c r="K141" s="2" t="str">
        <f t="shared" si="9"/>
        <v xml:space="preserve"> </v>
      </c>
      <c r="L141" s="2" t="str">
        <f t="shared" si="6"/>
        <v xml:space="preserve"> </v>
      </c>
      <c r="M141" s="2" t="str">
        <f t="shared" si="7"/>
        <v xml:space="preserve"> </v>
      </c>
    </row>
    <row r="142" spans="1:13" x14ac:dyDescent="0.25">
      <c r="A142" s="42" t="str">
        <f t="shared" si="5"/>
        <v xml:space="preserve"> </v>
      </c>
      <c r="D142" s="41"/>
      <c r="E142" s="41"/>
      <c r="J142" s="17">
        <f t="shared" si="8"/>
        <v>0</v>
      </c>
      <c r="K142" s="2" t="str">
        <f t="shared" si="9"/>
        <v xml:space="preserve"> </v>
      </c>
      <c r="L142" s="2" t="str">
        <f t="shared" si="6"/>
        <v xml:space="preserve"> </v>
      </c>
      <c r="M142" s="2" t="str">
        <f t="shared" si="7"/>
        <v xml:space="preserve"> </v>
      </c>
    </row>
    <row r="143" spans="1:13" x14ac:dyDescent="0.25">
      <c r="A143" s="42" t="str">
        <f t="shared" ref="A143:A206" si="10">IF(COUNTIF(K143:M143,"ERROR")&gt;0,"ERROR"," ")</f>
        <v xml:space="preserve"> </v>
      </c>
      <c r="D143" s="41"/>
      <c r="E143" s="41"/>
      <c r="J143" s="17">
        <f t="shared" si="8"/>
        <v>0</v>
      </c>
      <c r="K143" s="2" t="str">
        <f t="shared" si="9"/>
        <v xml:space="preserve"> </v>
      </c>
      <c r="L143" s="2" t="str">
        <f t="shared" ref="L143:L206" si="11">IF(D143=0," ",IF(COUNTIF(ProfitLoss4,D143)&gt;0," ","ERROR"))</f>
        <v xml:space="preserve"> </v>
      </c>
      <c r="M143" s="2" t="str">
        <f t="shared" ref="M143:M206" si="12">IF(E143=0," ",IF(COUNTIF(BalanceSheet4,E143)&gt;0," ","ERROR"))</f>
        <v xml:space="preserve"> </v>
      </c>
    </row>
    <row r="144" spans="1:13" x14ac:dyDescent="0.25">
      <c r="A144" s="42" t="str">
        <f t="shared" si="10"/>
        <v xml:space="preserve"> </v>
      </c>
      <c r="D144" s="41"/>
      <c r="E144" s="41"/>
      <c r="J144" s="17">
        <f t="shared" ref="J144:J207" si="13">F144-G144+H144-I144</f>
        <v>0</v>
      </c>
      <c r="K144" s="2" t="str">
        <f t="shared" ref="K144:K207" si="14">IF(COUNTA(D144:E144)=2,"ERROR"," ")</f>
        <v xml:space="preserve"> </v>
      </c>
      <c r="L144" s="2" t="str">
        <f t="shared" si="11"/>
        <v xml:space="preserve"> </v>
      </c>
      <c r="M144" s="2" t="str">
        <f t="shared" si="12"/>
        <v xml:space="preserve"> </v>
      </c>
    </row>
    <row r="145" spans="1:13" x14ac:dyDescent="0.25">
      <c r="A145" s="42" t="str">
        <f t="shared" si="10"/>
        <v xml:space="preserve"> </v>
      </c>
      <c r="D145" s="41"/>
      <c r="E145" s="41"/>
      <c r="J145" s="17">
        <f t="shared" si="13"/>
        <v>0</v>
      </c>
      <c r="K145" s="2" t="str">
        <f t="shared" si="14"/>
        <v xml:space="preserve"> </v>
      </c>
      <c r="L145" s="2" t="str">
        <f t="shared" si="11"/>
        <v xml:space="preserve"> </v>
      </c>
      <c r="M145" s="2" t="str">
        <f t="shared" si="12"/>
        <v xml:space="preserve"> </v>
      </c>
    </row>
    <row r="146" spans="1:13" x14ac:dyDescent="0.25">
      <c r="A146" s="42" t="str">
        <f t="shared" si="10"/>
        <v xml:space="preserve"> </v>
      </c>
      <c r="D146" s="41"/>
      <c r="E146" s="41"/>
      <c r="J146" s="17">
        <f t="shared" si="13"/>
        <v>0</v>
      </c>
      <c r="K146" s="2" t="str">
        <f t="shared" si="14"/>
        <v xml:space="preserve"> </v>
      </c>
      <c r="L146" s="2" t="str">
        <f t="shared" si="11"/>
        <v xml:space="preserve"> </v>
      </c>
      <c r="M146" s="2" t="str">
        <f t="shared" si="12"/>
        <v xml:space="preserve"> </v>
      </c>
    </row>
    <row r="147" spans="1:13" x14ac:dyDescent="0.25">
      <c r="A147" s="42" t="str">
        <f t="shared" si="10"/>
        <v xml:space="preserve"> </v>
      </c>
      <c r="D147" s="41"/>
      <c r="E147" s="41"/>
      <c r="J147" s="17">
        <f t="shared" si="13"/>
        <v>0</v>
      </c>
      <c r="K147" s="2" t="str">
        <f t="shared" si="14"/>
        <v xml:space="preserve"> </v>
      </c>
      <c r="L147" s="2" t="str">
        <f t="shared" si="11"/>
        <v xml:space="preserve"> </v>
      </c>
      <c r="M147" s="2" t="str">
        <f t="shared" si="12"/>
        <v xml:space="preserve"> </v>
      </c>
    </row>
    <row r="148" spans="1:13" x14ac:dyDescent="0.25">
      <c r="A148" s="42" t="str">
        <f t="shared" si="10"/>
        <v xml:space="preserve"> </v>
      </c>
      <c r="D148" s="41"/>
      <c r="E148" s="41"/>
      <c r="J148" s="17">
        <f t="shared" si="13"/>
        <v>0</v>
      </c>
      <c r="K148" s="2" t="str">
        <f t="shared" si="14"/>
        <v xml:space="preserve"> </v>
      </c>
      <c r="L148" s="2" t="str">
        <f t="shared" si="11"/>
        <v xml:space="preserve"> </v>
      </c>
      <c r="M148" s="2" t="str">
        <f t="shared" si="12"/>
        <v xml:space="preserve"> </v>
      </c>
    </row>
    <row r="149" spans="1:13" x14ac:dyDescent="0.25">
      <c r="A149" s="42" t="str">
        <f t="shared" si="10"/>
        <v xml:space="preserve"> </v>
      </c>
      <c r="D149" s="41"/>
      <c r="E149" s="41"/>
      <c r="J149" s="17">
        <f t="shared" si="13"/>
        <v>0</v>
      </c>
      <c r="K149" s="2" t="str">
        <f t="shared" si="14"/>
        <v xml:space="preserve"> </v>
      </c>
      <c r="L149" s="2" t="str">
        <f t="shared" si="11"/>
        <v xml:space="preserve"> </v>
      </c>
      <c r="M149" s="2" t="str">
        <f t="shared" si="12"/>
        <v xml:space="preserve"> </v>
      </c>
    </row>
    <row r="150" spans="1:13" x14ac:dyDescent="0.25">
      <c r="A150" s="42" t="str">
        <f t="shared" si="10"/>
        <v xml:space="preserve"> </v>
      </c>
      <c r="D150" s="41"/>
      <c r="E150" s="41"/>
      <c r="J150" s="17">
        <f t="shared" si="13"/>
        <v>0</v>
      </c>
      <c r="K150" s="2" t="str">
        <f t="shared" si="14"/>
        <v xml:space="preserve"> </v>
      </c>
      <c r="L150" s="2" t="str">
        <f t="shared" si="11"/>
        <v xml:space="preserve"> </v>
      </c>
      <c r="M150" s="2" t="str">
        <f t="shared" si="12"/>
        <v xml:space="preserve"> </v>
      </c>
    </row>
    <row r="151" spans="1:13" x14ac:dyDescent="0.25">
      <c r="A151" s="42" t="str">
        <f t="shared" si="10"/>
        <v xml:space="preserve"> </v>
      </c>
      <c r="D151" s="41"/>
      <c r="E151" s="41"/>
      <c r="J151" s="17">
        <f t="shared" si="13"/>
        <v>0</v>
      </c>
      <c r="K151" s="2" t="str">
        <f t="shared" si="14"/>
        <v xml:space="preserve"> </v>
      </c>
      <c r="L151" s="2" t="str">
        <f t="shared" si="11"/>
        <v xml:space="preserve"> </v>
      </c>
      <c r="M151" s="2" t="str">
        <f t="shared" si="12"/>
        <v xml:space="preserve"> </v>
      </c>
    </row>
    <row r="152" spans="1:13" x14ac:dyDescent="0.25">
      <c r="A152" s="42" t="str">
        <f t="shared" si="10"/>
        <v xml:space="preserve"> </v>
      </c>
      <c r="D152" s="41"/>
      <c r="E152" s="41"/>
      <c r="J152" s="17">
        <f t="shared" si="13"/>
        <v>0</v>
      </c>
      <c r="K152" s="2" t="str">
        <f t="shared" si="14"/>
        <v xml:space="preserve"> </v>
      </c>
      <c r="L152" s="2" t="str">
        <f t="shared" si="11"/>
        <v xml:space="preserve"> </v>
      </c>
      <c r="M152" s="2" t="str">
        <f t="shared" si="12"/>
        <v xml:space="preserve"> </v>
      </c>
    </row>
    <row r="153" spans="1:13" x14ac:dyDescent="0.25">
      <c r="A153" s="42" t="str">
        <f t="shared" si="10"/>
        <v xml:space="preserve"> </v>
      </c>
      <c r="D153" s="41"/>
      <c r="E153" s="41"/>
      <c r="J153" s="17">
        <f t="shared" si="13"/>
        <v>0</v>
      </c>
      <c r="K153" s="2" t="str">
        <f t="shared" si="14"/>
        <v xml:space="preserve"> </v>
      </c>
      <c r="L153" s="2" t="str">
        <f t="shared" si="11"/>
        <v xml:space="preserve"> </v>
      </c>
      <c r="M153" s="2" t="str">
        <f t="shared" si="12"/>
        <v xml:space="preserve"> </v>
      </c>
    </row>
    <row r="154" spans="1:13" x14ac:dyDescent="0.25">
      <c r="A154" s="42" t="str">
        <f t="shared" si="10"/>
        <v xml:space="preserve"> </v>
      </c>
      <c r="D154" s="41"/>
      <c r="E154" s="41"/>
      <c r="J154" s="17">
        <f t="shared" si="13"/>
        <v>0</v>
      </c>
      <c r="K154" s="2" t="str">
        <f t="shared" si="14"/>
        <v xml:space="preserve"> </v>
      </c>
      <c r="L154" s="2" t="str">
        <f t="shared" si="11"/>
        <v xml:space="preserve"> </v>
      </c>
      <c r="M154" s="2" t="str">
        <f t="shared" si="12"/>
        <v xml:space="preserve"> </v>
      </c>
    </row>
    <row r="155" spans="1:13" x14ac:dyDescent="0.25">
      <c r="A155" s="42" t="str">
        <f t="shared" si="10"/>
        <v xml:space="preserve"> </v>
      </c>
      <c r="D155" s="41"/>
      <c r="E155" s="41"/>
      <c r="J155" s="17">
        <f t="shared" si="13"/>
        <v>0</v>
      </c>
      <c r="K155" s="2" t="str">
        <f t="shared" si="14"/>
        <v xml:space="preserve"> </v>
      </c>
      <c r="L155" s="2" t="str">
        <f t="shared" si="11"/>
        <v xml:space="preserve"> </v>
      </c>
      <c r="M155" s="2" t="str">
        <f t="shared" si="12"/>
        <v xml:space="preserve"> </v>
      </c>
    </row>
    <row r="156" spans="1:13" x14ac:dyDescent="0.25">
      <c r="A156" s="42" t="str">
        <f t="shared" si="10"/>
        <v xml:space="preserve"> </v>
      </c>
      <c r="D156" s="41"/>
      <c r="E156" s="41"/>
      <c r="J156" s="17">
        <f t="shared" si="13"/>
        <v>0</v>
      </c>
      <c r="K156" s="2" t="str">
        <f t="shared" si="14"/>
        <v xml:space="preserve"> </v>
      </c>
      <c r="L156" s="2" t="str">
        <f t="shared" si="11"/>
        <v xml:space="preserve"> </v>
      </c>
      <c r="M156" s="2" t="str">
        <f t="shared" si="12"/>
        <v xml:space="preserve"> </v>
      </c>
    </row>
    <row r="157" spans="1:13" x14ac:dyDescent="0.25">
      <c r="A157" s="42" t="str">
        <f t="shared" si="10"/>
        <v xml:space="preserve"> </v>
      </c>
      <c r="D157" s="41"/>
      <c r="E157" s="41"/>
      <c r="J157" s="17">
        <f t="shared" si="13"/>
        <v>0</v>
      </c>
      <c r="K157" s="2" t="str">
        <f t="shared" si="14"/>
        <v xml:space="preserve"> </v>
      </c>
      <c r="L157" s="2" t="str">
        <f t="shared" si="11"/>
        <v xml:space="preserve"> </v>
      </c>
      <c r="M157" s="2" t="str">
        <f t="shared" si="12"/>
        <v xml:space="preserve"> </v>
      </c>
    </row>
    <row r="158" spans="1:13" x14ac:dyDescent="0.25">
      <c r="A158" s="42" t="str">
        <f t="shared" si="10"/>
        <v xml:space="preserve"> </v>
      </c>
      <c r="D158" s="41"/>
      <c r="E158" s="41"/>
      <c r="J158" s="17">
        <f t="shared" si="13"/>
        <v>0</v>
      </c>
      <c r="K158" s="2" t="str">
        <f t="shared" si="14"/>
        <v xml:space="preserve"> </v>
      </c>
      <c r="L158" s="2" t="str">
        <f t="shared" si="11"/>
        <v xml:space="preserve"> </v>
      </c>
      <c r="M158" s="2" t="str">
        <f t="shared" si="12"/>
        <v xml:space="preserve"> </v>
      </c>
    </row>
    <row r="159" spans="1:13" x14ac:dyDescent="0.25">
      <c r="A159" s="42" t="str">
        <f t="shared" si="10"/>
        <v xml:space="preserve"> </v>
      </c>
      <c r="D159" s="41"/>
      <c r="E159" s="41"/>
      <c r="J159" s="17">
        <f t="shared" si="13"/>
        <v>0</v>
      </c>
      <c r="K159" s="2" t="str">
        <f t="shared" si="14"/>
        <v xml:space="preserve"> </v>
      </c>
      <c r="L159" s="2" t="str">
        <f t="shared" si="11"/>
        <v xml:space="preserve"> </v>
      </c>
      <c r="M159" s="2" t="str">
        <f t="shared" si="12"/>
        <v xml:space="preserve"> </v>
      </c>
    </row>
    <row r="160" spans="1:13" x14ac:dyDescent="0.25">
      <c r="A160" s="42" t="str">
        <f t="shared" si="10"/>
        <v xml:space="preserve"> </v>
      </c>
      <c r="D160" s="41"/>
      <c r="E160" s="41"/>
      <c r="J160" s="17">
        <f t="shared" si="13"/>
        <v>0</v>
      </c>
      <c r="K160" s="2" t="str">
        <f t="shared" si="14"/>
        <v xml:space="preserve"> </v>
      </c>
      <c r="L160" s="2" t="str">
        <f t="shared" si="11"/>
        <v xml:space="preserve"> </v>
      </c>
      <c r="M160" s="2" t="str">
        <f t="shared" si="12"/>
        <v xml:space="preserve"> </v>
      </c>
    </row>
    <row r="161" spans="1:13" x14ac:dyDescent="0.25">
      <c r="A161" s="42" t="str">
        <f t="shared" si="10"/>
        <v xml:space="preserve"> </v>
      </c>
      <c r="D161" s="41"/>
      <c r="E161" s="41"/>
      <c r="J161" s="17">
        <f t="shared" si="13"/>
        <v>0</v>
      </c>
      <c r="K161" s="2" t="str">
        <f t="shared" si="14"/>
        <v xml:space="preserve"> </v>
      </c>
      <c r="L161" s="2" t="str">
        <f t="shared" si="11"/>
        <v xml:space="preserve"> </v>
      </c>
      <c r="M161" s="2" t="str">
        <f t="shared" si="12"/>
        <v xml:space="preserve"> </v>
      </c>
    </row>
    <row r="162" spans="1:13" x14ac:dyDescent="0.25">
      <c r="A162" s="42" t="str">
        <f t="shared" si="10"/>
        <v xml:space="preserve"> </v>
      </c>
      <c r="D162" s="41"/>
      <c r="E162" s="41"/>
      <c r="J162" s="17">
        <f t="shared" si="13"/>
        <v>0</v>
      </c>
      <c r="K162" s="2" t="str">
        <f t="shared" si="14"/>
        <v xml:space="preserve"> </v>
      </c>
      <c r="L162" s="2" t="str">
        <f t="shared" si="11"/>
        <v xml:space="preserve"> </v>
      </c>
      <c r="M162" s="2" t="str">
        <f t="shared" si="12"/>
        <v xml:space="preserve"> </v>
      </c>
    </row>
    <row r="163" spans="1:13" x14ac:dyDescent="0.25">
      <c r="A163" s="42" t="str">
        <f t="shared" si="10"/>
        <v xml:space="preserve"> </v>
      </c>
      <c r="D163" s="41"/>
      <c r="E163" s="41"/>
      <c r="J163" s="17">
        <f t="shared" si="13"/>
        <v>0</v>
      </c>
      <c r="K163" s="2" t="str">
        <f t="shared" si="14"/>
        <v xml:space="preserve"> </v>
      </c>
      <c r="L163" s="2" t="str">
        <f t="shared" si="11"/>
        <v xml:space="preserve"> </v>
      </c>
      <c r="M163" s="2" t="str">
        <f t="shared" si="12"/>
        <v xml:space="preserve"> </v>
      </c>
    </row>
    <row r="164" spans="1:13" x14ac:dyDescent="0.25">
      <c r="A164" s="42" t="str">
        <f t="shared" si="10"/>
        <v xml:space="preserve"> </v>
      </c>
      <c r="D164" s="41"/>
      <c r="E164" s="41"/>
      <c r="J164" s="17">
        <f t="shared" si="13"/>
        <v>0</v>
      </c>
      <c r="K164" s="2" t="str">
        <f t="shared" si="14"/>
        <v xml:space="preserve"> </v>
      </c>
      <c r="L164" s="2" t="str">
        <f t="shared" si="11"/>
        <v xml:space="preserve"> </v>
      </c>
      <c r="M164" s="2" t="str">
        <f t="shared" si="12"/>
        <v xml:space="preserve"> </v>
      </c>
    </row>
    <row r="165" spans="1:13" x14ac:dyDescent="0.25">
      <c r="A165" s="42" t="str">
        <f t="shared" si="10"/>
        <v xml:space="preserve"> </v>
      </c>
      <c r="D165" s="41"/>
      <c r="E165" s="41"/>
      <c r="J165" s="17">
        <f t="shared" si="13"/>
        <v>0</v>
      </c>
      <c r="K165" s="2" t="str">
        <f t="shared" si="14"/>
        <v xml:space="preserve"> </v>
      </c>
      <c r="L165" s="2" t="str">
        <f t="shared" si="11"/>
        <v xml:space="preserve"> </v>
      </c>
      <c r="M165" s="2" t="str">
        <f t="shared" si="12"/>
        <v xml:space="preserve"> </v>
      </c>
    </row>
    <row r="166" spans="1:13" x14ac:dyDescent="0.25">
      <c r="A166" s="42" t="str">
        <f t="shared" si="10"/>
        <v xml:space="preserve"> </v>
      </c>
      <c r="D166" s="41"/>
      <c r="E166" s="41"/>
      <c r="J166" s="17">
        <f t="shared" si="13"/>
        <v>0</v>
      </c>
      <c r="K166" s="2" t="str">
        <f t="shared" si="14"/>
        <v xml:space="preserve"> </v>
      </c>
      <c r="L166" s="2" t="str">
        <f t="shared" si="11"/>
        <v xml:space="preserve"> </v>
      </c>
      <c r="M166" s="2" t="str">
        <f t="shared" si="12"/>
        <v xml:space="preserve"> </v>
      </c>
    </row>
    <row r="167" spans="1:13" x14ac:dyDescent="0.25">
      <c r="A167" s="42" t="str">
        <f t="shared" si="10"/>
        <v xml:space="preserve"> </v>
      </c>
      <c r="D167" s="41"/>
      <c r="E167" s="41"/>
      <c r="J167" s="17">
        <f t="shared" si="13"/>
        <v>0</v>
      </c>
      <c r="K167" s="2" t="str">
        <f t="shared" si="14"/>
        <v xml:space="preserve"> </v>
      </c>
      <c r="L167" s="2" t="str">
        <f t="shared" si="11"/>
        <v xml:space="preserve"> </v>
      </c>
      <c r="M167" s="2" t="str">
        <f t="shared" si="12"/>
        <v xml:space="preserve"> </v>
      </c>
    </row>
    <row r="168" spans="1:13" x14ac:dyDescent="0.25">
      <c r="A168" s="42" t="str">
        <f t="shared" si="10"/>
        <v xml:space="preserve"> </v>
      </c>
      <c r="D168" s="41"/>
      <c r="E168" s="41"/>
      <c r="J168" s="17">
        <f t="shared" si="13"/>
        <v>0</v>
      </c>
      <c r="K168" s="2" t="str">
        <f t="shared" si="14"/>
        <v xml:space="preserve"> </v>
      </c>
      <c r="L168" s="2" t="str">
        <f t="shared" si="11"/>
        <v xml:space="preserve"> </v>
      </c>
      <c r="M168" s="2" t="str">
        <f t="shared" si="12"/>
        <v xml:space="preserve"> </v>
      </c>
    </row>
    <row r="169" spans="1:13" x14ac:dyDescent="0.25">
      <c r="A169" s="42" t="str">
        <f t="shared" si="10"/>
        <v xml:space="preserve"> </v>
      </c>
      <c r="D169" s="41"/>
      <c r="E169" s="41"/>
      <c r="J169" s="17">
        <f t="shared" si="13"/>
        <v>0</v>
      </c>
      <c r="K169" s="2" t="str">
        <f t="shared" si="14"/>
        <v xml:space="preserve"> </v>
      </c>
      <c r="L169" s="2" t="str">
        <f t="shared" si="11"/>
        <v xml:space="preserve"> </v>
      </c>
      <c r="M169" s="2" t="str">
        <f t="shared" si="12"/>
        <v xml:space="preserve"> </v>
      </c>
    </row>
    <row r="170" spans="1:13" x14ac:dyDescent="0.25">
      <c r="A170" s="42" t="str">
        <f t="shared" si="10"/>
        <v xml:space="preserve"> </v>
      </c>
      <c r="D170" s="41"/>
      <c r="E170" s="41"/>
      <c r="J170" s="17">
        <f t="shared" si="13"/>
        <v>0</v>
      </c>
      <c r="K170" s="2" t="str">
        <f t="shared" si="14"/>
        <v xml:space="preserve"> </v>
      </c>
      <c r="L170" s="2" t="str">
        <f t="shared" si="11"/>
        <v xml:space="preserve"> </v>
      </c>
      <c r="M170" s="2" t="str">
        <f t="shared" si="12"/>
        <v xml:space="preserve"> </v>
      </c>
    </row>
    <row r="171" spans="1:13" x14ac:dyDescent="0.25">
      <c r="A171" s="42" t="str">
        <f t="shared" si="10"/>
        <v xml:space="preserve"> </v>
      </c>
      <c r="D171" s="41"/>
      <c r="E171" s="41"/>
      <c r="J171" s="17">
        <f t="shared" si="13"/>
        <v>0</v>
      </c>
      <c r="K171" s="2" t="str">
        <f t="shared" si="14"/>
        <v xml:space="preserve"> </v>
      </c>
      <c r="L171" s="2" t="str">
        <f t="shared" si="11"/>
        <v xml:space="preserve"> </v>
      </c>
      <c r="M171" s="2" t="str">
        <f t="shared" si="12"/>
        <v xml:space="preserve"> </v>
      </c>
    </row>
    <row r="172" spans="1:13" x14ac:dyDescent="0.25">
      <c r="A172" s="42" t="str">
        <f t="shared" si="10"/>
        <v xml:space="preserve"> </v>
      </c>
      <c r="D172" s="41"/>
      <c r="E172" s="41"/>
      <c r="J172" s="17">
        <f t="shared" si="13"/>
        <v>0</v>
      </c>
      <c r="K172" s="2" t="str">
        <f t="shared" si="14"/>
        <v xml:space="preserve"> </v>
      </c>
      <c r="L172" s="2" t="str">
        <f t="shared" si="11"/>
        <v xml:space="preserve"> </v>
      </c>
      <c r="M172" s="2" t="str">
        <f t="shared" si="12"/>
        <v xml:space="preserve"> </v>
      </c>
    </row>
    <row r="173" spans="1:13" x14ac:dyDescent="0.25">
      <c r="A173" s="42" t="str">
        <f t="shared" si="10"/>
        <v xml:space="preserve"> </v>
      </c>
      <c r="D173" s="41"/>
      <c r="E173" s="41"/>
      <c r="J173" s="17">
        <f t="shared" si="13"/>
        <v>0</v>
      </c>
      <c r="K173" s="2" t="str">
        <f t="shared" si="14"/>
        <v xml:space="preserve"> </v>
      </c>
      <c r="L173" s="2" t="str">
        <f t="shared" si="11"/>
        <v xml:space="preserve"> </v>
      </c>
      <c r="M173" s="2" t="str">
        <f t="shared" si="12"/>
        <v xml:space="preserve"> </v>
      </c>
    </row>
    <row r="174" spans="1:13" x14ac:dyDescent="0.25">
      <c r="A174" s="42" t="str">
        <f t="shared" si="10"/>
        <v xml:space="preserve"> </v>
      </c>
      <c r="D174" s="41"/>
      <c r="E174" s="41"/>
      <c r="J174" s="17">
        <f t="shared" si="13"/>
        <v>0</v>
      </c>
      <c r="K174" s="2" t="str">
        <f t="shared" si="14"/>
        <v xml:space="preserve"> </v>
      </c>
      <c r="L174" s="2" t="str">
        <f t="shared" si="11"/>
        <v xml:space="preserve"> </v>
      </c>
      <c r="M174" s="2" t="str">
        <f t="shared" si="12"/>
        <v xml:space="preserve"> </v>
      </c>
    </row>
    <row r="175" spans="1:13" x14ac:dyDescent="0.25">
      <c r="A175" s="42" t="str">
        <f t="shared" si="10"/>
        <v xml:space="preserve"> </v>
      </c>
      <c r="D175" s="41"/>
      <c r="E175" s="41"/>
      <c r="J175" s="17">
        <f t="shared" si="13"/>
        <v>0</v>
      </c>
      <c r="K175" s="2" t="str">
        <f t="shared" si="14"/>
        <v xml:space="preserve"> </v>
      </c>
      <c r="L175" s="2" t="str">
        <f t="shared" si="11"/>
        <v xml:space="preserve"> </v>
      </c>
      <c r="M175" s="2" t="str">
        <f t="shared" si="12"/>
        <v xml:space="preserve"> </v>
      </c>
    </row>
    <row r="176" spans="1:13" x14ac:dyDescent="0.25">
      <c r="A176" s="42" t="str">
        <f t="shared" si="10"/>
        <v xml:space="preserve"> </v>
      </c>
      <c r="D176" s="41"/>
      <c r="E176" s="41"/>
      <c r="J176" s="17">
        <f t="shared" si="13"/>
        <v>0</v>
      </c>
      <c r="K176" s="2" t="str">
        <f t="shared" si="14"/>
        <v xml:space="preserve"> </v>
      </c>
      <c r="L176" s="2" t="str">
        <f t="shared" si="11"/>
        <v xml:space="preserve"> </v>
      </c>
      <c r="M176" s="2" t="str">
        <f t="shared" si="12"/>
        <v xml:space="preserve"> </v>
      </c>
    </row>
    <row r="177" spans="1:13" x14ac:dyDescent="0.25">
      <c r="A177" s="42" t="str">
        <f t="shared" si="10"/>
        <v xml:space="preserve"> </v>
      </c>
      <c r="D177" s="41"/>
      <c r="E177" s="41"/>
      <c r="J177" s="17">
        <f t="shared" si="13"/>
        <v>0</v>
      </c>
      <c r="K177" s="2" t="str">
        <f t="shared" si="14"/>
        <v xml:space="preserve"> </v>
      </c>
      <c r="L177" s="2" t="str">
        <f t="shared" si="11"/>
        <v xml:space="preserve"> </v>
      </c>
      <c r="M177" s="2" t="str">
        <f t="shared" si="12"/>
        <v xml:space="preserve"> </v>
      </c>
    </row>
    <row r="178" spans="1:13" x14ac:dyDescent="0.25">
      <c r="A178" s="42" t="str">
        <f t="shared" si="10"/>
        <v xml:space="preserve"> </v>
      </c>
      <c r="D178" s="41"/>
      <c r="E178" s="41"/>
      <c r="J178" s="17">
        <f t="shared" si="13"/>
        <v>0</v>
      </c>
      <c r="K178" s="2" t="str">
        <f t="shared" si="14"/>
        <v xml:space="preserve"> </v>
      </c>
      <c r="L178" s="2" t="str">
        <f t="shared" si="11"/>
        <v xml:space="preserve"> </v>
      </c>
      <c r="M178" s="2" t="str">
        <f t="shared" si="12"/>
        <v xml:space="preserve"> </v>
      </c>
    </row>
    <row r="179" spans="1:13" x14ac:dyDescent="0.25">
      <c r="A179" s="42" t="str">
        <f t="shared" si="10"/>
        <v xml:space="preserve"> </v>
      </c>
      <c r="D179" s="41"/>
      <c r="E179" s="41"/>
      <c r="J179" s="17">
        <f t="shared" si="13"/>
        <v>0</v>
      </c>
      <c r="K179" s="2" t="str">
        <f t="shared" si="14"/>
        <v xml:space="preserve"> </v>
      </c>
      <c r="L179" s="2" t="str">
        <f t="shared" si="11"/>
        <v xml:space="preserve"> </v>
      </c>
      <c r="M179" s="2" t="str">
        <f t="shared" si="12"/>
        <v xml:space="preserve"> </v>
      </c>
    </row>
    <row r="180" spans="1:13" x14ac:dyDescent="0.25">
      <c r="A180" s="42" t="str">
        <f t="shared" si="10"/>
        <v xml:space="preserve"> </v>
      </c>
      <c r="D180" s="41"/>
      <c r="E180" s="41"/>
      <c r="J180" s="17">
        <f t="shared" si="13"/>
        <v>0</v>
      </c>
      <c r="K180" s="2" t="str">
        <f t="shared" si="14"/>
        <v xml:space="preserve"> </v>
      </c>
      <c r="L180" s="2" t="str">
        <f t="shared" si="11"/>
        <v xml:space="preserve"> </v>
      </c>
      <c r="M180" s="2" t="str">
        <f t="shared" si="12"/>
        <v xml:space="preserve"> </v>
      </c>
    </row>
    <row r="181" spans="1:13" x14ac:dyDescent="0.25">
      <c r="A181" s="42" t="str">
        <f t="shared" si="10"/>
        <v xml:space="preserve"> </v>
      </c>
      <c r="D181" s="41"/>
      <c r="E181" s="41"/>
      <c r="J181" s="17">
        <f t="shared" si="13"/>
        <v>0</v>
      </c>
      <c r="K181" s="2" t="str">
        <f t="shared" si="14"/>
        <v xml:space="preserve"> </v>
      </c>
      <c r="L181" s="2" t="str">
        <f t="shared" si="11"/>
        <v xml:space="preserve"> </v>
      </c>
      <c r="M181" s="2" t="str">
        <f t="shared" si="12"/>
        <v xml:space="preserve"> </v>
      </c>
    </row>
    <row r="182" spans="1:13" x14ac:dyDescent="0.25">
      <c r="A182" s="42" t="str">
        <f t="shared" si="10"/>
        <v xml:space="preserve"> </v>
      </c>
      <c r="D182" s="41"/>
      <c r="E182" s="41"/>
      <c r="J182" s="17">
        <f t="shared" si="13"/>
        <v>0</v>
      </c>
      <c r="K182" s="2" t="str">
        <f t="shared" si="14"/>
        <v xml:space="preserve"> </v>
      </c>
      <c r="L182" s="2" t="str">
        <f t="shared" si="11"/>
        <v xml:space="preserve"> </v>
      </c>
      <c r="M182" s="2" t="str">
        <f t="shared" si="12"/>
        <v xml:space="preserve"> </v>
      </c>
    </row>
    <row r="183" spans="1:13" x14ac:dyDescent="0.25">
      <c r="A183" s="42" t="str">
        <f t="shared" si="10"/>
        <v xml:space="preserve"> </v>
      </c>
      <c r="D183" s="41"/>
      <c r="E183" s="41"/>
      <c r="J183" s="17">
        <f t="shared" si="13"/>
        <v>0</v>
      </c>
      <c r="K183" s="2" t="str">
        <f t="shared" si="14"/>
        <v xml:space="preserve"> </v>
      </c>
      <c r="L183" s="2" t="str">
        <f t="shared" si="11"/>
        <v xml:space="preserve"> </v>
      </c>
      <c r="M183" s="2" t="str">
        <f t="shared" si="12"/>
        <v xml:space="preserve"> </v>
      </c>
    </row>
    <row r="184" spans="1:13" x14ac:dyDescent="0.25">
      <c r="A184" s="42" t="str">
        <f t="shared" si="10"/>
        <v xml:space="preserve"> </v>
      </c>
      <c r="D184" s="41"/>
      <c r="E184" s="41"/>
      <c r="J184" s="17">
        <f t="shared" si="13"/>
        <v>0</v>
      </c>
      <c r="K184" s="2" t="str">
        <f t="shared" si="14"/>
        <v xml:space="preserve"> </v>
      </c>
      <c r="L184" s="2" t="str">
        <f t="shared" si="11"/>
        <v xml:space="preserve"> </v>
      </c>
      <c r="M184" s="2" t="str">
        <f t="shared" si="12"/>
        <v xml:space="preserve"> </v>
      </c>
    </row>
    <row r="185" spans="1:13" x14ac:dyDescent="0.25">
      <c r="A185" s="42" t="str">
        <f t="shared" si="10"/>
        <v xml:space="preserve"> </v>
      </c>
      <c r="D185" s="41"/>
      <c r="E185" s="41"/>
      <c r="J185" s="17">
        <f t="shared" si="13"/>
        <v>0</v>
      </c>
      <c r="K185" s="2" t="str">
        <f t="shared" si="14"/>
        <v xml:space="preserve"> </v>
      </c>
      <c r="L185" s="2" t="str">
        <f t="shared" si="11"/>
        <v xml:space="preserve"> </v>
      </c>
      <c r="M185" s="2" t="str">
        <f t="shared" si="12"/>
        <v xml:space="preserve"> </v>
      </c>
    </row>
    <row r="186" spans="1:13" x14ac:dyDescent="0.25">
      <c r="A186" s="42" t="str">
        <f t="shared" si="10"/>
        <v xml:space="preserve"> </v>
      </c>
      <c r="D186" s="41"/>
      <c r="E186" s="41"/>
      <c r="J186" s="17">
        <f t="shared" si="13"/>
        <v>0</v>
      </c>
      <c r="K186" s="2" t="str">
        <f t="shared" si="14"/>
        <v xml:space="preserve"> </v>
      </c>
      <c r="L186" s="2" t="str">
        <f t="shared" si="11"/>
        <v xml:space="preserve"> </v>
      </c>
      <c r="M186" s="2" t="str">
        <f t="shared" si="12"/>
        <v xml:space="preserve"> </v>
      </c>
    </row>
    <row r="187" spans="1:13" x14ac:dyDescent="0.25">
      <c r="A187" s="42" t="str">
        <f t="shared" si="10"/>
        <v xml:space="preserve"> </v>
      </c>
      <c r="D187" s="41"/>
      <c r="E187" s="41"/>
      <c r="J187" s="17">
        <f t="shared" si="13"/>
        <v>0</v>
      </c>
      <c r="K187" s="2" t="str">
        <f t="shared" si="14"/>
        <v xml:space="preserve"> </v>
      </c>
      <c r="L187" s="2" t="str">
        <f t="shared" si="11"/>
        <v xml:space="preserve"> </v>
      </c>
      <c r="M187" s="2" t="str">
        <f t="shared" si="12"/>
        <v xml:space="preserve"> </v>
      </c>
    </row>
    <row r="188" spans="1:13" x14ac:dyDescent="0.25">
      <c r="A188" s="42" t="str">
        <f t="shared" si="10"/>
        <v xml:space="preserve"> </v>
      </c>
      <c r="D188" s="41"/>
      <c r="E188" s="41"/>
      <c r="J188" s="17">
        <f t="shared" si="13"/>
        <v>0</v>
      </c>
      <c r="K188" s="2" t="str">
        <f t="shared" si="14"/>
        <v xml:space="preserve"> </v>
      </c>
      <c r="L188" s="2" t="str">
        <f t="shared" si="11"/>
        <v xml:space="preserve"> </v>
      </c>
      <c r="M188" s="2" t="str">
        <f t="shared" si="12"/>
        <v xml:space="preserve"> </v>
      </c>
    </row>
    <row r="189" spans="1:13" x14ac:dyDescent="0.25">
      <c r="A189" s="42" t="str">
        <f t="shared" si="10"/>
        <v xml:space="preserve"> </v>
      </c>
      <c r="D189" s="41"/>
      <c r="E189" s="41"/>
      <c r="J189" s="17">
        <f t="shared" si="13"/>
        <v>0</v>
      </c>
      <c r="K189" s="2" t="str">
        <f t="shared" si="14"/>
        <v xml:space="preserve"> </v>
      </c>
      <c r="L189" s="2" t="str">
        <f t="shared" si="11"/>
        <v xml:space="preserve"> </v>
      </c>
      <c r="M189" s="2" t="str">
        <f t="shared" si="12"/>
        <v xml:space="preserve"> </v>
      </c>
    </row>
    <row r="190" spans="1:13" x14ac:dyDescent="0.25">
      <c r="A190" s="42" t="str">
        <f t="shared" si="10"/>
        <v xml:space="preserve"> </v>
      </c>
      <c r="D190" s="41"/>
      <c r="E190" s="41"/>
      <c r="J190" s="17">
        <f t="shared" si="13"/>
        <v>0</v>
      </c>
      <c r="K190" s="2" t="str">
        <f t="shared" si="14"/>
        <v xml:space="preserve"> </v>
      </c>
      <c r="L190" s="2" t="str">
        <f t="shared" si="11"/>
        <v xml:space="preserve"> </v>
      </c>
      <c r="M190" s="2" t="str">
        <f t="shared" si="12"/>
        <v xml:space="preserve"> </v>
      </c>
    </row>
    <row r="191" spans="1:13" x14ac:dyDescent="0.25">
      <c r="A191" s="42" t="str">
        <f t="shared" si="10"/>
        <v xml:space="preserve"> </v>
      </c>
      <c r="D191" s="41"/>
      <c r="E191" s="41"/>
      <c r="J191" s="17">
        <f t="shared" si="13"/>
        <v>0</v>
      </c>
      <c r="K191" s="2" t="str">
        <f t="shared" si="14"/>
        <v xml:space="preserve"> </v>
      </c>
      <c r="L191" s="2" t="str">
        <f t="shared" si="11"/>
        <v xml:space="preserve"> </v>
      </c>
      <c r="M191" s="2" t="str">
        <f t="shared" si="12"/>
        <v xml:space="preserve"> </v>
      </c>
    </row>
    <row r="192" spans="1:13" x14ac:dyDescent="0.25">
      <c r="A192" s="42" t="str">
        <f t="shared" si="10"/>
        <v xml:space="preserve"> </v>
      </c>
      <c r="D192" s="41"/>
      <c r="E192" s="41"/>
      <c r="J192" s="17">
        <f t="shared" si="13"/>
        <v>0</v>
      </c>
      <c r="K192" s="2" t="str">
        <f t="shared" si="14"/>
        <v xml:space="preserve"> </v>
      </c>
      <c r="L192" s="2" t="str">
        <f t="shared" si="11"/>
        <v xml:space="preserve"> </v>
      </c>
      <c r="M192" s="2" t="str">
        <f t="shared" si="12"/>
        <v xml:space="preserve"> </v>
      </c>
    </row>
    <row r="193" spans="1:13" x14ac:dyDescent="0.25">
      <c r="A193" s="42" t="str">
        <f t="shared" si="10"/>
        <v xml:space="preserve"> </v>
      </c>
      <c r="D193" s="41"/>
      <c r="E193" s="41"/>
      <c r="J193" s="17">
        <f t="shared" si="13"/>
        <v>0</v>
      </c>
      <c r="K193" s="2" t="str">
        <f t="shared" si="14"/>
        <v xml:space="preserve"> </v>
      </c>
      <c r="L193" s="2" t="str">
        <f t="shared" si="11"/>
        <v xml:space="preserve"> </v>
      </c>
      <c r="M193" s="2" t="str">
        <f t="shared" si="12"/>
        <v xml:space="preserve"> </v>
      </c>
    </row>
    <row r="194" spans="1:13" x14ac:dyDescent="0.25">
      <c r="A194" s="42" t="str">
        <f t="shared" si="10"/>
        <v xml:space="preserve"> </v>
      </c>
      <c r="D194" s="41"/>
      <c r="E194" s="41"/>
      <c r="J194" s="17">
        <f t="shared" si="13"/>
        <v>0</v>
      </c>
      <c r="K194" s="2" t="str">
        <f t="shared" si="14"/>
        <v xml:space="preserve"> </v>
      </c>
      <c r="L194" s="2" t="str">
        <f t="shared" si="11"/>
        <v xml:space="preserve"> </v>
      </c>
      <c r="M194" s="2" t="str">
        <f t="shared" si="12"/>
        <v xml:space="preserve"> </v>
      </c>
    </row>
    <row r="195" spans="1:13" x14ac:dyDescent="0.25">
      <c r="A195" s="42" t="str">
        <f t="shared" si="10"/>
        <v xml:space="preserve"> </v>
      </c>
      <c r="D195" s="41"/>
      <c r="E195" s="41"/>
      <c r="J195" s="17">
        <f t="shared" si="13"/>
        <v>0</v>
      </c>
      <c r="K195" s="2" t="str">
        <f t="shared" si="14"/>
        <v xml:space="preserve"> </v>
      </c>
      <c r="L195" s="2" t="str">
        <f t="shared" si="11"/>
        <v xml:space="preserve"> </v>
      </c>
      <c r="M195" s="2" t="str">
        <f t="shared" si="12"/>
        <v xml:space="preserve"> </v>
      </c>
    </row>
    <row r="196" spans="1:13" x14ac:dyDescent="0.25">
      <c r="A196" s="42" t="str">
        <f t="shared" si="10"/>
        <v xml:space="preserve"> </v>
      </c>
      <c r="D196" s="41"/>
      <c r="E196" s="41"/>
      <c r="J196" s="17">
        <f t="shared" si="13"/>
        <v>0</v>
      </c>
      <c r="K196" s="2" t="str">
        <f t="shared" si="14"/>
        <v xml:space="preserve"> </v>
      </c>
      <c r="L196" s="2" t="str">
        <f t="shared" si="11"/>
        <v xml:space="preserve"> </v>
      </c>
      <c r="M196" s="2" t="str">
        <f t="shared" si="12"/>
        <v xml:space="preserve"> </v>
      </c>
    </row>
    <row r="197" spans="1:13" x14ac:dyDescent="0.25">
      <c r="A197" s="42" t="str">
        <f t="shared" si="10"/>
        <v xml:space="preserve"> </v>
      </c>
      <c r="D197" s="41"/>
      <c r="E197" s="41"/>
      <c r="J197" s="17">
        <f t="shared" si="13"/>
        <v>0</v>
      </c>
      <c r="K197" s="2" t="str">
        <f t="shared" si="14"/>
        <v xml:space="preserve"> </v>
      </c>
      <c r="L197" s="2" t="str">
        <f t="shared" si="11"/>
        <v xml:space="preserve"> </v>
      </c>
      <c r="M197" s="2" t="str">
        <f t="shared" si="12"/>
        <v xml:space="preserve"> </v>
      </c>
    </row>
    <row r="198" spans="1:13" x14ac:dyDescent="0.25">
      <c r="A198" s="42" t="str">
        <f t="shared" si="10"/>
        <v xml:space="preserve"> </v>
      </c>
      <c r="D198" s="41"/>
      <c r="E198" s="41"/>
      <c r="J198" s="17">
        <f t="shared" si="13"/>
        <v>0</v>
      </c>
      <c r="K198" s="2" t="str">
        <f t="shared" si="14"/>
        <v xml:space="preserve"> </v>
      </c>
      <c r="L198" s="2" t="str">
        <f t="shared" si="11"/>
        <v xml:space="preserve"> </v>
      </c>
      <c r="M198" s="2" t="str">
        <f t="shared" si="12"/>
        <v xml:space="preserve"> </v>
      </c>
    </row>
    <row r="199" spans="1:13" x14ac:dyDescent="0.25">
      <c r="A199" s="42" t="str">
        <f t="shared" si="10"/>
        <v xml:space="preserve"> </v>
      </c>
      <c r="D199" s="41"/>
      <c r="E199" s="41"/>
      <c r="J199" s="17">
        <f t="shared" si="13"/>
        <v>0</v>
      </c>
      <c r="K199" s="2" t="str">
        <f t="shared" si="14"/>
        <v xml:space="preserve"> </v>
      </c>
      <c r="L199" s="2" t="str">
        <f t="shared" si="11"/>
        <v xml:space="preserve"> </v>
      </c>
      <c r="M199" s="2" t="str">
        <f t="shared" si="12"/>
        <v xml:space="preserve"> </v>
      </c>
    </row>
    <row r="200" spans="1:13" x14ac:dyDescent="0.25">
      <c r="A200" s="42" t="str">
        <f t="shared" si="10"/>
        <v xml:space="preserve"> </v>
      </c>
      <c r="D200" s="41"/>
      <c r="E200" s="41"/>
      <c r="J200" s="17">
        <f t="shared" si="13"/>
        <v>0</v>
      </c>
      <c r="K200" s="2" t="str">
        <f t="shared" si="14"/>
        <v xml:space="preserve"> </v>
      </c>
      <c r="L200" s="2" t="str">
        <f t="shared" si="11"/>
        <v xml:space="preserve"> </v>
      </c>
      <c r="M200" s="2" t="str">
        <f t="shared" si="12"/>
        <v xml:space="preserve"> </v>
      </c>
    </row>
    <row r="201" spans="1:13" x14ac:dyDescent="0.25">
      <c r="A201" s="42" t="str">
        <f t="shared" si="10"/>
        <v xml:space="preserve"> </v>
      </c>
      <c r="D201" s="41"/>
      <c r="E201" s="41"/>
      <c r="J201" s="17">
        <f t="shared" si="13"/>
        <v>0</v>
      </c>
      <c r="K201" s="2" t="str">
        <f t="shared" si="14"/>
        <v xml:space="preserve"> </v>
      </c>
      <c r="L201" s="2" t="str">
        <f t="shared" si="11"/>
        <v xml:space="preserve"> </v>
      </c>
      <c r="M201" s="2" t="str">
        <f t="shared" si="12"/>
        <v xml:space="preserve"> </v>
      </c>
    </row>
    <row r="202" spans="1:13" x14ac:dyDescent="0.25">
      <c r="A202" s="42" t="str">
        <f t="shared" si="10"/>
        <v xml:space="preserve"> </v>
      </c>
      <c r="D202" s="41"/>
      <c r="E202" s="41"/>
      <c r="J202" s="17">
        <f t="shared" si="13"/>
        <v>0</v>
      </c>
      <c r="K202" s="2" t="str">
        <f t="shared" si="14"/>
        <v xml:space="preserve"> </v>
      </c>
      <c r="L202" s="2" t="str">
        <f t="shared" si="11"/>
        <v xml:space="preserve"> </v>
      </c>
      <c r="M202" s="2" t="str">
        <f t="shared" si="12"/>
        <v xml:space="preserve"> </v>
      </c>
    </row>
    <row r="203" spans="1:13" x14ac:dyDescent="0.25">
      <c r="A203" s="42" t="str">
        <f t="shared" si="10"/>
        <v xml:space="preserve"> </v>
      </c>
      <c r="D203" s="41"/>
      <c r="E203" s="41"/>
      <c r="J203" s="17">
        <f t="shared" si="13"/>
        <v>0</v>
      </c>
      <c r="K203" s="2" t="str">
        <f t="shared" si="14"/>
        <v xml:space="preserve"> </v>
      </c>
      <c r="L203" s="2" t="str">
        <f t="shared" si="11"/>
        <v xml:space="preserve"> </v>
      </c>
      <c r="M203" s="2" t="str">
        <f t="shared" si="12"/>
        <v xml:space="preserve"> </v>
      </c>
    </row>
    <row r="204" spans="1:13" x14ac:dyDescent="0.25">
      <c r="A204" s="42" t="str">
        <f t="shared" si="10"/>
        <v xml:space="preserve"> </v>
      </c>
      <c r="D204" s="41"/>
      <c r="E204" s="41"/>
      <c r="J204" s="17">
        <f t="shared" si="13"/>
        <v>0</v>
      </c>
      <c r="K204" s="2" t="str">
        <f t="shared" si="14"/>
        <v xml:space="preserve"> </v>
      </c>
      <c r="L204" s="2" t="str">
        <f t="shared" si="11"/>
        <v xml:space="preserve"> </v>
      </c>
      <c r="M204" s="2" t="str">
        <f t="shared" si="12"/>
        <v xml:space="preserve"> </v>
      </c>
    </row>
    <row r="205" spans="1:13" x14ac:dyDescent="0.25">
      <c r="A205" s="42" t="str">
        <f t="shared" si="10"/>
        <v xml:space="preserve"> </v>
      </c>
      <c r="D205" s="41"/>
      <c r="E205" s="41"/>
      <c r="J205" s="17">
        <f t="shared" si="13"/>
        <v>0</v>
      </c>
      <c r="K205" s="2" t="str">
        <f t="shared" si="14"/>
        <v xml:space="preserve"> </v>
      </c>
      <c r="L205" s="2" t="str">
        <f t="shared" si="11"/>
        <v xml:space="preserve"> </v>
      </c>
      <c r="M205" s="2" t="str">
        <f t="shared" si="12"/>
        <v xml:space="preserve"> </v>
      </c>
    </row>
    <row r="206" spans="1:13" x14ac:dyDescent="0.25">
      <c r="A206" s="42" t="str">
        <f t="shared" si="10"/>
        <v xml:space="preserve"> </v>
      </c>
      <c r="D206" s="41"/>
      <c r="E206" s="41"/>
      <c r="J206" s="17">
        <f t="shared" si="13"/>
        <v>0</v>
      </c>
      <c r="K206" s="2" t="str">
        <f t="shared" si="14"/>
        <v xml:space="preserve"> </v>
      </c>
      <c r="L206" s="2" t="str">
        <f t="shared" si="11"/>
        <v xml:space="preserve"> </v>
      </c>
      <c r="M206" s="2" t="str">
        <f t="shared" si="12"/>
        <v xml:space="preserve"> </v>
      </c>
    </row>
    <row r="207" spans="1:13" x14ac:dyDescent="0.25">
      <c r="A207" s="42" t="str">
        <f t="shared" ref="A207:A270" si="15">IF(COUNTIF(K207:M207,"ERROR")&gt;0,"ERROR"," ")</f>
        <v xml:space="preserve"> </v>
      </c>
      <c r="D207" s="41"/>
      <c r="E207" s="41"/>
      <c r="J207" s="17">
        <f t="shared" si="13"/>
        <v>0</v>
      </c>
      <c r="K207" s="2" t="str">
        <f t="shared" si="14"/>
        <v xml:space="preserve"> </v>
      </c>
      <c r="L207" s="2" t="str">
        <f t="shared" ref="L207:L270" si="16">IF(D207=0," ",IF(COUNTIF(ProfitLoss4,D207)&gt;0," ","ERROR"))</f>
        <v xml:space="preserve"> </v>
      </c>
      <c r="M207" s="2" t="str">
        <f t="shared" ref="M207:M270" si="17">IF(E207=0," ",IF(COUNTIF(BalanceSheet4,E207)&gt;0," ","ERROR"))</f>
        <v xml:space="preserve"> </v>
      </c>
    </row>
    <row r="208" spans="1:13" x14ac:dyDescent="0.25">
      <c r="A208" s="42" t="str">
        <f t="shared" si="15"/>
        <v xml:space="preserve"> </v>
      </c>
      <c r="D208" s="41"/>
      <c r="E208" s="41"/>
      <c r="J208" s="17">
        <f t="shared" ref="J208:J271" si="18">F208-G208+H208-I208</f>
        <v>0</v>
      </c>
      <c r="K208" s="2" t="str">
        <f t="shared" ref="K208:K271" si="19">IF(COUNTA(D208:E208)=2,"ERROR"," ")</f>
        <v xml:space="preserve"> </v>
      </c>
      <c r="L208" s="2" t="str">
        <f t="shared" si="16"/>
        <v xml:space="preserve"> </v>
      </c>
      <c r="M208" s="2" t="str">
        <f t="shared" si="17"/>
        <v xml:space="preserve"> </v>
      </c>
    </row>
    <row r="209" spans="1:13" x14ac:dyDescent="0.25">
      <c r="A209" s="42" t="str">
        <f t="shared" si="15"/>
        <v xml:space="preserve"> </v>
      </c>
      <c r="D209" s="41"/>
      <c r="E209" s="41"/>
      <c r="J209" s="17">
        <f t="shared" si="18"/>
        <v>0</v>
      </c>
      <c r="K209" s="2" t="str">
        <f t="shared" si="19"/>
        <v xml:space="preserve"> </v>
      </c>
      <c r="L209" s="2" t="str">
        <f t="shared" si="16"/>
        <v xml:space="preserve"> </v>
      </c>
      <c r="M209" s="2" t="str">
        <f t="shared" si="17"/>
        <v xml:space="preserve"> </v>
      </c>
    </row>
    <row r="210" spans="1:13" x14ac:dyDescent="0.25">
      <c r="A210" s="42" t="str">
        <f t="shared" si="15"/>
        <v xml:space="preserve"> </v>
      </c>
      <c r="D210" s="41"/>
      <c r="E210" s="41"/>
      <c r="J210" s="17">
        <f t="shared" si="18"/>
        <v>0</v>
      </c>
      <c r="K210" s="2" t="str">
        <f t="shared" si="19"/>
        <v xml:space="preserve"> </v>
      </c>
      <c r="L210" s="2" t="str">
        <f t="shared" si="16"/>
        <v xml:space="preserve"> </v>
      </c>
      <c r="M210" s="2" t="str">
        <f t="shared" si="17"/>
        <v xml:space="preserve"> </v>
      </c>
    </row>
    <row r="211" spans="1:13" x14ac:dyDescent="0.25">
      <c r="A211" s="42" t="str">
        <f t="shared" si="15"/>
        <v xml:space="preserve"> </v>
      </c>
      <c r="D211" s="41"/>
      <c r="E211" s="41"/>
      <c r="J211" s="17">
        <f t="shared" si="18"/>
        <v>0</v>
      </c>
      <c r="K211" s="2" t="str">
        <f t="shared" si="19"/>
        <v xml:space="preserve"> </v>
      </c>
      <c r="L211" s="2" t="str">
        <f t="shared" si="16"/>
        <v xml:space="preserve"> </v>
      </c>
      <c r="M211" s="2" t="str">
        <f t="shared" si="17"/>
        <v xml:space="preserve"> </v>
      </c>
    </row>
    <row r="212" spans="1:13" x14ac:dyDescent="0.25">
      <c r="A212" s="42" t="str">
        <f t="shared" si="15"/>
        <v xml:space="preserve"> </v>
      </c>
      <c r="D212" s="41"/>
      <c r="E212" s="41"/>
      <c r="J212" s="17">
        <f t="shared" si="18"/>
        <v>0</v>
      </c>
      <c r="K212" s="2" t="str">
        <f t="shared" si="19"/>
        <v xml:space="preserve"> </v>
      </c>
      <c r="L212" s="2" t="str">
        <f t="shared" si="16"/>
        <v xml:space="preserve"> </v>
      </c>
      <c r="M212" s="2" t="str">
        <f t="shared" si="17"/>
        <v xml:space="preserve"> </v>
      </c>
    </row>
    <row r="213" spans="1:13" x14ac:dyDescent="0.25">
      <c r="A213" s="42" t="str">
        <f t="shared" si="15"/>
        <v xml:space="preserve"> </v>
      </c>
      <c r="D213" s="41"/>
      <c r="E213" s="41"/>
      <c r="J213" s="17">
        <f t="shared" si="18"/>
        <v>0</v>
      </c>
      <c r="K213" s="2" t="str">
        <f t="shared" si="19"/>
        <v xml:space="preserve"> </v>
      </c>
      <c r="L213" s="2" t="str">
        <f t="shared" si="16"/>
        <v xml:space="preserve"> </v>
      </c>
      <c r="M213" s="2" t="str">
        <f t="shared" si="17"/>
        <v xml:space="preserve"> </v>
      </c>
    </row>
    <row r="214" spans="1:13" x14ac:dyDescent="0.25">
      <c r="A214" s="42" t="str">
        <f t="shared" si="15"/>
        <v xml:space="preserve"> </v>
      </c>
      <c r="D214" s="41"/>
      <c r="E214" s="41"/>
      <c r="J214" s="17">
        <f t="shared" si="18"/>
        <v>0</v>
      </c>
      <c r="K214" s="2" t="str">
        <f t="shared" si="19"/>
        <v xml:space="preserve"> </v>
      </c>
      <c r="L214" s="2" t="str">
        <f t="shared" si="16"/>
        <v xml:space="preserve"> </v>
      </c>
      <c r="M214" s="2" t="str">
        <f t="shared" si="17"/>
        <v xml:space="preserve"> </v>
      </c>
    </row>
    <row r="215" spans="1:13" x14ac:dyDescent="0.25">
      <c r="A215" s="42" t="str">
        <f t="shared" si="15"/>
        <v xml:space="preserve"> </v>
      </c>
      <c r="D215" s="41"/>
      <c r="E215" s="41"/>
      <c r="J215" s="17">
        <f t="shared" si="18"/>
        <v>0</v>
      </c>
      <c r="K215" s="2" t="str">
        <f t="shared" si="19"/>
        <v xml:space="preserve"> </v>
      </c>
      <c r="L215" s="2" t="str">
        <f t="shared" si="16"/>
        <v xml:space="preserve"> </v>
      </c>
      <c r="M215" s="2" t="str">
        <f t="shared" si="17"/>
        <v xml:space="preserve"> </v>
      </c>
    </row>
    <row r="216" spans="1:13" x14ac:dyDescent="0.25">
      <c r="A216" s="42" t="str">
        <f t="shared" si="15"/>
        <v xml:space="preserve"> </v>
      </c>
      <c r="D216" s="41"/>
      <c r="E216" s="41"/>
      <c r="J216" s="17">
        <f t="shared" si="18"/>
        <v>0</v>
      </c>
      <c r="K216" s="2" t="str">
        <f t="shared" si="19"/>
        <v xml:space="preserve"> </v>
      </c>
      <c r="L216" s="2" t="str">
        <f t="shared" si="16"/>
        <v xml:space="preserve"> </v>
      </c>
      <c r="M216" s="2" t="str">
        <f t="shared" si="17"/>
        <v xml:space="preserve"> </v>
      </c>
    </row>
    <row r="217" spans="1:13" x14ac:dyDescent="0.25">
      <c r="A217" s="42" t="str">
        <f t="shared" si="15"/>
        <v xml:space="preserve"> </v>
      </c>
      <c r="D217" s="41"/>
      <c r="E217" s="41"/>
      <c r="J217" s="17">
        <f t="shared" si="18"/>
        <v>0</v>
      </c>
      <c r="K217" s="2" t="str">
        <f t="shared" si="19"/>
        <v xml:space="preserve"> </v>
      </c>
      <c r="L217" s="2" t="str">
        <f t="shared" si="16"/>
        <v xml:space="preserve"> </v>
      </c>
      <c r="M217" s="2" t="str">
        <f t="shared" si="17"/>
        <v xml:space="preserve"> </v>
      </c>
    </row>
    <row r="218" spans="1:13" x14ac:dyDescent="0.25">
      <c r="A218" s="42" t="str">
        <f t="shared" si="15"/>
        <v xml:space="preserve"> </v>
      </c>
      <c r="D218" s="41"/>
      <c r="E218" s="41"/>
      <c r="J218" s="17">
        <f t="shared" si="18"/>
        <v>0</v>
      </c>
      <c r="K218" s="2" t="str">
        <f t="shared" si="19"/>
        <v xml:space="preserve"> </v>
      </c>
      <c r="L218" s="2" t="str">
        <f t="shared" si="16"/>
        <v xml:space="preserve"> </v>
      </c>
      <c r="M218" s="2" t="str">
        <f t="shared" si="17"/>
        <v xml:space="preserve"> </v>
      </c>
    </row>
    <row r="219" spans="1:13" x14ac:dyDescent="0.25">
      <c r="A219" s="42" t="str">
        <f t="shared" si="15"/>
        <v xml:space="preserve"> </v>
      </c>
      <c r="D219" s="41"/>
      <c r="E219" s="41"/>
      <c r="J219" s="17">
        <f t="shared" si="18"/>
        <v>0</v>
      </c>
      <c r="K219" s="2" t="str">
        <f t="shared" si="19"/>
        <v xml:space="preserve"> </v>
      </c>
      <c r="L219" s="2" t="str">
        <f t="shared" si="16"/>
        <v xml:space="preserve"> </v>
      </c>
      <c r="M219" s="2" t="str">
        <f t="shared" si="17"/>
        <v xml:space="preserve"> </v>
      </c>
    </row>
    <row r="220" spans="1:13" x14ac:dyDescent="0.25">
      <c r="A220" s="42" t="str">
        <f t="shared" si="15"/>
        <v xml:space="preserve"> </v>
      </c>
      <c r="D220" s="41"/>
      <c r="E220" s="41"/>
      <c r="J220" s="17">
        <f t="shared" si="18"/>
        <v>0</v>
      </c>
      <c r="K220" s="2" t="str">
        <f t="shared" si="19"/>
        <v xml:space="preserve"> </v>
      </c>
      <c r="L220" s="2" t="str">
        <f t="shared" si="16"/>
        <v xml:space="preserve"> </v>
      </c>
      <c r="M220" s="2" t="str">
        <f t="shared" si="17"/>
        <v xml:space="preserve"> </v>
      </c>
    </row>
    <row r="221" spans="1:13" x14ac:dyDescent="0.25">
      <c r="A221" s="42" t="str">
        <f t="shared" si="15"/>
        <v xml:space="preserve"> </v>
      </c>
      <c r="D221" s="41"/>
      <c r="E221" s="41"/>
      <c r="J221" s="17">
        <f t="shared" si="18"/>
        <v>0</v>
      </c>
      <c r="K221" s="2" t="str">
        <f t="shared" si="19"/>
        <v xml:space="preserve"> </v>
      </c>
      <c r="L221" s="2" t="str">
        <f t="shared" si="16"/>
        <v xml:space="preserve"> </v>
      </c>
      <c r="M221" s="2" t="str">
        <f t="shared" si="17"/>
        <v xml:space="preserve"> </v>
      </c>
    </row>
    <row r="222" spans="1:13" x14ac:dyDescent="0.25">
      <c r="A222" s="42" t="str">
        <f t="shared" si="15"/>
        <v xml:space="preserve"> </v>
      </c>
      <c r="D222" s="41"/>
      <c r="E222" s="41"/>
      <c r="J222" s="17">
        <f t="shared" si="18"/>
        <v>0</v>
      </c>
      <c r="K222" s="2" t="str">
        <f t="shared" si="19"/>
        <v xml:space="preserve"> </v>
      </c>
      <c r="L222" s="2" t="str">
        <f t="shared" si="16"/>
        <v xml:space="preserve"> </v>
      </c>
      <c r="M222" s="2" t="str">
        <f t="shared" si="17"/>
        <v xml:space="preserve"> </v>
      </c>
    </row>
    <row r="223" spans="1:13" x14ac:dyDescent="0.25">
      <c r="A223" s="42" t="str">
        <f t="shared" si="15"/>
        <v xml:space="preserve"> </v>
      </c>
      <c r="D223" s="41"/>
      <c r="E223" s="41"/>
      <c r="J223" s="17">
        <f t="shared" si="18"/>
        <v>0</v>
      </c>
      <c r="K223" s="2" t="str">
        <f t="shared" si="19"/>
        <v xml:space="preserve"> </v>
      </c>
      <c r="L223" s="2" t="str">
        <f t="shared" si="16"/>
        <v xml:space="preserve"> </v>
      </c>
      <c r="M223" s="2" t="str">
        <f t="shared" si="17"/>
        <v xml:space="preserve"> </v>
      </c>
    </row>
    <row r="224" spans="1:13" x14ac:dyDescent="0.25">
      <c r="A224" s="42" t="str">
        <f t="shared" si="15"/>
        <v xml:space="preserve"> </v>
      </c>
      <c r="D224" s="41"/>
      <c r="E224" s="41"/>
      <c r="J224" s="17">
        <f t="shared" si="18"/>
        <v>0</v>
      </c>
      <c r="K224" s="2" t="str">
        <f t="shared" si="19"/>
        <v xml:space="preserve"> </v>
      </c>
      <c r="L224" s="2" t="str">
        <f t="shared" si="16"/>
        <v xml:space="preserve"> </v>
      </c>
      <c r="M224" s="2" t="str">
        <f t="shared" si="17"/>
        <v xml:space="preserve"> </v>
      </c>
    </row>
    <row r="225" spans="1:13" x14ac:dyDescent="0.25">
      <c r="A225" s="42" t="str">
        <f t="shared" si="15"/>
        <v xml:space="preserve"> </v>
      </c>
      <c r="D225" s="41"/>
      <c r="E225" s="41"/>
      <c r="J225" s="17">
        <f t="shared" si="18"/>
        <v>0</v>
      </c>
      <c r="K225" s="2" t="str">
        <f t="shared" si="19"/>
        <v xml:space="preserve"> </v>
      </c>
      <c r="L225" s="2" t="str">
        <f t="shared" si="16"/>
        <v xml:space="preserve"> </v>
      </c>
      <c r="M225" s="2" t="str">
        <f t="shared" si="17"/>
        <v xml:space="preserve"> </v>
      </c>
    </row>
    <row r="226" spans="1:13" x14ac:dyDescent="0.25">
      <c r="A226" s="42" t="str">
        <f t="shared" si="15"/>
        <v xml:space="preserve"> </v>
      </c>
      <c r="D226" s="41"/>
      <c r="E226" s="41"/>
      <c r="J226" s="17">
        <f t="shared" si="18"/>
        <v>0</v>
      </c>
      <c r="K226" s="2" t="str">
        <f t="shared" si="19"/>
        <v xml:space="preserve"> </v>
      </c>
      <c r="L226" s="2" t="str">
        <f t="shared" si="16"/>
        <v xml:space="preserve"> </v>
      </c>
      <c r="M226" s="2" t="str">
        <f t="shared" si="17"/>
        <v xml:space="preserve"> </v>
      </c>
    </row>
    <row r="227" spans="1:13" x14ac:dyDescent="0.25">
      <c r="A227" s="42" t="str">
        <f t="shared" si="15"/>
        <v xml:space="preserve"> </v>
      </c>
      <c r="D227" s="41"/>
      <c r="E227" s="41"/>
      <c r="J227" s="17">
        <f t="shared" si="18"/>
        <v>0</v>
      </c>
      <c r="K227" s="2" t="str">
        <f t="shared" si="19"/>
        <v xml:space="preserve"> </v>
      </c>
      <c r="L227" s="2" t="str">
        <f t="shared" si="16"/>
        <v xml:space="preserve"> </v>
      </c>
      <c r="M227" s="2" t="str">
        <f t="shared" si="17"/>
        <v xml:space="preserve"> </v>
      </c>
    </row>
    <row r="228" spans="1:13" x14ac:dyDescent="0.25">
      <c r="A228" s="42" t="str">
        <f t="shared" si="15"/>
        <v xml:space="preserve"> </v>
      </c>
      <c r="D228" s="41"/>
      <c r="E228" s="41"/>
      <c r="J228" s="17">
        <f t="shared" si="18"/>
        <v>0</v>
      </c>
      <c r="K228" s="2" t="str">
        <f t="shared" si="19"/>
        <v xml:space="preserve"> </v>
      </c>
      <c r="L228" s="2" t="str">
        <f t="shared" si="16"/>
        <v xml:space="preserve"> </v>
      </c>
      <c r="M228" s="2" t="str">
        <f t="shared" si="17"/>
        <v xml:space="preserve"> </v>
      </c>
    </row>
    <row r="229" spans="1:13" x14ac:dyDescent="0.25">
      <c r="A229" s="42" t="str">
        <f t="shared" si="15"/>
        <v xml:space="preserve"> </v>
      </c>
      <c r="D229" s="41"/>
      <c r="E229" s="41"/>
      <c r="J229" s="17">
        <f t="shared" si="18"/>
        <v>0</v>
      </c>
      <c r="K229" s="2" t="str">
        <f t="shared" si="19"/>
        <v xml:space="preserve"> </v>
      </c>
      <c r="L229" s="2" t="str">
        <f t="shared" si="16"/>
        <v xml:space="preserve"> </v>
      </c>
      <c r="M229" s="2" t="str">
        <f t="shared" si="17"/>
        <v xml:space="preserve"> </v>
      </c>
    </row>
    <row r="230" spans="1:13" x14ac:dyDescent="0.25">
      <c r="A230" s="42" t="str">
        <f t="shared" si="15"/>
        <v xml:space="preserve"> </v>
      </c>
      <c r="D230" s="41"/>
      <c r="E230" s="41"/>
      <c r="J230" s="17">
        <f t="shared" si="18"/>
        <v>0</v>
      </c>
      <c r="K230" s="2" t="str">
        <f t="shared" si="19"/>
        <v xml:space="preserve"> </v>
      </c>
      <c r="L230" s="2" t="str">
        <f t="shared" si="16"/>
        <v xml:space="preserve"> </v>
      </c>
      <c r="M230" s="2" t="str">
        <f t="shared" si="17"/>
        <v xml:space="preserve"> </v>
      </c>
    </row>
    <row r="231" spans="1:13" x14ac:dyDescent="0.25">
      <c r="A231" s="42" t="str">
        <f t="shared" si="15"/>
        <v xml:space="preserve"> </v>
      </c>
      <c r="D231" s="41"/>
      <c r="E231" s="41"/>
      <c r="J231" s="17">
        <f t="shared" si="18"/>
        <v>0</v>
      </c>
      <c r="K231" s="2" t="str">
        <f t="shared" si="19"/>
        <v xml:space="preserve"> </v>
      </c>
      <c r="L231" s="2" t="str">
        <f t="shared" si="16"/>
        <v xml:space="preserve"> </v>
      </c>
      <c r="M231" s="2" t="str">
        <f t="shared" si="17"/>
        <v xml:space="preserve"> </v>
      </c>
    </row>
    <row r="232" spans="1:13" x14ac:dyDescent="0.25">
      <c r="A232" s="42" t="str">
        <f t="shared" si="15"/>
        <v xml:space="preserve"> </v>
      </c>
      <c r="D232" s="41"/>
      <c r="E232" s="41"/>
      <c r="J232" s="17">
        <f t="shared" si="18"/>
        <v>0</v>
      </c>
      <c r="K232" s="2" t="str">
        <f t="shared" si="19"/>
        <v xml:space="preserve"> </v>
      </c>
      <c r="L232" s="2" t="str">
        <f t="shared" si="16"/>
        <v xml:space="preserve"> </v>
      </c>
      <c r="M232" s="2" t="str">
        <f t="shared" si="17"/>
        <v xml:space="preserve"> </v>
      </c>
    </row>
    <row r="233" spans="1:13" x14ac:dyDescent="0.25">
      <c r="A233" s="42" t="str">
        <f t="shared" si="15"/>
        <v xml:space="preserve"> </v>
      </c>
      <c r="D233" s="41"/>
      <c r="E233" s="41"/>
      <c r="J233" s="17">
        <f t="shared" si="18"/>
        <v>0</v>
      </c>
      <c r="K233" s="2" t="str">
        <f t="shared" si="19"/>
        <v xml:space="preserve"> </v>
      </c>
      <c r="L233" s="2" t="str">
        <f t="shared" si="16"/>
        <v xml:space="preserve"> </v>
      </c>
      <c r="M233" s="2" t="str">
        <f t="shared" si="17"/>
        <v xml:space="preserve"> </v>
      </c>
    </row>
    <row r="234" spans="1:13" x14ac:dyDescent="0.25">
      <c r="A234" s="42" t="str">
        <f t="shared" si="15"/>
        <v xml:space="preserve"> </v>
      </c>
      <c r="D234" s="41"/>
      <c r="E234" s="41"/>
      <c r="J234" s="17">
        <f t="shared" si="18"/>
        <v>0</v>
      </c>
      <c r="K234" s="2" t="str">
        <f t="shared" si="19"/>
        <v xml:space="preserve"> </v>
      </c>
      <c r="L234" s="2" t="str">
        <f t="shared" si="16"/>
        <v xml:space="preserve"> </v>
      </c>
      <c r="M234" s="2" t="str">
        <f t="shared" si="17"/>
        <v xml:space="preserve"> </v>
      </c>
    </row>
    <row r="235" spans="1:13" x14ac:dyDescent="0.25">
      <c r="A235" s="42" t="str">
        <f t="shared" si="15"/>
        <v xml:space="preserve"> </v>
      </c>
      <c r="D235" s="41"/>
      <c r="E235" s="41"/>
      <c r="J235" s="17">
        <f t="shared" si="18"/>
        <v>0</v>
      </c>
      <c r="K235" s="2" t="str">
        <f t="shared" si="19"/>
        <v xml:space="preserve"> </v>
      </c>
      <c r="L235" s="2" t="str">
        <f t="shared" si="16"/>
        <v xml:space="preserve"> </v>
      </c>
      <c r="M235" s="2" t="str">
        <f t="shared" si="17"/>
        <v xml:space="preserve"> </v>
      </c>
    </row>
    <row r="236" spans="1:13" x14ac:dyDescent="0.25">
      <c r="A236" s="42" t="str">
        <f t="shared" si="15"/>
        <v xml:space="preserve"> </v>
      </c>
      <c r="D236" s="41"/>
      <c r="E236" s="41"/>
      <c r="J236" s="17">
        <f t="shared" si="18"/>
        <v>0</v>
      </c>
      <c r="K236" s="2" t="str">
        <f t="shared" si="19"/>
        <v xml:space="preserve"> </v>
      </c>
      <c r="L236" s="2" t="str">
        <f t="shared" si="16"/>
        <v xml:space="preserve"> </v>
      </c>
      <c r="M236" s="2" t="str">
        <f t="shared" si="17"/>
        <v xml:space="preserve"> </v>
      </c>
    </row>
    <row r="237" spans="1:13" x14ac:dyDescent="0.25">
      <c r="A237" s="42" t="str">
        <f t="shared" si="15"/>
        <v xml:space="preserve"> </v>
      </c>
      <c r="D237" s="41"/>
      <c r="E237" s="41"/>
      <c r="J237" s="17">
        <f t="shared" si="18"/>
        <v>0</v>
      </c>
      <c r="K237" s="2" t="str">
        <f t="shared" si="19"/>
        <v xml:space="preserve"> </v>
      </c>
      <c r="L237" s="2" t="str">
        <f t="shared" si="16"/>
        <v xml:space="preserve"> </v>
      </c>
      <c r="M237" s="2" t="str">
        <f t="shared" si="17"/>
        <v xml:space="preserve"> </v>
      </c>
    </row>
    <row r="238" spans="1:13" x14ac:dyDescent="0.25">
      <c r="A238" s="42" t="str">
        <f t="shared" si="15"/>
        <v xml:space="preserve"> </v>
      </c>
      <c r="D238" s="41"/>
      <c r="E238" s="41"/>
      <c r="J238" s="17">
        <f t="shared" si="18"/>
        <v>0</v>
      </c>
      <c r="K238" s="2" t="str">
        <f t="shared" si="19"/>
        <v xml:space="preserve"> </v>
      </c>
      <c r="L238" s="2" t="str">
        <f t="shared" si="16"/>
        <v xml:space="preserve"> </v>
      </c>
      <c r="M238" s="2" t="str">
        <f t="shared" si="17"/>
        <v xml:space="preserve"> </v>
      </c>
    </row>
    <row r="239" spans="1:13" x14ac:dyDescent="0.25">
      <c r="A239" s="42" t="str">
        <f t="shared" si="15"/>
        <v xml:space="preserve"> </v>
      </c>
      <c r="D239" s="41"/>
      <c r="E239" s="41"/>
      <c r="J239" s="17">
        <f t="shared" si="18"/>
        <v>0</v>
      </c>
      <c r="K239" s="2" t="str">
        <f t="shared" si="19"/>
        <v xml:space="preserve"> </v>
      </c>
      <c r="L239" s="2" t="str">
        <f t="shared" si="16"/>
        <v xml:space="preserve"> </v>
      </c>
      <c r="M239" s="2" t="str">
        <f t="shared" si="17"/>
        <v xml:space="preserve"> </v>
      </c>
    </row>
    <row r="240" spans="1:13" x14ac:dyDescent="0.25">
      <c r="A240" s="42" t="str">
        <f t="shared" si="15"/>
        <v xml:space="preserve"> </v>
      </c>
      <c r="D240" s="41"/>
      <c r="E240" s="41"/>
      <c r="J240" s="17">
        <f t="shared" si="18"/>
        <v>0</v>
      </c>
      <c r="K240" s="2" t="str">
        <f t="shared" si="19"/>
        <v xml:space="preserve"> </v>
      </c>
      <c r="L240" s="2" t="str">
        <f t="shared" si="16"/>
        <v xml:space="preserve"> </v>
      </c>
      <c r="M240" s="2" t="str">
        <f t="shared" si="17"/>
        <v xml:space="preserve"> </v>
      </c>
    </row>
    <row r="241" spans="1:13" x14ac:dyDescent="0.25">
      <c r="A241" s="42" t="str">
        <f t="shared" si="15"/>
        <v xml:space="preserve"> </v>
      </c>
      <c r="D241" s="41"/>
      <c r="E241" s="41"/>
      <c r="J241" s="17">
        <f t="shared" si="18"/>
        <v>0</v>
      </c>
      <c r="K241" s="2" t="str">
        <f t="shared" si="19"/>
        <v xml:space="preserve"> </v>
      </c>
      <c r="L241" s="2" t="str">
        <f t="shared" si="16"/>
        <v xml:space="preserve"> </v>
      </c>
      <c r="M241" s="2" t="str">
        <f t="shared" si="17"/>
        <v xml:space="preserve"> </v>
      </c>
    </row>
    <row r="242" spans="1:13" x14ac:dyDescent="0.25">
      <c r="A242" s="42" t="str">
        <f t="shared" si="15"/>
        <v xml:space="preserve"> </v>
      </c>
      <c r="D242" s="41"/>
      <c r="E242" s="41"/>
      <c r="J242" s="17">
        <f t="shared" si="18"/>
        <v>0</v>
      </c>
      <c r="K242" s="2" t="str">
        <f t="shared" si="19"/>
        <v xml:space="preserve"> </v>
      </c>
      <c r="L242" s="2" t="str">
        <f t="shared" si="16"/>
        <v xml:space="preserve"> </v>
      </c>
      <c r="M242" s="2" t="str">
        <f t="shared" si="17"/>
        <v xml:space="preserve"> </v>
      </c>
    </row>
    <row r="243" spans="1:13" x14ac:dyDescent="0.25">
      <c r="A243" s="42" t="str">
        <f t="shared" si="15"/>
        <v xml:space="preserve"> </v>
      </c>
      <c r="D243" s="41"/>
      <c r="E243" s="41"/>
      <c r="J243" s="17">
        <f t="shared" si="18"/>
        <v>0</v>
      </c>
      <c r="K243" s="2" t="str">
        <f t="shared" si="19"/>
        <v xml:space="preserve"> </v>
      </c>
      <c r="L243" s="2" t="str">
        <f t="shared" si="16"/>
        <v xml:space="preserve"> </v>
      </c>
      <c r="M243" s="2" t="str">
        <f t="shared" si="17"/>
        <v xml:space="preserve"> </v>
      </c>
    </row>
    <row r="244" spans="1:13" x14ac:dyDescent="0.25">
      <c r="A244" s="42" t="str">
        <f t="shared" si="15"/>
        <v xml:space="preserve"> </v>
      </c>
      <c r="D244" s="41"/>
      <c r="E244" s="41"/>
      <c r="J244" s="17">
        <f t="shared" si="18"/>
        <v>0</v>
      </c>
      <c r="K244" s="2" t="str">
        <f t="shared" si="19"/>
        <v xml:space="preserve"> </v>
      </c>
      <c r="L244" s="2" t="str">
        <f t="shared" si="16"/>
        <v xml:space="preserve"> </v>
      </c>
      <c r="M244" s="2" t="str">
        <f t="shared" si="17"/>
        <v xml:space="preserve"> </v>
      </c>
    </row>
    <row r="245" spans="1:13" x14ac:dyDescent="0.25">
      <c r="A245" s="42" t="str">
        <f t="shared" si="15"/>
        <v xml:space="preserve"> </v>
      </c>
      <c r="D245" s="41"/>
      <c r="E245" s="41"/>
      <c r="J245" s="17">
        <f t="shared" si="18"/>
        <v>0</v>
      </c>
      <c r="K245" s="2" t="str">
        <f t="shared" si="19"/>
        <v xml:space="preserve"> </v>
      </c>
      <c r="L245" s="2" t="str">
        <f t="shared" si="16"/>
        <v xml:space="preserve"> </v>
      </c>
      <c r="M245" s="2" t="str">
        <f t="shared" si="17"/>
        <v xml:space="preserve"> </v>
      </c>
    </row>
    <row r="246" spans="1:13" x14ac:dyDescent="0.25">
      <c r="A246" s="42" t="str">
        <f t="shared" si="15"/>
        <v xml:space="preserve"> </v>
      </c>
      <c r="D246" s="41"/>
      <c r="E246" s="41"/>
      <c r="J246" s="17">
        <f t="shared" si="18"/>
        <v>0</v>
      </c>
      <c r="K246" s="2" t="str">
        <f t="shared" si="19"/>
        <v xml:space="preserve"> </v>
      </c>
      <c r="L246" s="2" t="str">
        <f t="shared" si="16"/>
        <v xml:space="preserve"> </v>
      </c>
      <c r="M246" s="2" t="str">
        <f t="shared" si="17"/>
        <v xml:space="preserve"> </v>
      </c>
    </row>
    <row r="247" spans="1:13" x14ac:dyDescent="0.25">
      <c r="A247" s="42" t="str">
        <f t="shared" si="15"/>
        <v xml:space="preserve"> </v>
      </c>
      <c r="D247" s="41"/>
      <c r="E247" s="41"/>
      <c r="J247" s="17">
        <f t="shared" si="18"/>
        <v>0</v>
      </c>
      <c r="K247" s="2" t="str">
        <f t="shared" si="19"/>
        <v xml:space="preserve"> </v>
      </c>
      <c r="L247" s="2" t="str">
        <f t="shared" si="16"/>
        <v xml:space="preserve"> </v>
      </c>
      <c r="M247" s="2" t="str">
        <f t="shared" si="17"/>
        <v xml:space="preserve"> </v>
      </c>
    </row>
    <row r="248" spans="1:13" x14ac:dyDescent="0.25">
      <c r="A248" s="42" t="str">
        <f t="shared" si="15"/>
        <v xml:space="preserve"> </v>
      </c>
      <c r="D248" s="41"/>
      <c r="E248" s="41"/>
      <c r="J248" s="17">
        <f t="shared" si="18"/>
        <v>0</v>
      </c>
      <c r="K248" s="2" t="str">
        <f t="shared" si="19"/>
        <v xml:space="preserve"> </v>
      </c>
      <c r="L248" s="2" t="str">
        <f t="shared" si="16"/>
        <v xml:space="preserve"> </v>
      </c>
      <c r="M248" s="2" t="str">
        <f t="shared" si="17"/>
        <v xml:space="preserve"> </v>
      </c>
    </row>
    <row r="249" spans="1:13" x14ac:dyDescent="0.25">
      <c r="A249" s="42" t="str">
        <f t="shared" si="15"/>
        <v xml:space="preserve"> </v>
      </c>
      <c r="D249" s="41"/>
      <c r="E249" s="41"/>
      <c r="J249" s="17">
        <f t="shared" si="18"/>
        <v>0</v>
      </c>
      <c r="K249" s="2" t="str">
        <f t="shared" si="19"/>
        <v xml:space="preserve"> </v>
      </c>
      <c r="L249" s="2" t="str">
        <f t="shared" si="16"/>
        <v xml:space="preserve"> </v>
      </c>
      <c r="M249" s="2" t="str">
        <f t="shared" si="17"/>
        <v xml:space="preserve"> </v>
      </c>
    </row>
    <row r="250" spans="1:13" x14ac:dyDescent="0.25">
      <c r="A250" s="42" t="str">
        <f t="shared" si="15"/>
        <v xml:space="preserve"> </v>
      </c>
      <c r="D250" s="41"/>
      <c r="E250" s="41"/>
      <c r="J250" s="17">
        <f t="shared" si="18"/>
        <v>0</v>
      </c>
      <c r="K250" s="2" t="str">
        <f t="shared" si="19"/>
        <v xml:space="preserve"> </v>
      </c>
      <c r="L250" s="2" t="str">
        <f t="shared" si="16"/>
        <v xml:space="preserve"> </v>
      </c>
      <c r="M250" s="2" t="str">
        <f t="shared" si="17"/>
        <v xml:space="preserve"> </v>
      </c>
    </row>
    <row r="251" spans="1:13" x14ac:dyDescent="0.25">
      <c r="A251" s="42" t="str">
        <f t="shared" si="15"/>
        <v xml:space="preserve"> </v>
      </c>
      <c r="D251" s="41"/>
      <c r="E251" s="41"/>
      <c r="J251" s="17">
        <f t="shared" si="18"/>
        <v>0</v>
      </c>
      <c r="K251" s="2" t="str">
        <f t="shared" si="19"/>
        <v xml:space="preserve"> </v>
      </c>
      <c r="L251" s="2" t="str">
        <f t="shared" si="16"/>
        <v xml:space="preserve"> </v>
      </c>
      <c r="M251" s="2" t="str">
        <f t="shared" si="17"/>
        <v xml:space="preserve"> </v>
      </c>
    </row>
    <row r="252" spans="1:13" x14ac:dyDescent="0.25">
      <c r="A252" s="42" t="str">
        <f t="shared" si="15"/>
        <v xml:space="preserve"> </v>
      </c>
      <c r="D252" s="41"/>
      <c r="E252" s="41"/>
      <c r="J252" s="17">
        <f t="shared" si="18"/>
        <v>0</v>
      </c>
      <c r="K252" s="2" t="str">
        <f t="shared" si="19"/>
        <v xml:space="preserve"> </v>
      </c>
      <c r="L252" s="2" t="str">
        <f t="shared" si="16"/>
        <v xml:space="preserve"> </v>
      </c>
      <c r="M252" s="2" t="str">
        <f t="shared" si="17"/>
        <v xml:space="preserve"> </v>
      </c>
    </row>
    <row r="253" spans="1:13" x14ac:dyDescent="0.25">
      <c r="A253" s="42" t="str">
        <f t="shared" si="15"/>
        <v xml:space="preserve"> </v>
      </c>
      <c r="D253" s="41"/>
      <c r="E253" s="41"/>
      <c r="J253" s="17">
        <f t="shared" si="18"/>
        <v>0</v>
      </c>
      <c r="K253" s="2" t="str">
        <f t="shared" si="19"/>
        <v xml:space="preserve"> </v>
      </c>
      <c r="L253" s="2" t="str">
        <f t="shared" si="16"/>
        <v xml:space="preserve"> </v>
      </c>
      <c r="M253" s="2" t="str">
        <f t="shared" si="17"/>
        <v xml:space="preserve"> </v>
      </c>
    </row>
    <row r="254" spans="1:13" x14ac:dyDescent="0.25">
      <c r="A254" s="42" t="str">
        <f t="shared" si="15"/>
        <v xml:space="preserve"> </v>
      </c>
      <c r="D254" s="41"/>
      <c r="E254" s="41"/>
      <c r="J254" s="17">
        <f t="shared" si="18"/>
        <v>0</v>
      </c>
      <c r="K254" s="2" t="str">
        <f t="shared" si="19"/>
        <v xml:space="preserve"> </v>
      </c>
      <c r="L254" s="2" t="str">
        <f t="shared" si="16"/>
        <v xml:space="preserve"> </v>
      </c>
      <c r="M254" s="2" t="str">
        <f t="shared" si="17"/>
        <v xml:space="preserve"> </v>
      </c>
    </row>
    <row r="255" spans="1:13" x14ac:dyDescent="0.25">
      <c r="A255" s="42" t="str">
        <f t="shared" si="15"/>
        <v xml:space="preserve"> </v>
      </c>
      <c r="D255" s="41"/>
      <c r="E255" s="41"/>
      <c r="J255" s="17">
        <f t="shared" si="18"/>
        <v>0</v>
      </c>
      <c r="K255" s="2" t="str">
        <f t="shared" si="19"/>
        <v xml:space="preserve"> </v>
      </c>
      <c r="L255" s="2" t="str">
        <f t="shared" si="16"/>
        <v xml:space="preserve"> </v>
      </c>
      <c r="M255" s="2" t="str">
        <f t="shared" si="17"/>
        <v xml:space="preserve"> </v>
      </c>
    </row>
    <row r="256" spans="1:13" x14ac:dyDescent="0.25">
      <c r="A256" s="42" t="str">
        <f t="shared" si="15"/>
        <v xml:space="preserve"> </v>
      </c>
      <c r="D256" s="41"/>
      <c r="E256" s="41"/>
      <c r="J256" s="17">
        <f t="shared" si="18"/>
        <v>0</v>
      </c>
      <c r="K256" s="2" t="str">
        <f t="shared" si="19"/>
        <v xml:space="preserve"> </v>
      </c>
      <c r="L256" s="2" t="str">
        <f t="shared" si="16"/>
        <v xml:space="preserve"> </v>
      </c>
      <c r="M256" s="2" t="str">
        <f t="shared" si="17"/>
        <v xml:space="preserve"> </v>
      </c>
    </row>
    <row r="257" spans="1:13" x14ac:dyDescent="0.25">
      <c r="A257" s="42" t="str">
        <f t="shared" si="15"/>
        <v xml:space="preserve"> </v>
      </c>
      <c r="D257" s="41"/>
      <c r="E257" s="41"/>
      <c r="J257" s="17">
        <f t="shared" si="18"/>
        <v>0</v>
      </c>
      <c r="K257" s="2" t="str">
        <f t="shared" si="19"/>
        <v xml:space="preserve"> </v>
      </c>
      <c r="L257" s="2" t="str">
        <f t="shared" si="16"/>
        <v xml:space="preserve"> </v>
      </c>
      <c r="M257" s="2" t="str">
        <f t="shared" si="17"/>
        <v xml:space="preserve"> </v>
      </c>
    </row>
    <row r="258" spans="1:13" x14ac:dyDescent="0.25">
      <c r="A258" s="42" t="str">
        <f t="shared" si="15"/>
        <v xml:space="preserve"> </v>
      </c>
      <c r="D258" s="41"/>
      <c r="E258" s="41"/>
      <c r="J258" s="17">
        <f t="shared" si="18"/>
        <v>0</v>
      </c>
      <c r="K258" s="2" t="str">
        <f t="shared" si="19"/>
        <v xml:space="preserve"> </v>
      </c>
      <c r="L258" s="2" t="str">
        <f t="shared" si="16"/>
        <v xml:space="preserve"> </v>
      </c>
      <c r="M258" s="2" t="str">
        <f t="shared" si="17"/>
        <v xml:space="preserve"> </v>
      </c>
    </row>
    <row r="259" spans="1:13" x14ac:dyDescent="0.25">
      <c r="A259" s="42" t="str">
        <f t="shared" si="15"/>
        <v xml:space="preserve"> </v>
      </c>
      <c r="D259" s="41"/>
      <c r="E259" s="41"/>
      <c r="J259" s="17">
        <f t="shared" si="18"/>
        <v>0</v>
      </c>
      <c r="K259" s="2" t="str">
        <f t="shared" si="19"/>
        <v xml:space="preserve"> </v>
      </c>
      <c r="L259" s="2" t="str">
        <f t="shared" si="16"/>
        <v xml:space="preserve"> </v>
      </c>
      <c r="M259" s="2" t="str">
        <f t="shared" si="17"/>
        <v xml:space="preserve"> </v>
      </c>
    </row>
    <row r="260" spans="1:13" x14ac:dyDescent="0.25">
      <c r="A260" s="42" t="str">
        <f t="shared" si="15"/>
        <v xml:space="preserve"> </v>
      </c>
      <c r="D260" s="41"/>
      <c r="E260" s="41"/>
      <c r="J260" s="17">
        <f t="shared" si="18"/>
        <v>0</v>
      </c>
      <c r="K260" s="2" t="str">
        <f t="shared" si="19"/>
        <v xml:space="preserve"> </v>
      </c>
      <c r="L260" s="2" t="str">
        <f t="shared" si="16"/>
        <v xml:space="preserve"> </v>
      </c>
      <c r="M260" s="2" t="str">
        <f t="shared" si="17"/>
        <v xml:space="preserve"> </v>
      </c>
    </row>
    <row r="261" spans="1:13" x14ac:dyDescent="0.25">
      <c r="A261" s="42" t="str">
        <f t="shared" si="15"/>
        <v xml:space="preserve"> </v>
      </c>
      <c r="D261" s="41"/>
      <c r="E261" s="41"/>
      <c r="J261" s="17">
        <f t="shared" si="18"/>
        <v>0</v>
      </c>
      <c r="K261" s="2" t="str">
        <f t="shared" si="19"/>
        <v xml:space="preserve"> </v>
      </c>
      <c r="L261" s="2" t="str">
        <f t="shared" si="16"/>
        <v xml:space="preserve"> </v>
      </c>
      <c r="M261" s="2" t="str">
        <f t="shared" si="17"/>
        <v xml:space="preserve"> </v>
      </c>
    </row>
    <row r="262" spans="1:13" x14ac:dyDescent="0.25">
      <c r="A262" s="42" t="str">
        <f t="shared" si="15"/>
        <v xml:space="preserve"> </v>
      </c>
      <c r="D262" s="41"/>
      <c r="E262" s="41"/>
      <c r="J262" s="17">
        <f t="shared" si="18"/>
        <v>0</v>
      </c>
      <c r="K262" s="2" t="str">
        <f t="shared" si="19"/>
        <v xml:space="preserve"> </v>
      </c>
      <c r="L262" s="2" t="str">
        <f t="shared" si="16"/>
        <v xml:space="preserve"> </v>
      </c>
      <c r="M262" s="2" t="str">
        <f t="shared" si="17"/>
        <v xml:space="preserve"> </v>
      </c>
    </row>
    <row r="263" spans="1:13" x14ac:dyDescent="0.25">
      <c r="A263" s="42" t="str">
        <f t="shared" si="15"/>
        <v xml:space="preserve"> </v>
      </c>
      <c r="D263" s="41"/>
      <c r="E263" s="41"/>
      <c r="J263" s="17">
        <f t="shared" si="18"/>
        <v>0</v>
      </c>
      <c r="K263" s="2" t="str">
        <f t="shared" si="19"/>
        <v xml:space="preserve"> </v>
      </c>
      <c r="L263" s="2" t="str">
        <f t="shared" si="16"/>
        <v xml:space="preserve"> </v>
      </c>
      <c r="M263" s="2" t="str">
        <f t="shared" si="17"/>
        <v xml:space="preserve"> </v>
      </c>
    </row>
    <row r="264" spans="1:13" x14ac:dyDescent="0.25">
      <c r="A264" s="42" t="str">
        <f t="shared" si="15"/>
        <v xml:space="preserve"> </v>
      </c>
      <c r="D264" s="41"/>
      <c r="E264" s="41"/>
      <c r="J264" s="17">
        <f t="shared" si="18"/>
        <v>0</v>
      </c>
      <c r="K264" s="2" t="str">
        <f t="shared" si="19"/>
        <v xml:space="preserve"> </v>
      </c>
      <c r="L264" s="2" t="str">
        <f t="shared" si="16"/>
        <v xml:space="preserve"> </v>
      </c>
      <c r="M264" s="2" t="str">
        <f t="shared" si="17"/>
        <v xml:space="preserve"> </v>
      </c>
    </row>
    <row r="265" spans="1:13" x14ac:dyDescent="0.25">
      <c r="A265" s="42" t="str">
        <f t="shared" si="15"/>
        <v xml:space="preserve"> </v>
      </c>
      <c r="D265" s="41"/>
      <c r="E265" s="41"/>
      <c r="J265" s="17">
        <f t="shared" si="18"/>
        <v>0</v>
      </c>
      <c r="K265" s="2" t="str">
        <f t="shared" si="19"/>
        <v xml:space="preserve"> </v>
      </c>
      <c r="L265" s="2" t="str">
        <f t="shared" si="16"/>
        <v xml:space="preserve"> </v>
      </c>
      <c r="M265" s="2" t="str">
        <f t="shared" si="17"/>
        <v xml:space="preserve"> </v>
      </c>
    </row>
    <row r="266" spans="1:13" x14ac:dyDescent="0.25">
      <c r="A266" s="42" t="str">
        <f t="shared" si="15"/>
        <v xml:space="preserve"> </v>
      </c>
      <c r="D266" s="41"/>
      <c r="E266" s="41"/>
      <c r="J266" s="17">
        <f t="shared" si="18"/>
        <v>0</v>
      </c>
      <c r="K266" s="2" t="str">
        <f t="shared" si="19"/>
        <v xml:space="preserve"> </v>
      </c>
      <c r="L266" s="2" t="str">
        <f t="shared" si="16"/>
        <v xml:space="preserve"> </v>
      </c>
      <c r="M266" s="2" t="str">
        <f t="shared" si="17"/>
        <v xml:space="preserve"> </v>
      </c>
    </row>
    <row r="267" spans="1:13" x14ac:dyDescent="0.25">
      <c r="A267" s="42" t="str">
        <f t="shared" si="15"/>
        <v xml:space="preserve"> </v>
      </c>
      <c r="D267" s="41"/>
      <c r="E267" s="41"/>
      <c r="J267" s="17">
        <f t="shared" si="18"/>
        <v>0</v>
      </c>
      <c r="K267" s="2" t="str">
        <f t="shared" si="19"/>
        <v xml:space="preserve"> </v>
      </c>
      <c r="L267" s="2" t="str">
        <f t="shared" si="16"/>
        <v xml:space="preserve"> </v>
      </c>
      <c r="M267" s="2" t="str">
        <f t="shared" si="17"/>
        <v xml:space="preserve"> </v>
      </c>
    </row>
    <row r="268" spans="1:13" x14ac:dyDescent="0.25">
      <c r="A268" s="42" t="str">
        <f t="shared" si="15"/>
        <v xml:space="preserve"> </v>
      </c>
      <c r="D268" s="41"/>
      <c r="E268" s="41"/>
      <c r="J268" s="17">
        <f t="shared" si="18"/>
        <v>0</v>
      </c>
      <c r="K268" s="2" t="str">
        <f t="shared" si="19"/>
        <v xml:space="preserve"> </v>
      </c>
      <c r="L268" s="2" t="str">
        <f t="shared" si="16"/>
        <v xml:space="preserve"> </v>
      </c>
      <c r="M268" s="2" t="str">
        <f t="shared" si="17"/>
        <v xml:space="preserve"> </v>
      </c>
    </row>
    <row r="269" spans="1:13" x14ac:dyDescent="0.25">
      <c r="A269" s="42" t="str">
        <f t="shared" si="15"/>
        <v xml:space="preserve"> </v>
      </c>
      <c r="D269" s="41"/>
      <c r="E269" s="41"/>
      <c r="J269" s="17">
        <f t="shared" si="18"/>
        <v>0</v>
      </c>
      <c r="K269" s="2" t="str">
        <f t="shared" si="19"/>
        <v xml:space="preserve"> </v>
      </c>
      <c r="L269" s="2" t="str">
        <f t="shared" si="16"/>
        <v xml:space="preserve"> </v>
      </c>
      <c r="M269" s="2" t="str">
        <f t="shared" si="17"/>
        <v xml:space="preserve"> </v>
      </c>
    </row>
    <row r="270" spans="1:13" x14ac:dyDescent="0.25">
      <c r="A270" s="42" t="str">
        <f t="shared" si="15"/>
        <v xml:space="preserve"> </v>
      </c>
      <c r="D270" s="41"/>
      <c r="E270" s="41"/>
      <c r="J270" s="17">
        <f t="shared" si="18"/>
        <v>0</v>
      </c>
      <c r="K270" s="2" t="str">
        <f t="shared" si="19"/>
        <v xml:space="preserve"> </v>
      </c>
      <c r="L270" s="2" t="str">
        <f t="shared" si="16"/>
        <v xml:space="preserve"> </v>
      </c>
      <c r="M270" s="2" t="str">
        <f t="shared" si="17"/>
        <v xml:space="preserve"> </v>
      </c>
    </row>
    <row r="271" spans="1:13" x14ac:dyDescent="0.25">
      <c r="A271" s="42" t="str">
        <f t="shared" ref="A271:A334" si="20">IF(COUNTIF(K271:M271,"ERROR")&gt;0,"ERROR"," ")</f>
        <v xml:space="preserve"> </v>
      </c>
      <c r="D271" s="41"/>
      <c r="E271" s="41"/>
      <c r="J271" s="17">
        <f t="shared" si="18"/>
        <v>0</v>
      </c>
      <c r="K271" s="2" t="str">
        <f t="shared" si="19"/>
        <v xml:space="preserve"> </v>
      </c>
      <c r="L271" s="2" t="str">
        <f t="shared" ref="L271:L334" si="21">IF(D271=0," ",IF(COUNTIF(ProfitLoss4,D271)&gt;0," ","ERROR"))</f>
        <v xml:space="preserve"> </v>
      </c>
      <c r="M271" s="2" t="str">
        <f t="shared" ref="M271:M334" si="22">IF(E271=0," ",IF(COUNTIF(BalanceSheet4,E271)&gt;0," ","ERROR"))</f>
        <v xml:space="preserve"> </v>
      </c>
    </row>
    <row r="272" spans="1:13" x14ac:dyDescent="0.25">
      <c r="A272" s="42" t="str">
        <f t="shared" si="20"/>
        <v xml:space="preserve"> </v>
      </c>
      <c r="D272" s="41"/>
      <c r="E272" s="41"/>
      <c r="J272" s="17">
        <f t="shared" ref="J272:J335" si="23">F272-G272+H272-I272</f>
        <v>0</v>
      </c>
      <c r="K272" s="2" t="str">
        <f t="shared" ref="K272:K335" si="24">IF(COUNTA(D272:E272)=2,"ERROR"," ")</f>
        <v xml:space="preserve"> </v>
      </c>
      <c r="L272" s="2" t="str">
        <f t="shared" si="21"/>
        <v xml:space="preserve"> </v>
      </c>
      <c r="M272" s="2" t="str">
        <f t="shared" si="22"/>
        <v xml:space="preserve"> </v>
      </c>
    </row>
    <row r="273" spans="1:13" x14ac:dyDescent="0.25">
      <c r="A273" s="42" t="str">
        <f t="shared" si="20"/>
        <v xml:space="preserve"> </v>
      </c>
      <c r="D273" s="41"/>
      <c r="E273" s="41"/>
      <c r="J273" s="17">
        <f t="shared" si="23"/>
        <v>0</v>
      </c>
      <c r="K273" s="2" t="str">
        <f t="shared" si="24"/>
        <v xml:space="preserve"> </v>
      </c>
      <c r="L273" s="2" t="str">
        <f t="shared" si="21"/>
        <v xml:space="preserve"> </v>
      </c>
      <c r="M273" s="2" t="str">
        <f t="shared" si="22"/>
        <v xml:space="preserve"> </v>
      </c>
    </row>
    <row r="274" spans="1:13" x14ac:dyDescent="0.25">
      <c r="A274" s="42" t="str">
        <f t="shared" si="20"/>
        <v xml:space="preserve"> </v>
      </c>
      <c r="D274" s="41"/>
      <c r="E274" s="41"/>
      <c r="J274" s="17">
        <f t="shared" si="23"/>
        <v>0</v>
      </c>
      <c r="K274" s="2" t="str">
        <f t="shared" si="24"/>
        <v xml:space="preserve"> </v>
      </c>
      <c r="L274" s="2" t="str">
        <f t="shared" si="21"/>
        <v xml:space="preserve"> </v>
      </c>
      <c r="M274" s="2" t="str">
        <f t="shared" si="22"/>
        <v xml:space="preserve"> </v>
      </c>
    </row>
    <row r="275" spans="1:13" x14ac:dyDescent="0.25">
      <c r="A275" s="42" t="str">
        <f t="shared" si="20"/>
        <v xml:space="preserve"> </v>
      </c>
      <c r="D275" s="41"/>
      <c r="E275" s="41"/>
      <c r="J275" s="17">
        <f t="shared" si="23"/>
        <v>0</v>
      </c>
      <c r="K275" s="2" t="str">
        <f t="shared" si="24"/>
        <v xml:space="preserve"> </v>
      </c>
      <c r="L275" s="2" t="str">
        <f t="shared" si="21"/>
        <v xml:space="preserve"> </v>
      </c>
      <c r="M275" s="2" t="str">
        <f t="shared" si="22"/>
        <v xml:space="preserve"> </v>
      </c>
    </row>
    <row r="276" spans="1:13" x14ac:dyDescent="0.25">
      <c r="A276" s="42" t="str">
        <f t="shared" si="20"/>
        <v xml:space="preserve"> </v>
      </c>
      <c r="D276" s="41"/>
      <c r="E276" s="41"/>
      <c r="J276" s="17">
        <f t="shared" si="23"/>
        <v>0</v>
      </c>
      <c r="K276" s="2" t="str">
        <f t="shared" si="24"/>
        <v xml:space="preserve"> </v>
      </c>
      <c r="L276" s="2" t="str">
        <f t="shared" si="21"/>
        <v xml:space="preserve"> </v>
      </c>
      <c r="M276" s="2" t="str">
        <f t="shared" si="22"/>
        <v xml:space="preserve"> </v>
      </c>
    </row>
    <row r="277" spans="1:13" x14ac:dyDescent="0.25">
      <c r="A277" s="42" t="str">
        <f t="shared" si="20"/>
        <v xml:space="preserve"> </v>
      </c>
      <c r="D277" s="41"/>
      <c r="E277" s="41"/>
      <c r="J277" s="17">
        <f t="shared" si="23"/>
        <v>0</v>
      </c>
      <c r="K277" s="2" t="str">
        <f t="shared" si="24"/>
        <v xml:space="preserve"> </v>
      </c>
      <c r="L277" s="2" t="str">
        <f t="shared" si="21"/>
        <v xml:space="preserve"> </v>
      </c>
      <c r="M277" s="2" t="str">
        <f t="shared" si="22"/>
        <v xml:space="preserve"> </v>
      </c>
    </row>
    <row r="278" spans="1:13" x14ac:dyDescent="0.25">
      <c r="A278" s="42" t="str">
        <f t="shared" si="20"/>
        <v xml:space="preserve"> </v>
      </c>
      <c r="D278" s="41"/>
      <c r="E278" s="41"/>
      <c r="J278" s="17">
        <f t="shared" si="23"/>
        <v>0</v>
      </c>
      <c r="K278" s="2" t="str">
        <f t="shared" si="24"/>
        <v xml:space="preserve"> </v>
      </c>
      <c r="L278" s="2" t="str">
        <f t="shared" si="21"/>
        <v xml:space="preserve"> </v>
      </c>
      <c r="M278" s="2" t="str">
        <f t="shared" si="22"/>
        <v xml:space="preserve"> </v>
      </c>
    </row>
    <row r="279" spans="1:13" x14ac:dyDescent="0.25">
      <c r="A279" s="42" t="str">
        <f t="shared" si="20"/>
        <v xml:space="preserve"> </v>
      </c>
      <c r="D279" s="41"/>
      <c r="E279" s="41"/>
      <c r="J279" s="17">
        <f t="shared" si="23"/>
        <v>0</v>
      </c>
      <c r="K279" s="2" t="str">
        <f t="shared" si="24"/>
        <v xml:space="preserve"> </v>
      </c>
      <c r="L279" s="2" t="str">
        <f t="shared" si="21"/>
        <v xml:space="preserve"> </v>
      </c>
      <c r="M279" s="2" t="str">
        <f t="shared" si="22"/>
        <v xml:space="preserve"> </v>
      </c>
    </row>
    <row r="280" spans="1:13" x14ac:dyDescent="0.25">
      <c r="A280" s="42" t="str">
        <f t="shared" si="20"/>
        <v xml:space="preserve"> </v>
      </c>
      <c r="D280" s="41"/>
      <c r="E280" s="41"/>
      <c r="J280" s="17">
        <f t="shared" si="23"/>
        <v>0</v>
      </c>
      <c r="K280" s="2" t="str">
        <f t="shared" si="24"/>
        <v xml:space="preserve"> </v>
      </c>
      <c r="L280" s="2" t="str">
        <f t="shared" si="21"/>
        <v xml:space="preserve"> </v>
      </c>
      <c r="M280" s="2" t="str">
        <f t="shared" si="22"/>
        <v xml:space="preserve"> </v>
      </c>
    </row>
    <row r="281" spans="1:13" x14ac:dyDescent="0.25">
      <c r="A281" s="42" t="str">
        <f t="shared" si="20"/>
        <v xml:space="preserve"> </v>
      </c>
      <c r="D281" s="41"/>
      <c r="E281" s="41"/>
      <c r="J281" s="17">
        <f t="shared" si="23"/>
        <v>0</v>
      </c>
      <c r="K281" s="2" t="str">
        <f t="shared" si="24"/>
        <v xml:space="preserve"> </v>
      </c>
      <c r="L281" s="2" t="str">
        <f t="shared" si="21"/>
        <v xml:space="preserve"> </v>
      </c>
      <c r="M281" s="2" t="str">
        <f t="shared" si="22"/>
        <v xml:space="preserve"> </v>
      </c>
    </row>
    <row r="282" spans="1:13" x14ac:dyDescent="0.25">
      <c r="A282" s="42" t="str">
        <f t="shared" si="20"/>
        <v xml:space="preserve"> </v>
      </c>
      <c r="D282" s="41"/>
      <c r="E282" s="41"/>
      <c r="J282" s="17">
        <f t="shared" si="23"/>
        <v>0</v>
      </c>
      <c r="K282" s="2" t="str">
        <f t="shared" si="24"/>
        <v xml:space="preserve"> </v>
      </c>
      <c r="L282" s="2" t="str">
        <f t="shared" si="21"/>
        <v xml:space="preserve"> </v>
      </c>
      <c r="M282" s="2" t="str">
        <f t="shared" si="22"/>
        <v xml:space="preserve"> </v>
      </c>
    </row>
    <row r="283" spans="1:13" x14ac:dyDescent="0.25">
      <c r="A283" s="42" t="str">
        <f t="shared" si="20"/>
        <v xml:space="preserve"> </v>
      </c>
      <c r="D283" s="41"/>
      <c r="E283" s="41"/>
      <c r="J283" s="17">
        <f t="shared" si="23"/>
        <v>0</v>
      </c>
      <c r="K283" s="2" t="str">
        <f t="shared" si="24"/>
        <v xml:space="preserve"> </v>
      </c>
      <c r="L283" s="2" t="str">
        <f t="shared" si="21"/>
        <v xml:space="preserve"> </v>
      </c>
      <c r="M283" s="2" t="str">
        <f t="shared" si="22"/>
        <v xml:space="preserve"> </v>
      </c>
    </row>
    <row r="284" spans="1:13" x14ac:dyDescent="0.25">
      <c r="A284" s="42" t="str">
        <f t="shared" si="20"/>
        <v xml:space="preserve"> </v>
      </c>
      <c r="D284" s="41"/>
      <c r="E284" s="41"/>
      <c r="J284" s="17">
        <f t="shared" si="23"/>
        <v>0</v>
      </c>
      <c r="K284" s="2" t="str">
        <f t="shared" si="24"/>
        <v xml:space="preserve"> </v>
      </c>
      <c r="L284" s="2" t="str">
        <f t="shared" si="21"/>
        <v xml:space="preserve"> </v>
      </c>
      <c r="M284" s="2" t="str">
        <f t="shared" si="22"/>
        <v xml:space="preserve"> </v>
      </c>
    </row>
    <row r="285" spans="1:13" x14ac:dyDescent="0.25">
      <c r="A285" s="42" t="str">
        <f t="shared" si="20"/>
        <v xml:space="preserve"> </v>
      </c>
      <c r="D285" s="41"/>
      <c r="E285" s="41"/>
      <c r="J285" s="17">
        <f t="shared" si="23"/>
        <v>0</v>
      </c>
      <c r="K285" s="2" t="str">
        <f t="shared" si="24"/>
        <v xml:space="preserve"> </v>
      </c>
      <c r="L285" s="2" t="str">
        <f t="shared" si="21"/>
        <v xml:space="preserve"> </v>
      </c>
      <c r="M285" s="2" t="str">
        <f t="shared" si="22"/>
        <v xml:space="preserve"> </v>
      </c>
    </row>
    <row r="286" spans="1:13" x14ac:dyDescent="0.25">
      <c r="A286" s="42" t="str">
        <f t="shared" si="20"/>
        <v xml:space="preserve"> </v>
      </c>
      <c r="D286" s="41"/>
      <c r="E286" s="41"/>
      <c r="J286" s="17">
        <f t="shared" si="23"/>
        <v>0</v>
      </c>
      <c r="K286" s="2" t="str">
        <f t="shared" si="24"/>
        <v xml:space="preserve"> </v>
      </c>
      <c r="L286" s="2" t="str">
        <f t="shared" si="21"/>
        <v xml:space="preserve"> </v>
      </c>
      <c r="M286" s="2" t="str">
        <f t="shared" si="22"/>
        <v xml:space="preserve"> </v>
      </c>
    </row>
    <row r="287" spans="1:13" x14ac:dyDescent="0.25">
      <c r="A287" s="42" t="str">
        <f t="shared" si="20"/>
        <v xml:space="preserve"> </v>
      </c>
      <c r="D287" s="41"/>
      <c r="E287" s="41"/>
      <c r="J287" s="17">
        <f t="shared" si="23"/>
        <v>0</v>
      </c>
      <c r="K287" s="2" t="str">
        <f t="shared" si="24"/>
        <v xml:space="preserve"> </v>
      </c>
      <c r="L287" s="2" t="str">
        <f t="shared" si="21"/>
        <v xml:space="preserve"> </v>
      </c>
      <c r="M287" s="2" t="str">
        <f t="shared" si="22"/>
        <v xml:space="preserve"> </v>
      </c>
    </row>
    <row r="288" spans="1:13" x14ac:dyDescent="0.25">
      <c r="A288" s="42" t="str">
        <f t="shared" si="20"/>
        <v xml:space="preserve"> </v>
      </c>
      <c r="D288" s="41"/>
      <c r="E288" s="41"/>
      <c r="J288" s="17">
        <f t="shared" si="23"/>
        <v>0</v>
      </c>
      <c r="K288" s="2" t="str">
        <f t="shared" si="24"/>
        <v xml:space="preserve"> </v>
      </c>
      <c r="L288" s="2" t="str">
        <f t="shared" si="21"/>
        <v xml:space="preserve"> </v>
      </c>
      <c r="M288" s="2" t="str">
        <f t="shared" si="22"/>
        <v xml:space="preserve"> </v>
      </c>
    </row>
    <row r="289" spans="1:13" x14ac:dyDescent="0.25">
      <c r="A289" s="42" t="str">
        <f t="shared" si="20"/>
        <v xml:space="preserve"> </v>
      </c>
      <c r="D289" s="41"/>
      <c r="E289" s="41"/>
      <c r="J289" s="17">
        <f t="shared" si="23"/>
        <v>0</v>
      </c>
      <c r="K289" s="2" t="str">
        <f t="shared" si="24"/>
        <v xml:space="preserve"> </v>
      </c>
      <c r="L289" s="2" t="str">
        <f t="shared" si="21"/>
        <v xml:space="preserve"> </v>
      </c>
      <c r="M289" s="2" t="str">
        <f t="shared" si="22"/>
        <v xml:space="preserve"> </v>
      </c>
    </row>
    <row r="290" spans="1:13" x14ac:dyDescent="0.25">
      <c r="A290" s="42" t="str">
        <f t="shared" si="20"/>
        <v xml:space="preserve"> </v>
      </c>
      <c r="D290" s="41"/>
      <c r="E290" s="41"/>
      <c r="J290" s="17">
        <f t="shared" si="23"/>
        <v>0</v>
      </c>
      <c r="K290" s="2" t="str">
        <f t="shared" si="24"/>
        <v xml:space="preserve"> </v>
      </c>
      <c r="L290" s="2" t="str">
        <f t="shared" si="21"/>
        <v xml:space="preserve"> </v>
      </c>
      <c r="M290" s="2" t="str">
        <f t="shared" si="22"/>
        <v xml:space="preserve"> </v>
      </c>
    </row>
    <row r="291" spans="1:13" x14ac:dyDescent="0.25">
      <c r="A291" s="42" t="str">
        <f t="shared" si="20"/>
        <v xml:space="preserve"> </v>
      </c>
      <c r="D291" s="41"/>
      <c r="E291" s="41"/>
      <c r="J291" s="17">
        <f t="shared" si="23"/>
        <v>0</v>
      </c>
      <c r="K291" s="2" t="str">
        <f t="shared" si="24"/>
        <v xml:space="preserve"> </v>
      </c>
      <c r="L291" s="2" t="str">
        <f t="shared" si="21"/>
        <v xml:space="preserve"> </v>
      </c>
      <c r="M291" s="2" t="str">
        <f t="shared" si="22"/>
        <v xml:space="preserve"> </v>
      </c>
    </row>
    <row r="292" spans="1:13" x14ac:dyDescent="0.25">
      <c r="A292" s="42" t="str">
        <f t="shared" si="20"/>
        <v xml:space="preserve"> </v>
      </c>
      <c r="D292" s="41"/>
      <c r="E292" s="41"/>
      <c r="J292" s="17">
        <f t="shared" si="23"/>
        <v>0</v>
      </c>
      <c r="K292" s="2" t="str">
        <f t="shared" si="24"/>
        <v xml:space="preserve"> </v>
      </c>
      <c r="L292" s="2" t="str">
        <f t="shared" si="21"/>
        <v xml:space="preserve"> </v>
      </c>
      <c r="M292" s="2" t="str">
        <f t="shared" si="22"/>
        <v xml:space="preserve"> </v>
      </c>
    </row>
    <row r="293" spans="1:13" x14ac:dyDescent="0.25">
      <c r="A293" s="42" t="str">
        <f t="shared" si="20"/>
        <v xml:space="preserve"> </v>
      </c>
      <c r="D293" s="41"/>
      <c r="E293" s="41"/>
      <c r="J293" s="17">
        <f t="shared" si="23"/>
        <v>0</v>
      </c>
      <c r="K293" s="2" t="str">
        <f t="shared" si="24"/>
        <v xml:space="preserve"> </v>
      </c>
      <c r="L293" s="2" t="str">
        <f t="shared" si="21"/>
        <v xml:space="preserve"> </v>
      </c>
      <c r="M293" s="2" t="str">
        <f t="shared" si="22"/>
        <v xml:space="preserve"> </v>
      </c>
    </row>
    <row r="294" spans="1:13" x14ac:dyDescent="0.25">
      <c r="A294" s="42" t="str">
        <f t="shared" si="20"/>
        <v xml:space="preserve"> </v>
      </c>
      <c r="D294" s="41"/>
      <c r="E294" s="41"/>
      <c r="J294" s="17">
        <f t="shared" si="23"/>
        <v>0</v>
      </c>
      <c r="K294" s="2" t="str">
        <f t="shared" si="24"/>
        <v xml:space="preserve"> </v>
      </c>
      <c r="L294" s="2" t="str">
        <f t="shared" si="21"/>
        <v xml:space="preserve"> </v>
      </c>
      <c r="M294" s="2" t="str">
        <f t="shared" si="22"/>
        <v xml:space="preserve"> </v>
      </c>
    </row>
    <row r="295" spans="1:13" x14ac:dyDescent="0.25">
      <c r="A295" s="42" t="str">
        <f t="shared" si="20"/>
        <v xml:space="preserve"> </v>
      </c>
      <c r="D295" s="41"/>
      <c r="E295" s="41"/>
      <c r="J295" s="17">
        <f t="shared" si="23"/>
        <v>0</v>
      </c>
      <c r="K295" s="2" t="str">
        <f t="shared" si="24"/>
        <v xml:space="preserve"> </v>
      </c>
      <c r="L295" s="2" t="str">
        <f t="shared" si="21"/>
        <v xml:space="preserve"> </v>
      </c>
      <c r="M295" s="2" t="str">
        <f t="shared" si="22"/>
        <v xml:space="preserve"> </v>
      </c>
    </row>
    <row r="296" spans="1:13" x14ac:dyDescent="0.25">
      <c r="A296" s="42" t="str">
        <f t="shared" si="20"/>
        <v xml:space="preserve"> </v>
      </c>
      <c r="D296" s="41"/>
      <c r="E296" s="41"/>
      <c r="J296" s="17">
        <f t="shared" si="23"/>
        <v>0</v>
      </c>
      <c r="K296" s="2" t="str">
        <f t="shared" si="24"/>
        <v xml:space="preserve"> </v>
      </c>
      <c r="L296" s="2" t="str">
        <f t="shared" si="21"/>
        <v xml:space="preserve"> </v>
      </c>
      <c r="M296" s="2" t="str">
        <f t="shared" si="22"/>
        <v xml:space="preserve"> </v>
      </c>
    </row>
    <row r="297" spans="1:13" x14ac:dyDescent="0.25">
      <c r="A297" s="42" t="str">
        <f t="shared" si="20"/>
        <v xml:space="preserve"> </v>
      </c>
      <c r="D297" s="41"/>
      <c r="E297" s="41"/>
      <c r="J297" s="17">
        <f t="shared" si="23"/>
        <v>0</v>
      </c>
      <c r="K297" s="2" t="str">
        <f t="shared" si="24"/>
        <v xml:space="preserve"> </v>
      </c>
      <c r="L297" s="2" t="str">
        <f t="shared" si="21"/>
        <v xml:space="preserve"> </v>
      </c>
      <c r="M297" s="2" t="str">
        <f t="shared" si="22"/>
        <v xml:space="preserve"> </v>
      </c>
    </row>
    <row r="298" spans="1:13" x14ac:dyDescent="0.25">
      <c r="A298" s="42" t="str">
        <f t="shared" si="20"/>
        <v xml:space="preserve"> </v>
      </c>
      <c r="D298" s="41"/>
      <c r="E298" s="41"/>
      <c r="J298" s="17">
        <f t="shared" si="23"/>
        <v>0</v>
      </c>
      <c r="K298" s="2" t="str">
        <f t="shared" si="24"/>
        <v xml:space="preserve"> </v>
      </c>
      <c r="L298" s="2" t="str">
        <f t="shared" si="21"/>
        <v xml:space="preserve"> </v>
      </c>
      <c r="M298" s="2" t="str">
        <f t="shared" si="22"/>
        <v xml:space="preserve"> </v>
      </c>
    </row>
    <row r="299" spans="1:13" x14ac:dyDescent="0.25">
      <c r="A299" s="42" t="str">
        <f t="shared" si="20"/>
        <v xml:space="preserve"> </v>
      </c>
      <c r="D299" s="41"/>
      <c r="E299" s="41"/>
      <c r="J299" s="17">
        <f t="shared" si="23"/>
        <v>0</v>
      </c>
      <c r="K299" s="2" t="str">
        <f t="shared" si="24"/>
        <v xml:space="preserve"> </v>
      </c>
      <c r="L299" s="2" t="str">
        <f t="shared" si="21"/>
        <v xml:space="preserve"> </v>
      </c>
      <c r="M299" s="2" t="str">
        <f t="shared" si="22"/>
        <v xml:space="preserve"> </v>
      </c>
    </row>
    <row r="300" spans="1:13" x14ac:dyDescent="0.25">
      <c r="A300" s="42" t="str">
        <f t="shared" si="20"/>
        <v xml:space="preserve"> </v>
      </c>
      <c r="D300" s="41"/>
      <c r="E300" s="41"/>
      <c r="J300" s="17">
        <f t="shared" si="23"/>
        <v>0</v>
      </c>
      <c r="K300" s="2" t="str">
        <f t="shared" si="24"/>
        <v xml:space="preserve"> </v>
      </c>
      <c r="L300" s="2" t="str">
        <f t="shared" si="21"/>
        <v xml:space="preserve"> </v>
      </c>
      <c r="M300" s="2" t="str">
        <f t="shared" si="22"/>
        <v xml:space="preserve"> </v>
      </c>
    </row>
    <row r="301" spans="1:13" x14ac:dyDescent="0.25">
      <c r="A301" s="42" t="str">
        <f t="shared" si="20"/>
        <v xml:space="preserve"> </v>
      </c>
      <c r="D301" s="41"/>
      <c r="E301" s="41"/>
      <c r="J301" s="17">
        <f t="shared" si="23"/>
        <v>0</v>
      </c>
      <c r="K301" s="2" t="str">
        <f t="shared" si="24"/>
        <v xml:space="preserve"> </v>
      </c>
      <c r="L301" s="2" t="str">
        <f t="shared" si="21"/>
        <v xml:space="preserve"> </v>
      </c>
      <c r="M301" s="2" t="str">
        <f t="shared" si="22"/>
        <v xml:space="preserve"> </v>
      </c>
    </row>
    <row r="302" spans="1:13" x14ac:dyDescent="0.25">
      <c r="A302" s="42" t="str">
        <f t="shared" si="20"/>
        <v xml:space="preserve"> </v>
      </c>
      <c r="D302" s="41"/>
      <c r="E302" s="41"/>
      <c r="J302" s="17">
        <f t="shared" si="23"/>
        <v>0</v>
      </c>
      <c r="K302" s="2" t="str">
        <f t="shared" si="24"/>
        <v xml:space="preserve"> </v>
      </c>
      <c r="L302" s="2" t="str">
        <f t="shared" si="21"/>
        <v xml:space="preserve"> </v>
      </c>
      <c r="M302" s="2" t="str">
        <f t="shared" si="22"/>
        <v xml:space="preserve"> </v>
      </c>
    </row>
    <row r="303" spans="1:13" x14ac:dyDescent="0.25">
      <c r="A303" s="42" t="str">
        <f t="shared" si="20"/>
        <v xml:space="preserve"> </v>
      </c>
      <c r="D303" s="41"/>
      <c r="E303" s="41"/>
      <c r="J303" s="17">
        <f t="shared" si="23"/>
        <v>0</v>
      </c>
      <c r="K303" s="2" t="str">
        <f t="shared" si="24"/>
        <v xml:space="preserve"> </v>
      </c>
      <c r="L303" s="2" t="str">
        <f t="shared" si="21"/>
        <v xml:space="preserve"> </v>
      </c>
      <c r="M303" s="2" t="str">
        <f t="shared" si="22"/>
        <v xml:space="preserve"> </v>
      </c>
    </row>
    <row r="304" spans="1:13" x14ac:dyDescent="0.25">
      <c r="A304" s="42" t="str">
        <f t="shared" si="20"/>
        <v xml:space="preserve"> </v>
      </c>
      <c r="D304" s="41"/>
      <c r="E304" s="41"/>
      <c r="J304" s="17">
        <f t="shared" si="23"/>
        <v>0</v>
      </c>
      <c r="K304" s="2" t="str">
        <f t="shared" si="24"/>
        <v xml:space="preserve"> </v>
      </c>
      <c r="L304" s="2" t="str">
        <f t="shared" si="21"/>
        <v xml:space="preserve"> </v>
      </c>
      <c r="M304" s="2" t="str">
        <f t="shared" si="22"/>
        <v xml:space="preserve"> </v>
      </c>
    </row>
    <row r="305" spans="1:13" x14ac:dyDescent="0.25">
      <c r="A305" s="42" t="str">
        <f t="shared" si="20"/>
        <v xml:space="preserve"> </v>
      </c>
      <c r="D305" s="41"/>
      <c r="E305" s="41"/>
      <c r="J305" s="17">
        <f t="shared" si="23"/>
        <v>0</v>
      </c>
      <c r="K305" s="2" t="str">
        <f t="shared" si="24"/>
        <v xml:space="preserve"> </v>
      </c>
      <c r="L305" s="2" t="str">
        <f t="shared" si="21"/>
        <v xml:space="preserve"> </v>
      </c>
      <c r="M305" s="2" t="str">
        <f t="shared" si="22"/>
        <v xml:space="preserve"> </v>
      </c>
    </row>
    <row r="306" spans="1:13" x14ac:dyDescent="0.25">
      <c r="A306" s="42" t="str">
        <f t="shared" si="20"/>
        <v xml:space="preserve"> </v>
      </c>
      <c r="D306" s="41"/>
      <c r="E306" s="41"/>
      <c r="J306" s="17">
        <f t="shared" si="23"/>
        <v>0</v>
      </c>
      <c r="K306" s="2" t="str">
        <f t="shared" si="24"/>
        <v xml:space="preserve"> </v>
      </c>
      <c r="L306" s="2" t="str">
        <f t="shared" si="21"/>
        <v xml:space="preserve"> </v>
      </c>
      <c r="M306" s="2" t="str">
        <f t="shared" si="22"/>
        <v xml:space="preserve"> </v>
      </c>
    </row>
    <row r="307" spans="1:13" x14ac:dyDescent="0.25">
      <c r="A307" s="42" t="str">
        <f t="shared" si="20"/>
        <v xml:space="preserve"> </v>
      </c>
      <c r="D307" s="41"/>
      <c r="E307" s="41"/>
      <c r="J307" s="17">
        <f t="shared" si="23"/>
        <v>0</v>
      </c>
      <c r="K307" s="2" t="str">
        <f t="shared" si="24"/>
        <v xml:space="preserve"> </v>
      </c>
      <c r="L307" s="2" t="str">
        <f t="shared" si="21"/>
        <v xml:space="preserve"> </v>
      </c>
      <c r="M307" s="2" t="str">
        <f t="shared" si="22"/>
        <v xml:space="preserve"> </v>
      </c>
    </row>
    <row r="308" spans="1:13" x14ac:dyDescent="0.25">
      <c r="A308" s="42" t="str">
        <f t="shared" si="20"/>
        <v xml:space="preserve"> </v>
      </c>
      <c r="D308" s="41"/>
      <c r="E308" s="41"/>
      <c r="J308" s="17">
        <f t="shared" si="23"/>
        <v>0</v>
      </c>
      <c r="K308" s="2" t="str">
        <f t="shared" si="24"/>
        <v xml:space="preserve"> </v>
      </c>
      <c r="L308" s="2" t="str">
        <f t="shared" si="21"/>
        <v xml:space="preserve"> </v>
      </c>
      <c r="M308" s="2" t="str">
        <f t="shared" si="22"/>
        <v xml:space="preserve"> </v>
      </c>
    </row>
    <row r="309" spans="1:13" x14ac:dyDescent="0.25">
      <c r="A309" s="42" t="str">
        <f t="shared" si="20"/>
        <v xml:space="preserve"> </v>
      </c>
      <c r="D309" s="41"/>
      <c r="E309" s="41"/>
      <c r="J309" s="17">
        <f t="shared" si="23"/>
        <v>0</v>
      </c>
      <c r="K309" s="2" t="str">
        <f t="shared" si="24"/>
        <v xml:space="preserve"> </v>
      </c>
      <c r="L309" s="2" t="str">
        <f t="shared" si="21"/>
        <v xml:space="preserve"> </v>
      </c>
      <c r="M309" s="2" t="str">
        <f t="shared" si="22"/>
        <v xml:space="preserve"> </v>
      </c>
    </row>
    <row r="310" spans="1:13" x14ac:dyDescent="0.25">
      <c r="A310" s="42" t="str">
        <f t="shared" si="20"/>
        <v xml:space="preserve"> </v>
      </c>
      <c r="D310" s="41"/>
      <c r="E310" s="41"/>
      <c r="J310" s="17">
        <f t="shared" si="23"/>
        <v>0</v>
      </c>
      <c r="K310" s="2" t="str">
        <f t="shared" si="24"/>
        <v xml:space="preserve"> </v>
      </c>
      <c r="L310" s="2" t="str">
        <f t="shared" si="21"/>
        <v xml:space="preserve"> </v>
      </c>
      <c r="M310" s="2" t="str">
        <f t="shared" si="22"/>
        <v xml:space="preserve"> </v>
      </c>
    </row>
    <row r="311" spans="1:13" x14ac:dyDescent="0.25">
      <c r="A311" s="42" t="str">
        <f t="shared" si="20"/>
        <v xml:space="preserve"> </v>
      </c>
      <c r="D311" s="41"/>
      <c r="E311" s="41"/>
      <c r="J311" s="17">
        <f t="shared" si="23"/>
        <v>0</v>
      </c>
      <c r="K311" s="2" t="str">
        <f t="shared" si="24"/>
        <v xml:space="preserve"> </v>
      </c>
      <c r="L311" s="2" t="str">
        <f t="shared" si="21"/>
        <v xml:space="preserve"> </v>
      </c>
      <c r="M311" s="2" t="str">
        <f t="shared" si="22"/>
        <v xml:space="preserve"> </v>
      </c>
    </row>
    <row r="312" spans="1:13" x14ac:dyDescent="0.25">
      <c r="A312" s="42" t="str">
        <f t="shared" si="20"/>
        <v xml:space="preserve"> </v>
      </c>
      <c r="D312" s="41"/>
      <c r="E312" s="41"/>
      <c r="J312" s="17">
        <f t="shared" si="23"/>
        <v>0</v>
      </c>
      <c r="K312" s="2" t="str">
        <f t="shared" si="24"/>
        <v xml:space="preserve"> </v>
      </c>
      <c r="L312" s="2" t="str">
        <f t="shared" si="21"/>
        <v xml:space="preserve"> </v>
      </c>
      <c r="M312" s="2" t="str">
        <f t="shared" si="22"/>
        <v xml:space="preserve"> </v>
      </c>
    </row>
    <row r="313" spans="1:13" x14ac:dyDescent="0.25">
      <c r="A313" s="42" t="str">
        <f t="shared" si="20"/>
        <v xml:space="preserve"> </v>
      </c>
      <c r="D313" s="41"/>
      <c r="E313" s="41"/>
      <c r="J313" s="17">
        <f t="shared" si="23"/>
        <v>0</v>
      </c>
      <c r="K313" s="2" t="str">
        <f t="shared" si="24"/>
        <v xml:space="preserve"> </v>
      </c>
      <c r="L313" s="2" t="str">
        <f t="shared" si="21"/>
        <v xml:space="preserve"> </v>
      </c>
      <c r="M313" s="2" t="str">
        <f t="shared" si="22"/>
        <v xml:space="preserve"> </v>
      </c>
    </row>
    <row r="314" spans="1:13" x14ac:dyDescent="0.25">
      <c r="A314" s="42" t="str">
        <f t="shared" si="20"/>
        <v xml:space="preserve"> </v>
      </c>
      <c r="D314" s="41"/>
      <c r="E314" s="41"/>
      <c r="J314" s="17">
        <f t="shared" si="23"/>
        <v>0</v>
      </c>
      <c r="K314" s="2" t="str">
        <f t="shared" si="24"/>
        <v xml:space="preserve"> </v>
      </c>
      <c r="L314" s="2" t="str">
        <f t="shared" si="21"/>
        <v xml:space="preserve"> </v>
      </c>
      <c r="M314" s="2" t="str">
        <f t="shared" si="22"/>
        <v xml:space="preserve"> </v>
      </c>
    </row>
    <row r="315" spans="1:13" x14ac:dyDescent="0.25">
      <c r="A315" s="42" t="str">
        <f t="shared" si="20"/>
        <v xml:space="preserve"> </v>
      </c>
      <c r="D315" s="41"/>
      <c r="E315" s="41"/>
      <c r="J315" s="17">
        <f t="shared" si="23"/>
        <v>0</v>
      </c>
      <c r="K315" s="2" t="str">
        <f t="shared" si="24"/>
        <v xml:space="preserve"> </v>
      </c>
      <c r="L315" s="2" t="str">
        <f t="shared" si="21"/>
        <v xml:space="preserve"> </v>
      </c>
      <c r="M315" s="2" t="str">
        <f t="shared" si="22"/>
        <v xml:space="preserve"> </v>
      </c>
    </row>
    <row r="316" spans="1:13" x14ac:dyDescent="0.25">
      <c r="A316" s="42" t="str">
        <f t="shared" si="20"/>
        <v xml:space="preserve"> </v>
      </c>
      <c r="D316" s="41"/>
      <c r="E316" s="41"/>
      <c r="J316" s="17">
        <f t="shared" si="23"/>
        <v>0</v>
      </c>
      <c r="K316" s="2" t="str">
        <f t="shared" si="24"/>
        <v xml:space="preserve"> </v>
      </c>
      <c r="L316" s="2" t="str">
        <f t="shared" si="21"/>
        <v xml:space="preserve"> </v>
      </c>
      <c r="M316" s="2" t="str">
        <f t="shared" si="22"/>
        <v xml:space="preserve"> </v>
      </c>
    </row>
    <row r="317" spans="1:13" x14ac:dyDescent="0.25">
      <c r="A317" s="42" t="str">
        <f t="shared" si="20"/>
        <v xml:space="preserve"> </v>
      </c>
      <c r="D317" s="41"/>
      <c r="E317" s="41"/>
      <c r="J317" s="17">
        <f t="shared" si="23"/>
        <v>0</v>
      </c>
      <c r="K317" s="2" t="str">
        <f t="shared" si="24"/>
        <v xml:space="preserve"> </v>
      </c>
      <c r="L317" s="2" t="str">
        <f t="shared" si="21"/>
        <v xml:space="preserve"> </v>
      </c>
      <c r="M317" s="2" t="str">
        <f t="shared" si="22"/>
        <v xml:space="preserve"> </v>
      </c>
    </row>
    <row r="318" spans="1:13" x14ac:dyDescent="0.25">
      <c r="A318" s="42" t="str">
        <f t="shared" si="20"/>
        <v xml:space="preserve"> </v>
      </c>
      <c r="D318" s="41"/>
      <c r="E318" s="41"/>
      <c r="J318" s="17">
        <f t="shared" si="23"/>
        <v>0</v>
      </c>
      <c r="K318" s="2" t="str">
        <f t="shared" si="24"/>
        <v xml:space="preserve"> </v>
      </c>
      <c r="L318" s="2" t="str">
        <f t="shared" si="21"/>
        <v xml:space="preserve"> </v>
      </c>
      <c r="M318" s="2" t="str">
        <f t="shared" si="22"/>
        <v xml:space="preserve"> </v>
      </c>
    </row>
    <row r="319" spans="1:13" x14ac:dyDescent="0.25">
      <c r="A319" s="42" t="str">
        <f t="shared" si="20"/>
        <v xml:space="preserve"> </v>
      </c>
      <c r="D319" s="41"/>
      <c r="E319" s="41"/>
      <c r="J319" s="17">
        <f t="shared" si="23"/>
        <v>0</v>
      </c>
      <c r="K319" s="2" t="str">
        <f t="shared" si="24"/>
        <v xml:space="preserve"> </v>
      </c>
      <c r="L319" s="2" t="str">
        <f t="shared" si="21"/>
        <v xml:space="preserve"> </v>
      </c>
      <c r="M319" s="2" t="str">
        <f t="shared" si="22"/>
        <v xml:space="preserve"> </v>
      </c>
    </row>
    <row r="320" spans="1:13" x14ac:dyDescent="0.25">
      <c r="A320" s="42" t="str">
        <f t="shared" si="20"/>
        <v xml:space="preserve"> </v>
      </c>
      <c r="D320" s="41"/>
      <c r="E320" s="41"/>
      <c r="J320" s="17">
        <f t="shared" si="23"/>
        <v>0</v>
      </c>
      <c r="K320" s="2" t="str">
        <f t="shared" si="24"/>
        <v xml:space="preserve"> </v>
      </c>
      <c r="L320" s="2" t="str">
        <f t="shared" si="21"/>
        <v xml:space="preserve"> </v>
      </c>
      <c r="M320" s="2" t="str">
        <f t="shared" si="22"/>
        <v xml:space="preserve"> </v>
      </c>
    </row>
    <row r="321" spans="1:13" x14ac:dyDescent="0.25">
      <c r="A321" s="42" t="str">
        <f t="shared" si="20"/>
        <v xml:space="preserve"> </v>
      </c>
      <c r="D321" s="41"/>
      <c r="E321" s="41"/>
      <c r="J321" s="17">
        <f t="shared" si="23"/>
        <v>0</v>
      </c>
      <c r="K321" s="2" t="str">
        <f t="shared" si="24"/>
        <v xml:space="preserve"> </v>
      </c>
      <c r="L321" s="2" t="str">
        <f t="shared" si="21"/>
        <v xml:space="preserve"> </v>
      </c>
      <c r="M321" s="2" t="str">
        <f t="shared" si="22"/>
        <v xml:space="preserve"> </v>
      </c>
    </row>
    <row r="322" spans="1:13" x14ac:dyDescent="0.25">
      <c r="A322" s="42" t="str">
        <f t="shared" si="20"/>
        <v xml:space="preserve"> </v>
      </c>
      <c r="D322" s="41"/>
      <c r="E322" s="41"/>
      <c r="J322" s="17">
        <f t="shared" si="23"/>
        <v>0</v>
      </c>
      <c r="K322" s="2" t="str">
        <f t="shared" si="24"/>
        <v xml:space="preserve"> </v>
      </c>
      <c r="L322" s="2" t="str">
        <f t="shared" si="21"/>
        <v xml:space="preserve"> </v>
      </c>
      <c r="M322" s="2" t="str">
        <f t="shared" si="22"/>
        <v xml:space="preserve"> </v>
      </c>
    </row>
    <row r="323" spans="1:13" x14ac:dyDescent="0.25">
      <c r="A323" s="42" t="str">
        <f t="shared" si="20"/>
        <v xml:space="preserve"> </v>
      </c>
      <c r="D323" s="41"/>
      <c r="E323" s="41"/>
      <c r="J323" s="17">
        <f t="shared" si="23"/>
        <v>0</v>
      </c>
      <c r="K323" s="2" t="str">
        <f t="shared" si="24"/>
        <v xml:space="preserve"> </v>
      </c>
      <c r="L323" s="2" t="str">
        <f t="shared" si="21"/>
        <v xml:space="preserve"> </v>
      </c>
      <c r="M323" s="2" t="str">
        <f t="shared" si="22"/>
        <v xml:space="preserve"> </v>
      </c>
    </row>
    <row r="324" spans="1:13" x14ac:dyDescent="0.25">
      <c r="A324" s="42" t="str">
        <f t="shared" si="20"/>
        <v xml:space="preserve"> </v>
      </c>
      <c r="D324" s="41"/>
      <c r="E324" s="41"/>
      <c r="J324" s="17">
        <f t="shared" si="23"/>
        <v>0</v>
      </c>
      <c r="K324" s="2" t="str">
        <f t="shared" si="24"/>
        <v xml:space="preserve"> </v>
      </c>
      <c r="L324" s="2" t="str">
        <f t="shared" si="21"/>
        <v xml:space="preserve"> </v>
      </c>
      <c r="M324" s="2" t="str">
        <f t="shared" si="22"/>
        <v xml:space="preserve"> </v>
      </c>
    </row>
    <row r="325" spans="1:13" x14ac:dyDescent="0.25">
      <c r="A325" s="42" t="str">
        <f t="shared" si="20"/>
        <v xml:space="preserve"> </v>
      </c>
      <c r="D325" s="41"/>
      <c r="E325" s="41"/>
      <c r="J325" s="17">
        <f t="shared" si="23"/>
        <v>0</v>
      </c>
      <c r="K325" s="2" t="str">
        <f t="shared" si="24"/>
        <v xml:space="preserve"> </v>
      </c>
      <c r="L325" s="2" t="str">
        <f t="shared" si="21"/>
        <v xml:space="preserve"> </v>
      </c>
      <c r="M325" s="2" t="str">
        <f t="shared" si="22"/>
        <v xml:space="preserve"> </v>
      </c>
    </row>
    <row r="326" spans="1:13" x14ac:dyDescent="0.25">
      <c r="A326" s="42" t="str">
        <f t="shared" si="20"/>
        <v xml:space="preserve"> </v>
      </c>
      <c r="D326" s="41"/>
      <c r="E326" s="41"/>
      <c r="J326" s="17">
        <f t="shared" si="23"/>
        <v>0</v>
      </c>
      <c r="K326" s="2" t="str">
        <f t="shared" si="24"/>
        <v xml:space="preserve"> </v>
      </c>
      <c r="L326" s="2" t="str">
        <f t="shared" si="21"/>
        <v xml:space="preserve"> </v>
      </c>
      <c r="M326" s="2" t="str">
        <f t="shared" si="22"/>
        <v xml:space="preserve"> </v>
      </c>
    </row>
    <row r="327" spans="1:13" x14ac:dyDescent="0.25">
      <c r="A327" s="42" t="str">
        <f t="shared" si="20"/>
        <v xml:space="preserve"> </v>
      </c>
      <c r="D327" s="41"/>
      <c r="E327" s="41"/>
      <c r="J327" s="17">
        <f t="shared" si="23"/>
        <v>0</v>
      </c>
      <c r="K327" s="2" t="str">
        <f t="shared" si="24"/>
        <v xml:space="preserve"> </v>
      </c>
      <c r="L327" s="2" t="str">
        <f t="shared" si="21"/>
        <v xml:space="preserve"> </v>
      </c>
      <c r="M327" s="2" t="str">
        <f t="shared" si="22"/>
        <v xml:space="preserve"> </v>
      </c>
    </row>
    <row r="328" spans="1:13" x14ac:dyDescent="0.25">
      <c r="A328" s="42" t="str">
        <f t="shared" si="20"/>
        <v xml:space="preserve"> </v>
      </c>
      <c r="D328" s="41"/>
      <c r="E328" s="41"/>
      <c r="J328" s="17">
        <f t="shared" si="23"/>
        <v>0</v>
      </c>
      <c r="K328" s="2" t="str">
        <f t="shared" si="24"/>
        <v xml:space="preserve"> </v>
      </c>
      <c r="L328" s="2" t="str">
        <f t="shared" si="21"/>
        <v xml:space="preserve"> </v>
      </c>
      <c r="M328" s="2" t="str">
        <f t="shared" si="22"/>
        <v xml:space="preserve"> </v>
      </c>
    </row>
    <row r="329" spans="1:13" x14ac:dyDescent="0.25">
      <c r="A329" s="42" t="str">
        <f t="shared" si="20"/>
        <v xml:space="preserve"> </v>
      </c>
      <c r="D329" s="41"/>
      <c r="E329" s="41"/>
      <c r="J329" s="17">
        <f t="shared" si="23"/>
        <v>0</v>
      </c>
      <c r="K329" s="2" t="str">
        <f t="shared" si="24"/>
        <v xml:space="preserve"> </v>
      </c>
      <c r="L329" s="2" t="str">
        <f t="shared" si="21"/>
        <v xml:space="preserve"> </v>
      </c>
      <c r="M329" s="2" t="str">
        <f t="shared" si="22"/>
        <v xml:space="preserve"> </v>
      </c>
    </row>
    <row r="330" spans="1:13" x14ac:dyDescent="0.25">
      <c r="A330" s="42" t="str">
        <f t="shared" si="20"/>
        <v xml:space="preserve"> </v>
      </c>
      <c r="D330" s="41"/>
      <c r="E330" s="41"/>
      <c r="J330" s="17">
        <f t="shared" si="23"/>
        <v>0</v>
      </c>
      <c r="K330" s="2" t="str">
        <f t="shared" si="24"/>
        <v xml:space="preserve"> </v>
      </c>
      <c r="L330" s="2" t="str">
        <f t="shared" si="21"/>
        <v xml:space="preserve"> </v>
      </c>
      <c r="M330" s="2" t="str">
        <f t="shared" si="22"/>
        <v xml:space="preserve"> </v>
      </c>
    </row>
    <row r="331" spans="1:13" x14ac:dyDescent="0.25">
      <c r="A331" s="42" t="str">
        <f t="shared" si="20"/>
        <v xml:space="preserve"> </v>
      </c>
      <c r="D331" s="41"/>
      <c r="E331" s="41"/>
      <c r="J331" s="17">
        <f t="shared" si="23"/>
        <v>0</v>
      </c>
      <c r="K331" s="2" t="str">
        <f t="shared" si="24"/>
        <v xml:space="preserve"> </v>
      </c>
      <c r="L331" s="2" t="str">
        <f t="shared" si="21"/>
        <v xml:space="preserve"> </v>
      </c>
      <c r="M331" s="2" t="str">
        <f t="shared" si="22"/>
        <v xml:space="preserve"> </v>
      </c>
    </row>
    <row r="332" spans="1:13" x14ac:dyDescent="0.25">
      <c r="A332" s="42" t="str">
        <f t="shared" si="20"/>
        <v xml:space="preserve"> </v>
      </c>
      <c r="D332" s="41"/>
      <c r="E332" s="41"/>
      <c r="J332" s="17">
        <f t="shared" si="23"/>
        <v>0</v>
      </c>
      <c r="K332" s="2" t="str">
        <f t="shared" si="24"/>
        <v xml:space="preserve"> </v>
      </c>
      <c r="L332" s="2" t="str">
        <f t="shared" si="21"/>
        <v xml:space="preserve"> </v>
      </c>
      <c r="M332" s="2" t="str">
        <f t="shared" si="22"/>
        <v xml:space="preserve"> </v>
      </c>
    </row>
    <row r="333" spans="1:13" x14ac:dyDescent="0.25">
      <c r="A333" s="42" t="str">
        <f t="shared" si="20"/>
        <v xml:space="preserve"> </v>
      </c>
      <c r="D333" s="41"/>
      <c r="E333" s="41"/>
      <c r="J333" s="17">
        <f t="shared" si="23"/>
        <v>0</v>
      </c>
      <c r="K333" s="2" t="str">
        <f t="shared" si="24"/>
        <v xml:space="preserve"> </v>
      </c>
      <c r="L333" s="2" t="str">
        <f t="shared" si="21"/>
        <v xml:space="preserve"> </v>
      </c>
      <c r="M333" s="2" t="str">
        <f t="shared" si="22"/>
        <v xml:space="preserve"> </v>
      </c>
    </row>
    <row r="334" spans="1:13" x14ac:dyDescent="0.25">
      <c r="A334" s="42" t="str">
        <f t="shared" si="20"/>
        <v xml:space="preserve"> </v>
      </c>
      <c r="D334" s="41"/>
      <c r="E334" s="41"/>
      <c r="J334" s="17">
        <f t="shared" si="23"/>
        <v>0</v>
      </c>
      <c r="K334" s="2" t="str">
        <f t="shared" si="24"/>
        <v xml:space="preserve"> </v>
      </c>
      <c r="L334" s="2" t="str">
        <f t="shared" si="21"/>
        <v xml:space="preserve"> </v>
      </c>
      <c r="M334" s="2" t="str">
        <f t="shared" si="22"/>
        <v xml:space="preserve"> </v>
      </c>
    </row>
    <row r="335" spans="1:13" x14ac:dyDescent="0.25">
      <c r="A335" s="42" t="str">
        <f t="shared" ref="A335:A398" si="25">IF(COUNTIF(K335:M335,"ERROR")&gt;0,"ERROR"," ")</f>
        <v xml:space="preserve"> </v>
      </c>
      <c r="D335" s="41"/>
      <c r="E335" s="41"/>
      <c r="J335" s="17">
        <f t="shared" si="23"/>
        <v>0</v>
      </c>
      <c r="K335" s="2" t="str">
        <f t="shared" si="24"/>
        <v xml:space="preserve"> </v>
      </c>
      <c r="L335" s="2" t="str">
        <f t="shared" ref="L335:L398" si="26">IF(D335=0," ",IF(COUNTIF(ProfitLoss4,D335)&gt;0," ","ERROR"))</f>
        <v xml:space="preserve"> </v>
      </c>
      <c r="M335" s="2" t="str">
        <f t="shared" ref="M335:M398" si="27">IF(E335=0," ",IF(COUNTIF(BalanceSheet4,E335)&gt;0," ","ERROR"))</f>
        <v xml:space="preserve"> </v>
      </c>
    </row>
    <row r="336" spans="1:13" x14ac:dyDescent="0.25">
      <c r="A336" s="42" t="str">
        <f t="shared" si="25"/>
        <v xml:space="preserve"> </v>
      </c>
      <c r="D336" s="41"/>
      <c r="E336" s="41"/>
      <c r="J336" s="17">
        <f t="shared" ref="J336:J399" si="28">F336-G336+H336-I336</f>
        <v>0</v>
      </c>
      <c r="K336" s="2" t="str">
        <f t="shared" ref="K336:K399" si="29">IF(COUNTA(D336:E336)=2,"ERROR"," ")</f>
        <v xml:space="preserve"> </v>
      </c>
      <c r="L336" s="2" t="str">
        <f t="shared" si="26"/>
        <v xml:space="preserve"> </v>
      </c>
      <c r="M336" s="2" t="str">
        <f t="shared" si="27"/>
        <v xml:space="preserve"> </v>
      </c>
    </row>
    <row r="337" spans="1:13" x14ac:dyDescent="0.25">
      <c r="A337" s="42" t="str">
        <f t="shared" si="25"/>
        <v xml:space="preserve"> </v>
      </c>
      <c r="D337" s="41"/>
      <c r="E337" s="41"/>
      <c r="J337" s="17">
        <f t="shared" si="28"/>
        <v>0</v>
      </c>
      <c r="K337" s="2" t="str">
        <f t="shared" si="29"/>
        <v xml:space="preserve"> </v>
      </c>
      <c r="L337" s="2" t="str">
        <f t="shared" si="26"/>
        <v xml:space="preserve"> </v>
      </c>
      <c r="M337" s="2" t="str">
        <f t="shared" si="27"/>
        <v xml:space="preserve"> </v>
      </c>
    </row>
    <row r="338" spans="1:13" x14ac:dyDescent="0.25">
      <c r="A338" s="42" t="str">
        <f t="shared" si="25"/>
        <v xml:space="preserve"> </v>
      </c>
      <c r="D338" s="41"/>
      <c r="E338" s="41"/>
      <c r="J338" s="17">
        <f t="shared" si="28"/>
        <v>0</v>
      </c>
      <c r="K338" s="2" t="str">
        <f t="shared" si="29"/>
        <v xml:space="preserve"> </v>
      </c>
      <c r="L338" s="2" t="str">
        <f t="shared" si="26"/>
        <v xml:space="preserve"> </v>
      </c>
      <c r="M338" s="2" t="str">
        <f t="shared" si="27"/>
        <v xml:space="preserve"> </v>
      </c>
    </row>
    <row r="339" spans="1:13" x14ac:dyDescent="0.25">
      <c r="A339" s="42" t="str">
        <f t="shared" si="25"/>
        <v xml:space="preserve"> </v>
      </c>
      <c r="D339" s="41"/>
      <c r="E339" s="41"/>
      <c r="J339" s="17">
        <f t="shared" si="28"/>
        <v>0</v>
      </c>
      <c r="K339" s="2" t="str">
        <f t="shared" si="29"/>
        <v xml:space="preserve"> </v>
      </c>
      <c r="L339" s="2" t="str">
        <f t="shared" si="26"/>
        <v xml:space="preserve"> </v>
      </c>
      <c r="M339" s="2" t="str">
        <f t="shared" si="27"/>
        <v xml:space="preserve"> </v>
      </c>
    </row>
    <row r="340" spans="1:13" x14ac:dyDescent="0.25">
      <c r="A340" s="42" t="str">
        <f t="shared" si="25"/>
        <v xml:space="preserve"> </v>
      </c>
      <c r="D340" s="41"/>
      <c r="E340" s="41"/>
      <c r="J340" s="17">
        <f t="shared" si="28"/>
        <v>0</v>
      </c>
      <c r="K340" s="2" t="str">
        <f t="shared" si="29"/>
        <v xml:space="preserve"> </v>
      </c>
      <c r="L340" s="2" t="str">
        <f t="shared" si="26"/>
        <v xml:space="preserve"> </v>
      </c>
      <c r="M340" s="2" t="str">
        <f t="shared" si="27"/>
        <v xml:space="preserve"> </v>
      </c>
    </row>
    <row r="341" spans="1:13" x14ac:dyDescent="0.25">
      <c r="A341" s="42" t="str">
        <f t="shared" si="25"/>
        <v xml:space="preserve"> </v>
      </c>
      <c r="D341" s="41"/>
      <c r="E341" s="41"/>
      <c r="J341" s="17">
        <f t="shared" si="28"/>
        <v>0</v>
      </c>
      <c r="K341" s="2" t="str">
        <f t="shared" si="29"/>
        <v xml:space="preserve"> </v>
      </c>
      <c r="L341" s="2" t="str">
        <f t="shared" si="26"/>
        <v xml:space="preserve"> </v>
      </c>
      <c r="M341" s="2" t="str">
        <f t="shared" si="27"/>
        <v xml:space="preserve"> </v>
      </c>
    </row>
    <row r="342" spans="1:13" x14ac:dyDescent="0.25">
      <c r="A342" s="42" t="str">
        <f t="shared" si="25"/>
        <v xml:space="preserve"> </v>
      </c>
      <c r="D342" s="41"/>
      <c r="E342" s="41"/>
      <c r="J342" s="17">
        <f t="shared" si="28"/>
        <v>0</v>
      </c>
      <c r="K342" s="2" t="str">
        <f t="shared" si="29"/>
        <v xml:space="preserve"> </v>
      </c>
      <c r="L342" s="2" t="str">
        <f t="shared" si="26"/>
        <v xml:space="preserve"> </v>
      </c>
      <c r="M342" s="2" t="str">
        <f t="shared" si="27"/>
        <v xml:space="preserve"> </v>
      </c>
    </row>
    <row r="343" spans="1:13" x14ac:dyDescent="0.25">
      <c r="A343" s="42" t="str">
        <f t="shared" si="25"/>
        <v xml:space="preserve"> </v>
      </c>
      <c r="D343" s="41"/>
      <c r="E343" s="41"/>
      <c r="J343" s="17">
        <f t="shared" si="28"/>
        <v>0</v>
      </c>
      <c r="K343" s="2" t="str">
        <f t="shared" si="29"/>
        <v xml:space="preserve"> </v>
      </c>
      <c r="L343" s="2" t="str">
        <f t="shared" si="26"/>
        <v xml:space="preserve"> </v>
      </c>
      <c r="M343" s="2" t="str">
        <f t="shared" si="27"/>
        <v xml:space="preserve"> </v>
      </c>
    </row>
    <row r="344" spans="1:13" x14ac:dyDescent="0.25">
      <c r="A344" s="42" t="str">
        <f t="shared" si="25"/>
        <v xml:space="preserve"> </v>
      </c>
      <c r="D344" s="41"/>
      <c r="E344" s="41"/>
      <c r="J344" s="17">
        <f t="shared" si="28"/>
        <v>0</v>
      </c>
      <c r="K344" s="2" t="str">
        <f t="shared" si="29"/>
        <v xml:space="preserve"> </v>
      </c>
      <c r="L344" s="2" t="str">
        <f t="shared" si="26"/>
        <v xml:space="preserve"> </v>
      </c>
      <c r="M344" s="2" t="str">
        <f t="shared" si="27"/>
        <v xml:space="preserve"> </v>
      </c>
    </row>
    <row r="345" spans="1:13" x14ac:dyDescent="0.25">
      <c r="A345" s="42" t="str">
        <f t="shared" si="25"/>
        <v xml:space="preserve"> </v>
      </c>
      <c r="D345" s="41"/>
      <c r="E345" s="41"/>
      <c r="J345" s="17">
        <f t="shared" si="28"/>
        <v>0</v>
      </c>
      <c r="K345" s="2" t="str">
        <f t="shared" si="29"/>
        <v xml:space="preserve"> </v>
      </c>
      <c r="L345" s="2" t="str">
        <f t="shared" si="26"/>
        <v xml:space="preserve"> </v>
      </c>
      <c r="M345" s="2" t="str">
        <f t="shared" si="27"/>
        <v xml:space="preserve"> </v>
      </c>
    </row>
    <row r="346" spans="1:13" x14ac:dyDescent="0.25">
      <c r="A346" s="42" t="str">
        <f t="shared" si="25"/>
        <v xml:space="preserve"> </v>
      </c>
      <c r="D346" s="41"/>
      <c r="E346" s="41"/>
      <c r="J346" s="17">
        <f t="shared" si="28"/>
        <v>0</v>
      </c>
      <c r="K346" s="2" t="str">
        <f t="shared" si="29"/>
        <v xml:space="preserve"> </v>
      </c>
      <c r="L346" s="2" t="str">
        <f t="shared" si="26"/>
        <v xml:space="preserve"> </v>
      </c>
      <c r="M346" s="2" t="str">
        <f t="shared" si="27"/>
        <v xml:space="preserve"> </v>
      </c>
    </row>
    <row r="347" spans="1:13" x14ac:dyDescent="0.25">
      <c r="A347" s="42" t="str">
        <f t="shared" si="25"/>
        <v xml:space="preserve"> </v>
      </c>
      <c r="D347" s="41"/>
      <c r="E347" s="41"/>
      <c r="J347" s="17">
        <f t="shared" si="28"/>
        <v>0</v>
      </c>
      <c r="K347" s="2" t="str">
        <f t="shared" si="29"/>
        <v xml:space="preserve"> </v>
      </c>
      <c r="L347" s="2" t="str">
        <f t="shared" si="26"/>
        <v xml:space="preserve"> </v>
      </c>
      <c r="M347" s="2" t="str">
        <f t="shared" si="27"/>
        <v xml:space="preserve"> </v>
      </c>
    </row>
    <row r="348" spans="1:13" x14ac:dyDescent="0.25">
      <c r="A348" s="42" t="str">
        <f t="shared" si="25"/>
        <v xml:space="preserve"> </v>
      </c>
      <c r="D348" s="41"/>
      <c r="E348" s="41"/>
      <c r="J348" s="17">
        <f t="shared" si="28"/>
        <v>0</v>
      </c>
      <c r="K348" s="2" t="str">
        <f t="shared" si="29"/>
        <v xml:space="preserve"> </v>
      </c>
      <c r="L348" s="2" t="str">
        <f t="shared" si="26"/>
        <v xml:space="preserve"> </v>
      </c>
      <c r="M348" s="2" t="str">
        <f t="shared" si="27"/>
        <v xml:space="preserve"> </v>
      </c>
    </row>
    <row r="349" spans="1:13" x14ac:dyDescent="0.25">
      <c r="A349" s="42" t="str">
        <f t="shared" si="25"/>
        <v xml:space="preserve"> </v>
      </c>
      <c r="D349" s="41"/>
      <c r="E349" s="41"/>
      <c r="J349" s="17">
        <f t="shared" si="28"/>
        <v>0</v>
      </c>
      <c r="K349" s="2" t="str">
        <f t="shared" si="29"/>
        <v xml:space="preserve"> </v>
      </c>
      <c r="L349" s="2" t="str">
        <f t="shared" si="26"/>
        <v xml:space="preserve"> </v>
      </c>
      <c r="M349" s="2" t="str">
        <f t="shared" si="27"/>
        <v xml:space="preserve"> </v>
      </c>
    </row>
    <row r="350" spans="1:13" x14ac:dyDescent="0.25">
      <c r="A350" s="42" t="str">
        <f t="shared" si="25"/>
        <v xml:space="preserve"> </v>
      </c>
      <c r="D350" s="41"/>
      <c r="E350" s="41"/>
      <c r="J350" s="17">
        <f t="shared" si="28"/>
        <v>0</v>
      </c>
      <c r="K350" s="2" t="str">
        <f t="shared" si="29"/>
        <v xml:space="preserve"> </v>
      </c>
      <c r="L350" s="2" t="str">
        <f t="shared" si="26"/>
        <v xml:space="preserve"> </v>
      </c>
      <c r="M350" s="2" t="str">
        <f t="shared" si="27"/>
        <v xml:space="preserve"> </v>
      </c>
    </row>
    <row r="351" spans="1:13" x14ac:dyDescent="0.25">
      <c r="A351" s="42" t="str">
        <f t="shared" si="25"/>
        <v xml:space="preserve"> </v>
      </c>
      <c r="D351" s="41"/>
      <c r="E351" s="41"/>
      <c r="J351" s="17">
        <f t="shared" si="28"/>
        <v>0</v>
      </c>
      <c r="K351" s="2" t="str">
        <f t="shared" si="29"/>
        <v xml:space="preserve"> </v>
      </c>
      <c r="L351" s="2" t="str">
        <f t="shared" si="26"/>
        <v xml:space="preserve"> </v>
      </c>
      <c r="M351" s="2" t="str">
        <f t="shared" si="27"/>
        <v xml:space="preserve"> </v>
      </c>
    </row>
    <row r="352" spans="1:13" x14ac:dyDescent="0.25">
      <c r="A352" s="42" t="str">
        <f t="shared" si="25"/>
        <v xml:space="preserve"> </v>
      </c>
      <c r="D352" s="41"/>
      <c r="E352" s="41"/>
      <c r="J352" s="17">
        <f t="shared" si="28"/>
        <v>0</v>
      </c>
      <c r="K352" s="2" t="str">
        <f t="shared" si="29"/>
        <v xml:space="preserve"> </v>
      </c>
      <c r="L352" s="2" t="str">
        <f t="shared" si="26"/>
        <v xml:space="preserve"> </v>
      </c>
      <c r="M352" s="2" t="str">
        <f t="shared" si="27"/>
        <v xml:space="preserve"> </v>
      </c>
    </row>
    <row r="353" spans="1:13" x14ac:dyDescent="0.25">
      <c r="A353" s="42" t="str">
        <f t="shared" si="25"/>
        <v xml:space="preserve"> </v>
      </c>
      <c r="D353" s="41"/>
      <c r="E353" s="41"/>
      <c r="J353" s="17">
        <f t="shared" si="28"/>
        <v>0</v>
      </c>
      <c r="K353" s="2" t="str">
        <f t="shared" si="29"/>
        <v xml:space="preserve"> </v>
      </c>
      <c r="L353" s="2" t="str">
        <f t="shared" si="26"/>
        <v xml:space="preserve"> </v>
      </c>
      <c r="M353" s="2" t="str">
        <f t="shared" si="27"/>
        <v xml:space="preserve"> </v>
      </c>
    </row>
    <row r="354" spans="1:13" x14ac:dyDescent="0.25">
      <c r="A354" s="42" t="str">
        <f t="shared" si="25"/>
        <v xml:space="preserve"> </v>
      </c>
      <c r="D354" s="41"/>
      <c r="E354" s="41"/>
      <c r="J354" s="17">
        <f t="shared" si="28"/>
        <v>0</v>
      </c>
      <c r="K354" s="2" t="str">
        <f t="shared" si="29"/>
        <v xml:space="preserve"> </v>
      </c>
      <c r="L354" s="2" t="str">
        <f t="shared" si="26"/>
        <v xml:space="preserve"> </v>
      </c>
      <c r="M354" s="2" t="str">
        <f t="shared" si="27"/>
        <v xml:space="preserve"> </v>
      </c>
    </row>
    <row r="355" spans="1:13" x14ac:dyDescent="0.25">
      <c r="A355" s="42" t="str">
        <f t="shared" si="25"/>
        <v xml:space="preserve"> </v>
      </c>
      <c r="D355" s="41"/>
      <c r="E355" s="41"/>
      <c r="J355" s="17">
        <f t="shared" si="28"/>
        <v>0</v>
      </c>
      <c r="K355" s="2" t="str">
        <f t="shared" si="29"/>
        <v xml:space="preserve"> </v>
      </c>
      <c r="L355" s="2" t="str">
        <f t="shared" si="26"/>
        <v xml:space="preserve"> </v>
      </c>
      <c r="M355" s="2" t="str">
        <f t="shared" si="27"/>
        <v xml:space="preserve"> </v>
      </c>
    </row>
    <row r="356" spans="1:13" x14ac:dyDescent="0.25">
      <c r="A356" s="42" t="str">
        <f t="shared" si="25"/>
        <v xml:space="preserve"> </v>
      </c>
      <c r="D356" s="41"/>
      <c r="E356" s="41"/>
      <c r="J356" s="17">
        <f t="shared" si="28"/>
        <v>0</v>
      </c>
      <c r="K356" s="2" t="str">
        <f t="shared" si="29"/>
        <v xml:space="preserve"> </v>
      </c>
      <c r="L356" s="2" t="str">
        <f t="shared" si="26"/>
        <v xml:space="preserve"> </v>
      </c>
      <c r="M356" s="2" t="str">
        <f t="shared" si="27"/>
        <v xml:space="preserve"> </v>
      </c>
    </row>
    <row r="357" spans="1:13" x14ac:dyDescent="0.25">
      <c r="A357" s="42" t="str">
        <f t="shared" si="25"/>
        <v xml:space="preserve"> </v>
      </c>
      <c r="D357" s="41"/>
      <c r="E357" s="41"/>
      <c r="J357" s="17">
        <f t="shared" si="28"/>
        <v>0</v>
      </c>
      <c r="K357" s="2" t="str">
        <f t="shared" si="29"/>
        <v xml:space="preserve"> </v>
      </c>
      <c r="L357" s="2" t="str">
        <f t="shared" si="26"/>
        <v xml:space="preserve"> </v>
      </c>
      <c r="M357" s="2" t="str">
        <f t="shared" si="27"/>
        <v xml:space="preserve"> </v>
      </c>
    </row>
    <row r="358" spans="1:13" x14ac:dyDescent="0.25">
      <c r="A358" s="42" t="str">
        <f t="shared" si="25"/>
        <v xml:space="preserve"> </v>
      </c>
      <c r="D358" s="41"/>
      <c r="E358" s="41"/>
      <c r="J358" s="17">
        <f t="shared" si="28"/>
        <v>0</v>
      </c>
      <c r="K358" s="2" t="str">
        <f t="shared" si="29"/>
        <v xml:space="preserve"> </v>
      </c>
      <c r="L358" s="2" t="str">
        <f t="shared" si="26"/>
        <v xml:space="preserve"> </v>
      </c>
      <c r="M358" s="2" t="str">
        <f t="shared" si="27"/>
        <v xml:space="preserve"> </v>
      </c>
    </row>
    <row r="359" spans="1:13" x14ac:dyDescent="0.25">
      <c r="A359" s="42" t="str">
        <f t="shared" si="25"/>
        <v xml:space="preserve"> </v>
      </c>
      <c r="D359" s="41"/>
      <c r="E359" s="41"/>
      <c r="J359" s="17">
        <f t="shared" si="28"/>
        <v>0</v>
      </c>
      <c r="K359" s="2" t="str">
        <f t="shared" si="29"/>
        <v xml:space="preserve"> </v>
      </c>
      <c r="L359" s="2" t="str">
        <f t="shared" si="26"/>
        <v xml:space="preserve"> </v>
      </c>
      <c r="M359" s="2" t="str">
        <f t="shared" si="27"/>
        <v xml:space="preserve"> </v>
      </c>
    </row>
    <row r="360" spans="1:13" x14ac:dyDescent="0.25">
      <c r="A360" s="42" t="str">
        <f t="shared" si="25"/>
        <v xml:space="preserve"> </v>
      </c>
      <c r="D360" s="41"/>
      <c r="E360" s="41"/>
      <c r="J360" s="17">
        <f t="shared" si="28"/>
        <v>0</v>
      </c>
      <c r="K360" s="2" t="str">
        <f t="shared" si="29"/>
        <v xml:space="preserve"> </v>
      </c>
      <c r="L360" s="2" t="str">
        <f t="shared" si="26"/>
        <v xml:space="preserve"> </v>
      </c>
      <c r="M360" s="2" t="str">
        <f t="shared" si="27"/>
        <v xml:space="preserve"> </v>
      </c>
    </row>
    <row r="361" spans="1:13" x14ac:dyDescent="0.25">
      <c r="A361" s="42" t="str">
        <f t="shared" si="25"/>
        <v xml:space="preserve"> </v>
      </c>
      <c r="D361" s="41"/>
      <c r="E361" s="41"/>
      <c r="J361" s="17">
        <f t="shared" si="28"/>
        <v>0</v>
      </c>
      <c r="K361" s="2" t="str">
        <f t="shared" si="29"/>
        <v xml:space="preserve"> </v>
      </c>
      <c r="L361" s="2" t="str">
        <f t="shared" si="26"/>
        <v xml:space="preserve"> </v>
      </c>
      <c r="M361" s="2" t="str">
        <f t="shared" si="27"/>
        <v xml:space="preserve"> </v>
      </c>
    </row>
    <row r="362" spans="1:13" x14ac:dyDescent="0.25">
      <c r="A362" s="42" t="str">
        <f t="shared" si="25"/>
        <v xml:space="preserve"> </v>
      </c>
      <c r="D362" s="41"/>
      <c r="E362" s="41"/>
      <c r="J362" s="17">
        <f t="shared" si="28"/>
        <v>0</v>
      </c>
      <c r="K362" s="2" t="str">
        <f t="shared" si="29"/>
        <v xml:space="preserve"> </v>
      </c>
      <c r="L362" s="2" t="str">
        <f t="shared" si="26"/>
        <v xml:space="preserve"> </v>
      </c>
      <c r="M362" s="2" t="str">
        <f t="shared" si="27"/>
        <v xml:space="preserve"> </v>
      </c>
    </row>
    <row r="363" spans="1:13" x14ac:dyDescent="0.25">
      <c r="A363" s="42" t="str">
        <f t="shared" si="25"/>
        <v xml:space="preserve"> </v>
      </c>
      <c r="D363" s="41"/>
      <c r="E363" s="41"/>
      <c r="J363" s="17">
        <f t="shared" si="28"/>
        <v>0</v>
      </c>
      <c r="K363" s="2" t="str">
        <f t="shared" si="29"/>
        <v xml:space="preserve"> </v>
      </c>
      <c r="L363" s="2" t="str">
        <f t="shared" si="26"/>
        <v xml:space="preserve"> </v>
      </c>
      <c r="M363" s="2" t="str">
        <f t="shared" si="27"/>
        <v xml:space="preserve"> </v>
      </c>
    </row>
    <row r="364" spans="1:13" x14ac:dyDescent="0.25">
      <c r="A364" s="42" t="str">
        <f t="shared" si="25"/>
        <v xml:space="preserve"> </v>
      </c>
      <c r="D364" s="41"/>
      <c r="E364" s="41"/>
      <c r="J364" s="17">
        <f t="shared" si="28"/>
        <v>0</v>
      </c>
      <c r="K364" s="2" t="str">
        <f t="shared" si="29"/>
        <v xml:space="preserve"> </v>
      </c>
      <c r="L364" s="2" t="str">
        <f t="shared" si="26"/>
        <v xml:space="preserve"> </v>
      </c>
      <c r="M364" s="2" t="str">
        <f t="shared" si="27"/>
        <v xml:space="preserve"> </v>
      </c>
    </row>
    <row r="365" spans="1:13" x14ac:dyDescent="0.25">
      <c r="A365" s="42" t="str">
        <f t="shared" si="25"/>
        <v xml:space="preserve"> </v>
      </c>
      <c r="D365" s="41"/>
      <c r="E365" s="41"/>
      <c r="J365" s="17">
        <f t="shared" si="28"/>
        <v>0</v>
      </c>
      <c r="K365" s="2" t="str">
        <f t="shared" si="29"/>
        <v xml:space="preserve"> </v>
      </c>
      <c r="L365" s="2" t="str">
        <f t="shared" si="26"/>
        <v xml:space="preserve"> </v>
      </c>
      <c r="M365" s="2" t="str">
        <f t="shared" si="27"/>
        <v xml:space="preserve"> </v>
      </c>
    </row>
    <row r="366" spans="1:13" x14ac:dyDescent="0.25">
      <c r="A366" s="42" t="str">
        <f t="shared" si="25"/>
        <v xml:space="preserve"> </v>
      </c>
      <c r="D366" s="41"/>
      <c r="E366" s="41"/>
      <c r="J366" s="17">
        <f t="shared" si="28"/>
        <v>0</v>
      </c>
      <c r="K366" s="2" t="str">
        <f t="shared" si="29"/>
        <v xml:space="preserve"> </v>
      </c>
      <c r="L366" s="2" t="str">
        <f t="shared" si="26"/>
        <v xml:space="preserve"> </v>
      </c>
      <c r="M366" s="2" t="str">
        <f t="shared" si="27"/>
        <v xml:space="preserve"> </v>
      </c>
    </row>
    <row r="367" spans="1:13" x14ac:dyDescent="0.25">
      <c r="A367" s="42" t="str">
        <f t="shared" si="25"/>
        <v xml:space="preserve"> </v>
      </c>
      <c r="D367" s="41"/>
      <c r="E367" s="41"/>
      <c r="J367" s="17">
        <f t="shared" si="28"/>
        <v>0</v>
      </c>
      <c r="K367" s="2" t="str">
        <f t="shared" si="29"/>
        <v xml:space="preserve"> </v>
      </c>
      <c r="L367" s="2" t="str">
        <f t="shared" si="26"/>
        <v xml:space="preserve"> </v>
      </c>
      <c r="M367" s="2" t="str">
        <f t="shared" si="27"/>
        <v xml:space="preserve"> </v>
      </c>
    </row>
    <row r="368" spans="1:13" x14ac:dyDescent="0.25">
      <c r="A368" s="42" t="str">
        <f t="shared" si="25"/>
        <v xml:space="preserve"> </v>
      </c>
      <c r="D368" s="41"/>
      <c r="E368" s="41"/>
      <c r="J368" s="17">
        <f t="shared" si="28"/>
        <v>0</v>
      </c>
      <c r="K368" s="2" t="str">
        <f t="shared" si="29"/>
        <v xml:space="preserve"> </v>
      </c>
      <c r="L368" s="2" t="str">
        <f t="shared" si="26"/>
        <v xml:space="preserve"> </v>
      </c>
      <c r="M368" s="2" t="str">
        <f t="shared" si="27"/>
        <v xml:space="preserve"> </v>
      </c>
    </row>
    <row r="369" spans="1:13" x14ac:dyDescent="0.25">
      <c r="A369" s="42" t="str">
        <f t="shared" si="25"/>
        <v xml:space="preserve"> </v>
      </c>
      <c r="D369" s="41"/>
      <c r="E369" s="41"/>
      <c r="J369" s="17">
        <f t="shared" si="28"/>
        <v>0</v>
      </c>
      <c r="K369" s="2" t="str">
        <f t="shared" si="29"/>
        <v xml:space="preserve"> </v>
      </c>
      <c r="L369" s="2" t="str">
        <f t="shared" si="26"/>
        <v xml:space="preserve"> </v>
      </c>
      <c r="M369" s="2" t="str">
        <f t="shared" si="27"/>
        <v xml:space="preserve"> </v>
      </c>
    </row>
    <row r="370" spans="1:13" x14ac:dyDescent="0.25">
      <c r="A370" s="42" t="str">
        <f t="shared" si="25"/>
        <v xml:space="preserve"> </v>
      </c>
      <c r="D370" s="41"/>
      <c r="E370" s="41"/>
      <c r="J370" s="17">
        <f t="shared" si="28"/>
        <v>0</v>
      </c>
      <c r="K370" s="2" t="str">
        <f t="shared" si="29"/>
        <v xml:space="preserve"> </v>
      </c>
      <c r="L370" s="2" t="str">
        <f t="shared" si="26"/>
        <v xml:space="preserve"> </v>
      </c>
      <c r="M370" s="2" t="str">
        <f t="shared" si="27"/>
        <v xml:space="preserve"> </v>
      </c>
    </row>
    <row r="371" spans="1:13" x14ac:dyDescent="0.25">
      <c r="A371" s="42" t="str">
        <f t="shared" si="25"/>
        <v xml:space="preserve"> </v>
      </c>
      <c r="D371" s="41"/>
      <c r="E371" s="41"/>
      <c r="J371" s="17">
        <f t="shared" si="28"/>
        <v>0</v>
      </c>
      <c r="K371" s="2" t="str">
        <f t="shared" si="29"/>
        <v xml:space="preserve"> </v>
      </c>
      <c r="L371" s="2" t="str">
        <f t="shared" si="26"/>
        <v xml:space="preserve"> </v>
      </c>
      <c r="M371" s="2" t="str">
        <f t="shared" si="27"/>
        <v xml:space="preserve"> </v>
      </c>
    </row>
    <row r="372" spans="1:13" x14ac:dyDescent="0.25">
      <c r="A372" s="42" t="str">
        <f t="shared" si="25"/>
        <v xml:space="preserve"> </v>
      </c>
      <c r="D372" s="41"/>
      <c r="E372" s="41"/>
      <c r="J372" s="17">
        <f t="shared" si="28"/>
        <v>0</v>
      </c>
      <c r="K372" s="2" t="str">
        <f t="shared" si="29"/>
        <v xml:space="preserve"> </v>
      </c>
      <c r="L372" s="2" t="str">
        <f t="shared" si="26"/>
        <v xml:space="preserve"> </v>
      </c>
      <c r="M372" s="2" t="str">
        <f t="shared" si="27"/>
        <v xml:space="preserve"> </v>
      </c>
    </row>
    <row r="373" spans="1:13" x14ac:dyDescent="0.25">
      <c r="A373" s="42" t="str">
        <f t="shared" si="25"/>
        <v xml:space="preserve"> </v>
      </c>
      <c r="D373" s="41"/>
      <c r="E373" s="41"/>
      <c r="J373" s="17">
        <f t="shared" si="28"/>
        <v>0</v>
      </c>
      <c r="K373" s="2" t="str">
        <f t="shared" si="29"/>
        <v xml:space="preserve"> </v>
      </c>
      <c r="L373" s="2" t="str">
        <f t="shared" si="26"/>
        <v xml:space="preserve"> </v>
      </c>
      <c r="M373" s="2" t="str">
        <f t="shared" si="27"/>
        <v xml:space="preserve"> </v>
      </c>
    </row>
    <row r="374" spans="1:13" x14ac:dyDescent="0.25">
      <c r="A374" s="42" t="str">
        <f t="shared" si="25"/>
        <v xml:space="preserve"> </v>
      </c>
      <c r="D374" s="41"/>
      <c r="E374" s="41"/>
      <c r="J374" s="17">
        <f t="shared" si="28"/>
        <v>0</v>
      </c>
      <c r="K374" s="2" t="str">
        <f t="shared" si="29"/>
        <v xml:space="preserve"> </v>
      </c>
      <c r="L374" s="2" t="str">
        <f t="shared" si="26"/>
        <v xml:space="preserve"> </v>
      </c>
      <c r="M374" s="2" t="str">
        <f t="shared" si="27"/>
        <v xml:space="preserve"> </v>
      </c>
    </row>
    <row r="375" spans="1:13" x14ac:dyDescent="0.25">
      <c r="A375" s="42" t="str">
        <f t="shared" si="25"/>
        <v xml:space="preserve"> </v>
      </c>
      <c r="D375" s="41"/>
      <c r="E375" s="41"/>
      <c r="J375" s="17">
        <f t="shared" si="28"/>
        <v>0</v>
      </c>
      <c r="K375" s="2" t="str">
        <f t="shared" si="29"/>
        <v xml:space="preserve"> </v>
      </c>
      <c r="L375" s="2" t="str">
        <f t="shared" si="26"/>
        <v xml:space="preserve"> </v>
      </c>
      <c r="M375" s="2" t="str">
        <f t="shared" si="27"/>
        <v xml:space="preserve"> </v>
      </c>
    </row>
    <row r="376" spans="1:13" x14ac:dyDescent="0.25">
      <c r="A376" s="42" t="str">
        <f t="shared" si="25"/>
        <v xml:space="preserve"> </v>
      </c>
      <c r="D376" s="41"/>
      <c r="E376" s="41"/>
      <c r="J376" s="17">
        <f t="shared" si="28"/>
        <v>0</v>
      </c>
      <c r="K376" s="2" t="str">
        <f t="shared" si="29"/>
        <v xml:space="preserve"> </v>
      </c>
      <c r="L376" s="2" t="str">
        <f t="shared" si="26"/>
        <v xml:space="preserve"> </v>
      </c>
      <c r="M376" s="2" t="str">
        <f t="shared" si="27"/>
        <v xml:space="preserve"> </v>
      </c>
    </row>
    <row r="377" spans="1:13" x14ac:dyDescent="0.25">
      <c r="A377" s="42" t="str">
        <f t="shared" si="25"/>
        <v xml:space="preserve"> </v>
      </c>
      <c r="D377" s="41"/>
      <c r="E377" s="41"/>
      <c r="J377" s="17">
        <f t="shared" si="28"/>
        <v>0</v>
      </c>
      <c r="K377" s="2" t="str">
        <f t="shared" si="29"/>
        <v xml:space="preserve"> </v>
      </c>
      <c r="L377" s="2" t="str">
        <f t="shared" si="26"/>
        <v xml:space="preserve"> </v>
      </c>
      <c r="M377" s="2" t="str">
        <f t="shared" si="27"/>
        <v xml:space="preserve"> </v>
      </c>
    </row>
    <row r="378" spans="1:13" x14ac:dyDescent="0.25">
      <c r="A378" s="42" t="str">
        <f t="shared" si="25"/>
        <v xml:space="preserve"> </v>
      </c>
      <c r="D378" s="41"/>
      <c r="E378" s="41"/>
      <c r="J378" s="17">
        <f t="shared" si="28"/>
        <v>0</v>
      </c>
      <c r="K378" s="2" t="str">
        <f t="shared" si="29"/>
        <v xml:space="preserve"> </v>
      </c>
      <c r="L378" s="2" t="str">
        <f t="shared" si="26"/>
        <v xml:space="preserve"> </v>
      </c>
      <c r="M378" s="2" t="str">
        <f t="shared" si="27"/>
        <v xml:space="preserve"> </v>
      </c>
    </row>
    <row r="379" spans="1:13" x14ac:dyDescent="0.25">
      <c r="A379" s="42" t="str">
        <f t="shared" si="25"/>
        <v xml:space="preserve"> </v>
      </c>
      <c r="D379" s="41"/>
      <c r="E379" s="41"/>
      <c r="J379" s="17">
        <f t="shared" si="28"/>
        <v>0</v>
      </c>
      <c r="K379" s="2" t="str">
        <f t="shared" si="29"/>
        <v xml:space="preserve"> </v>
      </c>
      <c r="L379" s="2" t="str">
        <f t="shared" si="26"/>
        <v xml:space="preserve"> </v>
      </c>
      <c r="M379" s="2" t="str">
        <f t="shared" si="27"/>
        <v xml:space="preserve"> </v>
      </c>
    </row>
    <row r="380" spans="1:13" x14ac:dyDescent="0.25">
      <c r="A380" s="42" t="str">
        <f t="shared" si="25"/>
        <v xml:space="preserve"> </v>
      </c>
      <c r="D380" s="41"/>
      <c r="E380" s="41"/>
      <c r="J380" s="17">
        <f t="shared" si="28"/>
        <v>0</v>
      </c>
      <c r="K380" s="2" t="str">
        <f t="shared" si="29"/>
        <v xml:space="preserve"> </v>
      </c>
      <c r="L380" s="2" t="str">
        <f t="shared" si="26"/>
        <v xml:space="preserve"> </v>
      </c>
      <c r="M380" s="2" t="str">
        <f t="shared" si="27"/>
        <v xml:space="preserve"> </v>
      </c>
    </row>
    <row r="381" spans="1:13" x14ac:dyDescent="0.25">
      <c r="A381" s="42" t="str">
        <f t="shared" si="25"/>
        <v xml:space="preserve"> </v>
      </c>
      <c r="D381" s="41"/>
      <c r="E381" s="41"/>
      <c r="J381" s="17">
        <f t="shared" si="28"/>
        <v>0</v>
      </c>
      <c r="K381" s="2" t="str">
        <f t="shared" si="29"/>
        <v xml:space="preserve"> </v>
      </c>
      <c r="L381" s="2" t="str">
        <f t="shared" si="26"/>
        <v xml:space="preserve"> </v>
      </c>
      <c r="M381" s="2" t="str">
        <f t="shared" si="27"/>
        <v xml:space="preserve"> </v>
      </c>
    </row>
    <row r="382" spans="1:13" x14ac:dyDescent="0.25">
      <c r="A382" s="42" t="str">
        <f t="shared" si="25"/>
        <v xml:space="preserve"> </v>
      </c>
      <c r="D382" s="41"/>
      <c r="E382" s="41"/>
      <c r="J382" s="17">
        <f t="shared" si="28"/>
        <v>0</v>
      </c>
      <c r="K382" s="2" t="str">
        <f t="shared" si="29"/>
        <v xml:space="preserve"> </v>
      </c>
      <c r="L382" s="2" t="str">
        <f t="shared" si="26"/>
        <v xml:space="preserve"> </v>
      </c>
      <c r="M382" s="2" t="str">
        <f t="shared" si="27"/>
        <v xml:space="preserve"> </v>
      </c>
    </row>
    <row r="383" spans="1:13" x14ac:dyDescent="0.25">
      <c r="A383" s="42" t="str">
        <f t="shared" si="25"/>
        <v xml:space="preserve"> </v>
      </c>
      <c r="D383" s="41"/>
      <c r="E383" s="41"/>
      <c r="J383" s="17">
        <f t="shared" si="28"/>
        <v>0</v>
      </c>
      <c r="K383" s="2" t="str">
        <f t="shared" si="29"/>
        <v xml:space="preserve"> </v>
      </c>
      <c r="L383" s="2" t="str">
        <f t="shared" si="26"/>
        <v xml:space="preserve"> </v>
      </c>
      <c r="M383" s="2" t="str">
        <f t="shared" si="27"/>
        <v xml:space="preserve"> </v>
      </c>
    </row>
    <row r="384" spans="1:13" x14ac:dyDescent="0.25">
      <c r="A384" s="42" t="str">
        <f t="shared" si="25"/>
        <v xml:space="preserve"> </v>
      </c>
      <c r="D384" s="41"/>
      <c r="E384" s="41"/>
      <c r="J384" s="17">
        <f t="shared" si="28"/>
        <v>0</v>
      </c>
      <c r="K384" s="2" t="str">
        <f t="shared" si="29"/>
        <v xml:space="preserve"> </v>
      </c>
      <c r="L384" s="2" t="str">
        <f t="shared" si="26"/>
        <v xml:space="preserve"> </v>
      </c>
      <c r="M384" s="2" t="str">
        <f t="shared" si="27"/>
        <v xml:space="preserve"> </v>
      </c>
    </row>
    <row r="385" spans="1:13" x14ac:dyDescent="0.25">
      <c r="A385" s="42" t="str">
        <f t="shared" si="25"/>
        <v xml:space="preserve"> </v>
      </c>
      <c r="D385" s="41"/>
      <c r="E385" s="41"/>
      <c r="J385" s="17">
        <f t="shared" si="28"/>
        <v>0</v>
      </c>
      <c r="K385" s="2" t="str">
        <f t="shared" si="29"/>
        <v xml:space="preserve"> </v>
      </c>
      <c r="L385" s="2" t="str">
        <f t="shared" si="26"/>
        <v xml:space="preserve"> </v>
      </c>
      <c r="M385" s="2" t="str">
        <f t="shared" si="27"/>
        <v xml:space="preserve"> </v>
      </c>
    </row>
    <row r="386" spans="1:13" x14ac:dyDescent="0.25">
      <c r="A386" s="42" t="str">
        <f t="shared" si="25"/>
        <v xml:space="preserve"> </v>
      </c>
      <c r="D386" s="41"/>
      <c r="E386" s="41"/>
      <c r="J386" s="17">
        <f t="shared" si="28"/>
        <v>0</v>
      </c>
      <c r="K386" s="2" t="str">
        <f t="shared" si="29"/>
        <v xml:space="preserve"> </v>
      </c>
      <c r="L386" s="2" t="str">
        <f t="shared" si="26"/>
        <v xml:space="preserve"> </v>
      </c>
      <c r="M386" s="2" t="str">
        <f t="shared" si="27"/>
        <v xml:space="preserve"> </v>
      </c>
    </row>
    <row r="387" spans="1:13" x14ac:dyDescent="0.25">
      <c r="A387" s="42" t="str">
        <f t="shared" si="25"/>
        <v xml:space="preserve"> </v>
      </c>
      <c r="D387" s="41"/>
      <c r="E387" s="41"/>
      <c r="J387" s="17">
        <f t="shared" si="28"/>
        <v>0</v>
      </c>
      <c r="K387" s="2" t="str">
        <f t="shared" si="29"/>
        <v xml:space="preserve"> </v>
      </c>
      <c r="L387" s="2" t="str">
        <f t="shared" si="26"/>
        <v xml:space="preserve"> </v>
      </c>
      <c r="M387" s="2" t="str">
        <f t="shared" si="27"/>
        <v xml:space="preserve"> </v>
      </c>
    </row>
    <row r="388" spans="1:13" x14ac:dyDescent="0.25">
      <c r="A388" s="42" t="str">
        <f t="shared" si="25"/>
        <v xml:space="preserve"> </v>
      </c>
      <c r="D388" s="41"/>
      <c r="E388" s="41"/>
      <c r="J388" s="17">
        <f t="shared" si="28"/>
        <v>0</v>
      </c>
      <c r="K388" s="2" t="str">
        <f t="shared" si="29"/>
        <v xml:space="preserve"> </v>
      </c>
      <c r="L388" s="2" t="str">
        <f t="shared" si="26"/>
        <v xml:space="preserve"> </v>
      </c>
      <c r="M388" s="2" t="str">
        <f t="shared" si="27"/>
        <v xml:space="preserve"> </v>
      </c>
    </row>
    <row r="389" spans="1:13" x14ac:dyDescent="0.25">
      <c r="A389" s="42" t="str">
        <f t="shared" si="25"/>
        <v xml:space="preserve"> </v>
      </c>
      <c r="D389" s="41"/>
      <c r="E389" s="41"/>
      <c r="J389" s="17">
        <f t="shared" si="28"/>
        <v>0</v>
      </c>
      <c r="K389" s="2" t="str">
        <f t="shared" si="29"/>
        <v xml:space="preserve"> </v>
      </c>
      <c r="L389" s="2" t="str">
        <f t="shared" si="26"/>
        <v xml:space="preserve"> </v>
      </c>
      <c r="M389" s="2" t="str">
        <f t="shared" si="27"/>
        <v xml:space="preserve"> </v>
      </c>
    </row>
    <row r="390" spans="1:13" x14ac:dyDescent="0.25">
      <c r="A390" s="42" t="str">
        <f t="shared" si="25"/>
        <v xml:space="preserve"> </v>
      </c>
      <c r="D390" s="41"/>
      <c r="E390" s="41"/>
      <c r="J390" s="17">
        <f t="shared" si="28"/>
        <v>0</v>
      </c>
      <c r="K390" s="2" t="str">
        <f t="shared" si="29"/>
        <v xml:space="preserve"> </v>
      </c>
      <c r="L390" s="2" t="str">
        <f t="shared" si="26"/>
        <v xml:space="preserve"> </v>
      </c>
      <c r="M390" s="2" t="str">
        <f t="shared" si="27"/>
        <v xml:space="preserve"> </v>
      </c>
    </row>
    <row r="391" spans="1:13" x14ac:dyDescent="0.25">
      <c r="A391" s="42" t="str">
        <f t="shared" si="25"/>
        <v xml:space="preserve"> </v>
      </c>
      <c r="D391" s="41"/>
      <c r="E391" s="41"/>
      <c r="J391" s="17">
        <f t="shared" si="28"/>
        <v>0</v>
      </c>
      <c r="K391" s="2" t="str">
        <f t="shared" si="29"/>
        <v xml:space="preserve"> </v>
      </c>
      <c r="L391" s="2" t="str">
        <f t="shared" si="26"/>
        <v xml:space="preserve"> </v>
      </c>
      <c r="M391" s="2" t="str">
        <f t="shared" si="27"/>
        <v xml:space="preserve"> </v>
      </c>
    </row>
    <row r="392" spans="1:13" x14ac:dyDescent="0.25">
      <c r="A392" s="42" t="str">
        <f t="shared" si="25"/>
        <v xml:space="preserve"> </v>
      </c>
      <c r="D392" s="41"/>
      <c r="E392" s="41"/>
      <c r="J392" s="17">
        <f t="shared" si="28"/>
        <v>0</v>
      </c>
      <c r="K392" s="2" t="str">
        <f t="shared" si="29"/>
        <v xml:space="preserve"> </v>
      </c>
      <c r="L392" s="2" t="str">
        <f t="shared" si="26"/>
        <v xml:space="preserve"> </v>
      </c>
      <c r="M392" s="2" t="str">
        <f t="shared" si="27"/>
        <v xml:space="preserve"> </v>
      </c>
    </row>
    <row r="393" spans="1:13" x14ac:dyDescent="0.25">
      <c r="A393" s="42" t="str">
        <f t="shared" si="25"/>
        <v xml:space="preserve"> </v>
      </c>
      <c r="D393" s="41"/>
      <c r="E393" s="41"/>
      <c r="J393" s="17">
        <f t="shared" si="28"/>
        <v>0</v>
      </c>
      <c r="K393" s="2" t="str">
        <f t="shared" si="29"/>
        <v xml:space="preserve"> </v>
      </c>
      <c r="L393" s="2" t="str">
        <f t="shared" si="26"/>
        <v xml:space="preserve"> </v>
      </c>
      <c r="M393" s="2" t="str">
        <f t="shared" si="27"/>
        <v xml:space="preserve"> </v>
      </c>
    </row>
    <row r="394" spans="1:13" x14ac:dyDescent="0.25">
      <c r="A394" s="42" t="str">
        <f t="shared" si="25"/>
        <v xml:space="preserve"> </v>
      </c>
      <c r="D394" s="41"/>
      <c r="E394" s="41"/>
      <c r="J394" s="17">
        <f t="shared" si="28"/>
        <v>0</v>
      </c>
      <c r="K394" s="2" t="str">
        <f t="shared" si="29"/>
        <v xml:space="preserve"> </v>
      </c>
      <c r="L394" s="2" t="str">
        <f t="shared" si="26"/>
        <v xml:space="preserve"> </v>
      </c>
      <c r="M394" s="2" t="str">
        <f t="shared" si="27"/>
        <v xml:space="preserve"> </v>
      </c>
    </row>
    <row r="395" spans="1:13" x14ac:dyDescent="0.25">
      <c r="A395" s="42" t="str">
        <f t="shared" si="25"/>
        <v xml:space="preserve"> </v>
      </c>
      <c r="D395" s="41"/>
      <c r="E395" s="41"/>
      <c r="J395" s="17">
        <f t="shared" si="28"/>
        <v>0</v>
      </c>
      <c r="K395" s="2" t="str">
        <f t="shared" si="29"/>
        <v xml:space="preserve"> </v>
      </c>
      <c r="L395" s="2" t="str">
        <f t="shared" si="26"/>
        <v xml:space="preserve"> </v>
      </c>
      <c r="M395" s="2" t="str">
        <f t="shared" si="27"/>
        <v xml:space="preserve"> </v>
      </c>
    </row>
    <row r="396" spans="1:13" x14ac:dyDescent="0.25">
      <c r="A396" s="42" t="str">
        <f t="shared" si="25"/>
        <v xml:space="preserve"> </v>
      </c>
      <c r="D396" s="41"/>
      <c r="E396" s="41"/>
      <c r="J396" s="17">
        <f t="shared" si="28"/>
        <v>0</v>
      </c>
      <c r="K396" s="2" t="str">
        <f t="shared" si="29"/>
        <v xml:space="preserve"> </v>
      </c>
      <c r="L396" s="2" t="str">
        <f t="shared" si="26"/>
        <v xml:space="preserve"> </v>
      </c>
      <c r="M396" s="2" t="str">
        <f t="shared" si="27"/>
        <v xml:space="preserve"> </v>
      </c>
    </row>
    <row r="397" spans="1:13" x14ac:dyDescent="0.25">
      <c r="A397" s="42" t="str">
        <f t="shared" si="25"/>
        <v xml:space="preserve"> </v>
      </c>
      <c r="D397" s="41"/>
      <c r="E397" s="41"/>
      <c r="J397" s="17">
        <f t="shared" si="28"/>
        <v>0</v>
      </c>
      <c r="K397" s="2" t="str">
        <f t="shared" si="29"/>
        <v xml:space="preserve"> </v>
      </c>
      <c r="L397" s="2" t="str">
        <f t="shared" si="26"/>
        <v xml:space="preserve"> </v>
      </c>
      <c r="M397" s="2" t="str">
        <f t="shared" si="27"/>
        <v xml:space="preserve"> </v>
      </c>
    </row>
    <row r="398" spans="1:13" x14ac:dyDescent="0.25">
      <c r="A398" s="42" t="str">
        <f t="shared" si="25"/>
        <v xml:space="preserve"> </v>
      </c>
      <c r="D398" s="41"/>
      <c r="E398" s="41"/>
      <c r="J398" s="17">
        <f t="shared" si="28"/>
        <v>0</v>
      </c>
      <c r="K398" s="2" t="str">
        <f t="shared" si="29"/>
        <v xml:space="preserve"> </v>
      </c>
      <c r="L398" s="2" t="str">
        <f t="shared" si="26"/>
        <v xml:space="preserve"> </v>
      </c>
      <c r="M398" s="2" t="str">
        <f t="shared" si="27"/>
        <v xml:space="preserve"> </v>
      </c>
    </row>
    <row r="399" spans="1:13" x14ac:dyDescent="0.25">
      <c r="A399" s="42" t="str">
        <f t="shared" ref="A399:A462" si="30">IF(COUNTIF(K399:M399,"ERROR")&gt;0,"ERROR"," ")</f>
        <v xml:space="preserve"> </v>
      </c>
      <c r="D399" s="41"/>
      <c r="E399" s="41"/>
      <c r="J399" s="17">
        <f t="shared" si="28"/>
        <v>0</v>
      </c>
      <c r="K399" s="2" t="str">
        <f t="shared" si="29"/>
        <v xml:space="preserve"> </v>
      </c>
      <c r="L399" s="2" t="str">
        <f t="shared" ref="L399:L462" si="31">IF(D399=0," ",IF(COUNTIF(ProfitLoss4,D399)&gt;0," ","ERROR"))</f>
        <v xml:space="preserve"> </v>
      </c>
      <c r="M399" s="2" t="str">
        <f t="shared" ref="M399:M462" si="32">IF(E399=0," ",IF(COUNTIF(BalanceSheet4,E399)&gt;0," ","ERROR"))</f>
        <v xml:space="preserve"> </v>
      </c>
    </row>
    <row r="400" spans="1:13" x14ac:dyDescent="0.25">
      <c r="A400" s="42" t="str">
        <f t="shared" si="30"/>
        <v xml:space="preserve"> </v>
      </c>
      <c r="D400" s="41"/>
      <c r="E400" s="41"/>
      <c r="J400" s="17">
        <f t="shared" ref="J400:J463" si="33">F400-G400+H400-I400</f>
        <v>0</v>
      </c>
      <c r="K400" s="2" t="str">
        <f t="shared" ref="K400:K463" si="34">IF(COUNTA(D400:E400)=2,"ERROR"," ")</f>
        <v xml:space="preserve"> </v>
      </c>
      <c r="L400" s="2" t="str">
        <f t="shared" si="31"/>
        <v xml:space="preserve"> </v>
      </c>
      <c r="M400" s="2" t="str">
        <f t="shared" si="32"/>
        <v xml:space="preserve"> </v>
      </c>
    </row>
    <row r="401" spans="1:13" x14ac:dyDescent="0.25">
      <c r="A401" s="42" t="str">
        <f t="shared" si="30"/>
        <v xml:space="preserve"> </v>
      </c>
      <c r="D401" s="41"/>
      <c r="E401" s="41"/>
      <c r="J401" s="17">
        <f t="shared" si="33"/>
        <v>0</v>
      </c>
      <c r="K401" s="2" t="str">
        <f t="shared" si="34"/>
        <v xml:space="preserve"> </v>
      </c>
      <c r="L401" s="2" t="str">
        <f t="shared" si="31"/>
        <v xml:space="preserve"> </v>
      </c>
      <c r="M401" s="2" t="str">
        <f t="shared" si="32"/>
        <v xml:space="preserve"> </v>
      </c>
    </row>
    <row r="402" spans="1:13" x14ac:dyDescent="0.25">
      <c r="A402" s="42" t="str">
        <f t="shared" si="30"/>
        <v xml:space="preserve"> </v>
      </c>
      <c r="D402" s="41"/>
      <c r="E402" s="41"/>
      <c r="J402" s="17">
        <f t="shared" si="33"/>
        <v>0</v>
      </c>
      <c r="K402" s="2" t="str">
        <f t="shared" si="34"/>
        <v xml:space="preserve"> </v>
      </c>
      <c r="L402" s="2" t="str">
        <f t="shared" si="31"/>
        <v xml:space="preserve"> </v>
      </c>
      <c r="M402" s="2" t="str">
        <f t="shared" si="32"/>
        <v xml:space="preserve"> </v>
      </c>
    </row>
    <row r="403" spans="1:13" x14ac:dyDescent="0.25">
      <c r="A403" s="42" t="str">
        <f t="shared" si="30"/>
        <v xml:space="preserve"> </v>
      </c>
      <c r="D403" s="41"/>
      <c r="E403" s="41"/>
      <c r="J403" s="17">
        <f t="shared" si="33"/>
        <v>0</v>
      </c>
      <c r="K403" s="2" t="str">
        <f t="shared" si="34"/>
        <v xml:space="preserve"> </v>
      </c>
      <c r="L403" s="2" t="str">
        <f t="shared" si="31"/>
        <v xml:space="preserve"> </v>
      </c>
      <c r="M403" s="2" t="str">
        <f t="shared" si="32"/>
        <v xml:space="preserve"> </v>
      </c>
    </row>
    <row r="404" spans="1:13" x14ac:dyDescent="0.25">
      <c r="A404" s="42" t="str">
        <f t="shared" si="30"/>
        <v xml:space="preserve"> </v>
      </c>
      <c r="D404" s="41"/>
      <c r="E404" s="41"/>
      <c r="J404" s="17">
        <f t="shared" si="33"/>
        <v>0</v>
      </c>
      <c r="K404" s="2" t="str">
        <f t="shared" si="34"/>
        <v xml:space="preserve"> </v>
      </c>
      <c r="L404" s="2" t="str">
        <f t="shared" si="31"/>
        <v xml:space="preserve"> </v>
      </c>
      <c r="M404" s="2" t="str">
        <f t="shared" si="32"/>
        <v xml:space="preserve"> </v>
      </c>
    </row>
    <row r="405" spans="1:13" x14ac:dyDescent="0.25">
      <c r="A405" s="42" t="str">
        <f t="shared" si="30"/>
        <v xml:space="preserve"> </v>
      </c>
      <c r="D405" s="41"/>
      <c r="E405" s="41"/>
      <c r="J405" s="17">
        <f t="shared" si="33"/>
        <v>0</v>
      </c>
      <c r="K405" s="2" t="str">
        <f t="shared" si="34"/>
        <v xml:space="preserve"> </v>
      </c>
      <c r="L405" s="2" t="str">
        <f t="shared" si="31"/>
        <v xml:space="preserve"> </v>
      </c>
      <c r="M405" s="2" t="str">
        <f t="shared" si="32"/>
        <v xml:space="preserve"> </v>
      </c>
    </row>
    <row r="406" spans="1:13" x14ac:dyDescent="0.25">
      <c r="A406" s="42" t="str">
        <f t="shared" si="30"/>
        <v xml:space="preserve"> </v>
      </c>
      <c r="D406" s="41"/>
      <c r="E406" s="41"/>
      <c r="J406" s="17">
        <f t="shared" si="33"/>
        <v>0</v>
      </c>
      <c r="K406" s="2" t="str">
        <f t="shared" si="34"/>
        <v xml:space="preserve"> </v>
      </c>
      <c r="L406" s="2" t="str">
        <f t="shared" si="31"/>
        <v xml:space="preserve"> </v>
      </c>
      <c r="M406" s="2" t="str">
        <f t="shared" si="32"/>
        <v xml:space="preserve"> </v>
      </c>
    </row>
    <row r="407" spans="1:13" x14ac:dyDescent="0.25">
      <c r="A407" s="42" t="str">
        <f t="shared" si="30"/>
        <v xml:space="preserve"> </v>
      </c>
      <c r="D407" s="41"/>
      <c r="E407" s="41"/>
      <c r="J407" s="17">
        <f t="shared" si="33"/>
        <v>0</v>
      </c>
      <c r="K407" s="2" t="str">
        <f t="shared" si="34"/>
        <v xml:space="preserve"> </v>
      </c>
      <c r="L407" s="2" t="str">
        <f t="shared" si="31"/>
        <v xml:space="preserve"> </v>
      </c>
      <c r="M407" s="2" t="str">
        <f t="shared" si="32"/>
        <v xml:space="preserve"> </v>
      </c>
    </row>
    <row r="408" spans="1:13" x14ac:dyDescent="0.25">
      <c r="A408" s="42" t="str">
        <f t="shared" si="30"/>
        <v xml:space="preserve"> </v>
      </c>
      <c r="D408" s="41"/>
      <c r="E408" s="41"/>
      <c r="J408" s="17">
        <f t="shared" si="33"/>
        <v>0</v>
      </c>
      <c r="K408" s="2" t="str">
        <f t="shared" si="34"/>
        <v xml:space="preserve"> </v>
      </c>
      <c r="L408" s="2" t="str">
        <f t="shared" si="31"/>
        <v xml:space="preserve"> </v>
      </c>
      <c r="M408" s="2" t="str">
        <f t="shared" si="32"/>
        <v xml:space="preserve"> </v>
      </c>
    </row>
    <row r="409" spans="1:13" x14ac:dyDescent="0.25">
      <c r="A409" s="42" t="str">
        <f t="shared" si="30"/>
        <v xml:space="preserve"> </v>
      </c>
      <c r="D409" s="41"/>
      <c r="E409" s="41"/>
      <c r="J409" s="17">
        <f t="shared" si="33"/>
        <v>0</v>
      </c>
      <c r="K409" s="2" t="str">
        <f t="shared" si="34"/>
        <v xml:space="preserve"> </v>
      </c>
      <c r="L409" s="2" t="str">
        <f t="shared" si="31"/>
        <v xml:space="preserve"> </v>
      </c>
      <c r="M409" s="2" t="str">
        <f t="shared" si="32"/>
        <v xml:space="preserve"> </v>
      </c>
    </row>
    <row r="410" spans="1:13" x14ac:dyDescent="0.25">
      <c r="A410" s="42" t="str">
        <f t="shared" si="30"/>
        <v xml:space="preserve"> </v>
      </c>
      <c r="D410" s="41"/>
      <c r="E410" s="41"/>
      <c r="J410" s="17">
        <f t="shared" si="33"/>
        <v>0</v>
      </c>
      <c r="K410" s="2" t="str">
        <f t="shared" si="34"/>
        <v xml:space="preserve"> </v>
      </c>
      <c r="L410" s="2" t="str">
        <f t="shared" si="31"/>
        <v xml:space="preserve"> </v>
      </c>
      <c r="M410" s="2" t="str">
        <f t="shared" si="32"/>
        <v xml:space="preserve"> </v>
      </c>
    </row>
    <row r="411" spans="1:13" x14ac:dyDescent="0.25">
      <c r="A411" s="42" t="str">
        <f t="shared" si="30"/>
        <v xml:space="preserve"> </v>
      </c>
      <c r="D411" s="41"/>
      <c r="E411" s="41"/>
      <c r="J411" s="17">
        <f t="shared" si="33"/>
        <v>0</v>
      </c>
      <c r="K411" s="2" t="str">
        <f t="shared" si="34"/>
        <v xml:space="preserve"> </v>
      </c>
      <c r="L411" s="2" t="str">
        <f t="shared" si="31"/>
        <v xml:space="preserve"> </v>
      </c>
      <c r="M411" s="2" t="str">
        <f t="shared" si="32"/>
        <v xml:space="preserve"> </v>
      </c>
    </row>
    <row r="412" spans="1:13" x14ac:dyDescent="0.25">
      <c r="A412" s="42" t="str">
        <f t="shared" si="30"/>
        <v xml:space="preserve"> </v>
      </c>
      <c r="D412" s="41"/>
      <c r="E412" s="41"/>
      <c r="J412" s="17">
        <f t="shared" si="33"/>
        <v>0</v>
      </c>
      <c r="K412" s="2" t="str">
        <f t="shared" si="34"/>
        <v xml:space="preserve"> </v>
      </c>
      <c r="L412" s="2" t="str">
        <f t="shared" si="31"/>
        <v xml:space="preserve"> </v>
      </c>
      <c r="M412" s="2" t="str">
        <f t="shared" si="32"/>
        <v xml:space="preserve"> </v>
      </c>
    </row>
    <row r="413" spans="1:13" x14ac:dyDescent="0.25">
      <c r="A413" s="42" t="str">
        <f t="shared" si="30"/>
        <v xml:space="preserve"> </v>
      </c>
      <c r="D413" s="41"/>
      <c r="E413" s="41"/>
      <c r="J413" s="17">
        <f t="shared" si="33"/>
        <v>0</v>
      </c>
      <c r="K413" s="2" t="str">
        <f t="shared" si="34"/>
        <v xml:space="preserve"> </v>
      </c>
      <c r="L413" s="2" t="str">
        <f t="shared" si="31"/>
        <v xml:space="preserve"> </v>
      </c>
      <c r="M413" s="2" t="str">
        <f t="shared" si="32"/>
        <v xml:space="preserve"> </v>
      </c>
    </row>
    <row r="414" spans="1:13" x14ac:dyDescent="0.25">
      <c r="A414" s="42" t="str">
        <f t="shared" si="30"/>
        <v xml:space="preserve"> </v>
      </c>
      <c r="D414" s="41"/>
      <c r="E414" s="41"/>
      <c r="J414" s="17">
        <f t="shared" si="33"/>
        <v>0</v>
      </c>
      <c r="K414" s="2" t="str">
        <f t="shared" si="34"/>
        <v xml:space="preserve"> </v>
      </c>
      <c r="L414" s="2" t="str">
        <f t="shared" si="31"/>
        <v xml:space="preserve"> </v>
      </c>
      <c r="M414" s="2" t="str">
        <f t="shared" si="32"/>
        <v xml:space="preserve"> </v>
      </c>
    </row>
    <row r="415" spans="1:13" x14ac:dyDescent="0.25">
      <c r="A415" s="42" t="str">
        <f t="shared" si="30"/>
        <v xml:space="preserve"> </v>
      </c>
      <c r="D415" s="41"/>
      <c r="E415" s="41"/>
      <c r="J415" s="17">
        <f t="shared" si="33"/>
        <v>0</v>
      </c>
      <c r="K415" s="2" t="str">
        <f t="shared" si="34"/>
        <v xml:space="preserve"> </v>
      </c>
      <c r="L415" s="2" t="str">
        <f t="shared" si="31"/>
        <v xml:space="preserve"> </v>
      </c>
      <c r="M415" s="2" t="str">
        <f t="shared" si="32"/>
        <v xml:space="preserve"> </v>
      </c>
    </row>
    <row r="416" spans="1:13" x14ac:dyDescent="0.25">
      <c r="A416" s="42" t="str">
        <f t="shared" si="30"/>
        <v xml:space="preserve"> </v>
      </c>
      <c r="D416" s="41"/>
      <c r="E416" s="41"/>
      <c r="J416" s="17">
        <f t="shared" si="33"/>
        <v>0</v>
      </c>
      <c r="K416" s="2" t="str">
        <f t="shared" si="34"/>
        <v xml:space="preserve"> </v>
      </c>
      <c r="L416" s="2" t="str">
        <f t="shared" si="31"/>
        <v xml:space="preserve"> </v>
      </c>
      <c r="M416" s="2" t="str">
        <f t="shared" si="32"/>
        <v xml:space="preserve"> </v>
      </c>
    </row>
    <row r="417" spans="1:13" x14ac:dyDescent="0.25">
      <c r="A417" s="42" t="str">
        <f t="shared" si="30"/>
        <v xml:space="preserve"> </v>
      </c>
      <c r="D417" s="41"/>
      <c r="E417" s="41"/>
      <c r="J417" s="17">
        <f t="shared" si="33"/>
        <v>0</v>
      </c>
      <c r="K417" s="2" t="str">
        <f t="shared" si="34"/>
        <v xml:space="preserve"> </v>
      </c>
      <c r="L417" s="2" t="str">
        <f t="shared" si="31"/>
        <v xml:space="preserve"> </v>
      </c>
      <c r="M417" s="2" t="str">
        <f t="shared" si="32"/>
        <v xml:space="preserve"> </v>
      </c>
    </row>
    <row r="418" spans="1:13" x14ac:dyDescent="0.25">
      <c r="A418" s="42" t="str">
        <f t="shared" si="30"/>
        <v xml:space="preserve"> </v>
      </c>
      <c r="D418" s="41"/>
      <c r="E418" s="41"/>
      <c r="J418" s="17">
        <f t="shared" si="33"/>
        <v>0</v>
      </c>
      <c r="K418" s="2" t="str">
        <f t="shared" si="34"/>
        <v xml:space="preserve"> </v>
      </c>
      <c r="L418" s="2" t="str">
        <f t="shared" si="31"/>
        <v xml:space="preserve"> </v>
      </c>
      <c r="M418" s="2" t="str">
        <f t="shared" si="32"/>
        <v xml:space="preserve"> </v>
      </c>
    </row>
    <row r="419" spans="1:13" x14ac:dyDescent="0.25">
      <c r="A419" s="42" t="str">
        <f t="shared" si="30"/>
        <v xml:space="preserve"> </v>
      </c>
      <c r="D419" s="41"/>
      <c r="E419" s="41"/>
      <c r="J419" s="17">
        <f t="shared" si="33"/>
        <v>0</v>
      </c>
      <c r="K419" s="2" t="str">
        <f t="shared" si="34"/>
        <v xml:space="preserve"> </v>
      </c>
      <c r="L419" s="2" t="str">
        <f t="shared" si="31"/>
        <v xml:space="preserve"> </v>
      </c>
      <c r="M419" s="2" t="str">
        <f t="shared" si="32"/>
        <v xml:space="preserve"> </v>
      </c>
    </row>
    <row r="420" spans="1:13" x14ac:dyDescent="0.25">
      <c r="A420" s="42" t="str">
        <f t="shared" si="30"/>
        <v xml:space="preserve"> </v>
      </c>
      <c r="D420" s="41"/>
      <c r="E420" s="41"/>
      <c r="J420" s="17">
        <f t="shared" si="33"/>
        <v>0</v>
      </c>
      <c r="K420" s="2" t="str">
        <f t="shared" si="34"/>
        <v xml:space="preserve"> </v>
      </c>
      <c r="L420" s="2" t="str">
        <f t="shared" si="31"/>
        <v xml:space="preserve"> </v>
      </c>
      <c r="M420" s="2" t="str">
        <f t="shared" si="32"/>
        <v xml:space="preserve"> </v>
      </c>
    </row>
    <row r="421" spans="1:13" x14ac:dyDescent="0.25">
      <c r="A421" s="42" t="str">
        <f t="shared" si="30"/>
        <v xml:space="preserve"> </v>
      </c>
      <c r="D421" s="41"/>
      <c r="E421" s="41"/>
      <c r="J421" s="17">
        <f t="shared" si="33"/>
        <v>0</v>
      </c>
      <c r="K421" s="2" t="str">
        <f t="shared" si="34"/>
        <v xml:space="preserve"> </v>
      </c>
      <c r="L421" s="2" t="str">
        <f t="shared" si="31"/>
        <v xml:space="preserve"> </v>
      </c>
      <c r="M421" s="2" t="str">
        <f t="shared" si="32"/>
        <v xml:space="preserve"> </v>
      </c>
    </row>
    <row r="422" spans="1:13" x14ac:dyDescent="0.25">
      <c r="A422" s="42" t="str">
        <f t="shared" si="30"/>
        <v xml:space="preserve"> </v>
      </c>
      <c r="D422" s="41"/>
      <c r="E422" s="41"/>
      <c r="J422" s="17">
        <f t="shared" si="33"/>
        <v>0</v>
      </c>
      <c r="K422" s="2" t="str">
        <f t="shared" si="34"/>
        <v xml:space="preserve"> </v>
      </c>
      <c r="L422" s="2" t="str">
        <f t="shared" si="31"/>
        <v xml:space="preserve"> </v>
      </c>
      <c r="M422" s="2" t="str">
        <f t="shared" si="32"/>
        <v xml:space="preserve"> </v>
      </c>
    </row>
    <row r="423" spans="1:13" x14ac:dyDescent="0.25">
      <c r="A423" s="42" t="str">
        <f t="shared" si="30"/>
        <v xml:space="preserve"> </v>
      </c>
      <c r="D423" s="41"/>
      <c r="E423" s="41"/>
      <c r="J423" s="17">
        <f t="shared" si="33"/>
        <v>0</v>
      </c>
      <c r="K423" s="2" t="str">
        <f t="shared" si="34"/>
        <v xml:space="preserve"> </v>
      </c>
      <c r="L423" s="2" t="str">
        <f t="shared" si="31"/>
        <v xml:space="preserve"> </v>
      </c>
      <c r="M423" s="2" t="str">
        <f t="shared" si="32"/>
        <v xml:space="preserve"> </v>
      </c>
    </row>
    <row r="424" spans="1:13" x14ac:dyDescent="0.25">
      <c r="A424" s="42" t="str">
        <f t="shared" si="30"/>
        <v xml:space="preserve"> </v>
      </c>
      <c r="D424" s="41"/>
      <c r="E424" s="41"/>
      <c r="J424" s="17">
        <f t="shared" si="33"/>
        <v>0</v>
      </c>
      <c r="K424" s="2" t="str">
        <f t="shared" si="34"/>
        <v xml:space="preserve"> </v>
      </c>
      <c r="L424" s="2" t="str">
        <f t="shared" si="31"/>
        <v xml:space="preserve"> </v>
      </c>
      <c r="M424" s="2" t="str">
        <f t="shared" si="32"/>
        <v xml:space="preserve"> </v>
      </c>
    </row>
    <row r="425" spans="1:13" x14ac:dyDescent="0.25">
      <c r="A425" s="42" t="str">
        <f t="shared" si="30"/>
        <v xml:space="preserve"> </v>
      </c>
      <c r="D425" s="41"/>
      <c r="E425" s="41"/>
      <c r="J425" s="17">
        <f t="shared" si="33"/>
        <v>0</v>
      </c>
      <c r="K425" s="2" t="str">
        <f t="shared" si="34"/>
        <v xml:space="preserve"> </v>
      </c>
      <c r="L425" s="2" t="str">
        <f t="shared" si="31"/>
        <v xml:space="preserve"> </v>
      </c>
      <c r="M425" s="2" t="str">
        <f t="shared" si="32"/>
        <v xml:space="preserve"> </v>
      </c>
    </row>
    <row r="426" spans="1:13" x14ac:dyDescent="0.25">
      <c r="A426" s="42" t="str">
        <f t="shared" si="30"/>
        <v xml:space="preserve"> </v>
      </c>
      <c r="D426" s="41"/>
      <c r="E426" s="41"/>
      <c r="J426" s="17">
        <f t="shared" si="33"/>
        <v>0</v>
      </c>
      <c r="K426" s="2" t="str">
        <f t="shared" si="34"/>
        <v xml:space="preserve"> </v>
      </c>
      <c r="L426" s="2" t="str">
        <f t="shared" si="31"/>
        <v xml:space="preserve"> </v>
      </c>
      <c r="M426" s="2" t="str">
        <f t="shared" si="32"/>
        <v xml:space="preserve"> </v>
      </c>
    </row>
    <row r="427" spans="1:13" x14ac:dyDescent="0.25">
      <c r="A427" s="42" t="str">
        <f t="shared" si="30"/>
        <v xml:space="preserve"> </v>
      </c>
      <c r="D427" s="41"/>
      <c r="E427" s="41"/>
      <c r="J427" s="17">
        <f t="shared" si="33"/>
        <v>0</v>
      </c>
      <c r="K427" s="2" t="str">
        <f t="shared" si="34"/>
        <v xml:space="preserve"> </v>
      </c>
      <c r="L427" s="2" t="str">
        <f t="shared" si="31"/>
        <v xml:space="preserve"> </v>
      </c>
      <c r="M427" s="2" t="str">
        <f t="shared" si="32"/>
        <v xml:space="preserve"> </v>
      </c>
    </row>
    <row r="428" spans="1:13" x14ac:dyDescent="0.25">
      <c r="A428" s="42" t="str">
        <f t="shared" si="30"/>
        <v xml:space="preserve"> </v>
      </c>
      <c r="D428" s="41"/>
      <c r="E428" s="41"/>
      <c r="J428" s="17">
        <f t="shared" si="33"/>
        <v>0</v>
      </c>
      <c r="K428" s="2" t="str">
        <f t="shared" si="34"/>
        <v xml:space="preserve"> </v>
      </c>
      <c r="L428" s="2" t="str">
        <f t="shared" si="31"/>
        <v xml:space="preserve"> </v>
      </c>
      <c r="M428" s="2" t="str">
        <f t="shared" si="32"/>
        <v xml:space="preserve"> </v>
      </c>
    </row>
    <row r="429" spans="1:13" x14ac:dyDescent="0.25">
      <c r="A429" s="42" t="str">
        <f t="shared" si="30"/>
        <v xml:space="preserve"> </v>
      </c>
      <c r="D429" s="41"/>
      <c r="E429" s="41"/>
      <c r="J429" s="17">
        <f t="shared" si="33"/>
        <v>0</v>
      </c>
      <c r="K429" s="2" t="str">
        <f t="shared" si="34"/>
        <v xml:space="preserve"> </v>
      </c>
      <c r="L429" s="2" t="str">
        <f t="shared" si="31"/>
        <v xml:space="preserve"> </v>
      </c>
      <c r="M429" s="2" t="str">
        <f t="shared" si="32"/>
        <v xml:space="preserve"> </v>
      </c>
    </row>
    <row r="430" spans="1:13" x14ac:dyDescent="0.25">
      <c r="A430" s="42" t="str">
        <f t="shared" si="30"/>
        <v xml:space="preserve"> </v>
      </c>
      <c r="D430" s="41"/>
      <c r="E430" s="41"/>
      <c r="J430" s="17">
        <f t="shared" si="33"/>
        <v>0</v>
      </c>
      <c r="K430" s="2" t="str">
        <f t="shared" si="34"/>
        <v xml:space="preserve"> </v>
      </c>
      <c r="L430" s="2" t="str">
        <f t="shared" si="31"/>
        <v xml:space="preserve"> </v>
      </c>
      <c r="M430" s="2" t="str">
        <f t="shared" si="32"/>
        <v xml:space="preserve"> </v>
      </c>
    </row>
    <row r="431" spans="1:13" x14ac:dyDescent="0.25">
      <c r="A431" s="42" t="str">
        <f t="shared" si="30"/>
        <v xml:space="preserve"> </v>
      </c>
      <c r="D431" s="41"/>
      <c r="E431" s="41"/>
      <c r="J431" s="17">
        <f t="shared" si="33"/>
        <v>0</v>
      </c>
      <c r="K431" s="2" t="str">
        <f t="shared" si="34"/>
        <v xml:space="preserve"> </v>
      </c>
      <c r="L431" s="2" t="str">
        <f t="shared" si="31"/>
        <v xml:space="preserve"> </v>
      </c>
      <c r="M431" s="2" t="str">
        <f t="shared" si="32"/>
        <v xml:space="preserve"> </v>
      </c>
    </row>
    <row r="432" spans="1:13" x14ac:dyDescent="0.25">
      <c r="A432" s="42" t="str">
        <f t="shared" si="30"/>
        <v xml:space="preserve"> </v>
      </c>
      <c r="D432" s="41"/>
      <c r="E432" s="41"/>
      <c r="J432" s="17">
        <f t="shared" si="33"/>
        <v>0</v>
      </c>
      <c r="K432" s="2" t="str">
        <f t="shared" si="34"/>
        <v xml:space="preserve"> </v>
      </c>
      <c r="L432" s="2" t="str">
        <f t="shared" si="31"/>
        <v xml:space="preserve"> </v>
      </c>
      <c r="M432" s="2" t="str">
        <f t="shared" si="32"/>
        <v xml:space="preserve"> </v>
      </c>
    </row>
    <row r="433" spans="1:13" x14ac:dyDescent="0.25">
      <c r="A433" s="42" t="str">
        <f t="shared" si="30"/>
        <v xml:space="preserve"> </v>
      </c>
      <c r="D433" s="41"/>
      <c r="E433" s="41"/>
      <c r="J433" s="17">
        <f t="shared" si="33"/>
        <v>0</v>
      </c>
      <c r="K433" s="2" t="str">
        <f t="shared" si="34"/>
        <v xml:space="preserve"> </v>
      </c>
      <c r="L433" s="2" t="str">
        <f t="shared" si="31"/>
        <v xml:space="preserve"> </v>
      </c>
      <c r="M433" s="2" t="str">
        <f t="shared" si="32"/>
        <v xml:space="preserve"> </v>
      </c>
    </row>
    <row r="434" spans="1:13" x14ac:dyDescent="0.25">
      <c r="A434" s="42" t="str">
        <f t="shared" si="30"/>
        <v xml:space="preserve"> </v>
      </c>
      <c r="D434" s="41"/>
      <c r="E434" s="41"/>
      <c r="J434" s="17">
        <f t="shared" si="33"/>
        <v>0</v>
      </c>
      <c r="K434" s="2" t="str">
        <f t="shared" si="34"/>
        <v xml:space="preserve"> </v>
      </c>
      <c r="L434" s="2" t="str">
        <f t="shared" si="31"/>
        <v xml:space="preserve"> </v>
      </c>
      <c r="M434" s="2" t="str">
        <f t="shared" si="32"/>
        <v xml:space="preserve"> </v>
      </c>
    </row>
    <row r="435" spans="1:13" x14ac:dyDescent="0.25">
      <c r="A435" s="42" t="str">
        <f t="shared" si="30"/>
        <v xml:space="preserve"> </v>
      </c>
      <c r="D435" s="41"/>
      <c r="E435" s="41"/>
      <c r="J435" s="17">
        <f t="shared" si="33"/>
        <v>0</v>
      </c>
      <c r="K435" s="2" t="str">
        <f t="shared" si="34"/>
        <v xml:space="preserve"> </v>
      </c>
      <c r="L435" s="2" t="str">
        <f t="shared" si="31"/>
        <v xml:space="preserve"> </v>
      </c>
      <c r="M435" s="2" t="str">
        <f t="shared" si="32"/>
        <v xml:space="preserve"> </v>
      </c>
    </row>
    <row r="436" spans="1:13" x14ac:dyDescent="0.25">
      <c r="A436" s="42" t="str">
        <f t="shared" si="30"/>
        <v xml:space="preserve"> </v>
      </c>
      <c r="D436" s="41"/>
      <c r="E436" s="41"/>
      <c r="J436" s="17">
        <f t="shared" si="33"/>
        <v>0</v>
      </c>
      <c r="K436" s="2" t="str">
        <f t="shared" si="34"/>
        <v xml:space="preserve"> </v>
      </c>
      <c r="L436" s="2" t="str">
        <f t="shared" si="31"/>
        <v xml:space="preserve"> </v>
      </c>
      <c r="M436" s="2" t="str">
        <f t="shared" si="32"/>
        <v xml:space="preserve"> </v>
      </c>
    </row>
    <row r="437" spans="1:13" x14ac:dyDescent="0.25">
      <c r="A437" s="42" t="str">
        <f t="shared" si="30"/>
        <v xml:space="preserve"> </v>
      </c>
      <c r="D437" s="41"/>
      <c r="E437" s="41"/>
      <c r="J437" s="17">
        <f t="shared" si="33"/>
        <v>0</v>
      </c>
      <c r="K437" s="2" t="str">
        <f t="shared" si="34"/>
        <v xml:space="preserve"> </v>
      </c>
      <c r="L437" s="2" t="str">
        <f t="shared" si="31"/>
        <v xml:space="preserve"> </v>
      </c>
      <c r="M437" s="2" t="str">
        <f t="shared" si="32"/>
        <v xml:space="preserve"> </v>
      </c>
    </row>
    <row r="438" spans="1:13" x14ac:dyDescent="0.25">
      <c r="A438" s="42" t="str">
        <f t="shared" si="30"/>
        <v xml:space="preserve"> </v>
      </c>
      <c r="D438" s="41"/>
      <c r="E438" s="41"/>
      <c r="J438" s="17">
        <f t="shared" si="33"/>
        <v>0</v>
      </c>
      <c r="K438" s="2" t="str">
        <f t="shared" si="34"/>
        <v xml:space="preserve"> </v>
      </c>
      <c r="L438" s="2" t="str">
        <f t="shared" si="31"/>
        <v xml:space="preserve"> </v>
      </c>
      <c r="M438" s="2" t="str">
        <f t="shared" si="32"/>
        <v xml:space="preserve"> </v>
      </c>
    </row>
    <row r="439" spans="1:13" x14ac:dyDescent="0.25">
      <c r="A439" s="42" t="str">
        <f t="shared" si="30"/>
        <v xml:space="preserve"> </v>
      </c>
      <c r="D439" s="41"/>
      <c r="E439" s="41"/>
      <c r="J439" s="17">
        <f t="shared" si="33"/>
        <v>0</v>
      </c>
      <c r="K439" s="2" t="str">
        <f t="shared" si="34"/>
        <v xml:space="preserve"> </v>
      </c>
      <c r="L439" s="2" t="str">
        <f t="shared" si="31"/>
        <v xml:space="preserve"> </v>
      </c>
      <c r="M439" s="2" t="str">
        <f t="shared" si="32"/>
        <v xml:space="preserve"> </v>
      </c>
    </row>
    <row r="440" spans="1:13" x14ac:dyDescent="0.25">
      <c r="A440" s="42" t="str">
        <f t="shared" si="30"/>
        <v xml:space="preserve"> </v>
      </c>
      <c r="D440" s="41"/>
      <c r="E440" s="41"/>
      <c r="J440" s="17">
        <f t="shared" si="33"/>
        <v>0</v>
      </c>
      <c r="K440" s="2" t="str">
        <f t="shared" si="34"/>
        <v xml:space="preserve"> </v>
      </c>
      <c r="L440" s="2" t="str">
        <f t="shared" si="31"/>
        <v xml:space="preserve"> </v>
      </c>
      <c r="M440" s="2" t="str">
        <f t="shared" si="32"/>
        <v xml:space="preserve"> </v>
      </c>
    </row>
    <row r="441" spans="1:13" x14ac:dyDescent="0.25">
      <c r="A441" s="42" t="str">
        <f t="shared" si="30"/>
        <v xml:space="preserve"> </v>
      </c>
      <c r="D441" s="41"/>
      <c r="E441" s="41"/>
      <c r="J441" s="17">
        <f t="shared" si="33"/>
        <v>0</v>
      </c>
      <c r="K441" s="2" t="str">
        <f t="shared" si="34"/>
        <v xml:space="preserve"> </v>
      </c>
      <c r="L441" s="2" t="str">
        <f t="shared" si="31"/>
        <v xml:space="preserve"> </v>
      </c>
      <c r="M441" s="2" t="str">
        <f t="shared" si="32"/>
        <v xml:space="preserve"> </v>
      </c>
    </row>
    <row r="442" spans="1:13" x14ac:dyDescent="0.25">
      <c r="A442" s="42" t="str">
        <f t="shared" si="30"/>
        <v xml:space="preserve"> </v>
      </c>
      <c r="D442" s="41"/>
      <c r="E442" s="41"/>
      <c r="J442" s="17">
        <f t="shared" si="33"/>
        <v>0</v>
      </c>
      <c r="K442" s="2" t="str">
        <f t="shared" si="34"/>
        <v xml:space="preserve"> </v>
      </c>
      <c r="L442" s="2" t="str">
        <f t="shared" si="31"/>
        <v xml:space="preserve"> </v>
      </c>
      <c r="M442" s="2" t="str">
        <f t="shared" si="32"/>
        <v xml:space="preserve"> </v>
      </c>
    </row>
    <row r="443" spans="1:13" x14ac:dyDescent="0.25">
      <c r="A443" s="42" t="str">
        <f t="shared" si="30"/>
        <v xml:space="preserve"> </v>
      </c>
      <c r="D443" s="41"/>
      <c r="E443" s="41"/>
      <c r="J443" s="17">
        <f t="shared" si="33"/>
        <v>0</v>
      </c>
      <c r="K443" s="2" t="str">
        <f t="shared" si="34"/>
        <v xml:space="preserve"> </v>
      </c>
      <c r="L443" s="2" t="str">
        <f t="shared" si="31"/>
        <v xml:space="preserve"> </v>
      </c>
      <c r="M443" s="2" t="str">
        <f t="shared" si="32"/>
        <v xml:space="preserve"> </v>
      </c>
    </row>
    <row r="444" spans="1:13" x14ac:dyDescent="0.25">
      <c r="A444" s="42" t="str">
        <f t="shared" si="30"/>
        <v xml:space="preserve"> </v>
      </c>
      <c r="D444" s="41"/>
      <c r="E444" s="41"/>
      <c r="J444" s="17">
        <f t="shared" si="33"/>
        <v>0</v>
      </c>
      <c r="K444" s="2" t="str">
        <f t="shared" si="34"/>
        <v xml:space="preserve"> </v>
      </c>
      <c r="L444" s="2" t="str">
        <f t="shared" si="31"/>
        <v xml:space="preserve"> </v>
      </c>
      <c r="M444" s="2" t="str">
        <f t="shared" si="32"/>
        <v xml:space="preserve"> </v>
      </c>
    </row>
    <row r="445" spans="1:13" x14ac:dyDescent="0.25">
      <c r="A445" s="42" t="str">
        <f t="shared" si="30"/>
        <v xml:space="preserve"> </v>
      </c>
      <c r="D445" s="41"/>
      <c r="E445" s="41"/>
      <c r="J445" s="17">
        <f t="shared" si="33"/>
        <v>0</v>
      </c>
      <c r="K445" s="2" t="str">
        <f t="shared" si="34"/>
        <v xml:space="preserve"> </v>
      </c>
      <c r="L445" s="2" t="str">
        <f t="shared" si="31"/>
        <v xml:space="preserve"> </v>
      </c>
      <c r="M445" s="2" t="str">
        <f t="shared" si="32"/>
        <v xml:space="preserve"> </v>
      </c>
    </row>
    <row r="446" spans="1:13" x14ac:dyDescent="0.25">
      <c r="A446" s="42" t="str">
        <f t="shared" si="30"/>
        <v xml:space="preserve"> </v>
      </c>
      <c r="D446" s="41"/>
      <c r="E446" s="41"/>
      <c r="J446" s="17">
        <f t="shared" si="33"/>
        <v>0</v>
      </c>
      <c r="K446" s="2" t="str">
        <f t="shared" si="34"/>
        <v xml:space="preserve"> </v>
      </c>
      <c r="L446" s="2" t="str">
        <f t="shared" si="31"/>
        <v xml:space="preserve"> </v>
      </c>
      <c r="M446" s="2" t="str">
        <f t="shared" si="32"/>
        <v xml:space="preserve"> </v>
      </c>
    </row>
    <row r="447" spans="1:13" x14ac:dyDescent="0.25">
      <c r="A447" s="42" t="str">
        <f t="shared" si="30"/>
        <v xml:space="preserve"> </v>
      </c>
      <c r="D447" s="41"/>
      <c r="E447" s="41"/>
      <c r="J447" s="17">
        <f t="shared" si="33"/>
        <v>0</v>
      </c>
      <c r="K447" s="2" t="str">
        <f t="shared" si="34"/>
        <v xml:space="preserve"> </v>
      </c>
      <c r="L447" s="2" t="str">
        <f t="shared" si="31"/>
        <v xml:space="preserve"> </v>
      </c>
      <c r="M447" s="2" t="str">
        <f t="shared" si="32"/>
        <v xml:space="preserve"> </v>
      </c>
    </row>
    <row r="448" spans="1:13" x14ac:dyDescent="0.25">
      <c r="A448" s="42" t="str">
        <f t="shared" si="30"/>
        <v xml:space="preserve"> </v>
      </c>
      <c r="D448" s="41"/>
      <c r="E448" s="41"/>
      <c r="J448" s="17">
        <f t="shared" si="33"/>
        <v>0</v>
      </c>
      <c r="K448" s="2" t="str">
        <f t="shared" si="34"/>
        <v xml:space="preserve"> </v>
      </c>
      <c r="L448" s="2" t="str">
        <f t="shared" si="31"/>
        <v xml:space="preserve"> </v>
      </c>
      <c r="M448" s="2" t="str">
        <f t="shared" si="32"/>
        <v xml:space="preserve"> </v>
      </c>
    </row>
    <row r="449" spans="1:13" x14ac:dyDescent="0.25">
      <c r="A449" s="42" t="str">
        <f t="shared" si="30"/>
        <v xml:space="preserve"> </v>
      </c>
      <c r="D449" s="41"/>
      <c r="E449" s="41"/>
      <c r="J449" s="17">
        <f t="shared" si="33"/>
        <v>0</v>
      </c>
      <c r="K449" s="2" t="str">
        <f t="shared" si="34"/>
        <v xml:space="preserve"> </v>
      </c>
      <c r="L449" s="2" t="str">
        <f t="shared" si="31"/>
        <v xml:space="preserve"> </v>
      </c>
      <c r="M449" s="2" t="str">
        <f t="shared" si="32"/>
        <v xml:space="preserve"> </v>
      </c>
    </row>
    <row r="450" spans="1:13" x14ac:dyDescent="0.25">
      <c r="A450" s="42" t="str">
        <f t="shared" si="30"/>
        <v xml:space="preserve"> </v>
      </c>
      <c r="D450" s="41"/>
      <c r="E450" s="41"/>
      <c r="J450" s="17">
        <f t="shared" si="33"/>
        <v>0</v>
      </c>
      <c r="K450" s="2" t="str">
        <f t="shared" si="34"/>
        <v xml:space="preserve"> </v>
      </c>
      <c r="L450" s="2" t="str">
        <f t="shared" si="31"/>
        <v xml:space="preserve"> </v>
      </c>
      <c r="M450" s="2" t="str">
        <f t="shared" si="32"/>
        <v xml:space="preserve"> </v>
      </c>
    </row>
    <row r="451" spans="1:13" x14ac:dyDescent="0.25">
      <c r="A451" s="42" t="str">
        <f t="shared" si="30"/>
        <v xml:space="preserve"> </v>
      </c>
      <c r="D451" s="41"/>
      <c r="E451" s="41"/>
      <c r="J451" s="17">
        <f t="shared" si="33"/>
        <v>0</v>
      </c>
      <c r="K451" s="2" t="str">
        <f t="shared" si="34"/>
        <v xml:space="preserve"> </v>
      </c>
      <c r="L451" s="2" t="str">
        <f t="shared" si="31"/>
        <v xml:space="preserve"> </v>
      </c>
      <c r="M451" s="2" t="str">
        <f t="shared" si="32"/>
        <v xml:space="preserve"> </v>
      </c>
    </row>
    <row r="452" spans="1:13" x14ac:dyDescent="0.25">
      <c r="A452" s="42" t="str">
        <f t="shared" si="30"/>
        <v xml:space="preserve"> </v>
      </c>
      <c r="D452" s="41"/>
      <c r="E452" s="41"/>
      <c r="J452" s="17">
        <f t="shared" si="33"/>
        <v>0</v>
      </c>
      <c r="K452" s="2" t="str">
        <f t="shared" si="34"/>
        <v xml:space="preserve"> </v>
      </c>
      <c r="L452" s="2" t="str">
        <f t="shared" si="31"/>
        <v xml:space="preserve"> </v>
      </c>
      <c r="M452" s="2" t="str">
        <f t="shared" si="32"/>
        <v xml:space="preserve"> </v>
      </c>
    </row>
    <row r="453" spans="1:13" x14ac:dyDescent="0.25">
      <c r="A453" s="42" t="str">
        <f t="shared" si="30"/>
        <v xml:space="preserve"> </v>
      </c>
      <c r="D453" s="41"/>
      <c r="E453" s="41"/>
      <c r="J453" s="17">
        <f t="shared" si="33"/>
        <v>0</v>
      </c>
      <c r="K453" s="2" t="str">
        <f t="shared" si="34"/>
        <v xml:space="preserve"> </v>
      </c>
      <c r="L453" s="2" t="str">
        <f t="shared" si="31"/>
        <v xml:space="preserve"> </v>
      </c>
      <c r="M453" s="2" t="str">
        <f t="shared" si="32"/>
        <v xml:space="preserve"> </v>
      </c>
    </row>
    <row r="454" spans="1:13" x14ac:dyDescent="0.25">
      <c r="A454" s="42" t="str">
        <f t="shared" si="30"/>
        <v xml:space="preserve"> </v>
      </c>
      <c r="D454" s="41"/>
      <c r="E454" s="41"/>
      <c r="J454" s="17">
        <f t="shared" si="33"/>
        <v>0</v>
      </c>
      <c r="K454" s="2" t="str">
        <f t="shared" si="34"/>
        <v xml:space="preserve"> </v>
      </c>
      <c r="L454" s="2" t="str">
        <f t="shared" si="31"/>
        <v xml:space="preserve"> </v>
      </c>
      <c r="M454" s="2" t="str">
        <f t="shared" si="32"/>
        <v xml:space="preserve"> </v>
      </c>
    </row>
    <row r="455" spans="1:13" x14ac:dyDescent="0.25">
      <c r="A455" s="42" t="str">
        <f t="shared" si="30"/>
        <v xml:space="preserve"> </v>
      </c>
      <c r="D455" s="41"/>
      <c r="E455" s="41"/>
      <c r="J455" s="17">
        <f t="shared" si="33"/>
        <v>0</v>
      </c>
      <c r="K455" s="2" t="str">
        <f t="shared" si="34"/>
        <v xml:space="preserve"> </v>
      </c>
      <c r="L455" s="2" t="str">
        <f t="shared" si="31"/>
        <v xml:space="preserve"> </v>
      </c>
      <c r="M455" s="2" t="str">
        <f t="shared" si="32"/>
        <v xml:space="preserve"> </v>
      </c>
    </row>
    <row r="456" spans="1:13" x14ac:dyDescent="0.25">
      <c r="A456" s="42" t="str">
        <f t="shared" si="30"/>
        <v xml:space="preserve"> </v>
      </c>
      <c r="D456" s="41"/>
      <c r="E456" s="41"/>
      <c r="J456" s="17">
        <f t="shared" si="33"/>
        <v>0</v>
      </c>
      <c r="K456" s="2" t="str">
        <f t="shared" si="34"/>
        <v xml:space="preserve"> </v>
      </c>
      <c r="L456" s="2" t="str">
        <f t="shared" si="31"/>
        <v xml:space="preserve"> </v>
      </c>
      <c r="M456" s="2" t="str">
        <f t="shared" si="32"/>
        <v xml:space="preserve"> </v>
      </c>
    </row>
    <row r="457" spans="1:13" x14ac:dyDescent="0.25">
      <c r="A457" s="42" t="str">
        <f t="shared" si="30"/>
        <v xml:space="preserve"> </v>
      </c>
      <c r="D457" s="41"/>
      <c r="E457" s="41"/>
      <c r="J457" s="17">
        <f t="shared" si="33"/>
        <v>0</v>
      </c>
      <c r="K457" s="2" t="str">
        <f t="shared" si="34"/>
        <v xml:space="preserve"> </v>
      </c>
      <c r="L457" s="2" t="str">
        <f t="shared" si="31"/>
        <v xml:space="preserve"> </v>
      </c>
      <c r="M457" s="2" t="str">
        <f t="shared" si="32"/>
        <v xml:space="preserve"> </v>
      </c>
    </row>
    <row r="458" spans="1:13" x14ac:dyDescent="0.25">
      <c r="A458" s="42" t="str">
        <f t="shared" si="30"/>
        <v xml:space="preserve"> </v>
      </c>
      <c r="D458" s="41"/>
      <c r="E458" s="41"/>
      <c r="J458" s="17">
        <f t="shared" si="33"/>
        <v>0</v>
      </c>
      <c r="K458" s="2" t="str">
        <f t="shared" si="34"/>
        <v xml:space="preserve"> </v>
      </c>
      <c r="L458" s="2" t="str">
        <f t="shared" si="31"/>
        <v xml:space="preserve"> </v>
      </c>
      <c r="M458" s="2" t="str">
        <f t="shared" si="32"/>
        <v xml:space="preserve"> </v>
      </c>
    </row>
    <row r="459" spans="1:13" x14ac:dyDescent="0.25">
      <c r="A459" s="42" t="str">
        <f t="shared" si="30"/>
        <v xml:space="preserve"> </v>
      </c>
      <c r="D459" s="41"/>
      <c r="E459" s="41"/>
      <c r="J459" s="17">
        <f t="shared" si="33"/>
        <v>0</v>
      </c>
      <c r="K459" s="2" t="str">
        <f t="shared" si="34"/>
        <v xml:space="preserve"> </v>
      </c>
      <c r="L459" s="2" t="str">
        <f t="shared" si="31"/>
        <v xml:space="preserve"> </v>
      </c>
      <c r="M459" s="2" t="str">
        <f t="shared" si="32"/>
        <v xml:space="preserve"> </v>
      </c>
    </row>
    <row r="460" spans="1:13" x14ac:dyDescent="0.25">
      <c r="A460" s="42" t="str">
        <f t="shared" si="30"/>
        <v xml:space="preserve"> </v>
      </c>
      <c r="D460" s="41"/>
      <c r="E460" s="41"/>
      <c r="J460" s="17">
        <f t="shared" si="33"/>
        <v>0</v>
      </c>
      <c r="K460" s="2" t="str">
        <f t="shared" si="34"/>
        <v xml:space="preserve"> </v>
      </c>
      <c r="L460" s="2" t="str">
        <f t="shared" si="31"/>
        <v xml:space="preserve"> </v>
      </c>
      <c r="M460" s="2" t="str">
        <f t="shared" si="32"/>
        <v xml:space="preserve"> </v>
      </c>
    </row>
    <row r="461" spans="1:13" x14ac:dyDescent="0.25">
      <c r="A461" s="42" t="str">
        <f t="shared" si="30"/>
        <v xml:space="preserve"> </v>
      </c>
      <c r="D461" s="41"/>
      <c r="E461" s="41"/>
      <c r="J461" s="17">
        <f t="shared" si="33"/>
        <v>0</v>
      </c>
      <c r="K461" s="2" t="str">
        <f t="shared" si="34"/>
        <v xml:space="preserve"> </v>
      </c>
      <c r="L461" s="2" t="str">
        <f t="shared" si="31"/>
        <v xml:space="preserve"> </v>
      </c>
      <c r="M461" s="2" t="str">
        <f t="shared" si="32"/>
        <v xml:space="preserve"> </v>
      </c>
    </row>
    <row r="462" spans="1:13" x14ac:dyDescent="0.25">
      <c r="A462" s="42" t="str">
        <f t="shared" si="30"/>
        <v xml:space="preserve"> </v>
      </c>
      <c r="D462" s="41"/>
      <c r="E462" s="41"/>
      <c r="J462" s="17">
        <f t="shared" si="33"/>
        <v>0</v>
      </c>
      <c r="K462" s="2" t="str">
        <f t="shared" si="34"/>
        <v xml:space="preserve"> </v>
      </c>
      <c r="L462" s="2" t="str">
        <f t="shared" si="31"/>
        <v xml:space="preserve"> </v>
      </c>
      <c r="M462" s="2" t="str">
        <f t="shared" si="32"/>
        <v xml:space="preserve"> </v>
      </c>
    </row>
    <row r="463" spans="1:13" x14ac:dyDescent="0.25">
      <c r="A463" s="42" t="str">
        <f t="shared" ref="A463:A482" si="35">IF(COUNTIF(K463:M463,"ERROR")&gt;0,"ERROR"," ")</f>
        <v xml:space="preserve"> </v>
      </c>
      <c r="D463" s="41"/>
      <c r="E463" s="41"/>
      <c r="J463" s="17">
        <f t="shared" si="33"/>
        <v>0</v>
      </c>
      <c r="K463" s="2" t="str">
        <f t="shared" si="34"/>
        <v xml:space="preserve"> </v>
      </c>
      <c r="L463" s="2" t="str">
        <f t="shared" ref="L463:L482" si="36">IF(D463=0," ",IF(COUNTIF(ProfitLoss4,D463)&gt;0," ","ERROR"))</f>
        <v xml:space="preserve"> </v>
      </c>
      <c r="M463" s="2" t="str">
        <f t="shared" ref="M463:M482" si="37">IF(E463=0," ",IF(COUNTIF(BalanceSheet4,E463)&gt;0," ","ERROR"))</f>
        <v xml:space="preserve"> </v>
      </c>
    </row>
    <row r="464" spans="1:13" x14ac:dyDescent="0.25">
      <c r="A464" s="42" t="str">
        <f t="shared" si="35"/>
        <v xml:space="preserve"> </v>
      </c>
      <c r="D464" s="41"/>
      <c r="E464" s="41"/>
      <c r="J464" s="17">
        <f t="shared" ref="J464:J482" si="38">F464-G464+H464-I464</f>
        <v>0</v>
      </c>
      <c r="K464" s="2" t="str">
        <f t="shared" ref="K464:K482" si="39">IF(COUNTA(D464:E464)=2,"ERROR"," ")</f>
        <v xml:space="preserve"> </v>
      </c>
      <c r="L464" s="2" t="str">
        <f t="shared" si="36"/>
        <v xml:space="preserve"> </v>
      </c>
      <c r="M464" s="2" t="str">
        <f t="shared" si="37"/>
        <v xml:space="preserve"> </v>
      </c>
    </row>
    <row r="465" spans="1:13" x14ac:dyDescent="0.25">
      <c r="A465" s="42" t="str">
        <f t="shared" si="35"/>
        <v xml:space="preserve"> </v>
      </c>
      <c r="D465" s="41"/>
      <c r="E465" s="41"/>
      <c r="J465" s="17">
        <f t="shared" si="38"/>
        <v>0</v>
      </c>
      <c r="K465" s="2" t="str">
        <f t="shared" si="39"/>
        <v xml:space="preserve"> </v>
      </c>
      <c r="L465" s="2" t="str">
        <f t="shared" si="36"/>
        <v xml:space="preserve"> </v>
      </c>
      <c r="M465" s="2" t="str">
        <f t="shared" si="37"/>
        <v xml:space="preserve"> </v>
      </c>
    </row>
    <row r="466" spans="1:13" x14ac:dyDescent="0.25">
      <c r="A466" s="42" t="str">
        <f t="shared" si="35"/>
        <v xml:space="preserve"> </v>
      </c>
      <c r="D466" s="41"/>
      <c r="E466" s="41"/>
      <c r="J466" s="17">
        <f t="shared" si="38"/>
        <v>0</v>
      </c>
      <c r="K466" s="2" t="str">
        <f t="shared" si="39"/>
        <v xml:space="preserve"> </v>
      </c>
      <c r="L466" s="2" t="str">
        <f t="shared" si="36"/>
        <v xml:space="preserve"> </v>
      </c>
      <c r="M466" s="2" t="str">
        <f t="shared" si="37"/>
        <v xml:space="preserve"> </v>
      </c>
    </row>
    <row r="467" spans="1:13" x14ac:dyDescent="0.25">
      <c r="A467" s="42" t="str">
        <f t="shared" si="35"/>
        <v xml:space="preserve"> </v>
      </c>
      <c r="D467" s="41"/>
      <c r="E467" s="41"/>
      <c r="J467" s="17">
        <f t="shared" si="38"/>
        <v>0</v>
      </c>
      <c r="K467" s="2" t="str">
        <f t="shared" si="39"/>
        <v xml:space="preserve"> </v>
      </c>
      <c r="L467" s="2" t="str">
        <f t="shared" si="36"/>
        <v xml:space="preserve"> </v>
      </c>
      <c r="M467" s="2" t="str">
        <f t="shared" si="37"/>
        <v xml:space="preserve"> </v>
      </c>
    </row>
    <row r="468" spans="1:13" x14ac:dyDescent="0.25">
      <c r="A468" s="42" t="str">
        <f t="shared" si="35"/>
        <v xml:space="preserve"> </v>
      </c>
      <c r="D468" s="41"/>
      <c r="E468" s="41"/>
      <c r="J468" s="17">
        <f t="shared" si="38"/>
        <v>0</v>
      </c>
      <c r="K468" s="2" t="str">
        <f t="shared" si="39"/>
        <v xml:space="preserve"> </v>
      </c>
      <c r="L468" s="2" t="str">
        <f t="shared" si="36"/>
        <v xml:space="preserve"> </v>
      </c>
      <c r="M468" s="2" t="str">
        <f t="shared" si="37"/>
        <v xml:space="preserve"> </v>
      </c>
    </row>
    <row r="469" spans="1:13" x14ac:dyDescent="0.25">
      <c r="A469" s="42" t="str">
        <f t="shared" si="35"/>
        <v xml:space="preserve"> </v>
      </c>
      <c r="D469" s="41"/>
      <c r="E469" s="41"/>
      <c r="J469" s="17">
        <f t="shared" si="38"/>
        <v>0</v>
      </c>
      <c r="K469" s="2" t="str">
        <f t="shared" si="39"/>
        <v xml:space="preserve"> </v>
      </c>
      <c r="L469" s="2" t="str">
        <f t="shared" si="36"/>
        <v xml:space="preserve"> </v>
      </c>
      <c r="M469" s="2" t="str">
        <f t="shared" si="37"/>
        <v xml:space="preserve"> </v>
      </c>
    </row>
    <row r="470" spans="1:13" x14ac:dyDescent="0.25">
      <c r="A470" s="42" t="str">
        <f t="shared" si="35"/>
        <v xml:space="preserve"> </v>
      </c>
      <c r="D470" s="41"/>
      <c r="E470" s="41"/>
      <c r="J470" s="17">
        <f t="shared" si="38"/>
        <v>0</v>
      </c>
      <c r="K470" s="2" t="str">
        <f t="shared" si="39"/>
        <v xml:space="preserve"> </v>
      </c>
      <c r="L470" s="2" t="str">
        <f t="shared" si="36"/>
        <v xml:space="preserve"> </v>
      </c>
      <c r="M470" s="2" t="str">
        <f t="shared" si="37"/>
        <v xml:space="preserve"> </v>
      </c>
    </row>
    <row r="471" spans="1:13" x14ac:dyDescent="0.25">
      <c r="A471" s="42" t="str">
        <f t="shared" si="35"/>
        <v xml:space="preserve"> </v>
      </c>
      <c r="D471" s="41"/>
      <c r="E471" s="41"/>
      <c r="J471" s="17">
        <f t="shared" si="38"/>
        <v>0</v>
      </c>
      <c r="K471" s="2" t="str">
        <f t="shared" si="39"/>
        <v xml:space="preserve"> </v>
      </c>
      <c r="L471" s="2" t="str">
        <f t="shared" si="36"/>
        <v xml:space="preserve"> </v>
      </c>
      <c r="M471" s="2" t="str">
        <f t="shared" si="37"/>
        <v xml:space="preserve"> </v>
      </c>
    </row>
    <row r="472" spans="1:13" x14ac:dyDescent="0.25">
      <c r="A472" s="42" t="str">
        <f t="shared" si="35"/>
        <v xml:space="preserve"> </v>
      </c>
      <c r="D472" s="41"/>
      <c r="E472" s="41"/>
      <c r="J472" s="17">
        <f t="shared" si="38"/>
        <v>0</v>
      </c>
      <c r="K472" s="2" t="str">
        <f t="shared" si="39"/>
        <v xml:space="preserve"> </v>
      </c>
      <c r="L472" s="2" t="str">
        <f t="shared" si="36"/>
        <v xml:space="preserve"> </v>
      </c>
      <c r="M472" s="2" t="str">
        <f t="shared" si="37"/>
        <v xml:space="preserve"> </v>
      </c>
    </row>
    <row r="473" spans="1:13" x14ac:dyDescent="0.25">
      <c r="A473" s="42" t="str">
        <f t="shared" si="35"/>
        <v xml:space="preserve"> </v>
      </c>
      <c r="D473" s="41"/>
      <c r="E473" s="41"/>
      <c r="J473" s="17">
        <f t="shared" si="38"/>
        <v>0</v>
      </c>
      <c r="K473" s="2" t="str">
        <f t="shared" si="39"/>
        <v xml:space="preserve"> </v>
      </c>
      <c r="L473" s="2" t="str">
        <f t="shared" si="36"/>
        <v xml:space="preserve"> </v>
      </c>
      <c r="M473" s="2" t="str">
        <f t="shared" si="37"/>
        <v xml:space="preserve"> </v>
      </c>
    </row>
    <row r="474" spans="1:13" x14ac:dyDescent="0.25">
      <c r="A474" s="42" t="str">
        <f t="shared" si="35"/>
        <v xml:space="preserve"> </v>
      </c>
      <c r="D474" s="41"/>
      <c r="E474" s="41"/>
      <c r="J474" s="17">
        <f t="shared" si="38"/>
        <v>0</v>
      </c>
      <c r="K474" s="2" t="str">
        <f t="shared" si="39"/>
        <v xml:space="preserve"> </v>
      </c>
      <c r="L474" s="2" t="str">
        <f t="shared" si="36"/>
        <v xml:space="preserve"> </v>
      </c>
      <c r="M474" s="2" t="str">
        <f t="shared" si="37"/>
        <v xml:space="preserve"> </v>
      </c>
    </row>
    <row r="475" spans="1:13" x14ac:dyDescent="0.25">
      <c r="A475" s="42" t="str">
        <f t="shared" si="35"/>
        <v xml:space="preserve"> </v>
      </c>
      <c r="D475" s="41"/>
      <c r="E475" s="41"/>
      <c r="J475" s="17">
        <f t="shared" si="38"/>
        <v>0</v>
      </c>
      <c r="K475" s="2" t="str">
        <f t="shared" si="39"/>
        <v xml:space="preserve"> </v>
      </c>
      <c r="L475" s="2" t="str">
        <f t="shared" si="36"/>
        <v xml:space="preserve"> </v>
      </c>
      <c r="M475" s="2" t="str">
        <f t="shared" si="37"/>
        <v xml:space="preserve"> </v>
      </c>
    </row>
    <row r="476" spans="1:13" x14ac:dyDescent="0.25">
      <c r="A476" s="42" t="str">
        <f t="shared" si="35"/>
        <v xml:space="preserve"> </v>
      </c>
      <c r="D476" s="41"/>
      <c r="E476" s="41"/>
      <c r="J476" s="17">
        <f t="shared" si="38"/>
        <v>0</v>
      </c>
      <c r="K476" s="2" t="str">
        <f t="shared" si="39"/>
        <v xml:space="preserve"> </v>
      </c>
      <c r="L476" s="2" t="str">
        <f t="shared" si="36"/>
        <v xml:space="preserve"> </v>
      </c>
      <c r="M476" s="2" t="str">
        <f t="shared" si="37"/>
        <v xml:space="preserve"> </v>
      </c>
    </row>
    <row r="477" spans="1:13" x14ac:dyDescent="0.25">
      <c r="A477" s="42" t="str">
        <f t="shared" si="35"/>
        <v xml:space="preserve"> </v>
      </c>
      <c r="D477" s="41"/>
      <c r="E477" s="41"/>
      <c r="J477" s="17">
        <f t="shared" si="38"/>
        <v>0</v>
      </c>
      <c r="K477" s="2" t="str">
        <f t="shared" si="39"/>
        <v xml:space="preserve"> </v>
      </c>
      <c r="L477" s="2" t="str">
        <f t="shared" si="36"/>
        <v xml:space="preserve"> </v>
      </c>
      <c r="M477" s="2" t="str">
        <f t="shared" si="37"/>
        <v xml:space="preserve"> </v>
      </c>
    </row>
    <row r="478" spans="1:13" x14ac:dyDescent="0.25">
      <c r="A478" s="42" t="str">
        <f t="shared" si="35"/>
        <v xml:space="preserve"> </v>
      </c>
      <c r="D478" s="41"/>
      <c r="E478" s="41"/>
      <c r="J478" s="17">
        <f t="shared" si="38"/>
        <v>0</v>
      </c>
      <c r="K478" s="2" t="str">
        <f t="shared" si="39"/>
        <v xml:space="preserve"> </v>
      </c>
      <c r="L478" s="2" t="str">
        <f t="shared" si="36"/>
        <v xml:space="preserve"> </v>
      </c>
      <c r="M478" s="2" t="str">
        <f t="shared" si="37"/>
        <v xml:space="preserve"> </v>
      </c>
    </row>
    <row r="479" spans="1:13" x14ac:dyDescent="0.25">
      <c r="A479" s="42" t="str">
        <f t="shared" si="35"/>
        <v xml:space="preserve"> </v>
      </c>
      <c r="D479" s="41"/>
      <c r="E479" s="41"/>
      <c r="J479" s="17">
        <f t="shared" si="38"/>
        <v>0</v>
      </c>
      <c r="K479" s="2" t="str">
        <f t="shared" si="39"/>
        <v xml:space="preserve"> </v>
      </c>
      <c r="L479" s="2" t="str">
        <f t="shared" si="36"/>
        <v xml:space="preserve"> </v>
      </c>
      <c r="M479" s="2" t="str">
        <f t="shared" si="37"/>
        <v xml:space="preserve"> </v>
      </c>
    </row>
    <row r="480" spans="1:13" x14ac:dyDescent="0.25">
      <c r="A480" s="42" t="str">
        <f t="shared" si="35"/>
        <v xml:space="preserve"> </v>
      </c>
      <c r="D480" s="41"/>
      <c r="E480" s="41"/>
      <c r="J480" s="17">
        <f t="shared" si="38"/>
        <v>0</v>
      </c>
      <c r="K480" s="2" t="str">
        <f t="shared" si="39"/>
        <v xml:space="preserve"> </v>
      </c>
      <c r="L480" s="2" t="str">
        <f t="shared" si="36"/>
        <v xml:space="preserve"> </v>
      </c>
      <c r="M480" s="2" t="str">
        <f t="shared" si="37"/>
        <v xml:space="preserve"> </v>
      </c>
    </row>
    <row r="481" spans="1:13" x14ac:dyDescent="0.25">
      <c r="A481" s="42" t="str">
        <f t="shared" si="35"/>
        <v xml:space="preserve"> </v>
      </c>
      <c r="D481" s="41"/>
      <c r="E481" s="41"/>
      <c r="J481" s="17">
        <f t="shared" si="38"/>
        <v>0</v>
      </c>
      <c r="K481" s="2" t="str">
        <f t="shared" si="39"/>
        <v xml:space="preserve"> </v>
      </c>
      <c r="L481" s="2" t="str">
        <f t="shared" si="36"/>
        <v xml:space="preserve"> </v>
      </c>
      <c r="M481" s="2" t="str">
        <f t="shared" si="37"/>
        <v xml:space="preserve"> </v>
      </c>
    </row>
    <row r="482" spans="1:13" x14ac:dyDescent="0.25">
      <c r="A482" s="42" t="str">
        <f t="shared" si="35"/>
        <v xml:space="preserve"> </v>
      </c>
      <c r="D482" s="41"/>
      <c r="E482" s="41"/>
      <c r="J482" s="17">
        <f t="shared" si="38"/>
        <v>0</v>
      </c>
      <c r="K482" s="2" t="str">
        <f t="shared" si="39"/>
        <v xml:space="preserve"> </v>
      </c>
      <c r="L482" s="2" t="str">
        <f t="shared" si="36"/>
        <v xml:space="preserve"> </v>
      </c>
      <c r="M482" s="2" t="str">
        <f t="shared" si="37"/>
        <v xml:space="preserve"> </v>
      </c>
    </row>
    <row r="483" spans="1:13" x14ac:dyDescent="0.25">
      <c r="A483" s="42"/>
    </row>
    <row r="484" spans="1:13" ht="16.5" thickBot="1" x14ac:dyDescent="0.3">
      <c r="A484" s="42"/>
      <c r="F484" s="19">
        <f>SUM(F14:F483)</f>
        <v>0</v>
      </c>
      <c r="G484" s="19">
        <f>SUM(G14:G483)</f>
        <v>0</v>
      </c>
      <c r="H484" s="19">
        <f>SUM(H14:H483)</f>
        <v>0</v>
      </c>
      <c r="I484" s="19">
        <f>SUM(I14:I483)</f>
        <v>0</v>
      </c>
    </row>
    <row r="485" spans="1:13" ht="16.5" thickTop="1" x14ac:dyDescent="0.25">
      <c r="A485" s="42"/>
    </row>
    <row r="486" spans="1:13" x14ac:dyDescent="0.25">
      <c r="A486" s="42"/>
      <c r="C486" s="2" t="s">
        <v>319</v>
      </c>
      <c r="F486" s="4">
        <f>G484-F484</f>
        <v>0</v>
      </c>
    </row>
  </sheetData>
  <sheetProtection formatCells="0" formatColumns="0" formatRows="0" insertHyperlinks="0" deleteColumns="0" deleteRows="0" sort="0" autoFilter="0" pivotTables="0"/>
  <mergeCells count="4">
    <mergeCell ref="F11:G11"/>
    <mergeCell ref="H11:I11"/>
    <mergeCell ref="F12:G12"/>
    <mergeCell ref="H12:I12"/>
  </mergeCells>
  <dataValidations count="2">
    <dataValidation type="list" showInputMessage="1" showErrorMessage="1" sqref="D15:D482" xr:uid="{093EE597-2AFC-44E8-88C1-565DFF24CC67}">
      <formula1>ProfitLoss4</formula1>
    </dataValidation>
    <dataValidation type="list" showInputMessage="1" showErrorMessage="1" sqref="E15:E482" xr:uid="{2E3147B5-9855-4082-A36E-52F64D239CEB}">
      <formula1>BalanceSheet4</formula1>
    </dataValidation>
  </dataValidations>
  <pageMargins left="0.75" right="0.75" top="1" bottom="1" header="0.5" footer="0.5"/>
  <pageSetup paperSize="9" scale="46" orientation="portrait" r:id="rId1"/>
  <headerFooter alignWithMargins="0"/>
  <colBreaks count="1" manualBreakCount="1">
    <brk id="10"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E1639-7EF2-467F-BF9C-1335239CDAFC}">
  <dimension ref="B2:I123"/>
  <sheetViews>
    <sheetView workbookViewId="0">
      <selection activeCell="B3" sqref="B3"/>
    </sheetView>
  </sheetViews>
  <sheetFormatPr defaultRowHeight="15.75" x14ac:dyDescent="0.25"/>
  <cols>
    <col min="1" max="1" width="9.140625" style="2"/>
    <col min="2" max="2" width="43.42578125" style="2" customWidth="1"/>
    <col min="3" max="3" width="18" style="5" bestFit="1" customWidth="1"/>
    <col min="4" max="4" width="2.7109375" style="2" customWidth="1"/>
    <col min="5" max="5" width="18" style="5" bestFit="1" customWidth="1"/>
    <col min="6" max="6" width="3.140625" style="2" customWidth="1"/>
    <col min="7" max="7" width="18" style="2" bestFit="1" customWidth="1"/>
    <col min="8" max="8" width="23.28515625" style="2" bestFit="1" customWidth="1"/>
    <col min="9" max="9" width="12.7109375" style="2" bestFit="1" customWidth="1"/>
    <col min="10" max="16384" width="9.140625" style="2"/>
  </cols>
  <sheetData>
    <row r="2" spans="2:5" x14ac:dyDescent="0.25">
      <c r="B2" s="2" t="s">
        <v>1184</v>
      </c>
    </row>
    <row r="3" spans="2:5" x14ac:dyDescent="0.25">
      <c r="B3" s="2" t="s">
        <v>1185</v>
      </c>
    </row>
    <row r="4" spans="2:5" ht="16.5" thickBot="1" x14ac:dyDescent="0.3">
      <c r="C4" s="692" t="s">
        <v>1155</v>
      </c>
      <c r="D4" s="692"/>
      <c r="E4" s="692"/>
    </row>
    <row r="5" spans="2:5" ht="16.5" thickBot="1" x14ac:dyDescent="0.3">
      <c r="C5" s="348">
        <f>Criteria!E22</f>
        <v>2026</v>
      </c>
      <c r="D5" s="28"/>
      <c r="E5" s="348">
        <f>Criteria!E27</f>
        <v>2025</v>
      </c>
    </row>
    <row r="6" spans="2:5" x14ac:dyDescent="0.25">
      <c r="C6" s="28"/>
      <c r="D6" s="28"/>
      <c r="E6" s="28"/>
    </row>
    <row r="7" spans="2:5" x14ac:dyDescent="0.25">
      <c r="B7" s="354" t="s">
        <v>1139</v>
      </c>
    </row>
    <row r="8" spans="2:5" x14ac:dyDescent="0.25">
      <c r="B8" s="349"/>
    </row>
    <row r="9" spans="2:5" x14ac:dyDescent="0.25">
      <c r="B9" s="357" t="s">
        <v>1442</v>
      </c>
      <c r="C9" s="318">
        <f>FS!M611-FS!O611</f>
        <v>0</v>
      </c>
      <c r="E9" s="573"/>
    </row>
    <row r="10" spans="2:5" x14ac:dyDescent="0.25">
      <c r="B10" s="357" t="s">
        <v>1443</v>
      </c>
      <c r="C10" s="360" t="e">
        <f>C9/FS!O611</f>
        <v>#DIV/0!</v>
      </c>
      <c r="E10" s="573"/>
    </row>
    <row r="11" spans="2:5" x14ac:dyDescent="0.25">
      <c r="B11" s="349"/>
    </row>
    <row r="12" spans="2:5" x14ac:dyDescent="0.25">
      <c r="B12" s="357" t="s">
        <v>1444</v>
      </c>
      <c r="C12" s="318">
        <f>-FS!M613+FS!O613</f>
        <v>0</v>
      </c>
      <c r="E12" s="573"/>
    </row>
    <row r="13" spans="2:5" x14ac:dyDescent="0.25">
      <c r="B13" s="357" t="s">
        <v>1445</v>
      </c>
      <c r="C13" s="360" t="e">
        <f>C12/-FS!O613</f>
        <v>#DIV/0!</v>
      </c>
      <c r="E13" s="573"/>
    </row>
    <row r="14" spans="2:5" x14ac:dyDescent="0.25">
      <c r="B14" s="357"/>
      <c r="C14" s="350"/>
    </row>
    <row r="15" spans="2:5" x14ac:dyDescent="0.25">
      <c r="B15" s="357" t="s">
        <v>1446</v>
      </c>
      <c r="C15" s="318">
        <f>FS!M616-FS!O616</f>
        <v>0</v>
      </c>
      <c r="E15" s="573"/>
    </row>
    <row r="16" spans="2:5" x14ac:dyDescent="0.25">
      <c r="B16" s="357" t="s">
        <v>1447</v>
      </c>
      <c r="C16" s="360" t="e">
        <f>C15/FS!O616</f>
        <v>#DIV/0!</v>
      </c>
      <c r="E16" s="573"/>
    </row>
    <row r="17" spans="2:8" x14ac:dyDescent="0.25">
      <c r="B17" s="358"/>
      <c r="C17" s="359"/>
      <c r="D17" s="7"/>
      <c r="E17" s="143"/>
    </row>
    <row r="19" spans="2:8" x14ac:dyDescent="0.25">
      <c r="B19" s="2" t="s">
        <v>1453</v>
      </c>
      <c r="C19" s="574">
        <v>150</v>
      </c>
      <c r="D19" s="2" t="s">
        <v>798</v>
      </c>
      <c r="E19" s="574">
        <v>150</v>
      </c>
      <c r="F19" s="2" t="s">
        <v>798</v>
      </c>
    </row>
    <row r="21" spans="2:8" x14ac:dyDescent="0.25">
      <c r="B21" s="2" t="s">
        <v>1150</v>
      </c>
      <c r="C21" s="350" t="e">
        <f>FS!M616/-FS!M613</f>
        <v>#DIV/0!</v>
      </c>
      <c r="E21" s="350" t="e">
        <f>FS!O616/-FS!O613</f>
        <v>#DIV/0!</v>
      </c>
    </row>
    <row r="23" spans="2:8" x14ac:dyDescent="0.25">
      <c r="B23" s="2" t="s">
        <v>1454</v>
      </c>
      <c r="C23" s="21">
        <f>SUM(TrialBalance!L13:L17)-(-TrialBalance!L5)*100/(100+C19)</f>
        <v>0</v>
      </c>
      <c r="E23" s="355">
        <f>SUM(TrialBalance!N13:N17)-(-TrialBalance!N5*100/(100+E19))</f>
        <v>0</v>
      </c>
    </row>
    <row r="24" spans="2:8" x14ac:dyDescent="0.25">
      <c r="B24" s="2" t="s">
        <v>1448</v>
      </c>
      <c r="C24" s="21"/>
      <c r="E24" s="355"/>
    </row>
    <row r="25" spans="2:8" x14ac:dyDescent="0.25">
      <c r="C25" s="21"/>
      <c r="E25" s="355"/>
    </row>
    <row r="26" spans="2:8" x14ac:dyDescent="0.25">
      <c r="B26" s="2" t="s">
        <v>1154</v>
      </c>
      <c r="C26" s="356" t="e">
        <f>FS!M616/FS!M611</f>
        <v>#DIV/0!</v>
      </c>
      <c r="E26" s="356" t="e">
        <f>FS!O616/FS!O611</f>
        <v>#DIV/0!</v>
      </c>
    </row>
    <row r="28" spans="2:8" x14ac:dyDescent="0.25">
      <c r="G28" s="5" t="s">
        <v>918</v>
      </c>
    </row>
    <row r="29" spans="2:8" x14ac:dyDescent="0.25">
      <c r="B29" s="351"/>
      <c r="G29" s="5" t="s">
        <v>1148</v>
      </c>
    </row>
    <row r="30" spans="2:8" x14ac:dyDescent="0.25">
      <c r="E30" s="2"/>
      <c r="G30" s="5" t="s">
        <v>1149</v>
      </c>
    </row>
    <row r="31" spans="2:8" x14ac:dyDescent="0.25">
      <c r="G31" s="353" t="s">
        <v>1140</v>
      </c>
    </row>
    <row r="32" spans="2:8" hidden="1" x14ac:dyDescent="0.25">
      <c r="G32" s="2" t="s">
        <v>1140</v>
      </c>
      <c r="H32" s="2" t="s">
        <v>1141</v>
      </c>
    </row>
    <row r="33" spans="2:9" x14ac:dyDescent="0.25">
      <c r="B33" s="352" t="s">
        <v>1142</v>
      </c>
      <c r="E33" s="5" t="s">
        <v>1152</v>
      </c>
    </row>
    <row r="34" spans="2:9" x14ac:dyDescent="0.25">
      <c r="E34" s="5" t="s">
        <v>1143</v>
      </c>
      <c r="G34" s="5" t="s">
        <v>1144</v>
      </c>
    </row>
    <row r="35" spans="2:9" x14ac:dyDescent="0.25">
      <c r="B35" s="2" t="s">
        <v>1145</v>
      </c>
      <c r="C35" s="350" t="e">
        <f>IF(G31="YEAR",(-TrialBalance!L5+TrialBalance!N5)/-TrialBalance!N5,(-TrialBalance!L5-E35)/E35)</f>
        <v>#DIV/0!</v>
      </c>
      <c r="E35" s="188">
        <f>IF(G35=0,-TrialBalance!N5,-TrialBalance!N5*365/G35)</f>
        <v>0</v>
      </c>
      <c r="G35" s="573"/>
      <c r="I35" s="17"/>
    </row>
    <row r="37" spans="2:9" x14ac:dyDescent="0.25">
      <c r="B37" s="2" t="s">
        <v>1151</v>
      </c>
      <c r="C37" s="350" t="e">
        <f>(TrialBalance!L158-TrialBalance!N158)/TrialBalance!N158</f>
        <v>#DIV/0!</v>
      </c>
      <c r="E37" s="573"/>
    </row>
    <row r="38" spans="2:9" x14ac:dyDescent="0.25">
      <c r="C38" s="350"/>
    </row>
    <row r="39" spans="2:9" ht="16.5" thickBot="1" x14ac:dyDescent="0.3"/>
    <row r="40" spans="2:9" ht="16.5" thickBot="1" x14ac:dyDescent="0.3">
      <c r="C40" s="348">
        <f>C5</f>
        <v>2026</v>
      </c>
      <c r="D40" s="28"/>
      <c r="E40" s="348">
        <f>C5</f>
        <v>2026</v>
      </c>
      <c r="G40" s="348">
        <f>E5</f>
        <v>2025</v>
      </c>
    </row>
    <row r="41" spans="2:9" x14ac:dyDescent="0.25">
      <c r="C41" s="28" t="s">
        <v>798</v>
      </c>
      <c r="D41" s="28"/>
      <c r="E41" s="5" t="s">
        <v>1449</v>
      </c>
      <c r="G41" s="28" t="s">
        <v>798</v>
      </c>
    </row>
    <row r="42" spans="2:9" x14ac:dyDescent="0.25">
      <c r="B42" s="352" t="s">
        <v>1146</v>
      </c>
      <c r="C42" s="5" t="s">
        <v>1450</v>
      </c>
      <c r="E42" s="5" t="s">
        <v>1450</v>
      </c>
      <c r="G42" s="5" t="s">
        <v>1450</v>
      </c>
      <c r="H42" s="5" t="s">
        <v>918</v>
      </c>
    </row>
    <row r="43" spans="2:9" x14ac:dyDescent="0.25">
      <c r="H43" s="5" t="s">
        <v>1147</v>
      </c>
    </row>
    <row r="44" spans="2:9" x14ac:dyDescent="0.25">
      <c r="B44" s="2" t="str">
        <f>TrialBalance!C17</f>
        <v>Purchases</v>
      </c>
      <c r="C44" s="350" t="str">
        <f>IF(H44=0,IF(TrialBalance!L17=0,"0%","100%"),E44/H44)</f>
        <v>0%</v>
      </c>
      <c r="E44" s="188">
        <f>TrialBalance!L17-Analytical!H44</f>
        <v>0</v>
      </c>
      <c r="G44" s="168"/>
      <c r="H44" s="188">
        <f>IF(G$35=0,TrialBalance!N17,TrialBalance!N17*365/G$35)</f>
        <v>0</v>
      </c>
    </row>
    <row r="45" spans="2:9" x14ac:dyDescent="0.25">
      <c r="B45" s="2">
        <f>TrialBalance!C18</f>
        <v>0</v>
      </c>
      <c r="C45" s="350" t="str">
        <f>IF(H45=0,IF(TrialBalance!L18=0,"0%","100%"),E45/H45)</f>
        <v>0%</v>
      </c>
      <c r="E45" s="188">
        <f>TrialBalance!L18-Analytical!H45</f>
        <v>0</v>
      </c>
      <c r="G45" s="168"/>
      <c r="H45" s="188">
        <f>IF(G$35=0,TrialBalance!N18,TrialBalance!N18*365/G$35)</f>
        <v>0</v>
      </c>
    </row>
    <row r="46" spans="2:9" x14ac:dyDescent="0.25">
      <c r="B46" s="2">
        <f>TrialBalance!C19</f>
        <v>0</v>
      </c>
      <c r="C46" s="350" t="str">
        <f>IF(H46=0,IF(TrialBalance!L19=0,"0%","100%"),E46/H46)</f>
        <v>0%</v>
      </c>
      <c r="E46" s="188">
        <f>TrialBalance!L19-Analytical!H46</f>
        <v>0</v>
      </c>
      <c r="G46" s="168"/>
      <c r="H46" s="188">
        <f>IF(G$35=0,TrialBalance!N19,TrialBalance!N19*365/G$35)</f>
        <v>0</v>
      </c>
    </row>
    <row r="47" spans="2:9" x14ac:dyDescent="0.25">
      <c r="B47" s="2">
        <f>TrialBalance!C20</f>
        <v>0</v>
      </c>
      <c r="C47" s="350" t="str">
        <f>IF(H47=0,IF(TrialBalance!L20=0,"0%","100%"),E47/H47)</f>
        <v>0%</v>
      </c>
      <c r="E47" s="188">
        <f>TrialBalance!L20-Analytical!H47</f>
        <v>0</v>
      </c>
      <c r="G47" s="168"/>
      <c r="H47" s="188">
        <f>IF(G$35=0,TrialBalance!N20,TrialBalance!N20*365/G$35)</f>
        <v>0</v>
      </c>
    </row>
    <row r="48" spans="2:9" x14ac:dyDescent="0.25">
      <c r="B48" s="2">
        <f>TrialBalance!C21</f>
        <v>0</v>
      </c>
      <c r="C48" s="350" t="str">
        <f>IF(H48=0,IF(TrialBalance!L21=0,"0%","100%"),E48/H48)</f>
        <v>0%</v>
      </c>
      <c r="E48" s="188">
        <f>TrialBalance!L21-Analytical!H48</f>
        <v>0</v>
      </c>
      <c r="G48" s="168"/>
      <c r="H48" s="188">
        <f>IF(G$35=0,TrialBalance!N21,TrialBalance!N21*365/G$35)</f>
        <v>0</v>
      </c>
    </row>
    <row r="49" spans="2:8" x14ac:dyDescent="0.25">
      <c r="B49" s="2">
        <f>TrialBalance!C22</f>
        <v>0</v>
      </c>
      <c r="C49" s="350" t="str">
        <f>IF(H49=0,IF(TrialBalance!L22=0,"0%","100%"),E49/H49)</f>
        <v>0%</v>
      </c>
      <c r="E49" s="188">
        <f>TrialBalance!L22-Analytical!H49</f>
        <v>0</v>
      </c>
      <c r="G49" s="168"/>
      <c r="H49" s="188">
        <f>IF(G$35=0,TrialBalance!N22,TrialBalance!N22*365/G$35)</f>
        <v>0</v>
      </c>
    </row>
    <row r="50" spans="2:8" x14ac:dyDescent="0.25">
      <c r="B50" s="2" t="str">
        <f>TrialBalance!C39</f>
        <v>OPERATING EXPENSES</v>
      </c>
      <c r="C50" s="350"/>
      <c r="E50" s="188"/>
      <c r="G50" s="168"/>
      <c r="H50" s="188"/>
    </row>
    <row r="51" spans="2:8" x14ac:dyDescent="0.25">
      <c r="B51" s="2" t="str">
        <f>TrialBalance!C40</f>
        <v>Advertising</v>
      </c>
      <c r="C51" s="350" t="str">
        <f>IF(H51=0,IF(TrialBalance!L40=0,"0%","100%"),E51/H51)</f>
        <v>0%</v>
      </c>
      <c r="E51" s="188">
        <f>TrialBalance!L40-Analytical!H51</f>
        <v>0</v>
      </c>
      <c r="G51" s="168"/>
      <c r="H51" s="188">
        <f>IF(G$35=0,TrialBalance!N40,TrialBalance!N40*365/G$35)</f>
        <v>0</v>
      </c>
    </row>
    <row r="52" spans="2:8" x14ac:dyDescent="0.25">
      <c r="B52" s="2" t="str">
        <f>TrialBalance!C41</f>
        <v>Assets less than R7,000</v>
      </c>
      <c r="C52" s="350" t="str">
        <f>IF(H52=0,IF(TrialBalance!L41=0,"0%","100%"),E52/H52)</f>
        <v>0%</v>
      </c>
      <c r="E52" s="188">
        <f>TrialBalance!L41-Analytical!H52</f>
        <v>0</v>
      </c>
      <c r="G52" s="168"/>
      <c r="H52" s="188">
        <f>IF(G$35=0,TrialBalance!N41,TrialBalance!N41*365/G$35)</f>
        <v>0</v>
      </c>
    </row>
    <row r="53" spans="2:8" x14ac:dyDescent="0.25">
      <c r="B53" s="2" t="str">
        <f>TrialBalance!C42</f>
        <v>Consumables</v>
      </c>
      <c r="C53" s="350" t="str">
        <f>IF(H53=0,IF(TrialBalance!L42=0,"0%","100%"),E53/H53)</f>
        <v>0%</v>
      </c>
      <c r="E53" s="188">
        <f>TrialBalance!L42-Analytical!H53</f>
        <v>0</v>
      </c>
      <c r="G53" s="168"/>
      <c r="H53" s="188">
        <f>IF(G$35=0,TrialBalance!N42,TrialBalance!N42*365/G$35)</f>
        <v>0</v>
      </c>
    </row>
    <row r="54" spans="2:8" x14ac:dyDescent="0.25">
      <c r="B54" s="2" t="str">
        <f>TrialBalance!C47</f>
        <v>Discounts allowed</v>
      </c>
      <c r="C54" s="350" t="str">
        <f>IF(H54=0,IF(TrialBalance!L47=0,"0%","100%"),E54/H54)</f>
        <v>0%</v>
      </c>
      <c r="E54" s="188">
        <f>TrialBalance!L47-Analytical!H54</f>
        <v>0</v>
      </c>
      <c r="G54" s="168"/>
      <c r="H54" s="188">
        <f>IF(G$35=0,TrialBalance!N47,TrialBalance!N47*365/G$35)</f>
        <v>0</v>
      </c>
    </row>
    <row r="55" spans="2:8" x14ac:dyDescent="0.25">
      <c r="B55" s="2" t="str">
        <f>TrialBalance!C48</f>
        <v>Electricity and water</v>
      </c>
      <c r="C55" s="350" t="str">
        <f>IF(H55=0,IF(TrialBalance!L48=0,"0%","100%"),E55/H55)</f>
        <v>0%</v>
      </c>
      <c r="E55" s="188">
        <f>TrialBalance!L48-Analytical!H55</f>
        <v>0</v>
      </c>
      <c r="G55" s="168"/>
      <c r="H55" s="188">
        <f>IF(G$35=0,TrialBalance!N48,TrialBalance!N48*365/G$35)</f>
        <v>0</v>
      </c>
    </row>
    <row r="56" spans="2:8" x14ac:dyDescent="0.25">
      <c r="B56" s="2" t="str">
        <f>TrialBalance!C49</f>
        <v>Equipment lease</v>
      </c>
      <c r="C56" s="350" t="str">
        <f>IF(H56=0,IF(TrialBalance!L49=0,"0%","100%"),E56/H56)</f>
        <v>0%</v>
      </c>
      <c r="E56" s="188">
        <f>TrialBalance!L49-Analytical!H56</f>
        <v>0</v>
      </c>
      <c r="G56" s="168"/>
      <c r="H56" s="188">
        <f>IF(G$35=0,TrialBalance!N49,TrialBalance!N49*365/G$35)</f>
        <v>0</v>
      </c>
    </row>
    <row r="57" spans="2:8" x14ac:dyDescent="0.25">
      <c r="B57" s="2" t="str">
        <f>TrialBalance!C50</f>
        <v>Insurance</v>
      </c>
      <c r="C57" s="350" t="str">
        <f>IF(H57=0,IF(TrialBalance!L50=0,"0%","100%"),E57/H57)</f>
        <v>0%</v>
      </c>
      <c r="E57" s="188">
        <f>TrialBalance!L50-Analytical!H57</f>
        <v>0</v>
      </c>
      <c r="G57" s="168"/>
      <c r="H57" s="188">
        <f>IF(G$35=0,TrialBalance!N50,TrialBalance!N50*365/G$35)</f>
        <v>0</v>
      </c>
    </row>
    <row r="58" spans="2:8" x14ac:dyDescent="0.25">
      <c r="B58" s="2" t="str">
        <f>TrialBalance!C51</f>
        <v>Levies - SDL</v>
      </c>
      <c r="C58" s="350" t="str">
        <f>IF(H58=0,IF(TrialBalance!L51=0,"0%","100%"),E58/H58)</f>
        <v>0%</v>
      </c>
      <c r="E58" s="188">
        <f>TrialBalance!L51-Analytical!H58</f>
        <v>0</v>
      </c>
      <c r="G58" s="168"/>
      <c r="H58" s="188">
        <f>IF(G$35=0,TrialBalance!N51,TrialBalance!N51*365/G$35)</f>
        <v>0</v>
      </c>
    </row>
    <row r="59" spans="2:8" x14ac:dyDescent="0.25">
      <c r="B59" s="2" t="str">
        <f>TrialBalance!C52</f>
        <v>Levies - other</v>
      </c>
      <c r="C59" s="350" t="str">
        <f>IF(H59=0,IF(TrialBalance!L52=0,"0%","100%"),E59/H59)</f>
        <v>0%</v>
      </c>
      <c r="E59" s="188">
        <f>TrialBalance!L52-Analytical!H59</f>
        <v>0</v>
      </c>
      <c r="G59" s="168"/>
      <c r="H59" s="188">
        <f>IF(G$35=0,TrialBalance!N52,TrialBalance!N52*365/G$35)</f>
        <v>0</v>
      </c>
    </row>
    <row r="60" spans="2:8" x14ac:dyDescent="0.25">
      <c r="B60" s="2" t="str">
        <f>TrialBalance!C53</f>
        <v>Trade licenses</v>
      </c>
      <c r="C60" s="350" t="str">
        <f>IF(H60=0,IF(TrialBalance!L53=0,"0%","100%"),E60/H60)</f>
        <v>0%</v>
      </c>
      <c r="E60" s="188">
        <f>TrialBalance!L53-Analytical!H60</f>
        <v>0</v>
      </c>
      <c r="G60" s="168"/>
      <c r="H60" s="188">
        <f>IF(G$35=0,TrialBalance!N53,TrialBalance!N53*365/G$35)</f>
        <v>0</v>
      </c>
    </row>
    <row r="61" spans="2:8" x14ac:dyDescent="0.25">
      <c r="B61" s="2" t="str">
        <f>TrialBalance!C55</f>
        <v>Motor vehicle expenses - Petrol and oil</v>
      </c>
      <c r="C61" s="350" t="str">
        <f>IF(H61=0,IF(TrialBalance!L55=0,"0%","100%"),E61/H61)</f>
        <v>0%</v>
      </c>
      <c r="E61" s="188">
        <f>TrialBalance!L55-Analytical!H61</f>
        <v>0</v>
      </c>
      <c r="G61" s="168"/>
      <c r="H61" s="188">
        <f>IF(G$35=0,TrialBalance!N55,TrialBalance!N55*365/G$35)</f>
        <v>0</v>
      </c>
    </row>
    <row r="62" spans="2:8" x14ac:dyDescent="0.25">
      <c r="B62" s="2" t="str">
        <f>TrialBalance!C56</f>
        <v>Motor vehicle expenses - R&amp;M</v>
      </c>
      <c r="C62" s="350" t="str">
        <f>IF(H62=0,IF(TrialBalance!L56=0,"0%","100%"),E62/H62)</f>
        <v>0%</v>
      </c>
      <c r="E62" s="188">
        <f>TrialBalance!L56-Analytical!H62</f>
        <v>0</v>
      </c>
      <c r="G62" s="168"/>
      <c r="H62" s="188">
        <f>IF(G$35=0,TrialBalance!N56,TrialBalance!N56*365/G$35)</f>
        <v>0</v>
      </c>
    </row>
    <row r="63" spans="2:8" x14ac:dyDescent="0.25">
      <c r="B63" s="2" t="str">
        <f>TrialBalance!C57</f>
        <v>Motor vehicle expenses - Insurance</v>
      </c>
      <c r="C63" s="350" t="str">
        <f>IF(H63=0,IF(TrialBalance!L57=0,"0%","100%"),E63/H63)</f>
        <v>0%</v>
      </c>
      <c r="E63" s="188">
        <f>TrialBalance!L57-Analytical!H63</f>
        <v>0</v>
      </c>
      <c r="G63" s="168"/>
      <c r="H63" s="188">
        <f>IF(G$35=0,TrialBalance!N57,TrialBalance!N57*365/G$35)</f>
        <v>0</v>
      </c>
    </row>
    <row r="64" spans="2:8" x14ac:dyDescent="0.25">
      <c r="B64" s="2" t="str">
        <f>TrialBalance!C58</f>
        <v>Motor vehicle expenses - Licenses</v>
      </c>
      <c r="C64" s="350" t="str">
        <f>IF(H64=0,IF(TrialBalance!L58=0,"0%","100%"),E64/H64)</f>
        <v>0%</v>
      </c>
      <c r="E64" s="188">
        <f>TrialBalance!L58-Analytical!H64</f>
        <v>0</v>
      </c>
      <c r="G64" s="168"/>
      <c r="H64" s="188">
        <f>IF(G$35=0,TrialBalance!N58,TrialBalance!N58*365/G$35)</f>
        <v>0</v>
      </c>
    </row>
    <row r="65" spans="2:8" x14ac:dyDescent="0.25">
      <c r="B65" s="2" t="str">
        <f>TrialBalance!C59</f>
        <v>Motor vehicle expenses - General</v>
      </c>
      <c r="C65" s="350" t="str">
        <f>IF(H65=0,IF(TrialBalance!L59=0,"0%","100%"),E65/H65)</f>
        <v>0%</v>
      </c>
      <c r="E65" s="188">
        <f>TrialBalance!L59-Analytical!H65</f>
        <v>0</v>
      </c>
      <c r="G65" s="168"/>
      <c r="H65" s="188">
        <f>IF(G$35=0,TrialBalance!N59,TrialBalance!N59*365/G$35)</f>
        <v>0</v>
      </c>
    </row>
    <row r="66" spans="2:8" x14ac:dyDescent="0.25">
      <c r="B66" s="2" t="str">
        <f>TrialBalance!C60</f>
        <v>Rent paid-------------------------------------</v>
      </c>
      <c r="C66" s="350"/>
      <c r="E66" s="188"/>
      <c r="G66" s="168"/>
      <c r="H66" s="188"/>
    </row>
    <row r="67" spans="2:8" x14ac:dyDescent="0.25">
      <c r="B67" s="2" t="str">
        <f>TrialBalance!C61</f>
        <v>Premises</v>
      </c>
      <c r="C67" s="350" t="str">
        <f>IF(H67=0,IF(TrialBalance!L61=0,"0%","100%"),E67/H67)</f>
        <v>0%</v>
      </c>
      <c r="E67" s="188">
        <f>TrialBalance!L61-Analytical!H67</f>
        <v>0</v>
      </c>
      <c r="G67" s="168"/>
      <c r="H67" s="188">
        <f>IF(G$35=0,TrialBalance!N61,TrialBalance!N61*365/G$35)</f>
        <v>0</v>
      </c>
    </row>
    <row r="68" spans="2:8" x14ac:dyDescent="0.25">
      <c r="B68" s="2">
        <f>TrialBalance!C62</f>
        <v>0</v>
      </c>
      <c r="C68" s="350" t="str">
        <f>IF(H68=0,IF(TrialBalance!L62=0,"0%","100%"),E68/H68)</f>
        <v>0%</v>
      </c>
      <c r="E68" s="188">
        <f>TrialBalance!L62-Analytical!H68</f>
        <v>0</v>
      </c>
      <c r="G68" s="168"/>
      <c r="H68" s="188">
        <f>IF(G$35=0,TrialBalance!N62,TrialBalance!N62*365/G$35)</f>
        <v>0</v>
      </c>
    </row>
    <row r="69" spans="2:8" x14ac:dyDescent="0.25">
      <c r="B69" s="2">
        <f>TrialBalance!C63</f>
        <v>0</v>
      </c>
      <c r="C69" s="350" t="str">
        <f>IF(H69=0,IF(TrialBalance!L63=0,"0%","100%"),E69/H69)</f>
        <v>0%</v>
      </c>
      <c r="E69" s="188">
        <f>TrialBalance!L63-Analytical!H69</f>
        <v>0</v>
      </c>
      <c r="G69" s="168"/>
      <c r="H69" s="188">
        <f>IF(G$35=0,TrialBalance!N63,TrialBalance!N63*365/G$35)</f>
        <v>0</v>
      </c>
    </row>
    <row r="70" spans="2:8" x14ac:dyDescent="0.25">
      <c r="B70" s="2" t="str">
        <f>TrialBalance!C64</f>
        <v>Repairs and maintenance</v>
      </c>
      <c r="C70" s="350" t="str">
        <f>IF(H70=0,IF(TrialBalance!L64=0,"0%","100%"),E70/H70)</f>
        <v>0%</v>
      </c>
      <c r="E70" s="188">
        <f>TrialBalance!L64-Analytical!H70</f>
        <v>0</v>
      </c>
      <c r="G70" s="168"/>
      <c r="H70" s="188">
        <f>IF(G$35=0,TrialBalance!N64,TrialBalance!N64*365/G$35)</f>
        <v>0</v>
      </c>
    </row>
    <row r="71" spans="2:8" x14ac:dyDescent="0.25">
      <c r="B71" s="2" t="str">
        <f>TrialBalance!C66</f>
        <v>Salaries</v>
      </c>
      <c r="C71" s="350" t="str">
        <f>IF(H71=0,IF(TrialBalance!L66=0,"0%","100%"),E71/H71)</f>
        <v>0%</v>
      </c>
      <c r="E71" s="188">
        <f>TrialBalance!L66-Analytical!H71</f>
        <v>0</v>
      </c>
      <c r="G71" s="168"/>
      <c r="H71" s="188">
        <f>IF(G$35=0,TrialBalance!N66,TrialBalance!N66*365/G$35)</f>
        <v>0</v>
      </c>
    </row>
    <row r="72" spans="2:8" x14ac:dyDescent="0.25">
      <c r="B72" s="2" t="str">
        <f>TrialBalance!C67</f>
        <v>UIF - Employer</v>
      </c>
      <c r="C72" s="350" t="str">
        <f>IF(H72=0,IF(TrialBalance!L67=0,"0%","100%"),E72/H72)</f>
        <v>0%</v>
      </c>
      <c r="E72" s="188">
        <f>TrialBalance!L67-Analytical!H72</f>
        <v>0</v>
      </c>
      <c r="G72" s="168"/>
      <c r="H72" s="188">
        <f>IF(G$35=0,TrialBalance!N67,TrialBalance!N67*365/G$35)</f>
        <v>0</v>
      </c>
    </row>
    <row r="73" spans="2:8" x14ac:dyDescent="0.25">
      <c r="B73" s="2" t="str">
        <f>TrialBalance!C68</f>
        <v>Casual wages</v>
      </c>
      <c r="C73" s="350" t="str">
        <f>IF(H73=0,IF(TrialBalance!L68=0,"0%","100%"),E73/H73)</f>
        <v>0%</v>
      </c>
      <c r="E73" s="188">
        <f>TrialBalance!L68-Analytical!H73</f>
        <v>0</v>
      </c>
      <c r="G73" s="168"/>
      <c r="H73" s="188">
        <f>IF(G$35=0,TrialBalance!N68,TrialBalance!N68*365/G$35)</f>
        <v>0</v>
      </c>
    </row>
    <row r="74" spans="2:8" x14ac:dyDescent="0.25">
      <c r="B74" s="2" t="str">
        <f>TrialBalance!C69</f>
        <v>Telephone</v>
      </c>
      <c r="C74" s="350" t="str">
        <f>IF(H74=0,IF(TrialBalance!L69=0,"0%","100%"),E74/H74)</f>
        <v>0%</v>
      </c>
      <c r="E74" s="188">
        <f>TrialBalance!L69-Analytical!H74</f>
        <v>0</v>
      </c>
      <c r="G74" s="168"/>
      <c r="H74" s="188">
        <f>IF(G$35=0,TrialBalance!N69,TrialBalance!N69*365/G$35)</f>
        <v>0</v>
      </c>
    </row>
    <row r="75" spans="2:8" x14ac:dyDescent="0.25">
      <c r="B75" s="2" t="str">
        <f>TrialBalance!C70</f>
        <v>Postage and courier</v>
      </c>
      <c r="C75" s="350" t="str">
        <f>IF(H75=0,IF(TrialBalance!L70=0,"0%","100%"),E75/H75)</f>
        <v>0%</v>
      </c>
      <c r="E75" s="188">
        <f>TrialBalance!L70-Analytical!H75</f>
        <v>0</v>
      </c>
      <c r="G75" s="168"/>
      <c r="H75" s="188">
        <f>IF(G$35=0,TrialBalance!N70,TrialBalance!N70*365/G$35)</f>
        <v>0</v>
      </c>
    </row>
    <row r="76" spans="2:8" x14ac:dyDescent="0.25">
      <c r="B76" s="2" t="str">
        <f>TrialBalance!C71</f>
        <v>Training</v>
      </c>
      <c r="C76" s="350" t="str">
        <f>IF(H76=0,IF(TrialBalance!L71=0,"0%","100%"),E76/H76)</f>
        <v>0%</v>
      </c>
      <c r="E76" s="188">
        <f>TrialBalance!L71-Analytical!H76</f>
        <v>0</v>
      </c>
      <c r="G76" s="168"/>
      <c r="H76" s="188">
        <f>IF(G$35=0,TrialBalance!N71,TrialBalance!N71*365/G$35)</f>
        <v>0</v>
      </c>
    </row>
    <row r="77" spans="2:8" x14ac:dyDescent="0.25">
      <c r="B77" s="2" t="str">
        <f>TrialBalance!C72</f>
        <v>Traveling and accommodation</v>
      </c>
      <c r="C77" s="350" t="str">
        <f>IF(H77=0,IF(TrialBalance!L72=0,"0%","100%"),E77/H77)</f>
        <v>0%</v>
      </c>
      <c r="E77" s="188">
        <f>TrialBalance!L72-Analytical!H77</f>
        <v>0</v>
      </c>
      <c r="G77" s="168"/>
      <c r="H77" s="188">
        <f>IF(G$35=0,TrialBalance!N72,TrialBalance!N72*365/G$35)</f>
        <v>0</v>
      </c>
    </row>
    <row r="78" spans="2:8" x14ac:dyDescent="0.25">
      <c r="B78" s="2">
        <f>TrialBalance!C73</f>
        <v>0</v>
      </c>
      <c r="C78" s="350" t="str">
        <f>IF(H78=0,IF(TrialBalance!L73=0,"0%","100%"),E78/H78)</f>
        <v>0%</v>
      </c>
      <c r="E78" s="188">
        <f>TrialBalance!L73-Analytical!H78</f>
        <v>0</v>
      </c>
      <c r="G78" s="168"/>
      <c r="H78" s="188">
        <f>IF(G$35=0,TrialBalance!N73,TrialBalance!N73*365/G$35)</f>
        <v>0</v>
      </c>
    </row>
    <row r="79" spans="2:8" x14ac:dyDescent="0.25">
      <c r="B79" s="2">
        <f>TrialBalance!C74</f>
        <v>0</v>
      </c>
      <c r="C79" s="350" t="str">
        <f>IF(H79=0,IF(TrialBalance!L74=0,"0%","100%"),E79/H79)</f>
        <v>0%</v>
      </c>
      <c r="E79" s="188">
        <f>TrialBalance!L74-Analytical!H79</f>
        <v>0</v>
      </c>
      <c r="G79" s="168"/>
      <c r="H79" s="188">
        <f>IF(G$35=0,TrialBalance!N74,TrialBalance!N74*365/G$35)</f>
        <v>0</v>
      </c>
    </row>
    <row r="80" spans="2:8" x14ac:dyDescent="0.25">
      <c r="B80" s="2">
        <f>TrialBalance!C75</f>
        <v>0</v>
      </c>
      <c r="C80" s="350" t="str">
        <f>IF(H80=0,IF(TrialBalance!L75=0,"0%","100%"),E80/H80)</f>
        <v>0%</v>
      </c>
      <c r="E80" s="188">
        <f>TrialBalance!L75-Analytical!H80</f>
        <v>0</v>
      </c>
      <c r="G80" s="168"/>
      <c r="H80" s="188">
        <f>IF(G$35=0,TrialBalance!N75,TrialBalance!N75*365/G$35)</f>
        <v>0</v>
      </c>
    </row>
    <row r="81" spans="2:8" x14ac:dyDescent="0.25">
      <c r="B81" s="2">
        <f>TrialBalance!C76</f>
        <v>0</v>
      </c>
      <c r="C81" s="350" t="str">
        <f>IF(H81=0,IF(TrialBalance!L76=0,"0%","100%"),E81/H81)</f>
        <v>0%</v>
      </c>
      <c r="E81" s="188">
        <f>TrialBalance!L76-Analytical!H81</f>
        <v>0</v>
      </c>
      <c r="G81" s="168"/>
      <c r="H81" s="188">
        <f>IF(G$35=0,TrialBalance!N76,TrialBalance!N76*365/G$35)</f>
        <v>0</v>
      </c>
    </row>
    <row r="82" spans="2:8" x14ac:dyDescent="0.25">
      <c r="B82" s="2">
        <f>TrialBalance!C77</f>
        <v>0</v>
      </c>
      <c r="C82" s="350" t="str">
        <f>IF(H82=0,IF(TrialBalance!L77=0,"0%","100%"),E82/H82)</f>
        <v>0%</v>
      </c>
      <c r="E82" s="188">
        <f>TrialBalance!L77-Analytical!H82</f>
        <v>0</v>
      </c>
      <c r="G82" s="168"/>
      <c r="H82" s="188">
        <f>IF(G$35=0,TrialBalance!N77,TrialBalance!N77*365/G$35)</f>
        <v>0</v>
      </c>
    </row>
    <row r="83" spans="2:8" x14ac:dyDescent="0.25">
      <c r="B83" s="2">
        <f>TrialBalance!C78</f>
        <v>0</v>
      </c>
      <c r="C83" s="350" t="str">
        <f>IF(H83=0,IF(TrialBalance!L78=0,"0%","100%"),E83/H83)</f>
        <v>0%</v>
      </c>
      <c r="E83" s="188">
        <f>TrialBalance!L78-Analytical!H83</f>
        <v>0</v>
      </c>
      <c r="G83" s="168"/>
      <c r="H83" s="188">
        <f>IF(G$35=0,TrialBalance!N78,TrialBalance!N78*365/G$35)</f>
        <v>0</v>
      </c>
    </row>
    <row r="84" spans="2:8" x14ac:dyDescent="0.25">
      <c r="B84" s="2">
        <f>TrialBalance!C79</f>
        <v>0</v>
      </c>
      <c r="C84" s="350" t="str">
        <f>IF(H84=0,IF(TrialBalance!L79=0,"0%","100%"),E84/H84)</f>
        <v>0%</v>
      </c>
      <c r="E84" s="188">
        <f>TrialBalance!L79-Analytical!H84</f>
        <v>0</v>
      </c>
      <c r="G84" s="168"/>
      <c r="H84" s="188">
        <f>IF(G$35=0,TrialBalance!N79,TrialBalance!N79*365/G$35)</f>
        <v>0</v>
      </c>
    </row>
    <row r="85" spans="2:8" x14ac:dyDescent="0.25">
      <c r="B85" s="2">
        <f>TrialBalance!C80</f>
        <v>0</v>
      </c>
      <c r="C85" s="350" t="str">
        <f>IF(H85=0,IF(TrialBalance!L80=0,"0%","100%"),E85/H85)</f>
        <v>0%</v>
      </c>
      <c r="E85" s="188">
        <f>TrialBalance!L80-Analytical!H85</f>
        <v>0</v>
      </c>
      <c r="G85" s="168"/>
      <c r="H85" s="188">
        <f>IF(G$35=0,TrialBalance!N80,TrialBalance!N80*365/G$35)</f>
        <v>0</v>
      </c>
    </row>
    <row r="86" spans="2:8" x14ac:dyDescent="0.25">
      <c r="B86" s="2">
        <f>TrialBalance!C81</f>
        <v>0</v>
      </c>
      <c r="C86" s="350" t="str">
        <f>IF(H86=0,IF(TrialBalance!L81=0,"0%","100%"),E86/H86)</f>
        <v>0%</v>
      </c>
      <c r="E86" s="188">
        <f>TrialBalance!L81-Analytical!H86</f>
        <v>0</v>
      </c>
      <c r="G86" s="168"/>
      <c r="H86" s="188">
        <f>IF(G$35=0,TrialBalance!N81,TrialBalance!N81*365/G$35)</f>
        <v>0</v>
      </c>
    </row>
    <row r="87" spans="2:8" x14ac:dyDescent="0.25">
      <c r="B87" s="2">
        <f>TrialBalance!C82</f>
        <v>0</v>
      </c>
      <c r="C87" s="350" t="str">
        <f>IF(H87=0,IF(TrialBalance!L82=0,"0%","100%"),E87/H87)</f>
        <v>0%</v>
      </c>
      <c r="E87" s="188">
        <f>TrialBalance!L82-Analytical!H87</f>
        <v>0</v>
      </c>
      <c r="G87" s="168"/>
      <c r="H87" s="188">
        <f>IF(G$35=0,TrialBalance!N82,TrialBalance!N82*365/G$35)</f>
        <v>0</v>
      </c>
    </row>
    <row r="88" spans="2:8" x14ac:dyDescent="0.25">
      <c r="B88" s="2" t="str">
        <f>TrialBalance!C98</f>
        <v>ADMINISTRATIVE EXPENSES</v>
      </c>
      <c r="C88" s="350"/>
      <c r="E88" s="188"/>
      <c r="G88" s="168"/>
      <c r="H88" s="188"/>
    </row>
    <row r="89" spans="2:8" x14ac:dyDescent="0.25">
      <c r="B89" s="2" t="str">
        <f>TrialBalance!C99</f>
        <v>Audit fees for current year</v>
      </c>
      <c r="C89" s="350" t="str">
        <f>IF(H89=0,IF(TrialBalance!L99=0,"0%","100%"),E89/H89)</f>
        <v>0%</v>
      </c>
      <c r="E89" s="188">
        <f>TrialBalance!L99-Analytical!H89</f>
        <v>0</v>
      </c>
      <c r="G89" s="168"/>
      <c r="H89" s="188">
        <f>IF(G$35=0,TrialBalance!N99,TrialBalance!N99*365/G$35)</f>
        <v>0</v>
      </c>
    </row>
    <row r="90" spans="2:8" x14ac:dyDescent="0.25">
      <c r="B90" s="2" t="str">
        <f>TrialBalance!C102</f>
        <v>Accounting fees</v>
      </c>
      <c r="C90" s="350" t="str">
        <f>IF(H90=0,IF(TrialBalance!L102=0,"0%","100%"),E90/H90)</f>
        <v>0%</v>
      </c>
      <c r="E90" s="188">
        <f>TrialBalance!L102-Analytical!H90</f>
        <v>0</v>
      </c>
      <c r="G90" s="168"/>
      <c r="H90" s="188">
        <f>IF(G$35=0,TrialBalance!N102,TrialBalance!N102*365/G$35)</f>
        <v>0</v>
      </c>
    </row>
    <row r="91" spans="2:8" x14ac:dyDescent="0.25">
      <c r="B91" s="2" t="str">
        <f>TrialBalance!C103</f>
        <v>Bank charges</v>
      </c>
      <c r="C91" s="350" t="str">
        <f>IF(H91=0,IF(TrialBalance!L103=0,"0%","100%"),E91/H91)</f>
        <v>0%</v>
      </c>
      <c r="E91" s="188">
        <f>TrialBalance!L103-Analytical!H91</f>
        <v>0</v>
      </c>
      <c r="G91" s="168"/>
      <c r="H91" s="188">
        <f>IF(G$35=0,TrialBalance!N103,TrialBalance!N103*365/G$35)</f>
        <v>0</v>
      </c>
    </row>
    <row r="92" spans="2:8" x14ac:dyDescent="0.25">
      <c r="B92" s="2" t="str">
        <f>TrialBalance!C104</f>
        <v>Bad debts</v>
      </c>
      <c r="C92" s="350" t="str">
        <f>IF(H92=0,IF(TrialBalance!L104=0,"0%","100%"),E92/H92)</f>
        <v>0%</v>
      </c>
      <c r="E92" s="188">
        <f>TrialBalance!L104-Analytical!H92</f>
        <v>0</v>
      </c>
      <c r="G92" s="168"/>
      <c r="H92" s="188">
        <f>IF(G$35=0,TrialBalance!N104,TrialBalance!N104*365/G$35)</f>
        <v>0</v>
      </c>
    </row>
    <row r="93" spans="2:8" x14ac:dyDescent="0.25">
      <c r="B93" s="2" t="str">
        <f>TrialBalance!C105</f>
        <v>Cleaning</v>
      </c>
      <c r="C93" s="350" t="str">
        <f>IF(H93=0,IF(TrialBalance!L105=0,"0%","100%"),E93/H93)</f>
        <v>0%</v>
      </c>
      <c r="E93" s="188">
        <f>TrialBalance!L105-Analytical!H93</f>
        <v>0</v>
      </c>
      <c r="G93" s="168"/>
      <c r="H93" s="188">
        <f>IF(G$35=0,TrialBalance!N105,TrialBalance!N105*365/G$35)</f>
        <v>0</v>
      </c>
    </row>
    <row r="94" spans="2:8" x14ac:dyDescent="0.25">
      <c r="B94" s="2" t="str">
        <f>TrialBalance!C106</f>
        <v>Computer expenses</v>
      </c>
      <c r="C94" s="350" t="str">
        <f>IF(H94=0,IF(TrialBalance!L106=0,"0%","100%"),E94/H94)</f>
        <v>0%</v>
      </c>
      <c r="E94" s="188">
        <f>TrialBalance!L106-Analytical!H94</f>
        <v>0</v>
      </c>
      <c r="G94" s="168"/>
      <c r="H94" s="188">
        <f>IF(G$35=0,TrialBalance!N106,TrialBalance!N106*365/G$35)</f>
        <v>0</v>
      </c>
    </row>
    <row r="95" spans="2:8" x14ac:dyDescent="0.25">
      <c r="B95" s="2" t="str">
        <f>TrialBalance!C107</f>
        <v>Consulting and professional fees</v>
      </c>
      <c r="C95" s="350" t="str">
        <f>IF(H95=0,IF(TrialBalance!L107=0,"0%","100%"),E95/H95)</f>
        <v>0%</v>
      </c>
      <c r="E95" s="188">
        <f>TrialBalance!L107-Analytical!H95</f>
        <v>0</v>
      </c>
      <c r="G95" s="168"/>
      <c r="H95" s="188">
        <f>IF(G$35=0,TrialBalance!N107,TrialBalance!N107*365/G$35)</f>
        <v>0</v>
      </c>
    </row>
    <row r="96" spans="2:8" x14ac:dyDescent="0.25">
      <c r="B96" s="2" t="str">
        <f>TrialBalance!C112</f>
        <v>Directors' remuneration-----------------</v>
      </c>
      <c r="C96" s="350"/>
      <c r="E96" s="188"/>
      <c r="G96" s="168"/>
      <c r="H96" s="188"/>
    </row>
    <row r="97" spans="2:8" x14ac:dyDescent="0.25">
      <c r="B97" s="2" t="str">
        <f>TrialBalance!C113</f>
        <v>A Director</v>
      </c>
      <c r="C97" s="350" t="str">
        <f>IF(H97=0,IF(TrialBalance!L113=0,"0%","100%"),E97/H97)</f>
        <v>0%</v>
      </c>
      <c r="E97" s="188">
        <f>TrialBalance!L113-Analytical!H97</f>
        <v>0</v>
      </c>
      <c r="G97" s="168"/>
      <c r="H97" s="188">
        <f>IF(G$35=0,TrialBalance!N113,TrialBalance!N113*365/G$35)</f>
        <v>0</v>
      </c>
    </row>
    <row r="98" spans="2:8" x14ac:dyDescent="0.25">
      <c r="B98" s="2" t="str">
        <f>TrialBalance!C114</f>
        <v>B Director</v>
      </c>
      <c r="C98" s="350" t="str">
        <f>IF(H98=0,IF(TrialBalance!L114=0,"0%","100%"),E98/H98)</f>
        <v>0%</v>
      </c>
      <c r="E98" s="188">
        <f>TrialBalance!L114-Analytical!H98</f>
        <v>0</v>
      </c>
      <c r="G98" s="168"/>
      <c r="H98" s="188">
        <f>IF(G$35=0,TrialBalance!N114,TrialBalance!N114*365/G$35)</f>
        <v>0</v>
      </c>
    </row>
    <row r="99" spans="2:8" x14ac:dyDescent="0.25">
      <c r="B99" s="2">
        <f>TrialBalance!C115</f>
        <v>0</v>
      </c>
      <c r="C99" s="350" t="str">
        <f>IF(H99=0,IF(TrialBalance!L115=0,"0%","100%"),E99/H99)</f>
        <v>0%</v>
      </c>
      <c r="E99" s="188">
        <f>TrialBalance!L115-Analytical!H99</f>
        <v>0</v>
      </c>
      <c r="G99" s="168"/>
      <c r="H99" s="188">
        <f>IF(G$35=0,TrialBalance!N115,TrialBalance!N115*365/G$35)</f>
        <v>0</v>
      </c>
    </row>
    <row r="100" spans="2:8" x14ac:dyDescent="0.25">
      <c r="B100" s="2">
        <f>TrialBalance!C116</f>
        <v>0</v>
      </c>
      <c r="C100" s="350" t="str">
        <f>IF(H100=0,IF(TrialBalance!L116=0,"0%","100%"),E100/H100)</f>
        <v>0%</v>
      </c>
      <c r="E100" s="188">
        <f>TrialBalance!L116-Analytical!H100</f>
        <v>0</v>
      </c>
      <c r="G100" s="168"/>
      <c r="H100" s="188">
        <f>IF(G$35=0,TrialBalance!N116,TrialBalance!N116*365/G$35)</f>
        <v>0</v>
      </c>
    </row>
    <row r="101" spans="2:8" x14ac:dyDescent="0.25">
      <c r="B101" s="2">
        <f>TrialBalance!C117</f>
        <v>0</v>
      </c>
      <c r="C101" s="350" t="str">
        <f>IF(H101=0,IF(TrialBalance!L117=0,"0%","100%"),E101/H101)</f>
        <v>0%</v>
      </c>
      <c r="E101" s="188">
        <f>TrialBalance!L117-Analytical!H101</f>
        <v>0</v>
      </c>
      <c r="G101" s="168"/>
      <c r="H101" s="188">
        <f>IF(G$35=0,TrialBalance!N117,TrialBalance!N117*365/G$35)</f>
        <v>0</v>
      </c>
    </row>
    <row r="102" spans="2:8" x14ac:dyDescent="0.25">
      <c r="B102" s="2" t="str">
        <f>TrialBalance!C118</f>
        <v>Donations</v>
      </c>
      <c r="C102" s="350" t="str">
        <f>IF(H102=0,IF(TrialBalance!L118=0,"0%","100%"),E102/H102)</f>
        <v>0%</v>
      </c>
      <c r="E102" s="188">
        <f>TrialBalance!L118-Analytical!H102</f>
        <v>0</v>
      </c>
      <c r="G102" s="168"/>
      <c r="H102" s="188">
        <f>IF(G$35=0,TrialBalance!N118,TrialBalance!N118*365/G$35)</f>
        <v>0</v>
      </c>
    </row>
    <row r="103" spans="2:8" x14ac:dyDescent="0.25">
      <c r="B103" s="2" t="str">
        <f>TrialBalance!C119</f>
        <v>Entertainment expenses</v>
      </c>
      <c r="C103" s="350" t="str">
        <f>IF(H103=0,IF(TrialBalance!L119=0,"0%","100%"),E103/H103)</f>
        <v>0%</v>
      </c>
      <c r="E103" s="188">
        <f>TrialBalance!L119-Analytical!H103</f>
        <v>0</v>
      </c>
      <c r="G103" s="168"/>
      <c r="H103" s="188">
        <f>IF(G$35=0,TrialBalance!N119,TrialBalance!N119*365/G$35)</f>
        <v>0</v>
      </c>
    </row>
    <row r="104" spans="2:8" x14ac:dyDescent="0.25">
      <c r="B104" s="2" t="str">
        <f>TrialBalance!C120</f>
        <v>Fines</v>
      </c>
      <c r="C104" s="350" t="str">
        <f>IF(H104=0,IF(TrialBalance!L120=0,"0%","100%"),E104/H104)</f>
        <v>0%</v>
      </c>
      <c r="E104" s="188">
        <f>TrialBalance!L120-Analytical!H104</f>
        <v>0</v>
      </c>
      <c r="G104" s="168"/>
      <c r="H104" s="188">
        <f>IF(G$35=0,TrialBalance!N120,TrialBalance!N120*365/G$35)</f>
        <v>0</v>
      </c>
    </row>
    <row r="105" spans="2:8" x14ac:dyDescent="0.25">
      <c r="B105" s="2" t="str">
        <f>TrialBalance!C121</f>
        <v>General expenses</v>
      </c>
      <c r="C105" s="350" t="str">
        <f>IF(H105=0,IF(TrialBalance!L121=0,"0%","100%"),E105/H105)</f>
        <v>0%</v>
      </c>
      <c r="E105" s="188">
        <f>TrialBalance!L121-Analytical!H105</f>
        <v>0</v>
      </c>
      <c r="G105" s="168"/>
      <c r="H105" s="188">
        <f>IF(G$35=0,TrialBalance!N121,TrialBalance!N121*365/G$35)</f>
        <v>0</v>
      </c>
    </row>
    <row r="106" spans="2:8" x14ac:dyDescent="0.25">
      <c r="B106" s="2" t="str">
        <f>TrialBalance!C122</f>
        <v>Legal expenses - tax deductible</v>
      </c>
      <c r="C106" s="350" t="str">
        <f>IF(H106=0,IF(TrialBalance!L122=0,"0%","100%"),E106/H106)</f>
        <v>0%</v>
      </c>
      <c r="E106" s="188">
        <f>TrialBalance!L122-Analytical!H106</f>
        <v>0</v>
      </c>
      <c r="G106" s="168"/>
      <c r="H106" s="188">
        <f>IF(G$35=0,TrialBalance!N122,TrialBalance!N122*365/G$35)</f>
        <v>0</v>
      </c>
    </row>
    <row r="107" spans="2:8" x14ac:dyDescent="0.25">
      <c r="B107" s="2" t="str">
        <f>TrialBalance!C123</f>
        <v>Legal expenses - non deductible</v>
      </c>
      <c r="C107" s="350" t="str">
        <f>IF(H107=0,IF(TrialBalance!L123=0,"0%","100%"),E107/H107)</f>
        <v>0%</v>
      </c>
      <c r="E107" s="188">
        <f>TrialBalance!L123-Analytical!H107</f>
        <v>0</v>
      </c>
      <c r="G107" s="168"/>
      <c r="H107" s="188">
        <f>IF(G$35=0,TrialBalance!N123,TrialBalance!N123*365/G$35)</f>
        <v>0</v>
      </c>
    </row>
    <row r="108" spans="2:8" x14ac:dyDescent="0.25">
      <c r="B108" s="2" t="str">
        <f>TrialBalance!C124</f>
        <v>Printing and stationary</v>
      </c>
      <c r="C108" s="350" t="str">
        <f>IF(H108=0,IF(TrialBalance!L124=0,"0%","100%"),E108/H108)</f>
        <v>0%</v>
      </c>
      <c r="E108" s="188">
        <f>TrialBalance!L124-Analytical!H108</f>
        <v>0</v>
      </c>
      <c r="G108" s="168"/>
      <c r="H108" s="188">
        <f>IF(G$35=0,TrialBalance!N124,TrialBalance!N124*365/G$35)</f>
        <v>0</v>
      </c>
    </row>
    <row r="109" spans="2:8" x14ac:dyDescent="0.25">
      <c r="B109" s="2" t="str">
        <f>TrialBalance!C125</f>
        <v>Refreshments</v>
      </c>
      <c r="C109" s="350" t="str">
        <f>IF(H109=0,IF(TrialBalance!L125=0,"0%","100%"),E109/H109)</f>
        <v>0%</v>
      </c>
      <c r="E109" s="188">
        <f>TrialBalance!L125-Analytical!H109</f>
        <v>0</v>
      </c>
      <c r="G109" s="168"/>
      <c r="H109" s="188">
        <f>IF(G$35=0,TrialBalance!N125,TrialBalance!N125*365/G$35)</f>
        <v>0</v>
      </c>
    </row>
    <row r="110" spans="2:8" x14ac:dyDescent="0.25">
      <c r="B110" s="2" t="str">
        <f>TrialBalance!C126</f>
        <v>Salaries</v>
      </c>
      <c r="C110" s="350" t="str">
        <f>IF(H110=0,IF(TrialBalance!L126=0,"0%","100%"),E110/H110)</f>
        <v>0%</v>
      </c>
      <c r="E110" s="188">
        <f>TrialBalance!L126-Analytical!H110</f>
        <v>0</v>
      </c>
      <c r="G110" s="168"/>
      <c r="H110" s="188">
        <f>IF(G$35=0,TrialBalance!N126,TrialBalance!N126*365/G$35)</f>
        <v>0</v>
      </c>
    </row>
    <row r="111" spans="2:8" x14ac:dyDescent="0.25">
      <c r="B111" s="2" t="str">
        <f>TrialBalance!C127</f>
        <v>Casual wages</v>
      </c>
      <c r="C111" s="350" t="str">
        <f>IF(H111=0,IF(TrialBalance!L127=0,"0%","100%"),E111/H111)</f>
        <v>0%</v>
      </c>
      <c r="E111" s="188">
        <f>TrialBalance!L127-Analytical!H111</f>
        <v>0</v>
      </c>
      <c r="G111" s="168"/>
      <c r="H111" s="188">
        <f>IF(G$35=0,TrialBalance!N127,TrialBalance!N127*365/G$35)</f>
        <v>0</v>
      </c>
    </row>
    <row r="112" spans="2:8" x14ac:dyDescent="0.25">
      <c r="B112" s="2" t="str">
        <f>TrialBalance!C128</f>
        <v>Security</v>
      </c>
      <c r="C112" s="350" t="str">
        <f>IF(H112=0,IF(TrialBalance!L128=0,"0%","100%"),E112/H112)</f>
        <v>0%</v>
      </c>
      <c r="E112" s="188">
        <f>TrialBalance!L128-Analytical!H112</f>
        <v>0</v>
      </c>
      <c r="G112" s="168"/>
      <c r="H112" s="188">
        <f>IF(G$35=0,TrialBalance!N128,TrialBalance!N128*365/G$35)</f>
        <v>0</v>
      </c>
    </row>
    <row r="113" spans="2:8" x14ac:dyDescent="0.25">
      <c r="B113" s="2" t="str">
        <f>TrialBalance!C129</f>
        <v>Subscriptions and membership fees</v>
      </c>
      <c r="C113" s="350" t="str">
        <f>IF(H113=0,IF(TrialBalance!L129=0,"0%","100%"),E113/H113)</f>
        <v>0%</v>
      </c>
      <c r="E113" s="188">
        <f>TrialBalance!L129-Analytical!H113</f>
        <v>0</v>
      </c>
      <c r="G113" s="168"/>
      <c r="H113" s="188">
        <f>IF(G$35=0,TrialBalance!N129,TrialBalance!N129*365/G$35)</f>
        <v>0</v>
      </c>
    </row>
    <row r="114" spans="2:8" x14ac:dyDescent="0.25">
      <c r="B114" s="2" t="str">
        <f>TrialBalance!C130</f>
        <v>Penalties and interest - SARS</v>
      </c>
      <c r="C114" s="350" t="str">
        <f>IF(H114=0,IF(TrialBalance!L130=0,"0%","100%"),E114/H114)</f>
        <v>0%</v>
      </c>
      <c r="E114" s="188">
        <f>TrialBalance!L130-Analytical!H114</f>
        <v>0</v>
      </c>
      <c r="G114" s="168"/>
      <c r="H114" s="188">
        <f>IF(G$35=0,TrialBalance!N130,TrialBalance!N130*365/G$35)</f>
        <v>0</v>
      </c>
    </row>
    <row r="115" spans="2:8" x14ac:dyDescent="0.25">
      <c r="B115" s="2">
        <f>TrialBalance!C131</f>
        <v>0</v>
      </c>
      <c r="C115" s="350" t="str">
        <f>IF(H115=0,IF(TrialBalance!L131=0,"0%","100%"),E115/H115)</f>
        <v>0%</v>
      </c>
      <c r="E115" s="188">
        <f>TrialBalance!L131-Analytical!H115</f>
        <v>0</v>
      </c>
      <c r="G115" s="168"/>
      <c r="H115" s="188">
        <f>IF(G$35=0,TrialBalance!N131,TrialBalance!N131*365/G$35)</f>
        <v>0</v>
      </c>
    </row>
    <row r="116" spans="2:8" x14ac:dyDescent="0.25">
      <c r="B116" s="2">
        <f>TrialBalance!C132</f>
        <v>0</v>
      </c>
      <c r="C116" s="350" t="str">
        <f>IF(H116=0,IF(TrialBalance!L132=0,"0%","100%"),E116/H116)</f>
        <v>0%</v>
      </c>
      <c r="E116" s="188">
        <f>TrialBalance!L132-Analytical!H116</f>
        <v>0</v>
      </c>
      <c r="G116" s="168"/>
      <c r="H116" s="188">
        <f>IF(G$35=0,TrialBalance!N132,TrialBalance!N132*365/G$35)</f>
        <v>0</v>
      </c>
    </row>
    <row r="117" spans="2:8" x14ac:dyDescent="0.25">
      <c r="B117" s="2">
        <f>TrialBalance!C133</f>
        <v>0</v>
      </c>
      <c r="C117" s="350" t="str">
        <f>IF(H117=0,IF(TrialBalance!L133=0,"0%","100%"),E117/H117)</f>
        <v>0%</v>
      </c>
      <c r="E117" s="188">
        <f>TrialBalance!L133-Analytical!H117</f>
        <v>0</v>
      </c>
      <c r="G117" s="168"/>
      <c r="H117" s="188">
        <f>IF(G$35=0,TrialBalance!N133,TrialBalance!N133*365/G$35)</f>
        <v>0</v>
      </c>
    </row>
    <row r="118" spans="2:8" x14ac:dyDescent="0.25">
      <c r="B118" s="2">
        <f>TrialBalance!C134</f>
        <v>0</v>
      </c>
      <c r="C118" s="350" t="str">
        <f>IF(H118=0,IF(TrialBalance!L134=0,"0%","100%"),E118/H118)</f>
        <v>0%</v>
      </c>
      <c r="E118" s="188">
        <f>TrialBalance!L134-Analytical!H118</f>
        <v>0</v>
      </c>
      <c r="G118" s="168"/>
      <c r="H118" s="188">
        <f>IF(G$35=0,TrialBalance!N134,TrialBalance!N134*365/G$35)</f>
        <v>0</v>
      </c>
    </row>
    <row r="119" spans="2:8" x14ac:dyDescent="0.25">
      <c r="B119" s="2">
        <f>TrialBalance!C135</f>
        <v>0</v>
      </c>
      <c r="C119" s="350" t="str">
        <f>IF(H119=0,IF(TrialBalance!L135=0,"0%","100%"),E119/H119)</f>
        <v>0%</v>
      </c>
      <c r="E119" s="188">
        <f>TrialBalance!L135-Analytical!H119</f>
        <v>0</v>
      </c>
      <c r="G119" s="168"/>
      <c r="H119" s="188">
        <f>IF(G$35=0,TrialBalance!N135,TrialBalance!N135*365/G$35)</f>
        <v>0</v>
      </c>
    </row>
    <row r="120" spans="2:8" x14ac:dyDescent="0.25">
      <c r="B120" s="2">
        <f>TrialBalance!C136</f>
        <v>0</v>
      </c>
      <c r="C120" s="350" t="str">
        <f>IF(H120=0,IF(TrialBalance!L136=0,"0%","100%"),E120/H120)</f>
        <v>0%</v>
      </c>
      <c r="E120" s="188">
        <f>TrialBalance!L136-Analytical!H120</f>
        <v>0</v>
      </c>
      <c r="G120" s="168"/>
      <c r="H120" s="188">
        <f>IF(G$35=0,TrialBalance!N136,TrialBalance!N136*365/G$35)</f>
        <v>0</v>
      </c>
    </row>
    <row r="121" spans="2:8" x14ac:dyDescent="0.25">
      <c r="B121" s="2">
        <f>TrialBalance!C137</f>
        <v>0</v>
      </c>
      <c r="C121" s="350" t="str">
        <f>IF(H121=0,IF(TrialBalance!L137=0,"0%","100%"),E121/H121)</f>
        <v>0%</v>
      </c>
      <c r="E121" s="188">
        <f>TrialBalance!L137-Analytical!H121</f>
        <v>0</v>
      </c>
      <c r="G121" s="168"/>
      <c r="H121" s="188">
        <f>IF(G$35=0,TrialBalance!N137,TrialBalance!N137*365/G$35)</f>
        <v>0</v>
      </c>
    </row>
    <row r="122" spans="2:8" x14ac:dyDescent="0.25">
      <c r="B122" s="2">
        <f>TrialBalance!C138</f>
        <v>0</v>
      </c>
      <c r="C122" s="350" t="str">
        <f>IF(H122=0,IF(TrialBalance!L138=0,"0%","100%"),E122/H122)</f>
        <v>0%</v>
      </c>
      <c r="E122" s="188">
        <f>TrialBalance!L138-Analytical!H122</f>
        <v>0</v>
      </c>
      <c r="G122" s="168"/>
      <c r="H122" s="188">
        <f>IF(G$35=0,TrialBalance!N138,TrialBalance!N138*365/G$35)</f>
        <v>0</v>
      </c>
    </row>
    <row r="123" spans="2:8" x14ac:dyDescent="0.25">
      <c r="B123" s="2">
        <f>TrialBalance!C139</f>
        <v>0</v>
      </c>
      <c r="C123" s="350" t="str">
        <f>IF(H123=0,IF(TrialBalance!L139=0,"0%","100%"),E123/H123)</f>
        <v>0%</v>
      </c>
      <c r="E123" s="188">
        <f>TrialBalance!L139-Analytical!H123</f>
        <v>0</v>
      </c>
      <c r="G123" s="168"/>
      <c r="H123" s="188">
        <f>IF(G$35=0,TrialBalance!N139,TrialBalance!N139*365/G$35)</f>
        <v>0</v>
      </c>
    </row>
  </sheetData>
  <mergeCells count="1">
    <mergeCell ref="C4:E4"/>
  </mergeCells>
  <dataValidations count="1">
    <dataValidation type="list" allowBlank="1" showInputMessage="1" showErrorMessage="1" sqref="G31" xr:uid="{613947F6-E949-4790-BE38-D25087FC8F97}">
      <formula1>$G$32:$H$32</formula1>
    </dataValidation>
  </dataValidations>
  <hyperlinks>
    <hyperlink ref="B7" location="TrialBalance!A1" display="CLIENT" xr:uid="{D027181A-FA14-43DB-A9DF-47B54A0E01B2}"/>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E0B05-B575-40E3-9D68-1181DF274E0B}">
  <sheetPr>
    <pageSetUpPr fitToPage="1"/>
  </sheetPr>
  <dimension ref="A1:AY3533"/>
  <sheetViews>
    <sheetView view="pageBreakPreview" zoomScale="60" zoomScaleNormal="100" workbookViewId="0">
      <selection activeCell="A12" sqref="A12"/>
    </sheetView>
  </sheetViews>
  <sheetFormatPr defaultRowHeight="31.5" x14ac:dyDescent="0.45"/>
  <cols>
    <col min="1" max="1" width="4.28515625" style="448" customWidth="1"/>
    <col min="2" max="2" width="6.140625" style="448" customWidth="1"/>
    <col min="3" max="3" width="9.7109375" style="448" customWidth="1"/>
    <col min="4" max="4" width="10.28515625" style="448" customWidth="1"/>
    <col min="5" max="5" width="9.7109375" style="448" customWidth="1"/>
    <col min="6" max="6" width="5.140625" style="448" customWidth="1"/>
    <col min="7" max="7" width="17.5703125" style="448" customWidth="1"/>
    <col min="8" max="8" width="21.85546875" style="448" customWidth="1"/>
    <col min="9" max="9" width="4.85546875" style="448" customWidth="1"/>
    <col min="10" max="11" width="22" style="448" customWidth="1"/>
    <col min="12" max="12" width="3.28515625" style="448" customWidth="1"/>
    <col min="13" max="13" width="26.5703125" style="539" customWidth="1"/>
    <col min="14" max="14" width="3.7109375" style="540" customWidth="1"/>
    <col min="15" max="15" width="26.5703125" style="539" customWidth="1"/>
    <col min="16" max="16" width="3.42578125" style="540" customWidth="1"/>
    <col min="17" max="17" width="6.5703125" style="448" customWidth="1"/>
    <col min="18" max="18" width="17.42578125" style="490" customWidth="1"/>
    <col min="19" max="19" width="20.85546875" style="491" bestFit="1" customWidth="1"/>
    <col min="20" max="20" width="4.85546875" style="491" customWidth="1"/>
    <col min="21" max="21" width="27.140625" style="491" customWidth="1"/>
    <col min="22" max="22" width="6.28515625" style="491" customWidth="1"/>
    <col min="23" max="23" width="12" style="491" bestFit="1" customWidth="1"/>
    <col min="24" max="24" width="21.85546875" style="491" bestFit="1" customWidth="1"/>
    <col min="25" max="26" width="8.85546875" style="498" customWidth="1"/>
    <col min="27" max="51" width="9.140625" style="492"/>
    <col min="52" max="16384" width="9.140625" style="451"/>
  </cols>
  <sheetData>
    <row r="1" spans="1:22" ht="31.5" customHeight="1" x14ac:dyDescent="0.45">
      <c r="U1" s="665" t="s">
        <v>784</v>
      </c>
      <c r="V1" s="665"/>
    </row>
    <row r="2" spans="1:22" ht="31.5" customHeight="1" x14ac:dyDescent="0.45">
      <c r="U2" s="500" t="str">
        <f>IF(COUNTIF(U3:U3533,"FALSE")&gt;0,"NO","YES")</f>
        <v>YES</v>
      </c>
      <c r="V2" s="335"/>
    </row>
    <row r="3" spans="1:22" ht="31.5" customHeight="1" x14ac:dyDescent="0.45"/>
    <row r="4" spans="1:22" ht="31.5" customHeight="1" x14ac:dyDescent="0.45"/>
    <row r="5" spans="1:22" ht="31.5" customHeight="1" x14ac:dyDescent="0.45"/>
    <row r="6" spans="1:22" ht="31.5" customHeight="1" x14ac:dyDescent="0.45"/>
    <row r="7" spans="1:22" ht="31.5" customHeight="1" x14ac:dyDescent="0.45"/>
    <row r="8" spans="1:22" ht="31.5" customHeight="1" x14ac:dyDescent="0.45"/>
    <row r="9" spans="1:22" ht="31.5" customHeight="1" x14ac:dyDescent="0.45"/>
    <row r="10" spans="1:22" ht="31.5" customHeight="1" x14ac:dyDescent="0.45"/>
    <row r="11" spans="1:22" ht="31.5" customHeight="1" x14ac:dyDescent="0.45"/>
    <row r="12" spans="1:22" ht="31.5" customHeight="1" x14ac:dyDescent="0.45"/>
    <row r="13" spans="1:22" ht="31.5" customHeight="1" x14ac:dyDescent="0.45"/>
    <row r="14" spans="1:22" ht="31.5" customHeight="1" x14ac:dyDescent="0.5">
      <c r="A14" s="631"/>
      <c r="B14" s="631"/>
      <c r="C14" s="631"/>
      <c r="D14" s="631"/>
      <c r="E14" s="631"/>
      <c r="F14" s="631"/>
      <c r="G14" s="631"/>
      <c r="H14" s="631"/>
      <c r="I14" s="631"/>
      <c r="J14" s="631"/>
      <c r="K14" s="631"/>
      <c r="L14" s="631"/>
      <c r="M14" s="643"/>
      <c r="N14" s="643"/>
      <c r="O14" s="643"/>
      <c r="P14" s="643"/>
      <c r="Q14" s="631"/>
    </row>
    <row r="15" spans="1:22" ht="36" customHeight="1" x14ac:dyDescent="0.5">
      <c r="A15" s="631"/>
      <c r="B15" s="631"/>
      <c r="C15" s="631"/>
      <c r="D15" s="631"/>
      <c r="E15" s="631"/>
      <c r="F15" s="631"/>
      <c r="G15" s="631"/>
      <c r="H15" s="631"/>
      <c r="I15" s="631"/>
      <c r="J15" s="631"/>
      <c r="K15" s="631"/>
      <c r="L15" s="631"/>
      <c r="M15" s="642"/>
      <c r="N15" s="642"/>
      <c r="O15" s="643"/>
      <c r="P15" s="643"/>
      <c r="Q15" s="631"/>
    </row>
    <row r="16" spans="1:22" ht="36" customHeight="1" x14ac:dyDescent="0.4">
      <c r="A16" s="667" t="str">
        <f>Criteria!E9</f>
        <v>ABC COMPANY (PROPRIETARY) LIMITED</v>
      </c>
      <c r="B16" s="667"/>
      <c r="C16" s="667"/>
      <c r="D16" s="667"/>
      <c r="E16" s="667"/>
      <c r="F16" s="667"/>
      <c r="G16" s="667"/>
      <c r="H16" s="667"/>
      <c r="I16" s="667"/>
      <c r="J16" s="667"/>
      <c r="K16" s="667"/>
      <c r="L16" s="667"/>
      <c r="M16" s="667"/>
      <c r="N16" s="667"/>
      <c r="O16" s="667"/>
      <c r="P16" s="667"/>
      <c r="Q16" s="667"/>
    </row>
    <row r="17" spans="1:17" ht="36" customHeight="1" x14ac:dyDescent="0.4">
      <c r="A17" s="616"/>
      <c r="B17" s="616"/>
      <c r="C17" s="616"/>
      <c r="D17" s="616"/>
      <c r="E17" s="616"/>
      <c r="F17" s="644"/>
      <c r="G17" s="644"/>
      <c r="H17" s="644"/>
      <c r="I17" s="644"/>
      <c r="J17" s="644"/>
      <c r="K17" s="644"/>
      <c r="L17" s="644"/>
      <c r="M17" s="644"/>
      <c r="N17" s="629"/>
      <c r="O17" s="617"/>
      <c r="P17" s="617"/>
      <c r="Q17" s="616"/>
    </row>
    <row r="18" spans="1:17" ht="36" customHeight="1" x14ac:dyDescent="0.4">
      <c r="A18" s="667" t="s">
        <v>1661</v>
      </c>
      <c r="B18" s="667"/>
      <c r="C18" s="667"/>
      <c r="D18" s="667"/>
      <c r="E18" s="667"/>
      <c r="F18" s="667"/>
      <c r="G18" s="667"/>
      <c r="H18" s="667"/>
      <c r="I18" s="667"/>
      <c r="J18" s="667"/>
      <c r="K18" s="667"/>
      <c r="L18" s="667"/>
      <c r="M18" s="667"/>
      <c r="N18" s="667"/>
      <c r="O18" s="667"/>
      <c r="P18" s="667"/>
      <c r="Q18" s="667"/>
    </row>
    <row r="19" spans="1:17" ht="36" customHeight="1" x14ac:dyDescent="0.4">
      <c r="A19" s="616"/>
      <c r="B19" s="616"/>
      <c r="C19" s="616"/>
      <c r="D19" s="616"/>
      <c r="E19" s="616"/>
      <c r="F19" s="644"/>
      <c r="G19" s="644"/>
      <c r="H19" s="644"/>
      <c r="I19" s="644"/>
      <c r="J19" s="644"/>
      <c r="K19" s="644"/>
      <c r="L19" s="644"/>
      <c r="M19" s="644"/>
      <c r="N19" s="644"/>
      <c r="O19" s="617"/>
      <c r="P19" s="617"/>
      <c r="Q19" s="616"/>
    </row>
    <row r="20" spans="1:17" ht="36" customHeight="1" x14ac:dyDescent="0.4">
      <c r="A20" s="667" t="str">
        <f>Criteria!E20</f>
        <v>28 FEBRUARY 2026</v>
      </c>
      <c r="B20" s="667"/>
      <c r="C20" s="667"/>
      <c r="D20" s="667"/>
      <c r="E20" s="667"/>
      <c r="F20" s="667"/>
      <c r="G20" s="667"/>
      <c r="H20" s="667"/>
      <c r="I20" s="667"/>
      <c r="J20" s="667"/>
      <c r="K20" s="667"/>
      <c r="L20" s="667"/>
      <c r="M20" s="667"/>
      <c r="N20" s="667"/>
      <c r="O20" s="667"/>
      <c r="P20" s="667"/>
      <c r="Q20" s="667"/>
    </row>
    <row r="21" spans="1:17" ht="36" customHeight="1" x14ac:dyDescent="0.4">
      <c r="A21" s="616"/>
      <c r="B21" s="616"/>
      <c r="C21" s="616"/>
      <c r="D21" s="616"/>
      <c r="E21" s="616"/>
      <c r="F21" s="616"/>
      <c r="G21" s="616"/>
      <c r="H21" s="616"/>
      <c r="I21" s="616"/>
      <c r="J21" s="616"/>
      <c r="K21" s="616"/>
      <c r="L21" s="616"/>
      <c r="M21" s="629"/>
      <c r="N21" s="629"/>
      <c r="O21" s="617"/>
      <c r="P21" s="617"/>
      <c r="Q21" s="616"/>
    </row>
    <row r="22" spans="1:17" ht="36" customHeight="1" x14ac:dyDescent="0.4">
      <c r="A22" s="666" t="str">
        <f>CONCATENATE("Registration number: ",Criteria!E18)</f>
        <v>Registration number: 2000/123456/07</v>
      </c>
      <c r="B22" s="666"/>
      <c r="C22" s="666"/>
      <c r="D22" s="666"/>
      <c r="E22" s="666"/>
      <c r="F22" s="666"/>
      <c r="G22" s="666"/>
      <c r="H22" s="666"/>
      <c r="I22" s="666"/>
      <c r="J22" s="666"/>
      <c r="K22" s="666"/>
      <c r="L22" s="666"/>
      <c r="M22" s="666"/>
      <c r="N22" s="666"/>
      <c r="O22" s="666"/>
      <c r="P22" s="666"/>
      <c r="Q22" s="666"/>
    </row>
    <row r="23" spans="1:17" ht="36" customHeight="1" x14ac:dyDescent="0.5">
      <c r="A23" s="631"/>
      <c r="B23" s="631"/>
      <c r="C23" s="631"/>
      <c r="D23" s="631"/>
      <c r="E23" s="631"/>
      <c r="F23" s="631"/>
      <c r="G23" s="631"/>
      <c r="H23" s="631"/>
      <c r="I23" s="631"/>
      <c r="J23" s="631"/>
      <c r="K23" s="631"/>
      <c r="L23" s="631"/>
      <c r="M23" s="643"/>
      <c r="N23" s="643"/>
      <c r="O23" s="643"/>
      <c r="P23" s="643"/>
      <c r="Q23" s="631"/>
    </row>
    <row r="24" spans="1:17" ht="31.5" customHeight="1" x14ac:dyDescent="0.5">
      <c r="A24" s="631"/>
      <c r="B24" s="631"/>
      <c r="C24" s="631"/>
      <c r="D24" s="631"/>
      <c r="E24" s="631"/>
      <c r="F24" s="631"/>
      <c r="G24" s="631"/>
      <c r="H24" s="631"/>
      <c r="I24" s="631"/>
      <c r="J24" s="631"/>
      <c r="K24" s="631"/>
      <c r="L24" s="631"/>
      <c r="M24" s="643"/>
      <c r="N24" s="643"/>
      <c r="O24" s="643"/>
      <c r="P24" s="643"/>
      <c r="Q24" s="631"/>
    </row>
    <row r="25" spans="1:17" ht="31.5" customHeight="1" x14ac:dyDescent="0.5">
      <c r="A25" s="631"/>
      <c r="B25" s="631"/>
      <c r="C25" s="631"/>
      <c r="D25" s="631"/>
      <c r="E25" s="631"/>
      <c r="F25" s="631"/>
      <c r="G25" s="631"/>
      <c r="H25" s="631"/>
      <c r="I25" s="631"/>
      <c r="J25" s="631"/>
      <c r="K25" s="631"/>
      <c r="L25" s="631"/>
      <c r="M25" s="643"/>
      <c r="N25" s="643"/>
      <c r="O25" s="643"/>
      <c r="P25" s="643"/>
      <c r="Q25" s="631"/>
    </row>
    <row r="26" spans="1:17" ht="31.5" customHeight="1" x14ac:dyDescent="0.45"/>
    <row r="27" spans="1:17" ht="31.5" customHeight="1" x14ac:dyDescent="0.45"/>
    <row r="28" spans="1:17" ht="31.5" customHeight="1" x14ac:dyDescent="0.45"/>
    <row r="29" spans="1:17" ht="31.5" customHeight="1" x14ac:dyDescent="0.45"/>
    <row r="30" spans="1:17" ht="31.5" customHeight="1" x14ac:dyDescent="0.45"/>
    <row r="31" spans="1:17" ht="31.5" customHeight="1" x14ac:dyDescent="0.45"/>
    <row r="32" spans="1:17" ht="31.5" customHeight="1" x14ac:dyDescent="0.45"/>
    <row r="33" ht="31.5" customHeight="1" x14ac:dyDescent="0.45"/>
    <row r="34" ht="31.5" customHeight="1" x14ac:dyDescent="0.45"/>
    <row r="35" ht="31.5" customHeight="1" x14ac:dyDescent="0.45"/>
    <row r="36" ht="31.5" customHeight="1" x14ac:dyDescent="0.45"/>
    <row r="37" ht="31.5" customHeight="1" x14ac:dyDescent="0.45"/>
    <row r="38" ht="31.5" customHeight="1" x14ac:dyDescent="0.45"/>
    <row r="39" ht="31.5" customHeight="1" x14ac:dyDescent="0.45"/>
    <row r="40" ht="31.5" customHeight="1" x14ac:dyDescent="0.45"/>
    <row r="41" ht="31.5" customHeight="1" x14ac:dyDescent="0.45"/>
    <row r="42" ht="31.5" customHeight="1" x14ac:dyDescent="0.45"/>
    <row r="43" ht="31.5" customHeight="1" x14ac:dyDescent="0.45"/>
    <row r="44" ht="31.5" customHeight="1" x14ac:dyDescent="0.45"/>
    <row r="45" ht="31.5" customHeight="1" x14ac:dyDescent="0.45"/>
    <row r="46" ht="31.5" customHeight="1" x14ac:dyDescent="0.45"/>
    <row r="47" ht="31.5" customHeight="1" x14ac:dyDescent="0.45"/>
    <row r="48" ht="31.5" customHeight="1" x14ac:dyDescent="0.45"/>
    <row r="49" spans="4:18" ht="31.5" customHeight="1" x14ac:dyDescent="0.45"/>
    <row r="50" spans="4:18" ht="31.5" customHeight="1" x14ac:dyDescent="0.45"/>
    <row r="51" spans="4:18" ht="31.5" customHeight="1" x14ac:dyDescent="0.45"/>
    <row r="52" spans="4:18" ht="31.5" customHeight="1" x14ac:dyDescent="0.45"/>
    <row r="53" spans="4:18" ht="31.5" customHeight="1" x14ac:dyDescent="0.45"/>
    <row r="54" spans="4:18" ht="31.5" customHeight="1" x14ac:dyDescent="0.45"/>
    <row r="55" spans="4:18" ht="36" customHeight="1" x14ac:dyDescent="0.45"/>
    <row r="56" spans="4:18" ht="36" customHeight="1" x14ac:dyDescent="0.45">
      <c r="D56" s="615" t="str">
        <f>Criteria!E9</f>
        <v>ABC COMPANY (PROPRIETARY) LIMITED</v>
      </c>
      <c r="E56" s="616"/>
      <c r="F56" s="616"/>
      <c r="G56" s="616"/>
      <c r="H56" s="616"/>
      <c r="I56" s="616"/>
      <c r="J56" s="616"/>
      <c r="K56" s="616"/>
      <c r="L56" s="616"/>
      <c r="M56" s="617"/>
      <c r="N56" s="617"/>
      <c r="O56" s="617"/>
      <c r="P56" s="617"/>
      <c r="Q56" s="616"/>
    </row>
    <row r="57" spans="4:18" ht="36" customHeight="1" x14ac:dyDescent="0.45">
      <c r="D57" s="615" t="str">
        <f>Criteria!E10</f>
        <v>T/A SEAFRONT HOTEL, ABC RESTAURANT AND RENTAL PROPERTIES</v>
      </c>
      <c r="E57" s="616"/>
      <c r="F57" s="616"/>
      <c r="G57" s="616"/>
      <c r="H57" s="616"/>
      <c r="I57" s="616"/>
      <c r="J57" s="616"/>
      <c r="K57" s="616"/>
      <c r="L57" s="616"/>
      <c r="M57" s="617"/>
      <c r="N57" s="617"/>
      <c r="O57" s="617"/>
      <c r="P57" s="617"/>
      <c r="Q57" s="616"/>
      <c r="R57" s="490" t="str">
        <f>IF(D57=0,"DELETE"," ")</f>
        <v xml:space="preserve"> </v>
      </c>
    </row>
    <row r="58" spans="4:18" ht="36" customHeight="1" x14ac:dyDescent="0.45">
      <c r="D58" s="615" t="str">
        <f>Criteria!E18</f>
        <v>2000/123456/07</v>
      </c>
      <c r="E58" s="616"/>
      <c r="F58" s="616"/>
      <c r="G58" s="616"/>
      <c r="H58" s="616"/>
      <c r="I58" s="616"/>
      <c r="J58" s="616"/>
      <c r="K58" s="616"/>
      <c r="L58" s="616"/>
      <c r="M58" s="617"/>
      <c r="N58" s="617"/>
      <c r="O58" s="617"/>
      <c r="P58" s="617"/>
      <c r="Q58" s="616"/>
    </row>
    <row r="59" spans="4:18" ht="36" customHeight="1" x14ac:dyDescent="0.45">
      <c r="D59" s="615"/>
      <c r="E59" s="616"/>
      <c r="F59" s="616"/>
      <c r="G59" s="616"/>
      <c r="H59" s="616"/>
      <c r="I59" s="616"/>
      <c r="J59" s="616"/>
      <c r="K59" s="616"/>
      <c r="L59" s="616"/>
      <c r="M59" s="617"/>
      <c r="N59" s="617"/>
      <c r="O59" s="617"/>
      <c r="P59" s="617"/>
      <c r="Q59" s="616"/>
    </row>
    <row r="60" spans="4:18" ht="36" customHeight="1" x14ac:dyDescent="0.45">
      <c r="D60" s="615" t="s">
        <v>180</v>
      </c>
      <c r="E60" s="616"/>
      <c r="F60" s="616"/>
      <c r="G60" s="616"/>
      <c r="H60" s="616"/>
      <c r="I60" s="616"/>
      <c r="J60" s="616"/>
      <c r="K60" s="616"/>
      <c r="L60" s="616"/>
      <c r="M60" s="617"/>
      <c r="N60" s="617"/>
      <c r="O60" s="617"/>
      <c r="P60" s="617"/>
      <c r="Q60" s="616"/>
    </row>
    <row r="61" spans="4:18" ht="36" customHeight="1" x14ac:dyDescent="0.45">
      <c r="D61" s="615" t="str">
        <f>Criteria!E20</f>
        <v>28 FEBRUARY 2026</v>
      </c>
      <c r="E61" s="616"/>
      <c r="F61" s="616"/>
      <c r="G61" s="616"/>
      <c r="H61" s="616"/>
      <c r="I61" s="616"/>
      <c r="J61" s="616"/>
      <c r="K61" s="616"/>
      <c r="L61" s="616"/>
      <c r="M61" s="617"/>
      <c r="N61" s="617"/>
      <c r="O61" s="617"/>
      <c r="P61" s="617"/>
      <c r="Q61" s="616"/>
    </row>
    <row r="62" spans="4:18" ht="36" customHeight="1" x14ac:dyDescent="0.45">
      <c r="D62" s="616"/>
      <c r="E62" s="616"/>
      <c r="F62" s="616"/>
      <c r="G62" s="616"/>
      <c r="H62" s="616"/>
      <c r="I62" s="616"/>
      <c r="J62" s="616"/>
      <c r="K62" s="616"/>
      <c r="L62" s="616"/>
      <c r="M62" s="617"/>
      <c r="N62" s="617"/>
      <c r="O62" s="617"/>
      <c r="P62" s="617"/>
      <c r="Q62" s="616"/>
    </row>
    <row r="63" spans="4:18" ht="36" customHeight="1" x14ac:dyDescent="0.45">
      <c r="D63" s="616"/>
      <c r="E63" s="616"/>
      <c r="F63" s="616"/>
      <c r="G63" s="616"/>
      <c r="H63" s="616"/>
      <c r="I63" s="616"/>
      <c r="J63" s="616"/>
      <c r="K63" s="616"/>
      <c r="L63" s="616"/>
      <c r="M63" s="617"/>
      <c r="N63" s="617"/>
      <c r="O63" s="617"/>
      <c r="P63" s="617"/>
      <c r="Q63" s="616"/>
    </row>
    <row r="64" spans="4:18" ht="36" customHeight="1" x14ac:dyDescent="0.45">
      <c r="D64" s="616" t="s">
        <v>1191</v>
      </c>
      <c r="E64" s="616"/>
      <c r="F64" s="616"/>
      <c r="G64" s="616"/>
      <c r="H64" s="616"/>
      <c r="I64" s="616"/>
      <c r="J64" s="616"/>
      <c r="K64" s="616"/>
      <c r="L64" s="616"/>
      <c r="M64" s="617"/>
      <c r="N64" s="617"/>
      <c r="O64" s="617"/>
      <c r="P64" s="617"/>
      <c r="Q64" s="616"/>
    </row>
    <row r="65" spans="4:17" ht="36" customHeight="1" x14ac:dyDescent="0.45">
      <c r="D65" s="616" t="str">
        <f>IF(MAX(Criteria!H54:H58)=1,"presented to the Shareholder:","presented to the Shareholders:")</f>
        <v>presented to the Shareholders:</v>
      </c>
      <c r="E65" s="616"/>
      <c r="F65" s="616"/>
      <c r="G65" s="616"/>
      <c r="H65" s="616"/>
      <c r="I65" s="616"/>
      <c r="J65" s="616"/>
      <c r="K65" s="616"/>
      <c r="L65" s="616"/>
      <c r="M65" s="617"/>
      <c r="N65" s="617"/>
      <c r="O65" s="617"/>
      <c r="P65" s="617"/>
      <c r="Q65" s="616"/>
    </row>
    <row r="66" spans="4:17" ht="36" customHeight="1" x14ac:dyDescent="0.45">
      <c r="D66" s="616"/>
      <c r="E66" s="616"/>
      <c r="F66" s="616"/>
      <c r="G66" s="616"/>
      <c r="H66" s="616"/>
      <c r="I66" s="616"/>
      <c r="J66" s="616"/>
      <c r="K66" s="616"/>
      <c r="L66" s="616"/>
      <c r="M66" s="617"/>
      <c r="N66" s="617"/>
      <c r="O66" s="617"/>
      <c r="P66" s="617"/>
      <c r="Q66" s="616"/>
    </row>
    <row r="67" spans="4:17" ht="36" customHeight="1" x14ac:dyDescent="0.45">
      <c r="D67" s="615" t="s">
        <v>1476</v>
      </c>
      <c r="E67" s="616"/>
      <c r="F67" s="616"/>
      <c r="G67" s="616"/>
      <c r="H67" s="616"/>
      <c r="I67" s="616"/>
      <c r="J67" s="616"/>
      <c r="K67" s="616"/>
      <c r="L67" s="616"/>
      <c r="M67" s="617"/>
      <c r="N67" s="618"/>
      <c r="O67" s="618" t="s">
        <v>1488</v>
      </c>
      <c r="P67" s="617"/>
      <c r="Q67" s="616"/>
    </row>
    <row r="68" spans="4:17" ht="36" customHeight="1" x14ac:dyDescent="0.45">
      <c r="D68" s="616"/>
      <c r="E68" s="616"/>
      <c r="F68" s="616"/>
      <c r="G68" s="616"/>
      <c r="H68" s="616"/>
      <c r="I68" s="616"/>
      <c r="J68" s="616"/>
      <c r="K68" s="616"/>
      <c r="L68" s="616"/>
      <c r="M68" s="617"/>
      <c r="N68" s="617"/>
      <c r="O68" s="617"/>
      <c r="P68" s="617"/>
      <c r="Q68" s="616"/>
    </row>
    <row r="69" spans="4:17" ht="36" customHeight="1" x14ac:dyDescent="0.45">
      <c r="D69" s="616" t="s">
        <v>1477</v>
      </c>
      <c r="E69" s="616"/>
      <c r="F69" s="616"/>
      <c r="G69" s="616"/>
      <c r="H69" s="616"/>
      <c r="I69" s="616"/>
      <c r="J69" s="616"/>
      <c r="K69" s="616"/>
      <c r="L69" s="616"/>
      <c r="M69" s="617"/>
      <c r="N69" s="619"/>
      <c r="O69" s="619">
        <f>Q103</f>
        <v>1</v>
      </c>
      <c r="P69" s="617"/>
      <c r="Q69" s="616"/>
    </row>
    <row r="70" spans="4:17" ht="36" customHeight="1" x14ac:dyDescent="0.45">
      <c r="D70" s="616"/>
      <c r="E70" s="616"/>
      <c r="F70" s="616"/>
      <c r="G70" s="616"/>
      <c r="H70" s="616"/>
      <c r="I70" s="616"/>
      <c r="J70" s="616"/>
      <c r="K70" s="616"/>
      <c r="L70" s="616"/>
      <c r="M70" s="617"/>
      <c r="N70" s="619"/>
      <c r="O70" s="619"/>
      <c r="P70" s="617"/>
      <c r="Q70" s="616"/>
    </row>
    <row r="71" spans="4:17" ht="36" customHeight="1" x14ac:dyDescent="0.45">
      <c r="D71" s="616" t="str">
        <f>IF(MAX(Criteria!I41:I45)&gt;1,"Directors' responsibility statement and approval","Director's responsibility statement and approval")</f>
        <v>Directors' responsibility statement and approval</v>
      </c>
      <c r="E71" s="616"/>
      <c r="F71" s="616"/>
      <c r="G71" s="616"/>
      <c r="H71" s="616"/>
      <c r="I71" s="616"/>
      <c r="J71" s="616"/>
      <c r="K71" s="616"/>
      <c r="L71" s="616"/>
      <c r="M71" s="617"/>
      <c r="N71" s="619"/>
      <c r="O71" s="619">
        <f>Q155</f>
        <v>2</v>
      </c>
      <c r="P71" s="617"/>
      <c r="Q71" s="616"/>
    </row>
    <row r="72" spans="4:17" ht="36" customHeight="1" x14ac:dyDescent="0.45">
      <c r="D72" s="616"/>
      <c r="E72" s="616"/>
      <c r="F72" s="616"/>
      <c r="G72" s="616"/>
      <c r="H72" s="616"/>
      <c r="I72" s="616"/>
      <c r="J72" s="616"/>
      <c r="K72" s="616"/>
      <c r="L72" s="616"/>
      <c r="M72" s="617"/>
      <c r="N72" s="619"/>
      <c r="O72" s="619"/>
      <c r="P72" s="617"/>
      <c r="Q72" s="616"/>
    </row>
    <row r="73" spans="4:17" ht="36" customHeight="1" x14ac:dyDescent="0.45">
      <c r="D73" s="616" t="str">
        <f>IF(Criteria!E29="Compilation","Accounting Officer's compilation report",IF(Criteria!E29="Review","Independent reviewer's report","Auditor's report"))</f>
        <v>Accounting Officer's compilation report</v>
      </c>
      <c r="E73" s="616"/>
      <c r="F73" s="616"/>
      <c r="G73" s="616"/>
      <c r="H73" s="616"/>
      <c r="I73" s="616"/>
      <c r="J73" s="616"/>
      <c r="K73" s="616"/>
      <c r="L73" s="616"/>
      <c r="M73" s="617"/>
      <c r="N73" s="619"/>
      <c r="O73" s="619" t="str">
        <f>IF(O71+1&lt;MAX(Q204:Q442),CONCATENATE(O71+1," - ",MAX(Q204:Q442)),O71+1)</f>
        <v>3 - 7</v>
      </c>
      <c r="P73" s="617"/>
      <c r="Q73" s="616"/>
    </row>
    <row r="74" spans="4:17" ht="36" customHeight="1" x14ac:dyDescent="0.45">
      <c r="D74" s="616"/>
      <c r="E74" s="616"/>
      <c r="F74" s="616"/>
      <c r="G74" s="616"/>
      <c r="H74" s="616"/>
      <c r="I74" s="616"/>
      <c r="J74" s="616"/>
      <c r="K74" s="616"/>
      <c r="L74" s="616"/>
      <c r="M74" s="617"/>
      <c r="N74" s="619"/>
      <c r="O74" s="619"/>
      <c r="P74" s="617"/>
      <c r="Q74" s="616"/>
    </row>
    <row r="75" spans="4:17" ht="36" customHeight="1" x14ac:dyDescent="0.45">
      <c r="D75" s="616" t="str">
        <f>IF(MAX(Criteria!I41:I45)&gt;1,"Directors' report","Director's report")</f>
        <v>Directors' report</v>
      </c>
      <c r="E75" s="616"/>
      <c r="F75" s="616"/>
      <c r="G75" s="616"/>
      <c r="H75" s="616"/>
      <c r="I75" s="616"/>
      <c r="J75" s="616"/>
      <c r="K75" s="616"/>
      <c r="L75" s="616"/>
      <c r="M75" s="617"/>
      <c r="N75" s="619"/>
      <c r="O75" s="619" t="str">
        <f>CONCATENATE(Q443," -  ",MAX(Q443:Q600))</f>
        <v>8 -  12</v>
      </c>
      <c r="P75" s="617"/>
      <c r="Q75" s="616"/>
    </row>
    <row r="76" spans="4:17" ht="36" customHeight="1" x14ac:dyDescent="0.45">
      <c r="D76" s="616"/>
      <c r="E76" s="616"/>
      <c r="F76" s="616"/>
      <c r="G76" s="616"/>
      <c r="H76" s="616"/>
      <c r="I76" s="616"/>
      <c r="J76" s="616"/>
      <c r="K76" s="616"/>
      <c r="L76" s="616"/>
      <c r="M76" s="617"/>
      <c r="N76" s="619"/>
      <c r="O76" s="619"/>
      <c r="P76" s="617"/>
      <c r="Q76" s="616"/>
    </row>
    <row r="77" spans="4:17" ht="36" customHeight="1" x14ac:dyDescent="0.45">
      <c r="D77" s="616" t="s">
        <v>1478</v>
      </c>
      <c r="E77" s="616"/>
      <c r="F77" s="616"/>
      <c r="G77" s="616"/>
      <c r="H77" s="616"/>
      <c r="I77" s="616"/>
      <c r="J77" s="616"/>
      <c r="K77" s="616"/>
      <c r="L77" s="616"/>
      <c r="M77" s="617"/>
      <c r="N77" s="619"/>
      <c r="O77" s="619">
        <f>Q601</f>
        <v>13</v>
      </c>
      <c r="P77" s="617"/>
      <c r="Q77" s="616"/>
    </row>
    <row r="78" spans="4:17" ht="36" customHeight="1" x14ac:dyDescent="0.45">
      <c r="D78" s="616"/>
      <c r="E78" s="616"/>
      <c r="F78" s="616"/>
      <c r="G78" s="616"/>
      <c r="H78" s="616"/>
      <c r="I78" s="616"/>
      <c r="J78" s="616"/>
      <c r="K78" s="616"/>
      <c r="L78" s="616"/>
      <c r="M78" s="617"/>
      <c r="N78" s="619"/>
      <c r="O78" s="619"/>
      <c r="P78" s="617"/>
      <c r="Q78" s="616"/>
    </row>
    <row r="79" spans="4:17" ht="36" customHeight="1" x14ac:dyDescent="0.45">
      <c r="D79" s="616" t="s">
        <v>1479</v>
      </c>
      <c r="E79" s="616"/>
      <c r="F79" s="616"/>
      <c r="G79" s="616"/>
      <c r="H79" s="616"/>
      <c r="I79" s="616"/>
      <c r="J79" s="616"/>
      <c r="K79" s="616"/>
      <c r="L79" s="616"/>
      <c r="M79" s="617"/>
      <c r="N79" s="619"/>
      <c r="O79" s="619">
        <f>Q660</f>
        <v>14</v>
      </c>
      <c r="P79" s="617"/>
      <c r="Q79" s="616"/>
    </row>
    <row r="80" spans="4:17" ht="36" customHeight="1" x14ac:dyDescent="0.45">
      <c r="D80" s="616"/>
      <c r="E80" s="616"/>
      <c r="F80" s="616"/>
      <c r="G80" s="616"/>
      <c r="H80" s="616"/>
      <c r="I80" s="616"/>
      <c r="J80" s="616"/>
      <c r="K80" s="616"/>
      <c r="L80" s="616"/>
      <c r="M80" s="617"/>
      <c r="N80" s="619"/>
      <c r="O80" s="619"/>
      <c r="P80" s="617"/>
      <c r="Q80" s="616"/>
    </row>
    <row r="81" spans="4:18" ht="36" customHeight="1" x14ac:dyDescent="0.45">
      <c r="D81" s="616" t="s">
        <v>1480</v>
      </c>
      <c r="E81" s="616"/>
      <c r="F81" s="616"/>
      <c r="G81" s="616"/>
      <c r="H81" s="616"/>
      <c r="I81" s="616"/>
      <c r="J81" s="616"/>
      <c r="K81" s="616"/>
      <c r="L81" s="616"/>
      <c r="M81" s="617"/>
      <c r="N81" s="619"/>
      <c r="O81" s="619">
        <f>Q734</f>
        <v>15</v>
      </c>
      <c r="P81" s="617"/>
      <c r="Q81" s="616"/>
    </row>
    <row r="82" spans="4:18" ht="36" customHeight="1" x14ac:dyDescent="0.45">
      <c r="D82" s="616"/>
      <c r="E82" s="616"/>
      <c r="F82" s="616"/>
      <c r="G82" s="616"/>
      <c r="H82" s="616"/>
      <c r="I82" s="616"/>
      <c r="J82" s="616"/>
      <c r="K82" s="616"/>
      <c r="L82" s="616"/>
      <c r="M82" s="617"/>
      <c r="N82" s="619"/>
      <c r="O82" s="619"/>
      <c r="P82" s="617"/>
      <c r="Q82" s="616"/>
    </row>
    <row r="83" spans="4:18" ht="36" customHeight="1" x14ac:dyDescent="0.45">
      <c r="D83" s="616" t="s">
        <v>1481</v>
      </c>
      <c r="E83" s="616"/>
      <c r="F83" s="616"/>
      <c r="G83" s="616"/>
      <c r="H83" s="616"/>
      <c r="I83" s="616"/>
      <c r="J83" s="616"/>
      <c r="K83" s="616"/>
      <c r="L83" s="616"/>
      <c r="M83" s="617"/>
      <c r="N83" s="619"/>
      <c r="O83" s="619">
        <f>Q790</f>
        <v>16</v>
      </c>
      <c r="P83" s="617"/>
      <c r="Q83" s="616"/>
    </row>
    <row r="84" spans="4:18" ht="36" customHeight="1" x14ac:dyDescent="0.45">
      <c r="D84" s="616"/>
      <c r="E84" s="616"/>
      <c r="F84" s="616"/>
      <c r="G84" s="616"/>
      <c r="H84" s="616"/>
      <c r="I84" s="616"/>
      <c r="J84" s="616"/>
      <c r="K84" s="616"/>
      <c r="L84" s="616"/>
      <c r="M84" s="617"/>
      <c r="N84" s="619"/>
      <c r="O84" s="619"/>
      <c r="P84" s="617"/>
      <c r="Q84" s="616"/>
    </row>
    <row r="85" spans="4:18" ht="36" customHeight="1" x14ac:dyDescent="0.45">
      <c r="D85" s="616" t="s">
        <v>1483</v>
      </c>
      <c r="E85" s="616"/>
      <c r="F85" s="616"/>
      <c r="G85" s="616"/>
      <c r="H85" s="616"/>
      <c r="I85" s="616"/>
      <c r="J85" s="616"/>
      <c r="K85" s="616"/>
      <c r="L85" s="616"/>
      <c r="M85" s="617"/>
      <c r="N85" s="619"/>
      <c r="O85" s="619" t="str">
        <f>CONCATENATE(Q865," -  ",MAX(Q865:Q2736))</f>
        <v>17 -  72</v>
      </c>
      <c r="P85" s="617"/>
      <c r="Q85" s="616"/>
    </row>
    <row r="86" spans="4:18" ht="36" customHeight="1" x14ac:dyDescent="0.45">
      <c r="D86" s="616"/>
      <c r="E86" s="616"/>
      <c r="F86" s="616"/>
      <c r="G86" s="616"/>
      <c r="H86" s="616"/>
      <c r="I86" s="616"/>
      <c r="J86" s="616"/>
      <c r="K86" s="616"/>
      <c r="L86" s="616"/>
      <c r="M86" s="617"/>
      <c r="N86" s="619"/>
      <c r="O86" s="619"/>
      <c r="P86" s="617"/>
      <c r="Q86" s="616"/>
    </row>
    <row r="87" spans="4:18" ht="36" customHeight="1" x14ac:dyDescent="0.45">
      <c r="D87" s="616" t="s">
        <v>1484</v>
      </c>
      <c r="E87" s="616"/>
      <c r="F87" s="616"/>
      <c r="G87" s="616"/>
      <c r="H87" s="616"/>
      <c r="I87" s="616"/>
      <c r="J87" s="616"/>
      <c r="K87" s="616"/>
      <c r="L87" s="616"/>
      <c r="M87" s="617"/>
      <c r="N87" s="619"/>
      <c r="O87" s="619" t="str">
        <f>IF(Q2737&lt;MAX(Q2737:Q2903),CONCATENATE(Q2737," - ",MAX(Q2737:Q2903)),Q2737)</f>
        <v>73 - 74</v>
      </c>
      <c r="P87" s="617"/>
      <c r="Q87" s="616"/>
    </row>
    <row r="88" spans="4:18" ht="36" customHeight="1" x14ac:dyDescent="0.45">
      <c r="D88" s="616"/>
      <c r="E88" s="616"/>
      <c r="F88" s="616"/>
      <c r="G88" s="616"/>
      <c r="H88" s="616"/>
      <c r="I88" s="616"/>
      <c r="J88" s="616"/>
      <c r="K88" s="616"/>
      <c r="L88" s="616"/>
      <c r="M88" s="617"/>
      <c r="N88" s="619"/>
      <c r="O88" s="619"/>
      <c r="P88" s="617"/>
      <c r="Q88" s="616"/>
    </row>
    <row r="89" spans="4:18" ht="36" customHeight="1" x14ac:dyDescent="0.45">
      <c r="D89" s="616" t="s">
        <v>1485</v>
      </c>
      <c r="E89" s="616"/>
      <c r="F89" s="616"/>
      <c r="G89" s="616"/>
      <c r="H89" s="616"/>
      <c r="I89" s="616"/>
      <c r="J89" s="616"/>
      <c r="K89" s="616"/>
      <c r="L89" s="616"/>
      <c r="M89" s="617"/>
      <c r="N89" s="619"/>
      <c r="O89" s="619">
        <f>Q2904</f>
        <v>75</v>
      </c>
      <c r="P89" s="617"/>
      <c r="Q89" s="616"/>
    </row>
    <row r="90" spans="4:18" ht="36" customHeight="1" x14ac:dyDescent="0.45">
      <c r="D90" s="616"/>
      <c r="E90" s="616"/>
      <c r="F90" s="616"/>
      <c r="G90" s="616"/>
      <c r="H90" s="616"/>
      <c r="I90" s="616"/>
      <c r="J90" s="616"/>
      <c r="K90" s="616"/>
      <c r="L90" s="616"/>
      <c r="M90" s="617"/>
      <c r="N90" s="619"/>
      <c r="O90" s="619"/>
      <c r="P90" s="617"/>
      <c r="Q90" s="616"/>
    </row>
    <row r="91" spans="4:18" ht="36" customHeight="1" x14ac:dyDescent="0.45">
      <c r="D91" s="616" t="s">
        <v>1486</v>
      </c>
      <c r="E91" s="616"/>
      <c r="F91" s="616"/>
      <c r="G91" s="616"/>
      <c r="H91" s="616"/>
      <c r="I91" s="616"/>
      <c r="J91" s="616"/>
      <c r="K91" s="616"/>
      <c r="L91" s="616"/>
      <c r="M91" s="617"/>
      <c r="N91" s="619"/>
      <c r="O91" s="619">
        <f>Q2978</f>
        <v>76</v>
      </c>
      <c r="P91" s="617"/>
      <c r="Q91" s="616"/>
      <c r="R91" s="490" t="str">
        <f>R2978</f>
        <v>DELETE</v>
      </c>
    </row>
    <row r="92" spans="4:18" ht="36" customHeight="1" x14ac:dyDescent="0.45">
      <c r="D92" s="616"/>
      <c r="E92" s="616"/>
      <c r="F92" s="616"/>
      <c r="G92" s="616"/>
      <c r="H92" s="616"/>
      <c r="I92" s="616"/>
      <c r="J92" s="616"/>
      <c r="K92" s="616"/>
      <c r="L92" s="616"/>
      <c r="M92" s="617"/>
      <c r="N92" s="617"/>
      <c r="O92" s="617"/>
      <c r="P92" s="617"/>
      <c r="Q92" s="616"/>
    </row>
    <row r="93" spans="4:18" ht="36" customHeight="1" x14ac:dyDescent="0.45">
      <c r="D93" s="616" t="s">
        <v>1487</v>
      </c>
      <c r="E93" s="616"/>
      <c r="F93" s="616"/>
      <c r="G93" s="616"/>
      <c r="H93" s="616"/>
      <c r="I93" s="616"/>
      <c r="J93" s="616"/>
      <c r="K93" s="616"/>
      <c r="L93" s="616"/>
      <c r="M93" s="617"/>
      <c r="N93" s="617"/>
      <c r="O93" s="617"/>
      <c r="P93" s="617"/>
      <c r="Q93" s="616"/>
      <c r="R93" s="490" t="str">
        <f>IF(Criteria!E14=0,"DELETE"," ")</f>
        <v xml:space="preserve"> </v>
      </c>
    </row>
    <row r="94" spans="4:18" ht="36" customHeight="1" x14ac:dyDescent="0.45">
      <c r="D94" s="616" t="s">
        <v>25</v>
      </c>
      <c r="E94" s="616" t="str">
        <f>CONCATENATE("Detailed income statement"," - ",Criteria!H14)</f>
        <v>Detailed income statement - ABC Restaurant</v>
      </c>
      <c r="F94" s="616"/>
      <c r="G94" s="616"/>
      <c r="H94" s="616"/>
      <c r="I94" s="616"/>
      <c r="J94" s="616"/>
      <c r="K94" s="616"/>
      <c r="L94" s="616"/>
      <c r="M94" s="617"/>
      <c r="N94" s="617"/>
      <c r="O94" s="617"/>
      <c r="P94" s="617"/>
      <c r="Q94" s="616"/>
      <c r="R94" s="490" t="str">
        <f>IF(Criteria!E14=0,"DELETE"," ")</f>
        <v xml:space="preserve"> </v>
      </c>
    </row>
    <row r="95" spans="4:18" ht="36" customHeight="1" x14ac:dyDescent="0.45">
      <c r="D95" s="616" t="s">
        <v>697</v>
      </c>
      <c r="E95" s="616" t="str">
        <f>CONCATENATE("Detailed income statement"," - ",Criteria!H15)</f>
        <v>Detailed income statement - Rental Properties</v>
      </c>
      <c r="F95" s="616"/>
      <c r="G95" s="616"/>
      <c r="H95" s="616"/>
      <c r="I95" s="616"/>
      <c r="J95" s="616"/>
      <c r="K95" s="616"/>
      <c r="L95" s="616"/>
      <c r="M95" s="617"/>
      <c r="N95" s="617"/>
      <c r="O95" s="617"/>
      <c r="P95" s="617"/>
      <c r="Q95" s="616"/>
      <c r="R95" s="490" t="str">
        <f>IF(Criteria!E15=0,"DELETE"," ")</f>
        <v xml:space="preserve"> </v>
      </c>
    </row>
    <row r="96" spans="4:18" ht="36" customHeight="1" x14ac:dyDescent="0.45">
      <c r="D96" s="616" t="s">
        <v>703</v>
      </c>
      <c r="E96" s="616" t="str">
        <f>CONCATENATE("Detailed income statement"," - ",Criteria!H16)</f>
        <v xml:space="preserve">Detailed income statement - </v>
      </c>
      <c r="F96" s="616"/>
      <c r="G96" s="616"/>
      <c r="H96" s="616"/>
      <c r="I96" s="616"/>
      <c r="J96" s="616"/>
      <c r="K96" s="616"/>
      <c r="L96" s="616"/>
      <c r="M96" s="617"/>
      <c r="N96" s="617"/>
      <c r="O96" s="617"/>
      <c r="P96" s="617"/>
      <c r="Q96" s="616"/>
      <c r="R96" s="490" t="str">
        <f>IF(Criteria!E16=0,"DELETE"," ")</f>
        <v>DELETE</v>
      </c>
    </row>
    <row r="97" spans="4:18" ht="36" customHeight="1" x14ac:dyDescent="0.45">
      <c r="D97" s="616"/>
      <c r="E97" s="616"/>
      <c r="F97" s="616"/>
      <c r="G97" s="616"/>
      <c r="H97" s="616"/>
      <c r="I97" s="616"/>
      <c r="J97" s="616"/>
      <c r="K97" s="616"/>
      <c r="L97" s="616"/>
      <c r="M97" s="617"/>
      <c r="N97" s="617"/>
      <c r="O97" s="617"/>
      <c r="P97" s="617"/>
      <c r="Q97" s="616"/>
    </row>
    <row r="98" spans="4:18" ht="36" customHeight="1" x14ac:dyDescent="0.45">
      <c r="D98" s="615"/>
      <c r="E98" s="616"/>
      <c r="F98" s="616"/>
      <c r="G98" s="616"/>
      <c r="H98" s="616"/>
      <c r="I98" s="616"/>
      <c r="J98" s="616"/>
      <c r="K98" s="616"/>
      <c r="L98" s="616"/>
      <c r="M98" s="617"/>
      <c r="N98" s="617"/>
      <c r="O98" s="617"/>
      <c r="P98" s="617"/>
      <c r="Q98" s="616"/>
    </row>
    <row r="99" spans="4:18" ht="36" customHeight="1" x14ac:dyDescent="0.45">
      <c r="D99" s="616"/>
      <c r="E99" s="616"/>
      <c r="F99" s="616"/>
      <c r="G99" s="616"/>
      <c r="H99" s="616"/>
      <c r="I99" s="616"/>
      <c r="J99" s="616"/>
      <c r="K99" s="616"/>
      <c r="L99" s="616"/>
      <c r="M99" s="617"/>
      <c r="N99" s="617"/>
      <c r="O99" s="617"/>
      <c r="P99" s="617"/>
      <c r="Q99" s="616"/>
    </row>
    <row r="100" spans="4:18" ht="36" customHeight="1" x14ac:dyDescent="0.45">
      <c r="D100" s="616"/>
      <c r="E100" s="616"/>
      <c r="F100" s="616"/>
      <c r="G100" s="616"/>
      <c r="H100" s="616"/>
      <c r="I100" s="616"/>
      <c r="J100" s="616"/>
      <c r="K100" s="616"/>
      <c r="L100" s="616"/>
      <c r="M100" s="617"/>
      <c r="N100" s="617"/>
      <c r="O100" s="617"/>
      <c r="P100" s="617"/>
      <c r="Q100" s="616"/>
    </row>
    <row r="101" spans="4:18" ht="36" customHeight="1" x14ac:dyDescent="0.45">
      <c r="D101" s="616"/>
      <c r="E101" s="616"/>
      <c r="F101" s="616"/>
      <c r="G101" s="616"/>
      <c r="H101" s="616"/>
      <c r="I101" s="616"/>
      <c r="J101" s="616"/>
      <c r="K101" s="616"/>
      <c r="L101" s="616"/>
      <c r="M101" s="617"/>
      <c r="N101" s="617"/>
      <c r="O101" s="617"/>
      <c r="P101" s="617"/>
      <c r="Q101" s="616"/>
    </row>
    <row r="102" spans="4:18" ht="36" customHeight="1" x14ac:dyDescent="0.45">
      <c r="D102" s="616"/>
      <c r="E102" s="616"/>
      <c r="F102" s="616"/>
      <c r="G102" s="616"/>
      <c r="H102" s="616"/>
      <c r="I102" s="616"/>
      <c r="J102" s="616"/>
      <c r="K102" s="616"/>
      <c r="L102" s="616"/>
      <c r="M102" s="617"/>
      <c r="N102" s="617"/>
      <c r="O102" s="617"/>
      <c r="P102" s="617"/>
      <c r="Q102" s="616"/>
    </row>
    <row r="103" spans="4:18" ht="36" customHeight="1" x14ac:dyDescent="0.45">
      <c r="O103" s="454" t="s">
        <v>112</v>
      </c>
      <c r="P103" s="454"/>
      <c r="Q103" s="450">
        <v>1</v>
      </c>
    </row>
    <row r="104" spans="4:18" ht="36" customHeight="1" x14ac:dyDescent="0.45">
      <c r="D104" s="615" t="str">
        <f>Criteria!E9</f>
        <v>ABC COMPANY (PROPRIETARY) LIMITED</v>
      </c>
      <c r="E104" s="616"/>
      <c r="F104" s="616"/>
      <c r="G104" s="616"/>
      <c r="H104" s="616"/>
      <c r="I104" s="616"/>
      <c r="J104" s="616"/>
      <c r="K104" s="616"/>
      <c r="L104" s="616"/>
      <c r="M104" s="617"/>
      <c r="N104" s="617"/>
      <c r="O104" s="617"/>
      <c r="P104" s="617"/>
      <c r="Q104" s="616"/>
    </row>
    <row r="105" spans="4:18" ht="36" customHeight="1" x14ac:dyDescent="0.45">
      <c r="D105" s="615" t="str">
        <f>Criteria!E10</f>
        <v>T/A SEAFRONT HOTEL, ABC RESTAURANT AND RENTAL PROPERTIES</v>
      </c>
      <c r="E105" s="616"/>
      <c r="F105" s="616"/>
      <c r="G105" s="616"/>
      <c r="H105" s="616"/>
      <c r="I105" s="616"/>
      <c r="J105" s="616"/>
      <c r="K105" s="616"/>
      <c r="L105" s="616"/>
      <c r="M105" s="617"/>
      <c r="N105" s="617"/>
      <c r="O105" s="617"/>
      <c r="P105" s="617"/>
      <c r="Q105" s="616"/>
      <c r="R105" s="490" t="str">
        <f>IF(D105=0,"DELETE"," ")</f>
        <v xml:space="preserve"> </v>
      </c>
    </row>
    <row r="106" spans="4:18" ht="36" customHeight="1" x14ac:dyDescent="0.45">
      <c r="D106" s="616"/>
      <c r="E106" s="616"/>
      <c r="F106" s="616"/>
      <c r="G106" s="616"/>
      <c r="H106" s="616"/>
      <c r="I106" s="616"/>
      <c r="J106" s="616"/>
      <c r="K106" s="616"/>
      <c r="L106" s="616"/>
      <c r="M106" s="617"/>
      <c r="N106" s="617"/>
      <c r="O106" s="617"/>
      <c r="P106" s="617"/>
      <c r="Q106" s="616"/>
    </row>
    <row r="107" spans="4:18" ht="36" customHeight="1" x14ac:dyDescent="0.45">
      <c r="D107" s="615" t="s">
        <v>181</v>
      </c>
      <c r="E107" s="616"/>
      <c r="F107" s="616"/>
      <c r="G107" s="616"/>
      <c r="H107" s="616"/>
      <c r="I107" s="616"/>
      <c r="J107" s="616"/>
      <c r="K107" s="616"/>
      <c r="L107" s="616"/>
      <c r="M107" s="617"/>
      <c r="N107" s="617"/>
      <c r="O107" s="617"/>
      <c r="P107" s="617"/>
      <c r="Q107" s="616"/>
    </row>
    <row r="108" spans="4:18" ht="36" customHeight="1" x14ac:dyDescent="0.45">
      <c r="D108" s="616"/>
      <c r="E108" s="616"/>
      <c r="F108" s="616"/>
      <c r="G108" s="616"/>
      <c r="H108" s="616"/>
      <c r="I108" s="616"/>
      <c r="J108" s="616"/>
      <c r="K108" s="616"/>
      <c r="L108" s="616"/>
      <c r="M108" s="617"/>
      <c r="N108" s="617"/>
      <c r="O108" s="617"/>
      <c r="P108" s="617"/>
      <c r="Q108" s="616"/>
    </row>
    <row r="109" spans="4:18" ht="36" customHeight="1" x14ac:dyDescent="0.45">
      <c r="D109" s="616" t="s">
        <v>1190</v>
      </c>
      <c r="E109" s="616"/>
      <c r="F109" s="616"/>
      <c r="G109" s="616"/>
      <c r="H109" s="616"/>
      <c r="I109" s="616"/>
      <c r="J109" s="620"/>
      <c r="K109" s="616"/>
      <c r="L109" s="616"/>
      <c r="M109" s="617"/>
      <c r="N109" s="617"/>
      <c r="O109" s="617"/>
      <c r="P109" s="617"/>
      <c r="Q109" s="616"/>
    </row>
    <row r="110" spans="4:18" ht="36" customHeight="1" x14ac:dyDescent="0.45">
      <c r="D110" s="616" t="s">
        <v>1189</v>
      </c>
      <c r="E110" s="616"/>
      <c r="F110" s="616"/>
      <c r="G110" s="616"/>
      <c r="H110" s="616"/>
      <c r="I110" s="616"/>
      <c r="J110" s="621" t="s">
        <v>704</v>
      </c>
      <c r="K110" s="616"/>
      <c r="L110" s="616"/>
      <c r="M110" s="617"/>
      <c r="N110" s="617"/>
      <c r="O110" s="617"/>
      <c r="P110" s="617"/>
      <c r="Q110" s="616"/>
    </row>
    <row r="111" spans="4:18" ht="36" customHeight="1" x14ac:dyDescent="0.45">
      <c r="D111" s="616"/>
      <c r="E111" s="616"/>
      <c r="F111" s="616"/>
      <c r="G111" s="616"/>
      <c r="H111" s="616"/>
      <c r="I111" s="616"/>
      <c r="J111" s="621"/>
      <c r="K111" s="616"/>
      <c r="L111" s="616"/>
      <c r="M111" s="617"/>
      <c r="N111" s="617"/>
      <c r="O111" s="617"/>
      <c r="P111" s="617"/>
      <c r="Q111" s="616"/>
    </row>
    <row r="112" spans="4:18" ht="36" customHeight="1" x14ac:dyDescent="0.45">
      <c r="D112" s="616" t="s">
        <v>864</v>
      </c>
      <c r="E112" s="616"/>
      <c r="F112" s="616"/>
      <c r="G112" s="616"/>
      <c r="H112" s="616"/>
      <c r="I112" s="616"/>
      <c r="J112" s="621" t="s">
        <v>865</v>
      </c>
      <c r="K112" s="616"/>
      <c r="L112" s="616"/>
      <c r="M112" s="617"/>
      <c r="N112" s="617"/>
      <c r="O112" s="617"/>
      <c r="P112" s="617"/>
      <c r="Q112" s="616"/>
    </row>
    <row r="113" spans="4:18" ht="36" customHeight="1" x14ac:dyDescent="0.45">
      <c r="D113" s="616"/>
      <c r="E113" s="616"/>
      <c r="F113" s="616"/>
      <c r="G113" s="616"/>
      <c r="H113" s="616"/>
      <c r="I113" s="616"/>
      <c r="J113" s="621"/>
      <c r="K113" s="616"/>
      <c r="L113" s="616"/>
      <c r="M113" s="617"/>
      <c r="N113" s="617"/>
      <c r="O113" s="617"/>
      <c r="P113" s="617"/>
      <c r="Q113" s="616"/>
    </row>
    <row r="114" spans="4:18" ht="36" customHeight="1" x14ac:dyDescent="0.45">
      <c r="D114" s="616" t="s">
        <v>1474</v>
      </c>
      <c r="E114" s="616"/>
      <c r="F114" s="616"/>
      <c r="G114" s="616"/>
      <c r="H114" s="616"/>
      <c r="I114" s="616"/>
      <c r="J114" s="621"/>
      <c r="K114" s="616"/>
      <c r="L114" s="616"/>
      <c r="M114" s="617"/>
      <c r="N114" s="617"/>
      <c r="O114" s="617"/>
      <c r="P114" s="617"/>
      <c r="Q114" s="616"/>
    </row>
    <row r="115" spans="4:18" ht="36" customHeight="1" x14ac:dyDescent="0.45">
      <c r="D115" s="616" t="s">
        <v>1475</v>
      </c>
      <c r="E115" s="616"/>
      <c r="F115" s="616"/>
      <c r="G115" s="616"/>
      <c r="H115" s="616"/>
      <c r="I115" s="616"/>
      <c r="J115" s="621" t="str">
        <f>Criteria!E36</f>
        <v>Hotel trade</v>
      </c>
      <c r="K115" s="616"/>
      <c r="L115" s="616"/>
      <c r="M115" s="617"/>
      <c r="N115" s="617"/>
      <c r="O115" s="617"/>
      <c r="P115" s="617"/>
      <c r="Q115" s="616"/>
    </row>
    <row r="116" spans="4:18" ht="36" customHeight="1" x14ac:dyDescent="0.45">
      <c r="D116" s="620"/>
      <c r="E116" s="616"/>
      <c r="F116" s="616"/>
      <c r="G116" s="616"/>
      <c r="H116" s="616"/>
      <c r="I116" s="616"/>
      <c r="J116" s="621" t="str">
        <f>Criteria!E37</f>
        <v>Restaurant industry</v>
      </c>
      <c r="K116" s="616"/>
      <c r="L116" s="616"/>
      <c r="M116" s="617"/>
      <c r="N116" s="617"/>
      <c r="O116" s="617"/>
      <c r="P116" s="617"/>
      <c r="Q116" s="616"/>
      <c r="R116" s="490" t="str">
        <f>IF(J116=0,"DELETE"," ")</f>
        <v xml:space="preserve"> </v>
      </c>
    </row>
    <row r="117" spans="4:18" ht="36" customHeight="1" x14ac:dyDescent="0.45">
      <c r="D117" s="616"/>
      <c r="E117" s="616"/>
      <c r="F117" s="616"/>
      <c r="G117" s="616"/>
      <c r="H117" s="616"/>
      <c r="I117" s="616"/>
      <c r="J117" s="621" t="str">
        <f>Criteria!E38</f>
        <v>Investment in immovable property</v>
      </c>
      <c r="K117" s="616"/>
      <c r="L117" s="616"/>
      <c r="M117" s="617"/>
      <c r="N117" s="617"/>
      <c r="O117" s="617"/>
      <c r="P117" s="617"/>
      <c r="Q117" s="616"/>
      <c r="R117" s="490" t="str">
        <f>IF(J117=0,"DELETE"," ")</f>
        <v xml:space="preserve"> </v>
      </c>
    </row>
    <row r="118" spans="4:18" ht="36" customHeight="1" x14ac:dyDescent="0.45">
      <c r="D118" s="616"/>
      <c r="E118" s="616"/>
      <c r="F118" s="616"/>
      <c r="G118" s="616"/>
      <c r="H118" s="616"/>
      <c r="I118" s="616"/>
      <c r="J118" s="621">
        <f>Criteria!E39</f>
        <v>0</v>
      </c>
      <c r="K118" s="616"/>
      <c r="L118" s="616"/>
      <c r="M118" s="617"/>
      <c r="N118" s="617"/>
      <c r="O118" s="617"/>
      <c r="P118" s="617"/>
      <c r="Q118" s="616"/>
      <c r="R118" s="490" t="str">
        <f>IF(J118=0,"DELETE"," ")</f>
        <v>DELETE</v>
      </c>
    </row>
    <row r="119" spans="4:18" ht="36" customHeight="1" x14ac:dyDescent="0.45">
      <c r="D119" s="616"/>
      <c r="E119" s="616"/>
      <c r="F119" s="616"/>
      <c r="G119" s="616"/>
      <c r="H119" s="616"/>
      <c r="I119" s="616"/>
      <c r="J119" s="621"/>
      <c r="K119" s="616"/>
      <c r="L119" s="616"/>
      <c r="M119" s="617"/>
      <c r="N119" s="617"/>
      <c r="O119" s="617"/>
      <c r="P119" s="617"/>
      <c r="Q119" s="616"/>
    </row>
    <row r="120" spans="4:18" ht="36" customHeight="1" x14ac:dyDescent="0.45">
      <c r="D120" s="616" t="str">
        <f>IF(MAX(Criteria!I41:I45)&gt;1,"Directors","Director")</f>
        <v>Directors</v>
      </c>
      <c r="E120" s="616"/>
      <c r="F120" s="616"/>
      <c r="G120" s="616"/>
      <c r="H120" s="616"/>
      <c r="I120" s="616"/>
      <c r="J120" s="621" t="str">
        <f>Criteria!E41</f>
        <v>A Director</v>
      </c>
      <c r="K120" s="616"/>
      <c r="L120" s="616"/>
      <c r="M120" s="617"/>
      <c r="N120" s="617"/>
      <c r="O120" s="617"/>
      <c r="P120" s="617"/>
      <c r="Q120" s="616"/>
    </row>
    <row r="121" spans="4:18" ht="36" customHeight="1" x14ac:dyDescent="0.45">
      <c r="D121" s="616"/>
      <c r="E121" s="616"/>
      <c r="F121" s="616"/>
      <c r="G121" s="616"/>
      <c r="H121" s="616"/>
      <c r="I121" s="616"/>
      <c r="J121" s="621" t="str">
        <f>Criteria!E42</f>
        <v>B Director</v>
      </c>
      <c r="K121" s="616"/>
      <c r="L121" s="616"/>
      <c r="M121" s="617"/>
      <c r="N121" s="617"/>
      <c r="O121" s="617"/>
      <c r="P121" s="617"/>
      <c r="Q121" s="616"/>
      <c r="R121" s="490" t="str">
        <f>IF(J121=0,"DELETE"," ")</f>
        <v xml:space="preserve"> </v>
      </c>
    </row>
    <row r="122" spans="4:18" ht="36" customHeight="1" x14ac:dyDescent="0.45">
      <c r="D122" s="616"/>
      <c r="E122" s="616"/>
      <c r="F122" s="616"/>
      <c r="G122" s="616"/>
      <c r="H122" s="616"/>
      <c r="I122" s="616"/>
      <c r="J122" s="621">
        <f>Criteria!E43</f>
        <v>0</v>
      </c>
      <c r="K122" s="616"/>
      <c r="L122" s="616"/>
      <c r="M122" s="617"/>
      <c r="N122" s="617"/>
      <c r="O122" s="617"/>
      <c r="P122" s="617"/>
      <c r="Q122" s="616"/>
      <c r="R122" s="490" t="str">
        <f>IF(J122=0,"DELETE"," ")</f>
        <v>DELETE</v>
      </c>
    </row>
    <row r="123" spans="4:18" ht="36" customHeight="1" x14ac:dyDescent="0.45">
      <c r="D123" s="616"/>
      <c r="E123" s="616"/>
      <c r="F123" s="616"/>
      <c r="G123" s="616"/>
      <c r="H123" s="616"/>
      <c r="I123" s="616"/>
      <c r="J123" s="621">
        <f>Criteria!E44</f>
        <v>0</v>
      </c>
      <c r="K123" s="616"/>
      <c r="L123" s="616"/>
      <c r="M123" s="617"/>
      <c r="N123" s="617"/>
      <c r="O123" s="617"/>
      <c r="P123" s="617"/>
      <c r="Q123" s="616"/>
      <c r="R123" s="490" t="str">
        <f>IF(J123=0,"DELETE"," ")</f>
        <v>DELETE</v>
      </c>
    </row>
    <row r="124" spans="4:18" ht="36" customHeight="1" x14ac:dyDescent="0.45">
      <c r="D124" s="616"/>
      <c r="E124" s="616"/>
      <c r="F124" s="616"/>
      <c r="G124" s="616"/>
      <c r="H124" s="616"/>
      <c r="I124" s="616"/>
      <c r="J124" s="621">
        <f>Criteria!E45</f>
        <v>0</v>
      </c>
      <c r="K124" s="616"/>
      <c r="L124" s="616"/>
      <c r="M124" s="617"/>
      <c r="N124" s="617"/>
      <c r="O124" s="617"/>
      <c r="P124" s="617"/>
      <c r="Q124" s="616"/>
      <c r="R124" s="490" t="str">
        <f>IF(J124=0,"DELETE"," ")</f>
        <v>DELETE</v>
      </c>
    </row>
    <row r="125" spans="4:18" ht="36" customHeight="1" x14ac:dyDescent="0.45">
      <c r="D125" s="616"/>
      <c r="E125" s="616"/>
      <c r="F125" s="616"/>
      <c r="G125" s="616"/>
      <c r="H125" s="616"/>
      <c r="I125" s="616"/>
      <c r="J125" s="621"/>
      <c r="K125" s="616"/>
      <c r="L125" s="616"/>
      <c r="M125" s="617"/>
      <c r="N125" s="617"/>
      <c r="O125" s="617"/>
      <c r="P125" s="617"/>
      <c r="Q125" s="616"/>
    </row>
    <row r="126" spans="4:18" ht="36" customHeight="1" x14ac:dyDescent="0.45">
      <c r="D126" s="616" t="s">
        <v>114</v>
      </c>
      <c r="E126" s="616"/>
      <c r="F126" s="616"/>
      <c r="G126" s="616"/>
      <c r="H126" s="616"/>
      <c r="I126" s="616"/>
      <c r="J126" s="621">
        <f>Criteria!E60</f>
        <v>0</v>
      </c>
      <c r="K126" s="616"/>
      <c r="L126" s="616"/>
      <c r="M126" s="617"/>
      <c r="N126" s="617"/>
      <c r="O126" s="617"/>
      <c r="P126" s="617"/>
      <c r="Q126" s="616"/>
    </row>
    <row r="127" spans="4:18" ht="36" customHeight="1" x14ac:dyDescent="0.45">
      <c r="D127" s="616"/>
      <c r="E127" s="616"/>
      <c r="F127" s="616"/>
      <c r="G127" s="616"/>
      <c r="H127" s="616"/>
      <c r="I127" s="616"/>
      <c r="J127" s="621">
        <f>Criteria!E61</f>
        <v>0</v>
      </c>
      <c r="K127" s="616"/>
      <c r="L127" s="616"/>
      <c r="M127" s="617"/>
      <c r="N127" s="617"/>
      <c r="O127" s="617"/>
      <c r="P127" s="617"/>
      <c r="Q127" s="616"/>
    </row>
    <row r="128" spans="4:18" ht="36" customHeight="1" x14ac:dyDescent="0.45">
      <c r="D128" s="616"/>
      <c r="E128" s="616"/>
      <c r="F128" s="616"/>
      <c r="G128" s="616"/>
      <c r="H128" s="616"/>
      <c r="I128" s="616"/>
      <c r="J128" s="621">
        <f>Criteria!E62</f>
        <v>0</v>
      </c>
      <c r="K128" s="616"/>
      <c r="L128" s="616"/>
      <c r="M128" s="617"/>
      <c r="N128" s="617"/>
      <c r="O128" s="617"/>
      <c r="P128" s="617"/>
      <c r="Q128" s="616"/>
      <c r="R128" s="490" t="str">
        <f>IF(J128=0,"DELETE"," ")</f>
        <v>DELETE</v>
      </c>
    </row>
    <row r="129" spans="4:18" ht="36" customHeight="1" x14ac:dyDescent="0.45">
      <c r="D129" s="616"/>
      <c r="E129" s="616"/>
      <c r="F129" s="616"/>
      <c r="G129" s="616"/>
      <c r="H129" s="616"/>
      <c r="I129" s="616"/>
      <c r="J129" s="621">
        <f>Criteria!E63</f>
        <v>0</v>
      </c>
      <c r="K129" s="616"/>
      <c r="L129" s="616"/>
      <c r="M129" s="617"/>
      <c r="N129" s="617"/>
      <c r="O129" s="617"/>
      <c r="P129" s="617"/>
      <c r="Q129" s="616"/>
      <c r="R129" s="490" t="str">
        <f>IF(J129=0,"DELETE"," ")</f>
        <v>DELETE</v>
      </c>
    </row>
    <row r="130" spans="4:18" ht="36" customHeight="1" x14ac:dyDescent="0.45">
      <c r="D130" s="616"/>
      <c r="E130" s="616"/>
      <c r="F130" s="616"/>
      <c r="G130" s="616"/>
      <c r="H130" s="616"/>
      <c r="I130" s="616"/>
      <c r="J130" s="621"/>
      <c r="K130" s="616"/>
      <c r="L130" s="616"/>
      <c r="M130" s="617"/>
      <c r="N130" s="617"/>
      <c r="O130" s="617"/>
      <c r="P130" s="617"/>
      <c r="Q130" s="616"/>
      <c r="R130" s="490" t="str">
        <f>R131</f>
        <v>DELETE</v>
      </c>
    </row>
    <row r="131" spans="4:18" ht="36" customHeight="1" x14ac:dyDescent="0.45">
      <c r="D131" s="616" t="s">
        <v>985</v>
      </c>
      <c r="E131" s="616"/>
      <c r="F131" s="616"/>
      <c r="G131" s="616"/>
      <c r="H131" s="616"/>
      <c r="I131" s="616"/>
      <c r="J131" s="621">
        <f>Criteria!E65</f>
        <v>0</v>
      </c>
      <c r="K131" s="616"/>
      <c r="L131" s="616"/>
      <c r="M131" s="617"/>
      <c r="N131" s="617"/>
      <c r="O131" s="617"/>
      <c r="P131" s="617"/>
      <c r="Q131" s="616"/>
      <c r="R131" s="490" t="str">
        <f t="shared" ref="R131:R134" si="0">IF(J131=0,"DELETE"," ")</f>
        <v>DELETE</v>
      </c>
    </row>
    <row r="132" spans="4:18" ht="36" customHeight="1" x14ac:dyDescent="0.45">
      <c r="D132" s="616"/>
      <c r="E132" s="616"/>
      <c r="F132" s="616"/>
      <c r="G132" s="616"/>
      <c r="H132" s="616"/>
      <c r="I132" s="616"/>
      <c r="J132" s="621">
        <f>Criteria!E66</f>
        <v>0</v>
      </c>
      <c r="K132" s="616"/>
      <c r="L132" s="616"/>
      <c r="M132" s="617"/>
      <c r="N132" s="617"/>
      <c r="O132" s="617"/>
      <c r="P132" s="617"/>
      <c r="Q132" s="616"/>
      <c r="R132" s="490" t="str">
        <f t="shared" si="0"/>
        <v>DELETE</v>
      </c>
    </row>
    <row r="133" spans="4:18" ht="36" customHeight="1" x14ac:dyDescent="0.45">
      <c r="D133" s="616"/>
      <c r="E133" s="616"/>
      <c r="F133" s="616"/>
      <c r="G133" s="616"/>
      <c r="H133" s="616"/>
      <c r="I133" s="616"/>
      <c r="J133" s="621">
        <f>Criteria!E67</f>
        <v>0</v>
      </c>
      <c r="K133" s="616"/>
      <c r="L133" s="616"/>
      <c r="M133" s="617"/>
      <c r="N133" s="617"/>
      <c r="O133" s="617"/>
      <c r="P133" s="617"/>
      <c r="Q133" s="616"/>
      <c r="R133" s="490" t="str">
        <f t="shared" si="0"/>
        <v>DELETE</v>
      </c>
    </row>
    <row r="134" spans="4:18" ht="36" customHeight="1" x14ac:dyDescent="0.45">
      <c r="D134" s="616"/>
      <c r="E134" s="616"/>
      <c r="F134" s="616"/>
      <c r="G134" s="616"/>
      <c r="H134" s="616"/>
      <c r="I134" s="616"/>
      <c r="J134" s="621">
        <f>Criteria!E68</f>
        <v>0</v>
      </c>
      <c r="K134" s="616"/>
      <c r="L134" s="616"/>
      <c r="M134" s="617"/>
      <c r="N134" s="617"/>
      <c r="O134" s="617"/>
      <c r="P134" s="617"/>
      <c r="Q134" s="616"/>
      <c r="R134" s="490" t="str">
        <f t="shared" si="0"/>
        <v>DELETE</v>
      </c>
    </row>
    <row r="135" spans="4:18" ht="36" customHeight="1" x14ac:dyDescent="0.45">
      <c r="D135" s="616"/>
      <c r="E135" s="616"/>
      <c r="F135" s="616"/>
      <c r="G135" s="616"/>
      <c r="H135" s="616"/>
      <c r="I135" s="616"/>
      <c r="J135" s="621"/>
      <c r="K135" s="616"/>
      <c r="L135" s="616"/>
      <c r="M135" s="617"/>
      <c r="N135" s="617"/>
      <c r="O135" s="617"/>
      <c r="P135" s="617"/>
      <c r="Q135" s="616"/>
    </row>
    <row r="136" spans="4:18" ht="36" customHeight="1" x14ac:dyDescent="0.45">
      <c r="D136" s="616" t="s">
        <v>115</v>
      </c>
      <c r="E136" s="616"/>
      <c r="F136" s="616"/>
      <c r="G136" s="616"/>
      <c r="H136" s="616"/>
      <c r="I136" s="616"/>
      <c r="J136" s="621">
        <f>Criteria!E70</f>
        <v>0</v>
      </c>
      <c r="K136" s="616"/>
      <c r="L136" s="616"/>
      <c r="M136" s="617"/>
      <c r="N136" s="617"/>
      <c r="O136" s="617"/>
      <c r="P136" s="617"/>
      <c r="Q136" s="616"/>
      <c r="R136" s="490" t="str">
        <f>IF(J136=0,"DELETE"," ")</f>
        <v>DELETE</v>
      </c>
    </row>
    <row r="137" spans="4:18" ht="36" customHeight="1" x14ac:dyDescent="0.45">
      <c r="D137" s="616"/>
      <c r="E137" s="616"/>
      <c r="F137" s="616"/>
      <c r="G137" s="616"/>
      <c r="H137" s="616"/>
      <c r="I137" s="616"/>
      <c r="J137" s="621">
        <f>Criteria!E71</f>
        <v>0</v>
      </c>
      <c r="K137" s="616"/>
      <c r="L137" s="616"/>
      <c r="M137" s="617"/>
      <c r="N137" s="617"/>
      <c r="O137" s="617"/>
      <c r="P137" s="617"/>
      <c r="Q137" s="616"/>
      <c r="R137" s="490" t="str">
        <f>IF(J137=0,"DELETE"," ")</f>
        <v>DELETE</v>
      </c>
    </row>
    <row r="138" spans="4:18" ht="36" customHeight="1" x14ac:dyDescent="0.45">
      <c r="D138" s="616"/>
      <c r="E138" s="616"/>
      <c r="F138" s="616"/>
      <c r="G138" s="616"/>
      <c r="H138" s="616"/>
      <c r="I138" s="616"/>
      <c r="J138" s="621">
        <f>Criteria!E72</f>
        <v>0</v>
      </c>
      <c r="K138" s="616"/>
      <c r="L138" s="616"/>
      <c r="M138" s="617"/>
      <c r="N138" s="617"/>
      <c r="O138" s="617"/>
      <c r="P138" s="617"/>
      <c r="Q138" s="616"/>
      <c r="R138" s="490" t="str">
        <f>IF(J138=0,"DELETE"," ")</f>
        <v>DELETE</v>
      </c>
    </row>
    <row r="139" spans="4:18" ht="36" customHeight="1" x14ac:dyDescent="0.45">
      <c r="D139" s="616"/>
      <c r="E139" s="616"/>
      <c r="F139" s="616"/>
      <c r="G139" s="616"/>
      <c r="H139" s="616"/>
      <c r="I139" s="616"/>
      <c r="J139" s="621">
        <f>Criteria!E73</f>
        <v>0</v>
      </c>
      <c r="K139" s="616"/>
      <c r="L139" s="616"/>
      <c r="M139" s="617"/>
      <c r="N139" s="617"/>
      <c r="O139" s="617"/>
      <c r="P139" s="617"/>
      <c r="Q139" s="616"/>
      <c r="R139" s="490" t="str">
        <f>IF(J139=0,"DELETE"," ")</f>
        <v>DELETE</v>
      </c>
    </row>
    <row r="140" spans="4:18" ht="36" customHeight="1" x14ac:dyDescent="0.45">
      <c r="D140" s="616"/>
      <c r="E140" s="616"/>
      <c r="F140" s="616"/>
      <c r="G140" s="616"/>
      <c r="H140" s="616"/>
      <c r="I140" s="616"/>
      <c r="J140" s="621"/>
      <c r="K140" s="616"/>
      <c r="L140" s="616"/>
      <c r="M140" s="617"/>
      <c r="N140" s="617"/>
      <c r="O140" s="617"/>
      <c r="P140" s="617"/>
      <c r="Q140" s="616"/>
    </row>
    <row r="141" spans="4:18" ht="36" customHeight="1" x14ac:dyDescent="0.45">
      <c r="D141" s="616" t="s">
        <v>863</v>
      </c>
      <c r="E141" s="616"/>
      <c r="F141" s="616"/>
      <c r="G141" s="616"/>
      <c r="H141" s="616"/>
      <c r="I141" s="616"/>
      <c r="J141" s="621">
        <f>Criteria!E75</f>
        <v>0</v>
      </c>
      <c r="K141" s="616"/>
      <c r="L141" s="616"/>
      <c r="M141" s="617"/>
      <c r="N141" s="617"/>
      <c r="O141" s="617"/>
      <c r="P141" s="617"/>
      <c r="Q141" s="616"/>
      <c r="R141" s="490" t="str">
        <f t="shared" ref="R141:R143" si="1">IF(J141=0,"DELETE"," ")</f>
        <v>DELETE</v>
      </c>
    </row>
    <row r="142" spans="4:18" ht="36" customHeight="1" x14ac:dyDescent="0.45">
      <c r="D142" s="616"/>
      <c r="E142" s="616"/>
      <c r="F142" s="616"/>
      <c r="G142" s="616"/>
      <c r="H142" s="616"/>
      <c r="I142" s="616"/>
      <c r="J142" s="621">
        <f>Criteria!E76</f>
        <v>0</v>
      </c>
      <c r="K142" s="616"/>
      <c r="L142" s="616"/>
      <c r="M142" s="617"/>
      <c r="N142" s="617"/>
      <c r="O142" s="617"/>
      <c r="P142" s="617"/>
      <c r="Q142" s="616"/>
      <c r="R142" s="490" t="str">
        <f t="shared" si="1"/>
        <v>DELETE</v>
      </c>
    </row>
    <row r="143" spans="4:18" ht="36" customHeight="1" x14ac:dyDescent="0.45">
      <c r="D143" s="616"/>
      <c r="E143" s="616"/>
      <c r="F143" s="616"/>
      <c r="G143" s="616"/>
      <c r="H143" s="616"/>
      <c r="I143" s="616"/>
      <c r="J143" s="621">
        <f>Criteria!E77</f>
        <v>0</v>
      </c>
      <c r="K143" s="616"/>
      <c r="L143" s="616"/>
      <c r="M143" s="617"/>
      <c r="N143" s="617"/>
      <c r="O143" s="617"/>
      <c r="P143" s="617"/>
      <c r="Q143" s="616"/>
      <c r="R143" s="490" t="str">
        <f t="shared" si="1"/>
        <v>DELETE</v>
      </c>
    </row>
    <row r="144" spans="4:18" ht="36" customHeight="1" x14ac:dyDescent="0.45">
      <c r="D144" s="616"/>
      <c r="E144" s="616"/>
      <c r="F144" s="616"/>
      <c r="G144" s="616"/>
      <c r="H144" s="616"/>
      <c r="I144" s="616"/>
      <c r="J144" s="621"/>
      <c r="K144" s="616"/>
      <c r="L144" s="616"/>
      <c r="M144" s="617"/>
      <c r="N144" s="617"/>
      <c r="O144" s="617"/>
      <c r="P144" s="617"/>
      <c r="Q144" s="616"/>
    </row>
    <row r="145" spans="4:18" ht="36" customHeight="1" x14ac:dyDescent="0.45">
      <c r="D145" s="616" t="s">
        <v>887</v>
      </c>
      <c r="E145" s="616"/>
      <c r="F145" s="616"/>
      <c r="G145" s="616"/>
      <c r="H145" s="616"/>
      <c r="I145" s="616"/>
      <c r="J145" s="621" t="str">
        <f>Criteria!E18</f>
        <v>2000/123456/07</v>
      </c>
      <c r="K145" s="616"/>
      <c r="L145" s="616"/>
      <c r="M145" s="617"/>
      <c r="N145" s="617"/>
      <c r="O145" s="617"/>
      <c r="P145" s="617"/>
      <c r="Q145" s="616"/>
    </row>
    <row r="146" spans="4:18" ht="36" customHeight="1" x14ac:dyDescent="0.45">
      <c r="D146" s="616"/>
      <c r="E146" s="616"/>
      <c r="F146" s="616"/>
      <c r="G146" s="616"/>
      <c r="H146" s="616"/>
      <c r="I146" s="616"/>
      <c r="J146" s="621"/>
      <c r="K146" s="616"/>
      <c r="L146" s="616"/>
      <c r="M146" s="617"/>
      <c r="N146" s="617"/>
      <c r="O146" s="617"/>
      <c r="P146" s="617"/>
      <c r="Q146" s="616"/>
    </row>
    <row r="147" spans="4:18" ht="36" customHeight="1" x14ac:dyDescent="0.45">
      <c r="D147" s="616" t="str">
        <f>FS!D147</f>
        <v>Auditor/Accounting Officer</v>
      </c>
      <c r="E147" s="616"/>
      <c r="F147" s="616"/>
      <c r="G147" s="616"/>
      <c r="H147" s="616"/>
      <c r="I147" s="616"/>
      <c r="J147" s="621"/>
      <c r="K147" s="616"/>
      <c r="L147" s="616"/>
      <c r="M147" s="617"/>
      <c r="N147" s="617"/>
      <c r="O147" s="617"/>
      <c r="P147" s="617"/>
      <c r="Q147" s="616"/>
    </row>
    <row r="148" spans="4:18" ht="36" customHeight="1" x14ac:dyDescent="0.45">
      <c r="D148" s="616"/>
      <c r="E148" s="616"/>
      <c r="F148" s="616"/>
      <c r="G148" s="616"/>
      <c r="H148" s="616"/>
      <c r="I148" s="616"/>
      <c r="J148" s="621"/>
      <c r="K148" s="616"/>
      <c r="L148" s="616"/>
      <c r="M148" s="617"/>
      <c r="N148" s="617"/>
      <c r="O148" s="617"/>
      <c r="P148" s="617"/>
      <c r="Q148" s="616"/>
    </row>
    <row r="149" spans="4:18" ht="36" customHeight="1" x14ac:dyDescent="0.45">
      <c r="D149" s="616"/>
      <c r="E149" s="616"/>
      <c r="F149" s="616"/>
      <c r="G149" s="616"/>
      <c r="H149" s="616"/>
      <c r="I149" s="616"/>
      <c r="J149" s="621"/>
      <c r="K149" s="616"/>
      <c r="L149" s="616"/>
      <c r="M149" s="617"/>
      <c r="N149" s="617"/>
      <c r="O149" s="617"/>
      <c r="P149" s="617"/>
      <c r="Q149" s="616"/>
    </row>
    <row r="150" spans="4:18" ht="36" customHeight="1" x14ac:dyDescent="0.45">
      <c r="D150" s="616"/>
      <c r="E150" s="616"/>
      <c r="F150" s="616"/>
      <c r="G150" s="616"/>
      <c r="H150" s="616"/>
      <c r="I150" s="616"/>
      <c r="J150" s="621"/>
      <c r="K150" s="616"/>
      <c r="L150" s="616"/>
      <c r="M150" s="617"/>
      <c r="N150" s="617"/>
      <c r="O150" s="617"/>
      <c r="P150" s="617"/>
      <c r="Q150" s="616"/>
    </row>
    <row r="151" spans="4:18" ht="36" customHeight="1" x14ac:dyDescent="0.45">
      <c r="D151" s="616"/>
      <c r="E151" s="616"/>
      <c r="F151" s="616"/>
      <c r="G151" s="616"/>
      <c r="H151" s="616"/>
      <c r="I151" s="616"/>
      <c r="J151" s="621"/>
      <c r="K151" s="616"/>
      <c r="L151" s="616"/>
      <c r="M151" s="617"/>
      <c r="N151" s="617"/>
      <c r="O151" s="617"/>
      <c r="P151" s="617"/>
      <c r="Q151" s="616"/>
    </row>
    <row r="152" spans="4:18" ht="36" customHeight="1" x14ac:dyDescent="0.45">
      <c r="D152" s="616"/>
      <c r="E152" s="616"/>
      <c r="F152" s="616"/>
      <c r="G152" s="616"/>
      <c r="H152" s="616"/>
      <c r="I152" s="616"/>
      <c r="J152" s="621"/>
      <c r="K152" s="616"/>
      <c r="L152" s="616"/>
      <c r="M152" s="617"/>
      <c r="N152" s="617"/>
      <c r="O152" s="617"/>
      <c r="P152" s="617"/>
      <c r="Q152" s="616"/>
    </row>
    <row r="153" spans="4:18" ht="36" customHeight="1" x14ac:dyDescent="0.45">
      <c r="D153" s="616"/>
      <c r="E153" s="616"/>
      <c r="F153" s="616"/>
      <c r="G153" s="616"/>
      <c r="H153" s="616"/>
      <c r="I153" s="616"/>
      <c r="J153" s="621"/>
      <c r="K153" s="616"/>
      <c r="L153" s="616"/>
      <c r="M153" s="617"/>
      <c r="N153" s="617"/>
      <c r="O153" s="617"/>
      <c r="P153" s="617"/>
      <c r="Q153" s="616"/>
    </row>
    <row r="154" spans="4:18" ht="36" customHeight="1" x14ac:dyDescent="0.45">
      <c r="D154" s="616"/>
      <c r="E154" s="616"/>
      <c r="F154" s="616"/>
      <c r="G154" s="616"/>
      <c r="H154" s="616"/>
      <c r="I154" s="616"/>
      <c r="J154" s="621"/>
      <c r="K154" s="616"/>
      <c r="L154" s="616"/>
      <c r="M154" s="617"/>
      <c r="N154" s="617"/>
      <c r="O154" s="617"/>
      <c r="P154" s="617"/>
      <c r="Q154" s="616"/>
    </row>
    <row r="155" spans="4:18" ht="36" customHeight="1" x14ac:dyDescent="0.45">
      <c r="O155" s="454" t="s">
        <v>112</v>
      </c>
      <c r="P155" s="454"/>
      <c r="Q155" s="450">
        <f>MAX($Q$103:Q154)+1</f>
        <v>2</v>
      </c>
    </row>
    <row r="156" spans="4:18" ht="36" customHeight="1" x14ac:dyDescent="0.45">
      <c r="D156" s="615" t="str">
        <f>Criteria!E9</f>
        <v>ABC COMPANY (PROPRIETARY) LIMITED</v>
      </c>
      <c r="E156" s="616"/>
      <c r="F156" s="616"/>
      <c r="G156" s="616"/>
      <c r="H156" s="616"/>
      <c r="I156" s="616"/>
      <c r="J156" s="616"/>
      <c r="K156" s="616"/>
      <c r="L156" s="616"/>
      <c r="M156" s="617"/>
      <c r="N156" s="617"/>
      <c r="O156" s="617"/>
      <c r="P156" s="617"/>
      <c r="Q156" s="616"/>
    </row>
    <row r="157" spans="4:18" ht="36" customHeight="1" x14ac:dyDescent="0.45">
      <c r="D157" s="615" t="str">
        <f>Criteria!E10</f>
        <v>T/A SEAFRONT HOTEL, ABC RESTAURANT AND RENTAL PROPERTIES</v>
      </c>
      <c r="E157" s="616"/>
      <c r="F157" s="616"/>
      <c r="G157" s="616"/>
      <c r="H157" s="616"/>
      <c r="I157" s="616"/>
      <c r="J157" s="616"/>
      <c r="K157" s="616"/>
      <c r="L157" s="616"/>
      <c r="M157" s="617"/>
      <c r="N157" s="617"/>
      <c r="O157" s="617"/>
      <c r="P157" s="617"/>
      <c r="Q157" s="616"/>
      <c r="R157" s="490" t="str">
        <f>IF(D157=0,"DELETE"," ")</f>
        <v xml:space="preserve"> </v>
      </c>
    </row>
    <row r="158" spans="4:18" ht="36" customHeight="1" x14ac:dyDescent="0.45">
      <c r="D158" s="616"/>
      <c r="E158" s="616"/>
      <c r="F158" s="616"/>
      <c r="G158" s="616"/>
      <c r="H158" s="616"/>
      <c r="I158" s="616"/>
      <c r="J158" s="616"/>
      <c r="K158" s="616"/>
      <c r="L158" s="616"/>
      <c r="M158" s="617"/>
      <c r="N158" s="617"/>
      <c r="O158" s="617"/>
      <c r="P158" s="617"/>
      <c r="Q158" s="616"/>
    </row>
    <row r="159" spans="4:18" ht="36" customHeight="1" x14ac:dyDescent="0.45">
      <c r="D159" s="615" t="str">
        <f>IF(MAX(Criteria!I41:I45)&gt;1,"DIRECTORS' RESPONSIBILITY STATEMENT AND APPROVAL","DIRECTOR'S RESPONSIBILITY STATEMENT AND APPROVAL")</f>
        <v>DIRECTORS' RESPONSIBILITY STATEMENT AND APPROVAL</v>
      </c>
      <c r="E159" s="616"/>
      <c r="F159" s="616"/>
      <c r="G159" s="616"/>
      <c r="H159" s="616"/>
      <c r="I159" s="616"/>
      <c r="J159" s="616"/>
      <c r="K159" s="616"/>
      <c r="L159" s="616"/>
      <c r="M159" s="617"/>
      <c r="N159" s="617"/>
      <c r="O159" s="617"/>
      <c r="P159" s="617"/>
      <c r="Q159" s="616"/>
    </row>
    <row r="160" spans="4:18" ht="36" customHeight="1" x14ac:dyDescent="0.45">
      <c r="D160" s="623"/>
      <c r="E160" s="623"/>
      <c r="F160" s="623"/>
      <c r="G160" s="623"/>
      <c r="H160" s="623"/>
      <c r="I160" s="623"/>
      <c r="J160" s="623"/>
      <c r="K160" s="623"/>
      <c r="L160" s="623"/>
      <c r="M160" s="624"/>
      <c r="N160" s="624"/>
      <c r="O160" s="625"/>
      <c r="P160" s="625"/>
      <c r="Q160" s="623"/>
    </row>
    <row r="161" spans="4:17" ht="36" customHeight="1" x14ac:dyDescent="0.45">
      <c r="D161" s="616"/>
      <c r="E161" s="616"/>
      <c r="F161" s="616"/>
      <c r="G161" s="616"/>
      <c r="H161" s="616"/>
      <c r="I161" s="616"/>
      <c r="J161" s="616"/>
      <c r="K161" s="616"/>
      <c r="L161" s="616"/>
      <c r="M161" s="617"/>
      <c r="N161" s="617"/>
      <c r="O161" s="617"/>
      <c r="P161" s="617"/>
      <c r="Q161" s="616"/>
    </row>
    <row r="162" spans="4:17" ht="36" customHeight="1" x14ac:dyDescent="0.45">
      <c r="D162" s="615" t="str">
        <f>IF(MAX(Criteria!I41:I45)&gt;1,"Directors' responsibility statement","Director's responsibility statement")</f>
        <v>Directors' responsibility statement</v>
      </c>
      <c r="E162" s="616"/>
      <c r="F162" s="616"/>
      <c r="G162" s="616"/>
      <c r="H162" s="616"/>
      <c r="I162" s="616"/>
      <c r="J162" s="616"/>
      <c r="K162" s="616"/>
      <c r="L162" s="616"/>
      <c r="M162" s="617"/>
      <c r="N162" s="617"/>
      <c r="O162" s="617"/>
      <c r="P162" s="617"/>
      <c r="Q162" s="616"/>
    </row>
    <row r="163" spans="4:17" ht="36" customHeight="1" x14ac:dyDescent="0.45">
      <c r="D163" s="616"/>
      <c r="E163" s="616"/>
      <c r="F163" s="616"/>
      <c r="G163" s="616"/>
      <c r="H163" s="616"/>
      <c r="I163" s="616"/>
      <c r="J163" s="616"/>
      <c r="K163" s="616"/>
      <c r="L163" s="616"/>
      <c r="M163" s="617"/>
      <c r="N163" s="617"/>
      <c r="O163" s="617"/>
      <c r="P163" s="617"/>
      <c r="Q163" s="616"/>
    </row>
    <row r="164" spans="4:17" ht="36" customHeight="1" x14ac:dyDescent="0.45">
      <c r="D164" s="616" t="str">
        <f>CONCATENATE("The ",IF(MAX(Criteria!I41:I45)&gt;1,"directors have","director has")," the pleasure of presenting the annual Financial Statements for the")</f>
        <v>The directors have the pleasure of presenting the annual Financial Statements for the</v>
      </c>
      <c r="E164" s="616"/>
      <c r="F164" s="616"/>
      <c r="G164" s="616"/>
      <c r="H164" s="616"/>
      <c r="I164" s="616"/>
      <c r="J164" s="616"/>
      <c r="K164" s="616"/>
      <c r="L164" s="616"/>
      <c r="M164" s="617"/>
      <c r="N164" s="617"/>
      <c r="O164" s="617"/>
      <c r="P164" s="617"/>
      <c r="Q164" s="616"/>
    </row>
    <row r="165" spans="4:17" ht="36" customHeight="1" x14ac:dyDescent="0.45">
      <c r="D165" s="616" t="str">
        <f>CONCATENATE("year ended ",Criteria!G24,". The ",IF(MAX(Criteria!I41:I45)&gt;1,"directors are","director is")," responsible for the preparation and")</f>
        <v>year ended 28 February 2026. The directors are responsible for the preparation and</v>
      </c>
      <c r="E165" s="616"/>
      <c r="F165" s="616"/>
      <c r="G165" s="616"/>
      <c r="H165" s="616"/>
      <c r="I165" s="616"/>
      <c r="J165" s="616"/>
      <c r="K165" s="616"/>
      <c r="L165" s="616"/>
      <c r="M165" s="617"/>
      <c r="N165" s="617"/>
      <c r="O165" s="617"/>
      <c r="P165" s="617"/>
      <c r="Q165" s="616"/>
    </row>
    <row r="166" spans="4:17" ht="36" customHeight="1" x14ac:dyDescent="0.45">
      <c r="D166" s="616" t="s">
        <v>1598</v>
      </c>
      <c r="E166" s="616"/>
      <c r="F166" s="616"/>
      <c r="G166" s="616"/>
      <c r="H166" s="616"/>
      <c r="I166" s="616"/>
      <c r="J166" s="616"/>
      <c r="K166" s="616"/>
      <c r="L166" s="616"/>
      <c r="M166" s="617"/>
      <c r="N166" s="617"/>
      <c r="O166" s="617"/>
      <c r="P166" s="617"/>
      <c r="Q166" s="616"/>
    </row>
    <row r="167" spans="4:17" ht="36" customHeight="1" x14ac:dyDescent="0.45">
      <c r="D167" s="616" t="s">
        <v>1599</v>
      </c>
      <c r="E167" s="616"/>
      <c r="F167" s="616"/>
      <c r="G167" s="616"/>
      <c r="H167" s="616"/>
      <c r="I167" s="616"/>
      <c r="J167" s="616"/>
      <c r="K167" s="616"/>
      <c r="L167" s="616"/>
      <c r="M167" s="617"/>
      <c r="N167" s="617"/>
      <c r="O167" s="617"/>
      <c r="P167" s="617"/>
      <c r="Q167" s="616"/>
    </row>
    <row r="168" spans="4:17" ht="36" customHeight="1" x14ac:dyDescent="0.45">
      <c r="D168" s="616" t="s">
        <v>1603</v>
      </c>
      <c r="E168" s="616"/>
      <c r="F168" s="616"/>
      <c r="G168" s="616"/>
      <c r="H168" s="616"/>
      <c r="I168" s="616"/>
      <c r="J168" s="616"/>
      <c r="K168" s="616"/>
      <c r="L168" s="616"/>
      <c r="M168" s="617"/>
      <c r="N168" s="617"/>
      <c r="O168" s="617"/>
      <c r="P168" s="617"/>
      <c r="Q168" s="616"/>
    </row>
    <row r="169" spans="4:17" ht="36" customHeight="1" x14ac:dyDescent="0.45">
      <c r="D169" s="616" t="s">
        <v>1601</v>
      </c>
      <c r="E169" s="616"/>
      <c r="F169" s="616"/>
      <c r="G169" s="616"/>
      <c r="H169" s="616"/>
      <c r="I169" s="616"/>
      <c r="J169" s="616"/>
      <c r="K169" s="616"/>
      <c r="L169" s="616"/>
      <c r="M169" s="617"/>
      <c r="N169" s="617"/>
      <c r="O169" s="617"/>
      <c r="P169" s="617"/>
      <c r="Q169" s="616"/>
    </row>
    <row r="170" spans="4:17" ht="36" customHeight="1" x14ac:dyDescent="0.45">
      <c r="D170" s="616" t="s">
        <v>1604</v>
      </c>
      <c r="E170" s="616"/>
      <c r="F170" s="616"/>
      <c r="G170" s="616"/>
      <c r="H170" s="616"/>
      <c r="I170" s="616"/>
      <c r="J170" s="616"/>
      <c r="K170" s="616"/>
      <c r="L170" s="616"/>
      <c r="M170" s="617"/>
      <c r="N170" s="617"/>
      <c r="O170" s="617"/>
      <c r="P170" s="617"/>
      <c r="Q170" s="616"/>
    </row>
    <row r="171" spans="4:17" ht="36" customHeight="1" x14ac:dyDescent="0.45">
      <c r="D171" s="616" t="str">
        <f>CONCATENATE(Criteria!E11,".")</f>
        <v>ABC Company (Pty) Ltd.</v>
      </c>
      <c r="E171" s="616"/>
      <c r="F171" s="616"/>
      <c r="G171" s="616"/>
      <c r="H171" s="616"/>
      <c r="I171" s="616"/>
      <c r="J171" s="616"/>
      <c r="K171" s="616"/>
      <c r="L171" s="616"/>
      <c r="M171" s="617"/>
      <c r="N171" s="617"/>
      <c r="O171" s="617"/>
      <c r="P171" s="617"/>
      <c r="Q171" s="616"/>
    </row>
    <row r="172" spans="4:17" ht="36" customHeight="1" x14ac:dyDescent="0.45">
      <c r="D172" s="616"/>
      <c r="E172" s="616"/>
      <c r="F172" s="616"/>
      <c r="G172" s="616"/>
      <c r="H172" s="616"/>
      <c r="I172" s="616"/>
      <c r="J172" s="616"/>
      <c r="K172" s="616"/>
      <c r="L172" s="616"/>
      <c r="M172" s="617"/>
      <c r="N172" s="617"/>
      <c r="O172" s="617"/>
      <c r="P172" s="617"/>
      <c r="Q172" s="616"/>
    </row>
    <row r="173" spans="4:17" ht="36" customHeight="1" x14ac:dyDescent="0.45">
      <c r="D173" s="616" t="str">
        <f>CONCATENATE("The ",IF(MAX(Criteria!I41:I45)&gt;1,"directors","director")," assessed the effectiveness of the system of internal controls and risk")</f>
        <v>The directors assessed the effectiveness of the system of internal controls and risk</v>
      </c>
      <c r="E173" s="616"/>
      <c r="F173" s="616"/>
      <c r="G173" s="616"/>
      <c r="H173" s="616"/>
      <c r="I173" s="616"/>
      <c r="J173" s="616"/>
      <c r="K173" s="616"/>
      <c r="L173" s="616"/>
      <c r="M173" s="617"/>
      <c r="N173" s="617"/>
      <c r="O173" s="617"/>
      <c r="P173" s="617"/>
      <c r="Q173" s="616"/>
    </row>
    <row r="174" spans="4:17" ht="36" customHeight="1" x14ac:dyDescent="0.45">
      <c r="D174" s="616" t="s">
        <v>1542</v>
      </c>
      <c r="E174" s="616"/>
      <c r="F174" s="616"/>
      <c r="G174" s="616"/>
      <c r="H174" s="616"/>
      <c r="I174" s="616"/>
      <c r="J174" s="616"/>
      <c r="K174" s="616"/>
      <c r="L174" s="616"/>
      <c r="M174" s="617"/>
      <c r="N174" s="617"/>
      <c r="O174" s="617"/>
      <c r="P174" s="617"/>
      <c r="Q174" s="616"/>
    </row>
    <row r="175" spans="4:17" ht="36" customHeight="1" x14ac:dyDescent="0.45">
      <c r="D175" s="616" t="str">
        <f>CONCATENATE("information and reports from management. The ",IF(MAX(Criteria!I41:I45)&gt;1,"directors are","director is")," satisfied that adequate")</f>
        <v>information and reports from management. The directors are satisfied that adequate</v>
      </c>
      <c r="E175" s="616"/>
      <c r="F175" s="616"/>
      <c r="G175" s="616"/>
      <c r="H175" s="616"/>
      <c r="I175" s="616"/>
      <c r="J175" s="616"/>
      <c r="K175" s="616"/>
      <c r="L175" s="616"/>
      <c r="M175" s="617"/>
      <c r="N175" s="617"/>
      <c r="O175" s="617"/>
      <c r="P175" s="617"/>
      <c r="Q175" s="616"/>
    </row>
    <row r="176" spans="4:17" ht="36" customHeight="1" x14ac:dyDescent="0.45">
      <c r="D176" s="616" t="s">
        <v>1543</v>
      </c>
      <c r="E176" s="616"/>
      <c r="F176" s="616"/>
      <c r="G176" s="616"/>
      <c r="H176" s="616"/>
      <c r="I176" s="616"/>
      <c r="J176" s="616"/>
      <c r="K176" s="616"/>
      <c r="L176" s="616"/>
      <c r="M176" s="617"/>
      <c r="N176" s="617"/>
      <c r="O176" s="617"/>
      <c r="P176" s="617"/>
      <c r="Q176" s="616"/>
    </row>
    <row r="177" spans="4:17" ht="36" customHeight="1" x14ac:dyDescent="0.45">
      <c r="D177" s="616" t="s">
        <v>1609</v>
      </c>
      <c r="E177" s="616"/>
      <c r="F177" s="616"/>
      <c r="G177" s="616"/>
      <c r="H177" s="616"/>
      <c r="I177" s="616"/>
      <c r="J177" s="616"/>
      <c r="K177" s="616"/>
      <c r="L177" s="616"/>
      <c r="M177" s="617"/>
      <c r="N177" s="617"/>
      <c r="O177" s="617"/>
      <c r="P177" s="617"/>
      <c r="Q177" s="616"/>
    </row>
    <row r="178" spans="4:17" ht="36" customHeight="1" x14ac:dyDescent="0.45">
      <c r="D178" s="616" t="s">
        <v>1606</v>
      </c>
      <c r="E178" s="616"/>
      <c r="F178" s="616"/>
      <c r="G178" s="616"/>
      <c r="H178" s="616"/>
      <c r="I178" s="616"/>
      <c r="J178" s="616"/>
      <c r="K178" s="616"/>
      <c r="L178" s="616"/>
      <c r="M178" s="617"/>
      <c r="N178" s="617"/>
      <c r="O178" s="617"/>
      <c r="P178" s="617"/>
      <c r="Q178" s="616"/>
    </row>
    <row r="179" spans="4:17" ht="36" customHeight="1" x14ac:dyDescent="0.45">
      <c r="D179" s="616" t="s">
        <v>1608</v>
      </c>
      <c r="E179" s="616"/>
      <c r="F179" s="616"/>
      <c r="G179" s="616"/>
      <c r="H179" s="616"/>
      <c r="I179" s="616"/>
      <c r="J179" s="616"/>
      <c r="K179" s="616"/>
      <c r="L179" s="616"/>
      <c r="M179" s="617"/>
      <c r="N179" s="617"/>
      <c r="O179" s="617"/>
      <c r="P179" s="617"/>
      <c r="Q179" s="616"/>
    </row>
    <row r="180" spans="4:17" ht="36" customHeight="1" x14ac:dyDescent="0.45">
      <c r="D180" s="616" t="s">
        <v>1607</v>
      </c>
      <c r="E180" s="616"/>
      <c r="F180" s="616"/>
      <c r="G180" s="616"/>
      <c r="H180" s="616"/>
      <c r="I180" s="616"/>
      <c r="J180" s="616"/>
      <c r="K180" s="616"/>
      <c r="L180" s="616"/>
      <c r="M180" s="617"/>
      <c r="N180" s="617"/>
      <c r="O180" s="617"/>
      <c r="P180" s="617"/>
      <c r="Q180" s="616"/>
    </row>
    <row r="181" spans="4:17" ht="36" customHeight="1" x14ac:dyDescent="0.45">
      <c r="D181" s="616"/>
      <c r="E181" s="616"/>
      <c r="F181" s="616"/>
      <c r="G181" s="616"/>
      <c r="H181" s="616"/>
      <c r="I181" s="616"/>
      <c r="J181" s="616"/>
      <c r="K181" s="616"/>
      <c r="L181" s="616"/>
      <c r="M181" s="617"/>
      <c r="N181" s="617"/>
      <c r="O181" s="617"/>
      <c r="P181" s="617"/>
      <c r="Q181" s="616"/>
    </row>
    <row r="182" spans="4:17" ht="36" customHeight="1" x14ac:dyDescent="0.45">
      <c r="D182" s="616" t="str">
        <f>CONCATENATE("The ",IF(MAX(Criteria!I41:I45)&gt;1,"directors have","director has")," reviewed the appropriateness of the accounting policies and")</f>
        <v>The directors have reviewed the appropriateness of the accounting policies and</v>
      </c>
      <c r="E182" s="616"/>
      <c r="F182" s="616"/>
      <c r="G182" s="616"/>
      <c r="H182" s="616"/>
      <c r="I182" s="616"/>
      <c r="J182" s="616"/>
      <c r="K182" s="616"/>
      <c r="L182" s="616"/>
      <c r="M182" s="617"/>
      <c r="N182" s="617"/>
      <c r="O182" s="617"/>
      <c r="P182" s="617"/>
      <c r="Q182" s="616"/>
    </row>
    <row r="183" spans="4:17" ht="36" customHeight="1" x14ac:dyDescent="0.45">
      <c r="D183" s="616" t="str">
        <f>CONCATENATE("concluded that judgements and estimates are prudent. The ",IF(MAX(Criteria!I41:I45)&gt;1,"directors are","director is")," of the opinion")</f>
        <v>concluded that judgements and estimates are prudent. The directors are of the opinion</v>
      </c>
      <c r="E183" s="616"/>
      <c r="F183" s="616"/>
      <c r="G183" s="616"/>
      <c r="H183" s="616"/>
      <c r="I183" s="616"/>
      <c r="J183" s="616"/>
      <c r="K183" s="616"/>
      <c r="L183" s="616"/>
      <c r="M183" s="617"/>
      <c r="N183" s="617"/>
      <c r="O183" s="617"/>
      <c r="P183" s="617"/>
      <c r="Q183" s="616"/>
    </row>
    <row r="184" spans="4:17" ht="36" customHeight="1" x14ac:dyDescent="0.45">
      <c r="D184" s="616" t="s">
        <v>1610</v>
      </c>
      <c r="E184" s="616"/>
      <c r="F184" s="616"/>
      <c r="G184" s="616"/>
      <c r="H184" s="616"/>
      <c r="I184" s="616"/>
      <c r="J184" s="616"/>
      <c r="K184" s="616"/>
      <c r="L184" s="616"/>
      <c r="M184" s="617"/>
      <c r="N184" s="617"/>
      <c r="O184" s="617"/>
      <c r="P184" s="617"/>
      <c r="Q184" s="616"/>
    </row>
    <row r="185" spans="4:17" ht="36" customHeight="1" x14ac:dyDescent="0.45">
      <c r="D185" s="616" t="str">
        <f>CONCATENATE("affairs and business of the company as at ",Criteria!G24," and believe that the")</f>
        <v>affairs and business of the company as at 28 February 2026 and believe that the</v>
      </c>
      <c r="E185" s="616"/>
      <c r="F185" s="616"/>
      <c r="G185" s="616"/>
      <c r="H185" s="616"/>
      <c r="I185" s="616"/>
      <c r="J185" s="616"/>
      <c r="K185" s="616"/>
      <c r="L185" s="616"/>
      <c r="M185" s="617"/>
      <c r="N185" s="617"/>
      <c r="O185" s="617"/>
      <c r="P185" s="617"/>
      <c r="Q185" s="616"/>
    </row>
    <row r="186" spans="4:17" ht="36" customHeight="1" x14ac:dyDescent="0.45">
      <c r="D186" s="616" t="s">
        <v>1611</v>
      </c>
      <c r="E186" s="616"/>
      <c r="F186" s="616"/>
      <c r="G186" s="616"/>
      <c r="H186" s="616"/>
      <c r="I186" s="616"/>
      <c r="J186" s="616"/>
      <c r="K186" s="616"/>
      <c r="L186" s="616"/>
      <c r="M186" s="617"/>
      <c r="N186" s="617"/>
      <c r="O186" s="617"/>
      <c r="P186" s="617"/>
      <c r="Q186" s="616"/>
    </row>
    <row r="187" spans="4:17" ht="36" customHeight="1" x14ac:dyDescent="0.45">
      <c r="D187" s="616" t="s">
        <v>1613</v>
      </c>
      <c r="E187" s="616"/>
      <c r="F187" s="616"/>
      <c r="G187" s="616"/>
      <c r="H187" s="616"/>
      <c r="I187" s="616"/>
      <c r="J187" s="616"/>
      <c r="K187" s="616"/>
      <c r="L187" s="616"/>
      <c r="M187" s="617"/>
      <c r="N187" s="617"/>
      <c r="O187" s="617"/>
      <c r="P187" s="617"/>
      <c r="Q187" s="616"/>
    </row>
    <row r="188" spans="4:17" ht="36" customHeight="1" x14ac:dyDescent="0.45">
      <c r="D188" s="616" t="s">
        <v>1612</v>
      </c>
      <c r="E188" s="616"/>
      <c r="F188" s="616"/>
      <c r="G188" s="616"/>
      <c r="H188" s="616"/>
      <c r="I188" s="616"/>
      <c r="J188" s="616"/>
      <c r="K188" s="616"/>
      <c r="L188" s="616"/>
      <c r="M188" s="617"/>
      <c r="N188" s="617"/>
      <c r="O188" s="617"/>
      <c r="P188" s="617"/>
      <c r="Q188" s="616"/>
    </row>
    <row r="189" spans="4:17" ht="36" customHeight="1" x14ac:dyDescent="0.45">
      <c r="D189" s="616"/>
      <c r="E189" s="616"/>
      <c r="F189" s="616"/>
      <c r="G189" s="616"/>
      <c r="H189" s="616"/>
      <c r="I189" s="616"/>
      <c r="J189" s="616"/>
      <c r="K189" s="616"/>
      <c r="L189" s="616"/>
      <c r="M189" s="617"/>
      <c r="N189" s="617"/>
      <c r="O189" s="617"/>
      <c r="P189" s="617"/>
      <c r="Q189" s="616"/>
    </row>
    <row r="190" spans="4:17" ht="36" customHeight="1" x14ac:dyDescent="0.45">
      <c r="D190" s="615" t="s">
        <v>1511</v>
      </c>
      <c r="E190" s="616"/>
      <c r="F190" s="616"/>
      <c r="G190" s="616"/>
      <c r="H190" s="616"/>
      <c r="I190" s="616"/>
      <c r="J190" s="616"/>
      <c r="K190" s="616"/>
      <c r="L190" s="616"/>
      <c r="M190" s="617"/>
      <c r="N190" s="617"/>
      <c r="O190" s="617"/>
      <c r="P190" s="617"/>
      <c r="Q190" s="616"/>
    </row>
    <row r="191" spans="4:17" ht="36" customHeight="1" x14ac:dyDescent="0.45">
      <c r="D191" s="616"/>
      <c r="E191" s="616"/>
      <c r="F191" s="616"/>
      <c r="G191" s="616"/>
      <c r="H191" s="616"/>
      <c r="I191" s="616"/>
      <c r="J191" s="616"/>
      <c r="K191" s="616"/>
      <c r="L191" s="616"/>
      <c r="M191" s="617"/>
      <c r="N191" s="617"/>
      <c r="O191" s="617"/>
      <c r="P191" s="617"/>
      <c r="Q191" s="616"/>
    </row>
    <row r="192" spans="4:17" ht="36" customHeight="1" x14ac:dyDescent="0.45">
      <c r="D192" s="616" t="str">
        <f>CONCATENATE("The annual Financial Statements for the year ended ",Criteria!G24,", set out on")</f>
        <v>The annual Financial Statements for the year ended 28 February 2026, set out on</v>
      </c>
      <c r="E192" s="616"/>
      <c r="F192" s="616"/>
      <c r="G192" s="616"/>
      <c r="H192" s="616"/>
      <c r="I192" s="616"/>
      <c r="J192" s="616"/>
      <c r="K192" s="616"/>
      <c r="L192" s="616"/>
      <c r="M192" s="617"/>
      <c r="N192" s="617"/>
      <c r="O192" s="617"/>
      <c r="P192" s="617"/>
      <c r="Q192" s="616"/>
    </row>
    <row r="193" spans="1:18" ht="36" customHeight="1" x14ac:dyDescent="0.45">
      <c r="D193" s="616" t="str">
        <f>CONCATENATE("pages ",Q601," to ",MAX(Q601:Q2736),IF(MAX(Criteria!I41:I45)&gt;1,", were approved by the board of directors and signed on their behalf by:",", was approved by the director and signed accordingly:"))</f>
        <v>pages 13 to 72, were approved by the board of directors and signed on their behalf by:</v>
      </c>
      <c r="E193" s="616"/>
      <c r="F193" s="616"/>
      <c r="G193" s="616"/>
      <c r="H193" s="616"/>
      <c r="I193" s="616"/>
      <c r="J193" s="616"/>
      <c r="K193" s="616"/>
      <c r="L193" s="616"/>
      <c r="M193" s="617"/>
      <c r="N193" s="617"/>
      <c r="O193" s="617"/>
      <c r="P193" s="617"/>
      <c r="Q193" s="616"/>
    </row>
    <row r="194" spans="1:18" ht="36" customHeight="1" x14ac:dyDescent="0.45">
      <c r="D194" s="616"/>
      <c r="E194" s="616"/>
      <c r="F194" s="616"/>
      <c r="G194" s="616"/>
      <c r="H194" s="616"/>
      <c r="I194" s="616"/>
      <c r="J194" s="616"/>
      <c r="K194" s="616"/>
      <c r="L194" s="616"/>
      <c r="M194" s="617"/>
      <c r="N194" s="617"/>
      <c r="O194" s="617"/>
      <c r="P194" s="617"/>
      <c r="Q194" s="616"/>
    </row>
    <row r="195" spans="1:18" ht="36" customHeight="1" x14ac:dyDescent="0.45">
      <c r="D195" s="616"/>
      <c r="E195" s="616"/>
      <c r="F195" s="616"/>
      <c r="G195" s="616"/>
      <c r="H195" s="616"/>
      <c r="I195" s="616"/>
      <c r="J195" s="616"/>
      <c r="K195" s="616"/>
      <c r="L195" s="616"/>
      <c r="M195" s="617"/>
      <c r="N195" s="617"/>
      <c r="O195" s="617"/>
      <c r="P195" s="617"/>
      <c r="Q195" s="616"/>
    </row>
    <row r="196" spans="1:18" ht="36" customHeight="1" x14ac:dyDescent="0.45">
      <c r="D196" s="616"/>
      <c r="E196" s="616"/>
      <c r="F196" s="616"/>
      <c r="G196" s="616"/>
      <c r="H196" s="616"/>
      <c r="I196" s="616"/>
      <c r="J196" s="616"/>
      <c r="K196" s="616"/>
      <c r="L196" s="616"/>
      <c r="M196" s="617"/>
      <c r="N196" s="617"/>
      <c r="O196" s="617"/>
      <c r="P196" s="617"/>
      <c r="Q196" s="616"/>
    </row>
    <row r="197" spans="1:18" ht="36" customHeight="1" x14ac:dyDescent="0.45">
      <c r="D197" s="616"/>
      <c r="E197" s="616"/>
      <c r="F197" s="616"/>
      <c r="G197" s="616"/>
      <c r="H197" s="616"/>
      <c r="I197" s="616"/>
      <c r="J197" s="616"/>
      <c r="K197" s="616"/>
      <c r="L197" s="616"/>
      <c r="M197" s="617"/>
      <c r="N197" s="617"/>
      <c r="O197" s="617"/>
      <c r="P197" s="617"/>
      <c r="Q197" s="616"/>
    </row>
    <row r="198" spans="1:18" ht="36" customHeight="1" x14ac:dyDescent="0.45">
      <c r="D198" s="616" t="s">
        <v>167</v>
      </c>
      <c r="E198" s="616"/>
      <c r="F198" s="616"/>
      <c r="G198" s="616"/>
      <c r="H198" s="616"/>
      <c r="I198" s="616"/>
      <c r="J198" s="616"/>
      <c r="K198" s="616"/>
      <c r="L198" s="616"/>
      <c r="M198" s="617" t="str">
        <f>IF(Criteria!F42="Signature",D198," ")</f>
        <v>. . . . . . . . . . . . . . . . . . . . . . .</v>
      </c>
      <c r="N198" s="617"/>
      <c r="O198" s="617"/>
      <c r="P198" s="617"/>
      <c r="Q198" s="616"/>
    </row>
    <row r="199" spans="1:18" ht="36" customHeight="1" x14ac:dyDescent="0.45">
      <c r="D199" s="616" t="str">
        <f>Criteria!E41</f>
        <v>A Director</v>
      </c>
      <c r="E199" s="616"/>
      <c r="F199" s="616"/>
      <c r="G199" s="616"/>
      <c r="H199" s="616"/>
      <c r="I199" s="616"/>
      <c r="J199" s="616"/>
      <c r="K199" s="616"/>
      <c r="L199" s="616"/>
      <c r="M199" s="617" t="str">
        <f>IF(Criteria!F42="Signature",Criteria!E42," ")</f>
        <v>B Director</v>
      </c>
      <c r="N199" s="617"/>
      <c r="O199" s="617"/>
      <c r="P199" s="617"/>
      <c r="Q199" s="616"/>
    </row>
    <row r="200" spans="1:18" ht="36" customHeight="1" x14ac:dyDescent="0.45">
      <c r="D200" s="616"/>
      <c r="E200" s="616"/>
      <c r="F200" s="616"/>
      <c r="G200" s="616"/>
      <c r="H200" s="616"/>
      <c r="I200" s="616"/>
      <c r="J200" s="616"/>
      <c r="K200" s="616"/>
      <c r="L200" s="616"/>
      <c r="M200" s="617"/>
      <c r="N200" s="617"/>
      <c r="O200" s="617"/>
      <c r="P200" s="617"/>
      <c r="Q200" s="616"/>
    </row>
    <row r="201" spans="1:18" ht="36" customHeight="1" x14ac:dyDescent="0.45">
      <c r="D201" s="616" t="str">
        <f>Criteria!E32</f>
        <v>Johannesburg</v>
      </c>
      <c r="E201" s="616"/>
      <c r="F201" s="616"/>
      <c r="G201" s="616"/>
      <c r="H201" s="616" t="s">
        <v>117</v>
      </c>
      <c r="I201" s="616"/>
      <c r="J201" s="666"/>
      <c r="K201" s="666"/>
      <c r="L201" s="616"/>
      <c r="M201" s="617"/>
      <c r="N201" s="617"/>
      <c r="O201" s="617"/>
      <c r="P201" s="617"/>
      <c r="Q201" s="616"/>
    </row>
    <row r="202" spans="1:18" ht="21" customHeight="1" x14ac:dyDescent="0.45">
      <c r="D202" s="616"/>
      <c r="E202" s="616"/>
      <c r="F202" s="616"/>
      <c r="G202" s="616"/>
      <c r="H202" s="616"/>
      <c r="I202" s="616"/>
      <c r="J202" s="616" t="s">
        <v>983</v>
      </c>
      <c r="K202" s="616"/>
      <c r="L202" s="616"/>
      <c r="M202" s="617"/>
      <c r="N202" s="617"/>
      <c r="O202" s="617"/>
      <c r="P202" s="617"/>
      <c r="Q202" s="616"/>
    </row>
    <row r="203" spans="1:18" ht="36" customHeight="1" x14ac:dyDescent="0.45">
      <c r="D203" s="616"/>
      <c r="E203" s="616"/>
      <c r="F203" s="616"/>
      <c r="G203" s="616"/>
      <c r="H203" s="616"/>
      <c r="I203" s="616"/>
      <c r="J203" s="616"/>
      <c r="K203" s="616"/>
      <c r="L203" s="616"/>
      <c r="M203" s="617"/>
      <c r="N203" s="617"/>
      <c r="O203" s="617"/>
      <c r="P203" s="617"/>
      <c r="Q203" s="616"/>
    </row>
    <row r="204" spans="1:18" ht="36" customHeight="1" x14ac:dyDescent="0.45">
      <c r="O204" s="454" t="s">
        <v>112</v>
      </c>
      <c r="P204" s="454"/>
      <c r="Q204" s="450">
        <f>MAX($Q$103:Q203)+1</f>
        <v>3</v>
      </c>
      <c r="R204" s="490" t="str">
        <f>IF(Criteria!E$29="Audit"," ","DELETE")</f>
        <v>DELETE</v>
      </c>
    </row>
    <row r="205" spans="1:18" ht="36" customHeight="1" x14ac:dyDescent="0.4">
      <c r="A205" s="616"/>
      <c r="B205" s="616"/>
      <c r="C205" s="616"/>
      <c r="D205" s="616"/>
      <c r="E205" s="616"/>
      <c r="F205" s="616"/>
      <c r="G205" s="616"/>
      <c r="H205" s="616"/>
      <c r="I205" s="616"/>
      <c r="J205" s="616"/>
      <c r="K205" s="616"/>
      <c r="L205" s="616"/>
      <c r="M205" s="617"/>
      <c r="N205" s="617"/>
      <c r="O205" s="617"/>
      <c r="P205" s="617"/>
      <c r="Q205" s="616"/>
      <c r="R205" s="490" t="str">
        <f>R$204</f>
        <v>DELETE</v>
      </c>
    </row>
    <row r="206" spans="1:18" ht="36" customHeight="1" x14ac:dyDescent="0.4">
      <c r="A206" s="616"/>
      <c r="B206" s="616"/>
      <c r="C206" s="616"/>
      <c r="D206" s="616"/>
      <c r="E206" s="616"/>
      <c r="F206" s="616"/>
      <c r="G206" s="616"/>
      <c r="H206" s="616"/>
      <c r="I206" s="616"/>
      <c r="J206" s="616"/>
      <c r="K206" s="616"/>
      <c r="L206" s="616"/>
      <c r="M206" s="617"/>
      <c r="N206" s="617"/>
      <c r="O206" s="617"/>
      <c r="P206" s="617"/>
      <c r="Q206" s="616"/>
      <c r="R206" s="490" t="str">
        <f t="shared" ref="R206:R250" si="2">R$204</f>
        <v>DELETE</v>
      </c>
    </row>
    <row r="207" spans="1:18" ht="36" customHeight="1" x14ac:dyDescent="0.4">
      <c r="A207" s="616"/>
      <c r="B207" s="616"/>
      <c r="C207" s="616"/>
      <c r="D207" s="616"/>
      <c r="E207" s="616"/>
      <c r="F207" s="616"/>
      <c r="G207" s="616"/>
      <c r="H207" s="616"/>
      <c r="I207" s="616"/>
      <c r="J207" s="616"/>
      <c r="K207" s="616"/>
      <c r="L207" s="616"/>
      <c r="M207" s="617"/>
      <c r="N207" s="617"/>
      <c r="O207" s="617"/>
      <c r="P207" s="617"/>
      <c r="Q207" s="616"/>
      <c r="R207" s="490" t="str">
        <f t="shared" si="2"/>
        <v>DELETE</v>
      </c>
    </row>
    <row r="208" spans="1:18" ht="36" customHeight="1" x14ac:dyDescent="0.4">
      <c r="A208" s="616"/>
      <c r="B208" s="616"/>
      <c r="C208" s="616"/>
      <c r="D208" s="616"/>
      <c r="E208" s="616"/>
      <c r="F208" s="616"/>
      <c r="G208" s="616"/>
      <c r="H208" s="616"/>
      <c r="I208" s="616"/>
      <c r="J208" s="616"/>
      <c r="K208" s="616"/>
      <c r="L208" s="616"/>
      <c r="M208" s="617"/>
      <c r="N208" s="617"/>
      <c r="O208" s="617"/>
      <c r="P208" s="617"/>
      <c r="Q208" s="616"/>
      <c r="R208" s="490" t="str">
        <f t="shared" si="2"/>
        <v>DELETE</v>
      </c>
    </row>
    <row r="209" spans="1:18" ht="36" customHeight="1" x14ac:dyDescent="0.4">
      <c r="A209" s="616"/>
      <c r="B209" s="616"/>
      <c r="C209" s="616"/>
      <c r="D209" s="616"/>
      <c r="E209" s="616"/>
      <c r="F209" s="616"/>
      <c r="G209" s="616"/>
      <c r="H209" s="616"/>
      <c r="I209" s="616"/>
      <c r="J209" s="616"/>
      <c r="K209" s="616"/>
      <c r="L209" s="616"/>
      <c r="M209" s="617"/>
      <c r="N209" s="617"/>
      <c r="O209" s="617"/>
      <c r="P209" s="617"/>
      <c r="Q209" s="616"/>
      <c r="R209" s="490" t="str">
        <f t="shared" si="2"/>
        <v>DELETE</v>
      </c>
    </row>
    <row r="210" spans="1:18" ht="36" customHeight="1" x14ac:dyDescent="0.4">
      <c r="A210" s="616"/>
      <c r="B210" s="616"/>
      <c r="C210" s="616"/>
      <c r="D210" s="616"/>
      <c r="E210" s="616"/>
      <c r="F210" s="616"/>
      <c r="G210" s="616"/>
      <c r="H210" s="616"/>
      <c r="I210" s="616"/>
      <c r="J210" s="616"/>
      <c r="K210" s="616"/>
      <c r="L210" s="616"/>
      <c r="M210" s="617"/>
      <c r="N210" s="617"/>
      <c r="O210" s="617"/>
      <c r="P210" s="617"/>
      <c r="Q210" s="616"/>
      <c r="R210" s="490" t="str">
        <f t="shared" si="2"/>
        <v>DELETE</v>
      </c>
    </row>
    <row r="211" spans="1:18" ht="36" customHeight="1" x14ac:dyDescent="0.4">
      <c r="A211" s="616"/>
      <c r="B211" s="616"/>
      <c r="C211" s="616"/>
      <c r="D211" s="616"/>
      <c r="E211" s="616"/>
      <c r="F211" s="616"/>
      <c r="G211" s="616"/>
      <c r="H211" s="616"/>
      <c r="I211" s="616"/>
      <c r="J211" s="616"/>
      <c r="K211" s="616"/>
      <c r="L211" s="616"/>
      <c r="M211" s="617"/>
      <c r="N211" s="617"/>
      <c r="O211" s="617"/>
      <c r="P211" s="617"/>
      <c r="Q211" s="616"/>
      <c r="R211" s="490" t="str">
        <f t="shared" si="2"/>
        <v>DELETE</v>
      </c>
    </row>
    <row r="212" spans="1:18" ht="36" customHeight="1" x14ac:dyDescent="0.4">
      <c r="A212" s="616"/>
      <c r="B212" s="616"/>
      <c r="C212" s="616"/>
      <c r="D212" s="616"/>
      <c r="E212" s="616"/>
      <c r="F212" s="616"/>
      <c r="G212" s="616"/>
      <c r="H212" s="616"/>
      <c r="I212" s="616"/>
      <c r="J212" s="616"/>
      <c r="K212" s="616"/>
      <c r="L212" s="616"/>
      <c r="M212" s="617"/>
      <c r="N212" s="617"/>
      <c r="O212" s="617"/>
      <c r="P212" s="617"/>
      <c r="Q212" s="616"/>
      <c r="R212" s="490" t="str">
        <f t="shared" si="2"/>
        <v>DELETE</v>
      </c>
    </row>
    <row r="213" spans="1:18" ht="36" customHeight="1" x14ac:dyDescent="0.4">
      <c r="A213" s="667" t="s">
        <v>1246</v>
      </c>
      <c r="B213" s="667"/>
      <c r="C213" s="667"/>
      <c r="D213" s="667"/>
      <c r="E213" s="667"/>
      <c r="F213" s="667"/>
      <c r="G213" s="667"/>
      <c r="H213" s="667"/>
      <c r="I213" s="667"/>
      <c r="J213" s="667"/>
      <c r="K213" s="667"/>
      <c r="L213" s="667"/>
      <c r="M213" s="667"/>
      <c r="N213" s="667"/>
      <c r="O213" s="667"/>
      <c r="P213" s="667"/>
      <c r="Q213" s="667"/>
      <c r="R213" s="490" t="str">
        <f t="shared" si="2"/>
        <v>DELETE</v>
      </c>
    </row>
    <row r="214" spans="1:18" ht="36" customHeight="1" x14ac:dyDescent="0.4">
      <c r="A214" s="616"/>
      <c r="B214" s="616"/>
      <c r="C214" s="616"/>
      <c r="D214" s="616"/>
      <c r="E214" s="616"/>
      <c r="F214" s="616"/>
      <c r="G214" s="616"/>
      <c r="H214" s="616"/>
      <c r="I214" s="616"/>
      <c r="J214" s="616"/>
      <c r="K214" s="616"/>
      <c r="L214" s="616"/>
      <c r="M214" s="617"/>
      <c r="N214" s="617"/>
      <c r="O214" s="617"/>
      <c r="P214" s="617"/>
      <c r="Q214" s="616"/>
      <c r="R214" s="490" t="str">
        <f t="shared" si="2"/>
        <v>DELETE</v>
      </c>
    </row>
    <row r="215" spans="1:18" ht="36" customHeight="1" x14ac:dyDescent="0.4">
      <c r="A215" s="616"/>
      <c r="B215" s="616"/>
      <c r="C215" s="616"/>
      <c r="D215" s="615" t="str">
        <f>CONCATENATE("TO THE ",IF(MAX(Criteria!H54:H58)=1,"SHAREHOLDER OF ","SHAREHOLDERS OF "))</f>
        <v xml:space="preserve">TO THE SHAREHOLDERS OF </v>
      </c>
      <c r="E215" s="616"/>
      <c r="F215" s="616"/>
      <c r="G215" s="616"/>
      <c r="H215" s="616"/>
      <c r="I215" s="616"/>
      <c r="J215" s="616"/>
      <c r="K215" s="616"/>
      <c r="L215" s="616"/>
      <c r="M215" s="617"/>
      <c r="N215" s="617"/>
      <c r="O215" s="617"/>
      <c r="P215" s="617"/>
      <c r="Q215" s="616"/>
      <c r="R215" s="490" t="str">
        <f t="shared" si="2"/>
        <v>DELETE</v>
      </c>
    </row>
    <row r="216" spans="1:18" ht="36" customHeight="1" x14ac:dyDescent="0.4">
      <c r="A216" s="616"/>
      <c r="B216" s="616"/>
      <c r="C216" s="616"/>
      <c r="D216" s="615" t="str">
        <f>Criteria!E9</f>
        <v>ABC COMPANY (PROPRIETARY) LIMITED</v>
      </c>
      <c r="E216" s="616"/>
      <c r="F216" s="616"/>
      <c r="G216" s="616"/>
      <c r="H216" s="616"/>
      <c r="I216" s="616"/>
      <c r="J216" s="616"/>
      <c r="K216" s="616"/>
      <c r="L216" s="616"/>
      <c r="M216" s="617"/>
      <c r="N216" s="617"/>
      <c r="O216" s="617"/>
      <c r="P216" s="617"/>
      <c r="Q216" s="616"/>
      <c r="R216" s="490" t="str">
        <f t="shared" si="2"/>
        <v>DELETE</v>
      </c>
    </row>
    <row r="217" spans="1:18" ht="36" customHeight="1" x14ac:dyDescent="0.4">
      <c r="A217" s="616"/>
      <c r="B217" s="616"/>
      <c r="C217" s="616"/>
      <c r="D217" s="616"/>
      <c r="E217" s="616"/>
      <c r="F217" s="616"/>
      <c r="G217" s="616"/>
      <c r="H217" s="616"/>
      <c r="I217" s="616"/>
      <c r="J217" s="616"/>
      <c r="K217" s="616"/>
      <c r="L217" s="616"/>
      <c r="M217" s="617"/>
      <c r="N217" s="617"/>
      <c r="O217" s="617"/>
      <c r="P217" s="617"/>
      <c r="Q217" s="616"/>
      <c r="R217" s="490" t="str">
        <f t="shared" si="2"/>
        <v>DELETE</v>
      </c>
    </row>
    <row r="218" spans="1:18" ht="36" customHeight="1" x14ac:dyDescent="0.4">
      <c r="A218" s="616"/>
      <c r="B218" s="616"/>
      <c r="C218" s="616"/>
      <c r="D218" s="616" t="s">
        <v>1247</v>
      </c>
      <c r="E218" s="616"/>
      <c r="F218" s="616"/>
      <c r="G218" s="616"/>
      <c r="H218" s="616"/>
      <c r="I218" s="616"/>
      <c r="J218" s="616"/>
      <c r="K218" s="616"/>
      <c r="L218" s="616"/>
      <c r="M218" s="617"/>
      <c r="N218" s="617"/>
      <c r="O218" s="617"/>
      <c r="P218" s="617"/>
      <c r="Q218" s="616"/>
      <c r="R218" s="490" t="str">
        <f t="shared" si="2"/>
        <v>DELETE</v>
      </c>
    </row>
    <row r="219" spans="1:18" ht="36" customHeight="1" x14ac:dyDescent="0.4">
      <c r="A219" s="616"/>
      <c r="B219" s="616"/>
      <c r="C219" s="616"/>
      <c r="D219" s="616"/>
      <c r="E219" s="616"/>
      <c r="F219" s="616"/>
      <c r="G219" s="616"/>
      <c r="H219" s="616"/>
      <c r="I219" s="616"/>
      <c r="J219" s="616"/>
      <c r="K219" s="616"/>
      <c r="L219" s="616"/>
      <c r="M219" s="617"/>
      <c r="N219" s="617"/>
      <c r="O219" s="617"/>
      <c r="P219" s="617"/>
      <c r="Q219" s="616"/>
      <c r="R219" s="490" t="str">
        <f t="shared" si="2"/>
        <v>DELETE</v>
      </c>
    </row>
    <row r="220" spans="1:18" ht="36" customHeight="1" x14ac:dyDescent="0.4">
      <c r="A220" s="616"/>
      <c r="B220" s="616"/>
      <c r="C220" s="616"/>
      <c r="D220" s="626" t="s">
        <v>1248</v>
      </c>
      <c r="E220" s="616"/>
      <c r="F220" s="616"/>
      <c r="G220" s="616"/>
      <c r="H220" s="616"/>
      <c r="I220" s="616"/>
      <c r="J220" s="616"/>
      <c r="K220" s="616"/>
      <c r="L220" s="616"/>
      <c r="M220" s="617"/>
      <c r="N220" s="617"/>
      <c r="O220" s="617"/>
      <c r="P220" s="617"/>
      <c r="Q220" s="616"/>
      <c r="R220" s="490" t="str">
        <f t="shared" si="2"/>
        <v>DELETE</v>
      </c>
    </row>
    <row r="221" spans="1:18" ht="36" customHeight="1" x14ac:dyDescent="0.4">
      <c r="A221" s="616"/>
      <c r="B221" s="616"/>
      <c r="C221" s="616"/>
      <c r="D221" s="616"/>
      <c r="E221" s="616"/>
      <c r="F221" s="616"/>
      <c r="G221" s="616"/>
      <c r="H221" s="616"/>
      <c r="I221" s="616"/>
      <c r="J221" s="616"/>
      <c r="K221" s="616"/>
      <c r="L221" s="616"/>
      <c r="M221" s="617"/>
      <c r="N221" s="617"/>
      <c r="O221" s="617"/>
      <c r="P221" s="617"/>
      <c r="Q221" s="616"/>
      <c r="R221" s="490" t="str">
        <f t="shared" si="2"/>
        <v>DELETE</v>
      </c>
    </row>
    <row r="222" spans="1:18" ht="36" customHeight="1" x14ac:dyDescent="0.4">
      <c r="A222" s="616"/>
      <c r="B222" s="616"/>
      <c r="C222" s="616"/>
      <c r="D222" s="664" t="str">
        <f>CONCATENATE("We have audited the annual Financial Statements of ",Criteria!E11,", as set out on pages ",Q601," to ",MAX(Q601:Q2736),", which comprise the statement of financial position as at ",Criteria!G24," and the statement of comprehensive income, statement of changes in equity and statement of cash flows for the year then ended and notes to the Financial Statements, including a summary of significant accounting policies and other explanatory information.")</f>
        <v>We have audited the annual Financial Statements of ABC Company (Pty) Ltd, as set out on pages 13 to 72, which comprise the statement of financial position as at 28 February 2026 and the statement of comprehensive income, statement of changes in equity and statement of cash flows for the year then ended and notes to the Financial Statements, including a summary of significant accounting policies and other explanatory information.</v>
      </c>
      <c r="E222" s="664"/>
      <c r="F222" s="664"/>
      <c r="G222" s="664"/>
      <c r="H222" s="664"/>
      <c r="I222" s="664"/>
      <c r="J222" s="664"/>
      <c r="K222" s="664"/>
      <c r="L222" s="664"/>
      <c r="M222" s="664"/>
      <c r="N222" s="664"/>
      <c r="O222" s="664"/>
      <c r="P222" s="664"/>
      <c r="Q222" s="664"/>
      <c r="R222" s="490" t="str">
        <f t="shared" si="2"/>
        <v>DELETE</v>
      </c>
    </row>
    <row r="223" spans="1:18" ht="36" customHeight="1" x14ac:dyDescent="0.4">
      <c r="A223" s="616"/>
      <c r="B223" s="616"/>
      <c r="C223" s="616"/>
      <c r="D223" s="664"/>
      <c r="E223" s="664"/>
      <c r="F223" s="664"/>
      <c r="G223" s="664"/>
      <c r="H223" s="664"/>
      <c r="I223" s="664"/>
      <c r="J223" s="664"/>
      <c r="K223" s="664"/>
      <c r="L223" s="664"/>
      <c r="M223" s="664"/>
      <c r="N223" s="664"/>
      <c r="O223" s="664"/>
      <c r="P223" s="664"/>
      <c r="Q223" s="664"/>
      <c r="R223" s="490" t="str">
        <f t="shared" si="2"/>
        <v>DELETE</v>
      </c>
    </row>
    <row r="224" spans="1:18" ht="36" customHeight="1" x14ac:dyDescent="0.4">
      <c r="A224" s="616"/>
      <c r="B224" s="616"/>
      <c r="C224" s="616"/>
      <c r="D224" s="664"/>
      <c r="E224" s="664"/>
      <c r="F224" s="664"/>
      <c r="G224" s="664"/>
      <c r="H224" s="664"/>
      <c r="I224" s="664"/>
      <c r="J224" s="664"/>
      <c r="K224" s="664"/>
      <c r="L224" s="664"/>
      <c r="M224" s="664"/>
      <c r="N224" s="664"/>
      <c r="O224" s="664"/>
      <c r="P224" s="664"/>
      <c r="Q224" s="664"/>
      <c r="R224" s="490" t="str">
        <f t="shared" si="2"/>
        <v>DELETE</v>
      </c>
    </row>
    <row r="225" spans="1:18" ht="36" customHeight="1" x14ac:dyDescent="0.4">
      <c r="A225" s="616"/>
      <c r="B225" s="616"/>
      <c r="C225" s="616"/>
      <c r="D225" s="664"/>
      <c r="E225" s="664"/>
      <c r="F225" s="664"/>
      <c r="G225" s="664"/>
      <c r="H225" s="664"/>
      <c r="I225" s="664"/>
      <c r="J225" s="664"/>
      <c r="K225" s="664"/>
      <c r="L225" s="664"/>
      <c r="M225" s="664"/>
      <c r="N225" s="664"/>
      <c r="O225" s="664"/>
      <c r="P225" s="664"/>
      <c r="Q225" s="664"/>
      <c r="R225" s="490" t="str">
        <f t="shared" si="2"/>
        <v>DELETE</v>
      </c>
    </row>
    <row r="226" spans="1:18" ht="36" customHeight="1" x14ac:dyDescent="0.4">
      <c r="A226" s="616"/>
      <c r="B226" s="616"/>
      <c r="C226" s="616"/>
      <c r="D226" s="664"/>
      <c r="E226" s="664"/>
      <c r="F226" s="664"/>
      <c r="G226" s="664"/>
      <c r="H226" s="664"/>
      <c r="I226" s="664"/>
      <c r="J226" s="664"/>
      <c r="K226" s="664"/>
      <c r="L226" s="664"/>
      <c r="M226" s="664"/>
      <c r="N226" s="664"/>
      <c r="O226" s="664"/>
      <c r="P226" s="664"/>
      <c r="Q226" s="664"/>
      <c r="R226" s="490" t="str">
        <f t="shared" si="2"/>
        <v>DELETE</v>
      </c>
    </row>
    <row r="227" spans="1:18" ht="36" customHeight="1" x14ac:dyDescent="0.4">
      <c r="A227" s="616"/>
      <c r="B227" s="616"/>
      <c r="C227" s="616"/>
      <c r="D227" s="664"/>
      <c r="E227" s="664"/>
      <c r="F227" s="664"/>
      <c r="G227" s="664"/>
      <c r="H227" s="664"/>
      <c r="I227" s="664"/>
      <c r="J227" s="664"/>
      <c r="K227" s="664"/>
      <c r="L227" s="664"/>
      <c r="M227" s="664"/>
      <c r="N227" s="664"/>
      <c r="O227" s="664"/>
      <c r="P227" s="664"/>
      <c r="Q227" s="664"/>
      <c r="R227" s="490" t="str">
        <f t="shared" si="2"/>
        <v>DELETE</v>
      </c>
    </row>
    <row r="228" spans="1:18" ht="36" customHeight="1" x14ac:dyDescent="0.4">
      <c r="A228" s="616"/>
      <c r="B228" s="616"/>
      <c r="C228" s="616"/>
      <c r="D228" s="616"/>
      <c r="E228" s="616"/>
      <c r="F228" s="616"/>
      <c r="G228" s="616"/>
      <c r="H228" s="616"/>
      <c r="I228" s="616"/>
      <c r="J228" s="616"/>
      <c r="K228" s="616"/>
      <c r="L228" s="616"/>
      <c r="M228" s="617"/>
      <c r="N228" s="617"/>
      <c r="O228" s="617"/>
      <c r="P228" s="617"/>
      <c r="Q228" s="616"/>
      <c r="R228" s="490" t="str">
        <f t="shared" si="2"/>
        <v>DELETE</v>
      </c>
    </row>
    <row r="229" spans="1:18" ht="36" customHeight="1" x14ac:dyDescent="0.4">
      <c r="A229" s="616"/>
      <c r="B229" s="616"/>
      <c r="C229" s="616"/>
      <c r="D229" s="664" t="str">
        <f>CONCATENATE("In our opinion, the Financial Statements present fairly, in all material respects, the financial position of ",Criteria!E11," as at ",Criteria!G24," and its financial performance and cash flows for the year then ended in accordance with the International Financial Reporting Standard for Small- and Medium-sized Entities and the requirements of the Companies Act of South Africa.")</f>
        <v>In our opinion, the Financial Statements present fairly, in all material respects, the financial position of ABC Company (Pty) Ltd as at 28 February 2026 and its financial performance and cash flows for the year then ended in accordance with the International Financial Reporting Standard for Small- and Medium-sized Entities and the requirements of the Companies Act of South Africa.</v>
      </c>
      <c r="E229" s="664"/>
      <c r="F229" s="664"/>
      <c r="G229" s="664"/>
      <c r="H229" s="664"/>
      <c r="I229" s="664"/>
      <c r="J229" s="664"/>
      <c r="K229" s="664"/>
      <c r="L229" s="664"/>
      <c r="M229" s="664"/>
      <c r="N229" s="664"/>
      <c r="O229" s="664"/>
      <c r="P229" s="664"/>
      <c r="Q229" s="664"/>
      <c r="R229" s="490" t="str">
        <f t="shared" si="2"/>
        <v>DELETE</v>
      </c>
    </row>
    <row r="230" spans="1:18" ht="36" customHeight="1" x14ac:dyDescent="0.4">
      <c r="A230" s="616"/>
      <c r="B230" s="616"/>
      <c r="C230" s="616"/>
      <c r="D230" s="664"/>
      <c r="E230" s="664"/>
      <c r="F230" s="664"/>
      <c r="G230" s="664"/>
      <c r="H230" s="664"/>
      <c r="I230" s="664"/>
      <c r="J230" s="664"/>
      <c r="K230" s="664"/>
      <c r="L230" s="664"/>
      <c r="M230" s="664"/>
      <c r="N230" s="664"/>
      <c r="O230" s="664"/>
      <c r="P230" s="664"/>
      <c r="Q230" s="664"/>
      <c r="R230" s="490" t="str">
        <f t="shared" si="2"/>
        <v>DELETE</v>
      </c>
    </row>
    <row r="231" spans="1:18" ht="36" customHeight="1" x14ac:dyDescent="0.4">
      <c r="A231" s="616"/>
      <c r="B231" s="616"/>
      <c r="C231" s="616"/>
      <c r="D231" s="664"/>
      <c r="E231" s="664"/>
      <c r="F231" s="664"/>
      <c r="G231" s="664"/>
      <c r="H231" s="664"/>
      <c r="I231" s="664"/>
      <c r="J231" s="664"/>
      <c r="K231" s="664"/>
      <c r="L231" s="664"/>
      <c r="M231" s="664"/>
      <c r="N231" s="664"/>
      <c r="O231" s="664"/>
      <c r="P231" s="664"/>
      <c r="Q231" s="664"/>
      <c r="R231" s="490" t="str">
        <f t="shared" si="2"/>
        <v>DELETE</v>
      </c>
    </row>
    <row r="232" spans="1:18" ht="36" customHeight="1" x14ac:dyDescent="0.4">
      <c r="A232" s="616"/>
      <c r="B232" s="616"/>
      <c r="C232" s="616"/>
      <c r="D232" s="664"/>
      <c r="E232" s="664"/>
      <c r="F232" s="664"/>
      <c r="G232" s="664"/>
      <c r="H232" s="664"/>
      <c r="I232" s="664"/>
      <c r="J232" s="664"/>
      <c r="K232" s="664"/>
      <c r="L232" s="664"/>
      <c r="M232" s="664"/>
      <c r="N232" s="664"/>
      <c r="O232" s="664"/>
      <c r="P232" s="664"/>
      <c r="Q232" s="664"/>
      <c r="R232" s="490" t="str">
        <f t="shared" si="2"/>
        <v>DELETE</v>
      </c>
    </row>
    <row r="233" spans="1:18" ht="36" customHeight="1" x14ac:dyDescent="0.4">
      <c r="A233" s="616"/>
      <c r="B233" s="616"/>
      <c r="C233" s="616"/>
      <c r="D233" s="664"/>
      <c r="E233" s="664"/>
      <c r="F233" s="664"/>
      <c r="G233" s="664"/>
      <c r="H233" s="664"/>
      <c r="I233" s="664"/>
      <c r="J233" s="664"/>
      <c r="K233" s="664"/>
      <c r="L233" s="664"/>
      <c r="M233" s="664"/>
      <c r="N233" s="664"/>
      <c r="O233" s="664"/>
      <c r="P233" s="664"/>
      <c r="Q233" s="664"/>
      <c r="R233" s="490" t="str">
        <f t="shared" si="2"/>
        <v>DELETE</v>
      </c>
    </row>
    <row r="234" spans="1:18" ht="36" customHeight="1" x14ac:dyDescent="0.4">
      <c r="A234" s="616"/>
      <c r="B234" s="616"/>
      <c r="C234" s="616"/>
      <c r="D234" s="664"/>
      <c r="E234" s="664"/>
      <c r="F234" s="664"/>
      <c r="G234" s="664"/>
      <c r="H234" s="664"/>
      <c r="I234" s="664"/>
      <c r="J234" s="664"/>
      <c r="K234" s="664"/>
      <c r="L234" s="664"/>
      <c r="M234" s="664"/>
      <c r="N234" s="664"/>
      <c r="O234" s="664"/>
      <c r="P234" s="664"/>
      <c r="Q234" s="664"/>
      <c r="R234" s="490" t="str">
        <f t="shared" si="2"/>
        <v>DELETE</v>
      </c>
    </row>
    <row r="235" spans="1:18" ht="36" customHeight="1" x14ac:dyDescent="0.4">
      <c r="A235" s="616"/>
      <c r="B235" s="616"/>
      <c r="C235" s="616"/>
      <c r="D235" s="616"/>
      <c r="E235" s="616"/>
      <c r="F235" s="616"/>
      <c r="G235" s="616"/>
      <c r="H235" s="616"/>
      <c r="I235" s="616"/>
      <c r="J235" s="616"/>
      <c r="K235" s="616"/>
      <c r="L235" s="616"/>
      <c r="M235" s="617"/>
      <c r="N235" s="617"/>
      <c r="O235" s="617"/>
      <c r="P235" s="617"/>
      <c r="Q235" s="616"/>
      <c r="R235" s="490" t="str">
        <f t="shared" si="2"/>
        <v>DELETE</v>
      </c>
    </row>
    <row r="236" spans="1:18" ht="36" customHeight="1" x14ac:dyDescent="0.4">
      <c r="A236" s="616"/>
      <c r="B236" s="616"/>
      <c r="C236" s="616"/>
      <c r="D236" s="616"/>
      <c r="E236" s="616"/>
      <c r="F236" s="616"/>
      <c r="G236" s="616"/>
      <c r="H236" s="616"/>
      <c r="I236" s="616"/>
      <c r="J236" s="616"/>
      <c r="K236" s="616"/>
      <c r="L236" s="616"/>
      <c r="M236" s="617"/>
      <c r="N236" s="617"/>
      <c r="O236" s="617"/>
      <c r="P236" s="617"/>
      <c r="Q236" s="616"/>
      <c r="R236" s="490" t="str">
        <f t="shared" si="2"/>
        <v>DELETE</v>
      </c>
    </row>
    <row r="237" spans="1:18" ht="36" customHeight="1" x14ac:dyDescent="0.4">
      <c r="A237" s="616"/>
      <c r="B237" s="616"/>
      <c r="C237" s="616"/>
      <c r="D237" s="616" t="s">
        <v>141</v>
      </c>
      <c r="E237" s="616"/>
      <c r="F237" s="616"/>
      <c r="G237" s="616"/>
      <c r="H237" s="616"/>
      <c r="I237" s="616"/>
      <c r="J237" s="616"/>
      <c r="K237" s="616"/>
      <c r="L237" s="616"/>
      <c r="M237" s="617"/>
      <c r="N237" s="617"/>
      <c r="O237" s="617"/>
      <c r="P237" s="617"/>
      <c r="Q237" s="616"/>
      <c r="R237" s="490" t="str">
        <f t="shared" si="2"/>
        <v>DELETE</v>
      </c>
    </row>
    <row r="238" spans="1:18" ht="36" customHeight="1" x14ac:dyDescent="0.4">
      <c r="A238" s="616"/>
      <c r="B238" s="616"/>
      <c r="C238" s="616"/>
      <c r="D238" s="616" t="s">
        <v>1249</v>
      </c>
      <c r="E238" s="616"/>
      <c r="F238" s="616"/>
      <c r="G238" s="616"/>
      <c r="H238" s="616"/>
      <c r="I238" s="616"/>
      <c r="J238" s="616"/>
      <c r="K238" s="616"/>
      <c r="L238" s="616"/>
      <c r="M238" s="617"/>
      <c r="N238" s="617"/>
      <c r="O238" s="617"/>
      <c r="P238" s="617"/>
      <c r="Q238" s="616"/>
      <c r="R238" s="490" t="str">
        <f t="shared" si="2"/>
        <v>DELETE</v>
      </c>
    </row>
    <row r="239" spans="1:18" ht="36" customHeight="1" x14ac:dyDescent="0.4">
      <c r="A239" s="616"/>
      <c r="B239" s="616"/>
      <c r="C239" s="616"/>
      <c r="D239" s="616"/>
      <c r="E239" s="616"/>
      <c r="F239" s="616"/>
      <c r="G239" s="616"/>
      <c r="H239" s="616"/>
      <c r="I239" s="616"/>
      <c r="J239" s="616"/>
      <c r="K239" s="616"/>
      <c r="L239" s="616"/>
      <c r="M239" s="617"/>
      <c r="N239" s="617"/>
      <c r="O239" s="617"/>
      <c r="P239" s="617"/>
      <c r="Q239" s="616"/>
      <c r="R239" s="490" t="str">
        <f t="shared" si="2"/>
        <v>DELETE</v>
      </c>
    </row>
    <row r="240" spans="1:18" ht="36" customHeight="1" x14ac:dyDescent="0.4">
      <c r="A240" s="616"/>
      <c r="B240" s="616"/>
      <c r="C240" s="616"/>
      <c r="D240" s="616" t="s">
        <v>117</v>
      </c>
      <c r="E240" s="616"/>
      <c r="F240" s="616"/>
      <c r="G240" s="616"/>
      <c r="H240" s="616"/>
      <c r="I240" s="616"/>
      <c r="J240" s="616"/>
      <c r="K240" s="616"/>
      <c r="L240" s="616"/>
      <c r="M240" s="617"/>
      <c r="N240" s="617"/>
      <c r="O240" s="617"/>
      <c r="P240" s="617"/>
      <c r="Q240" s="616"/>
      <c r="R240" s="490" t="str">
        <f t="shared" si="2"/>
        <v>DELETE</v>
      </c>
    </row>
    <row r="241" spans="1:18" ht="36" customHeight="1" x14ac:dyDescent="0.4">
      <c r="A241" s="616"/>
      <c r="B241" s="616"/>
      <c r="C241" s="616"/>
      <c r="D241" s="616"/>
      <c r="E241" s="616" t="s">
        <v>142</v>
      </c>
      <c r="F241" s="616"/>
      <c r="G241" s="616"/>
      <c r="H241" s="616"/>
      <c r="I241" s="616"/>
      <c r="J241" s="616"/>
      <c r="K241" s="616"/>
      <c r="L241" s="616"/>
      <c r="M241" s="617"/>
      <c r="N241" s="617"/>
      <c r="O241" s="617"/>
      <c r="P241" s="617"/>
      <c r="Q241" s="616"/>
      <c r="R241" s="490" t="str">
        <f t="shared" si="2"/>
        <v>DELETE</v>
      </c>
    </row>
    <row r="242" spans="1:18" ht="36" customHeight="1" x14ac:dyDescent="0.4">
      <c r="A242" s="616"/>
      <c r="B242" s="616"/>
      <c r="C242" s="616"/>
      <c r="D242" s="616" t="str">
        <f>Criteria!E32</f>
        <v>Johannesburg</v>
      </c>
      <c r="E242" s="616"/>
      <c r="F242" s="616"/>
      <c r="G242" s="616"/>
      <c r="H242" s="616"/>
      <c r="I242" s="616"/>
      <c r="J242" s="616"/>
      <c r="K242" s="616"/>
      <c r="L242" s="616"/>
      <c r="M242" s="617"/>
      <c r="N242" s="617"/>
      <c r="O242" s="617"/>
      <c r="P242" s="617"/>
      <c r="Q242" s="616"/>
      <c r="R242" s="490" t="str">
        <f t="shared" si="2"/>
        <v>DELETE</v>
      </c>
    </row>
    <row r="243" spans="1:18" ht="36" customHeight="1" x14ac:dyDescent="0.4">
      <c r="A243" s="616"/>
      <c r="B243" s="616"/>
      <c r="C243" s="616"/>
      <c r="D243" s="616"/>
      <c r="E243" s="616"/>
      <c r="F243" s="616"/>
      <c r="G243" s="616"/>
      <c r="H243" s="616"/>
      <c r="I243" s="616"/>
      <c r="J243" s="616"/>
      <c r="K243" s="616"/>
      <c r="L243" s="616"/>
      <c r="M243" s="617"/>
      <c r="N243" s="617"/>
      <c r="O243" s="617"/>
      <c r="P243" s="617"/>
      <c r="Q243" s="616"/>
      <c r="R243" s="490" t="str">
        <f t="shared" si="2"/>
        <v>DELETE</v>
      </c>
    </row>
    <row r="244" spans="1:18" ht="36" customHeight="1" x14ac:dyDescent="0.4">
      <c r="A244" s="616"/>
      <c r="B244" s="616"/>
      <c r="C244" s="616"/>
      <c r="D244" s="616"/>
      <c r="E244" s="616"/>
      <c r="F244" s="616"/>
      <c r="G244" s="616"/>
      <c r="H244" s="616"/>
      <c r="I244" s="616"/>
      <c r="J244" s="616"/>
      <c r="K244" s="616"/>
      <c r="L244" s="616"/>
      <c r="M244" s="617"/>
      <c r="N244" s="617"/>
      <c r="O244" s="617"/>
      <c r="P244" s="617"/>
      <c r="Q244" s="616"/>
      <c r="R244" s="490" t="str">
        <f t="shared" si="2"/>
        <v>DELETE</v>
      </c>
    </row>
    <row r="245" spans="1:18" ht="36" customHeight="1" x14ac:dyDescent="0.4">
      <c r="A245" s="616"/>
      <c r="B245" s="616"/>
      <c r="C245" s="616"/>
      <c r="D245" s="616"/>
      <c r="E245" s="616"/>
      <c r="F245" s="616"/>
      <c r="G245" s="616"/>
      <c r="H245" s="616"/>
      <c r="I245" s="616"/>
      <c r="J245" s="616"/>
      <c r="K245" s="616"/>
      <c r="L245" s="616"/>
      <c r="M245" s="617"/>
      <c r="N245" s="617"/>
      <c r="O245" s="617"/>
      <c r="P245" s="617"/>
      <c r="Q245" s="616"/>
      <c r="R245" s="490" t="str">
        <f t="shared" si="2"/>
        <v>DELETE</v>
      </c>
    </row>
    <row r="246" spans="1:18" ht="36" customHeight="1" x14ac:dyDescent="0.4">
      <c r="A246" s="616"/>
      <c r="B246" s="616"/>
      <c r="C246" s="616"/>
      <c r="D246" s="616"/>
      <c r="E246" s="616"/>
      <c r="F246" s="616"/>
      <c r="G246" s="616"/>
      <c r="H246" s="616"/>
      <c r="I246" s="616"/>
      <c r="J246" s="616"/>
      <c r="K246" s="616"/>
      <c r="L246" s="616"/>
      <c r="M246" s="617"/>
      <c r="N246" s="617"/>
      <c r="O246" s="617"/>
      <c r="P246" s="617"/>
      <c r="Q246" s="616"/>
      <c r="R246" s="490" t="str">
        <f t="shared" si="2"/>
        <v>DELETE</v>
      </c>
    </row>
    <row r="247" spans="1:18" ht="36" customHeight="1" x14ac:dyDescent="0.4">
      <c r="A247" s="616"/>
      <c r="B247" s="616"/>
      <c r="C247" s="616"/>
      <c r="D247" s="616"/>
      <c r="E247" s="616"/>
      <c r="F247" s="616"/>
      <c r="G247" s="616"/>
      <c r="H247" s="616"/>
      <c r="I247" s="616"/>
      <c r="J247" s="616"/>
      <c r="K247" s="616"/>
      <c r="L247" s="616"/>
      <c r="M247" s="617"/>
      <c r="N247" s="617"/>
      <c r="O247" s="617"/>
      <c r="P247" s="617"/>
      <c r="Q247" s="616"/>
      <c r="R247" s="490" t="str">
        <f t="shared" si="2"/>
        <v>DELETE</v>
      </c>
    </row>
    <row r="248" spans="1:18" ht="36" customHeight="1" x14ac:dyDescent="0.4">
      <c r="A248" s="616"/>
      <c r="B248" s="616"/>
      <c r="C248" s="616"/>
      <c r="D248" s="616"/>
      <c r="E248" s="616"/>
      <c r="F248" s="616"/>
      <c r="G248" s="616"/>
      <c r="H248" s="616"/>
      <c r="I248" s="616"/>
      <c r="J248" s="616"/>
      <c r="K248" s="616"/>
      <c r="L248" s="616"/>
      <c r="M248" s="617"/>
      <c r="N248" s="617"/>
      <c r="O248" s="617"/>
      <c r="P248" s="617"/>
      <c r="Q248" s="616"/>
      <c r="R248" s="490" t="str">
        <f t="shared" si="2"/>
        <v>DELETE</v>
      </c>
    </row>
    <row r="249" spans="1:18" ht="36" customHeight="1" x14ac:dyDescent="0.4">
      <c r="A249" s="616"/>
      <c r="B249" s="616"/>
      <c r="C249" s="616"/>
      <c r="D249" s="616"/>
      <c r="E249" s="616"/>
      <c r="F249" s="616"/>
      <c r="G249" s="616"/>
      <c r="H249" s="616"/>
      <c r="I249" s="616"/>
      <c r="J249" s="616"/>
      <c r="K249" s="616"/>
      <c r="L249" s="616"/>
      <c r="M249" s="617"/>
      <c r="N249" s="617"/>
      <c r="O249" s="617"/>
      <c r="P249" s="617"/>
      <c r="Q249" s="616"/>
      <c r="R249" s="490" t="str">
        <f t="shared" si="2"/>
        <v>DELETE</v>
      </c>
    </row>
    <row r="250" spans="1:18" ht="36" customHeight="1" x14ac:dyDescent="0.4">
      <c r="A250" s="616"/>
      <c r="B250" s="616"/>
      <c r="C250" s="616"/>
      <c r="D250" s="616"/>
      <c r="E250" s="616"/>
      <c r="F250" s="616"/>
      <c r="G250" s="616"/>
      <c r="H250" s="616"/>
      <c r="I250" s="616"/>
      <c r="J250" s="616"/>
      <c r="K250" s="616"/>
      <c r="L250" s="616"/>
      <c r="M250" s="617"/>
      <c r="N250" s="617"/>
      <c r="O250" s="617"/>
      <c r="P250" s="617"/>
      <c r="Q250" s="616"/>
      <c r="R250" s="490" t="str">
        <f t="shared" si="2"/>
        <v>DELETE</v>
      </c>
    </row>
    <row r="251" spans="1:18" ht="36" customHeight="1" x14ac:dyDescent="0.45">
      <c r="O251" s="454" t="s">
        <v>112</v>
      </c>
      <c r="P251" s="454"/>
      <c r="Q251" s="450">
        <f>MAX($Q$103:Q250)+1</f>
        <v>4</v>
      </c>
      <c r="R251" s="490" t="str">
        <f>IF(Criteria!E$29="Review"," ","DELETE")</f>
        <v>DELETE</v>
      </c>
    </row>
    <row r="252" spans="1:18" ht="36" customHeight="1" x14ac:dyDescent="0.4">
      <c r="A252" s="616"/>
      <c r="B252" s="616"/>
      <c r="C252" s="616"/>
      <c r="D252" s="616"/>
      <c r="E252" s="616"/>
      <c r="F252" s="616"/>
      <c r="G252" s="616"/>
      <c r="H252" s="616"/>
      <c r="I252" s="616"/>
      <c r="J252" s="616"/>
      <c r="K252" s="616"/>
      <c r="L252" s="616"/>
      <c r="M252" s="617"/>
      <c r="N252" s="617"/>
      <c r="O252" s="617"/>
      <c r="P252" s="617"/>
      <c r="Q252" s="616"/>
      <c r="R252" s="490" t="str">
        <f>R$251</f>
        <v>DELETE</v>
      </c>
    </row>
    <row r="253" spans="1:18" ht="36" customHeight="1" x14ac:dyDescent="0.4">
      <c r="A253" s="616"/>
      <c r="B253" s="616"/>
      <c r="C253" s="616"/>
      <c r="D253" s="616"/>
      <c r="E253" s="616"/>
      <c r="F253" s="616"/>
      <c r="G253" s="616"/>
      <c r="H253" s="616"/>
      <c r="I253" s="616"/>
      <c r="J253" s="616"/>
      <c r="K253" s="616"/>
      <c r="L253" s="616"/>
      <c r="M253" s="617"/>
      <c r="N253" s="617"/>
      <c r="O253" s="617"/>
      <c r="P253" s="617"/>
      <c r="Q253" s="616"/>
      <c r="R253" s="490" t="str">
        <f t="shared" ref="R253:R346" si="3">R$251</f>
        <v>DELETE</v>
      </c>
    </row>
    <row r="254" spans="1:18" ht="36" customHeight="1" x14ac:dyDescent="0.4">
      <c r="A254" s="616"/>
      <c r="B254" s="616"/>
      <c r="C254" s="616"/>
      <c r="D254" s="616"/>
      <c r="E254" s="616"/>
      <c r="F254" s="616"/>
      <c r="G254" s="616"/>
      <c r="H254" s="616"/>
      <c r="I254" s="616"/>
      <c r="J254" s="616"/>
      <c r="K254" s="616"/>
      <c r="L254" s="616"/>
      <c r="M254" s="617"/>
      <c r="N254" s="617"/>
      <c r="O254" s="617"/>
      <c r="P254" s="617"/>
      <c r="Q254" s="616"/>
      <c r="R254" s="490" t="str">
        <f t="shared" si="3"/>
        <v>DELETE</v>
      </c>
    </row>
    <row r="255" spans="1:18" ht="36" customHeight="1" x14ac:dyDescent="0.4">
      <c r="A255" s="616"/>
      <c r="B255" s="616"/>
      <c r="C255" s="616"/>
      <c r="D255" s="616"/>
      <c r="E255" s="616"/>
      <c r="F255" s="616"/>
      <c r="G255" s="616"/>
      <c r="H255" s="616"/>
      <c r="I255" s="616"/>
      <c r="J255" s="616"/>
      <c r="K255" s="616"/>
      <c r="L255" s="616"/>
      <c r="M255" s="617"/>
      <c r="N255" s="617"/>
      <c r="O255" s="617"/>
      <c r="P255" s="617"/>
      <c r="Q255" s="616"/>
      <c r="R255" s="490" t="str">
        <f t="shared" si="3"/>
        <v>DELETE</v>
      </c>
    </row>
    <row r="256" spans="1:18" ht="36" customHeight="1" x14ac:dyDescent="0.4">
      <c r="A256" s="616"/>
      <c r="B256" s="616"/>
      <c r="C256" s="616"/>
      <c r="D256" s="616"/>
      <c r="E256" s="616"/>
      <c r="F256" s="616"/>
      <c r="G256" s="616"/>
      <c r="H256" s="616"/>
      <c r="I256" s="616"/>
      <c r="J256" s="616"/>
      <c r="K256" s="616"/>
      <c r="L256" s="616"/>
      <c r="M256" s="617"/>
      <c r="N256" s="617"/>
      <c r="O256" s="617"/>
      <c r="P256" s="617"/>
      <c r="Q256" s="616"/>
      <c r="R256" s="490" t="str">
        <f t="shared" si="3"/>
        <v>DELETE</v>
      </c>
    </row>
    <row r="257" spans="1:18" ht="36" customHeight="1" x14ac:dyDescent="0.4">
      <c r="A257" s="616"/>
      <c r="B257" s="616"/>
      <c r="C257" s="616"/>
      <c r="D257" s="616"/>
      <c r="E257" s="616"/>
      <c r="F257" s="616"/>
      <c r="G257" s="616"/>
      <c r="H257" s="616"/>
      <c r="I257" s="616"/>
      <c r="J257" s="616"/>
      <c r="K257" s="616"/>
      <c r="L257" s="616"/>
      <c r="M257" s="617"/>
      <c r="N257" s="617"/>
      <c r="O257" s="617"/>
      <c r="P257" s="617"/>
      <c r="Q257" s="616"/>
      <c r="R257" s="490" t="str">
        <f t="shared" si="3"/>
        <v>DELETE</v>
      </c>
    </row>
    <row r="258" spans="1:18" ht="36" customHeight="1" x14ac:dyDescent="0.4">
      <c r="A258" s="616"/>
      <c r="B258" s="616"/>
      <c r="C258" s="616"/>
      <c r="D258" s="616"/>
      <c r="E258" s="616"/>
      <c r="F258" s="616"/>
      <c r="G258" s="616"/>
      <c r="H258" s="616"/>
      <c r="I258" s="616"/>
      <c r="J258" s="616"/>
      <c r="K258" s="616"/>
      <c r="L258" s="616"/>
      <c r="M258" s="617"/>
      <c r="N258" s="617"/>
      <c r="O258" s="617"/>
      <c r="P258" s="617"/>
      <c r="Q258" s="616"/>
      <c r="R258" s="490" t="str">
        <f t="shared" si="3"/>
        <v>DELETE</v>
      </c>
    </row>
    <row r="259" spans="1:18" ht="36" customHeight="1" x14ac:dyDescent="0.4">
      <c r="A259" s="616"/>
      <c r="B259" s="616"/>
      <c r="C259" s="616"/>
      <c r="D259" s="616"/>
      <c r="E259" s="616"/>
      <c r="F259" s="616"/>
      <c r="G259" s="616"/>
      <c r="H259" s="616"/>
      <c r="I259" s="616"/>
      <c r="J259" s="616"/>
      <c r="K259" s="616"/>
      <c r="L259" s="616"/>
      <c r="M259" s="617"/>
      <c r="N259" s="617"/>
      <c r="O259" s="617"/>
      <c r="P259" s="617"/>
      <c r="Q259" s="616"/>
      <c r="R259" s="490" t="str">
        <f t="shared" si="3"/>
        <v>DELETE</v>
      </c>
    </row>
    <row r="260" spans="1:18" ht="36" customHeight="1" x14ac:dyDescent="0.4">
      <c r="A260" s="667" t="s">
        <v>1250</v>
      </c>
      <c r="B260" s="667"/>
      <c r="C260" s="667"/>
      <c r="D260" s="667"/>
      <c r="E260" s="667"/>
      <c r="F260" s="667"/>
      <c r="G260" s="667"/>
      <c r="H260" s="667"/>
      <c r="I260" s="667"/>
      <c r="J260" s="667"/>
      <c r="K260" s="667"/>
      <c r="L260" s="667"/>
      <c r="M260" s="667"/>
      <c r="N260" s="667"/>
      <c r="O260" s="667"/>
      <c r="P260" s="667"/>
      <c r="Q260" s="616"/>
      <c r="R260" s="490" t="str">
        <f t="shared" si="3"/>
        <v>DELETE</v>
      </c>
    </row>
    <row r="261" spans="1:18" ht="36" customHeight="1" x14ac:dyDescent="0.4">
      <c r="A261" s="616"/>
      <c r="B261" s="616"/>
      <c r="C261" s="616"/>
      <c r="D261" s="616"/>
      <c r="E261" s="616"/>
      <c r="F261" s="616"/>
      <c r="G261" s="616"/>
      <c r="H261" s="616"/>
      <c r="I261" s="616"/>
      <c r="J261" s="616"/>
      <c r="K261" s="616"/>
      <c r="L261" s="616"/>
      <c r="M261" s="617"/>
      <c r="N261" s="617"/>
      <c r="O261" s="617"/>
      <c r="P261" s="617"/>
      <c r="Q261" s="616"/>
      <c r="R261" s="490" t="str">
        <f t="shared" si="3"/>
        <v>DELETE</v>
      </c>
    </row>
    <row r="262" spans="1:18" ht="36" customHeight="1" x14ac:dyDescent="0.4">
      <c r="A262" s="616"/>
      <c r="B262" s="616"/>
      <c r="C262" s="616"/>
      <c r="D262" s="615" t="str">
        <f>CONCATENATE("TO THE ",IF(MAX(Criteria!H54:H58)=1,"SHAREHOLDER OF ","SHAREHOLDERS OF "))</f>
        <v xml:space="preserve">TO THE SHAREHOLDERS OF </v>
      </c>
      <c r="E262" s="616"/>
      <c r="F262" s="616"/>
      <c r="G262" s="616"/>
      <c r="H262" s="616"/>
      <c r="I262" s="616"/>
      <c r="J262" s="616"/>
      <c r="K262" s="616"/>
      <c r="L262" s="616"/>
      <c r="M262" s="617"/>
      <c r="N262" s="617"/>
      <c r="O262" s="617"/>
      <c r="P262" s="617"/>
      <c r="Q262" s="616"/>
      <c r="R262" s="490" t="str">
        <f t="shared" si="3"/>
        <v>DELETE</v>
      </c>
    </row>
    <row r="263" spans="1:18" ht="36" customHeight="1" x14ac:dyDescent="0.4">
      <c r="A263" s="616"/>
      <c r="B263" s="616"/>
      <c r="C263" s="616"/>
      <c r="D263" s="615" t="str">
        <f>Criteria!E9</f>
        <v>ABC COMPANY (PROPRIETARY) LIMITED</v>
      </c>
      <c r="E263" s="616"/>
      <c r="F263" s="616"/>
      <c r="G263" s="616"/>
      <c r="H263" s="616"/>
      <c r="I263" s="616"/>
      <c r="J263" s="616"/>
      <c r="K263" s="616"/>
      <c r="L263" s="616"/>
      <c r="M263" s="617"/>
      <c r="N263" s="617"/>
      <c r="O263" s="617"/>
      <c r="P263" s="617"/>
      <c r="Q263" s="616"/>
      <c r="R263" s="490" t="str">
        <f t="shared" si="3"/>
        <v>DELETE</v>
      </c>
    </row>
    <row r="264" spans="1:18" ht="36" customHeight="1" x14ac:dyDescent="0.4">
      <c r="A264" s="616"/>
      <c r="B264" s="616"/>
      <c r="C264" s="616"/>
      <c r="D264" s="616"/>
      <c r="E264" s="616"/>
      <c r="F264" s="616"/>
      <c r="G264" s="616"/>
      <c r="H264" s="616"/>
      <c r="I264" s="616"/>
      <c r="J264" s="616"/>
      <c r="K264" s="616"/>
      <c r="L264" s="616"/>
      <c r="M264" s="617"/>
      <c r="N264" s="617"/>
      <c r="O264" s="617"/>
      <c r="P264" s="617"/>
      <c r="Q264" s="616"/>
      <c r="R264" s="490" t="str">
        <f t="shared" si="3"/>
        <v>DELETE</v>
      </c>
    </row>
    <row r="265" spans="1:18" ht="36" customHeight="1" x14ac:dyDescent="0.4">
      <c r="A265" s="616"/>
      <c r="B265" s="616"/>
      <c r="C265" s="616"/>
      <c r="D265" s="664" t="str">
        <f>CONCATENATE("We have reviewed the annual Financial Statements of ",Criteria!E11,", set out on pages ",Q601," to ",MAX(Q601:Q2736),", which comprise the statement of financial position as at ",Criteria!G24," and the statement of comprehensive income, statement of changes in equity and statement of cash flows for the year then ended and notes to the Financial Statements, including a summary of significant accounting policies and other explanatory information.")</f>
        <v>We have reviewed the annual Financial Statements of ABC Company (Pty) Ltd, set out on pages 13 to 72, which comprise the statement of financial position as at 28 February 2026 and the statement of comprehensive income, statement of changes in equity and statement of cash flows for the year then ended and notes to the Financial Statements, including a summary of significant accounting policies and other explanatory information.</v>
      </c>
      <c r="E265" s="664"/>
      <c r="F265" s="664"/>
      <c r="G265" s="664"/>
      <c r="H265" s="664"/>
      <c r="I265" s="664"/>
      <c r="J265" s="664"/>
      <c r="K265" s="664"/>
      <c r="L265" s="664"/>
      <c r="M265" s="664"/>
      <c r="N265" s="664"/>
      <c r="O265" s="664"/>
      <c r="P265" s="664"/>
      <c r="Q265" s="664"/>
      <c r="R265" s="490" t="str">
        <f t="shared" si="3"/>
        <v>DELETE</v>
      </c>
    </row>
    <row r="266" spans="1:18" ht="36" customHeight="1" x14ac:dyDescent="0.4">
      <c r="A266" s="616"/>
      <c r="B266" s="616"/>
      <c r="C266" s="616"/>
      <c r="D266" s="664"/>
      <c r="E266" s="664"/>
      <c r="F266" s="664"/>
      <c r="G266" s="664"/>
      <c r="H266" s="664"/>
      <c r="I266" s="664"/>
      <c r="J266" s="664"/>
      <c r="K266" s="664"/>
      <c r="L266" s="664"/>
      <c r="M266" s="664"/>
      <c r="N266" s="664"/>
      <c r="O266" s="664"/>
      <c r="P266" s="664"/>
      <c r="Q266" s="664"/>
      <c r="R266" s="490" t="str">
        <f t="shared" si="3"/>
        <v>DELETE</v>
      </c>
    </row>
    <row r="267" spans="1:18" ht="36" customHeight="1" x14ac:dyDescent="0.4">
      <c r="A267" s="616"/>
      <c r="B267" s="616"/>
      <c r="C267" s="616"/>
      <c r="D267" s="664"/>
      <c r="E267" s="664"/>
      <c r="F267" s="664"/>
      <c r="G267" s="664"/>
      <c r="H267" s="664"/>
      <c r="I267" s="664"/>
      <c r="J267" s="664"/>
      <c r="K267" s="664"/>
      <c r="L267" s="664"/>
      <c r="M267" s="664"/>
      <c r="N267" s="664"/>
      <c r="O267" s="664"/>
      <c r="P267" s="664"/>
      <c r="Q267" s="664"/>
      <c r="R267" s="490" t="str">
        <f t="shared" si="3"/>
        <v>DELETE</v>
      </c>
    </row>
    <row r="268" spans="1:18" ht="36" customHeight="1" x14ac:dyDescent="0.4">
      <c r="A268" s="616"/>
      <c r="B268" s="616"/>
      <c r="C268" s="616"/>
      <c r="D268" s="664"/>
      <c r="E268" s="664"/>
      <c r="F268" s="664"/>
      <c r="G268" s="664"/>
      <c r="H268" s="664"/>
      <c r="I268" s="664"/>
      <c r="J268" s="664"/>
      <c r="K268" s="664"/>
      <c r="L268" s="664"/>
      <c r="M268" s="664"/>
      <c r="N268" s="664"/>
      <c r="O268" s="664"/>
      <c r="P268" s="664"/>
      <c r="Q268" s="664"/>
      <c r="R268" s="490" t="str">
        <f t="shared" si="3"/>
        <v>DELETE</v>
      </c>
    </row>
    <row r="269" spans="1:18" ht="36" customHeight="1" x14ac:dyDescent="0.4">
      <c r="A269" s="616"/>
      <c r="B269" s="616"/>
      <c r="C269" s="616"/>
      <c r="D269" s="664"/>
      <c r="E269" s="664"/>
      <c r="F269" s="664"/>
      <c r="G269" s="664"/>
      <c r="H269" s="664"/>
      <c r="I269" s="664"/>
      <c r="J269" s="664"/>
      <c r="K269" s="664"/>
      <c r="L269" s="664"/>
      <c r="M269" s="664"/>
      <c r="N269" s="664"/>
      <c r="O269" s="664"/>
      <c r="P269" s="664"/>
      <c r="Q269" s="664"/>
      <c r="R269" s="490" t="str">
        <f t="shared" si="3"/>
        <v>DELETE</v>
      </c>
    </row>
    <row r="270" spans="1:18" ht="36" customHeight="1" x14ac:dyDescent="0.4">
      <c r="A270" s="616"/>
      <c r="B270" s="616"/>
      <c r="C270" s="616"/>
      <c r="D270" s="664"/>
      <c r="E270" s="664"/>
      <c r="F270" s="664"/>
      <c r="G270" s="664"/>
      <c r="H270" s="664"/>
      <c r="I270" s="664"/>
      <c r="J270" s="664"/>
      <c r="K270" s="664"/>
      <c r="L270" s="664"/>
      <c r="M270" s="664"/>
      <c r="N270" s="664"/>
      <c r="O270" s="664"/>
      <c r="P270" s="664"/>
      <c r="Q270" s="664"/>
      <c r="R270" s="490" t="str">
        <f t="shared" si="3"/>
        <v>DELETE</v>
      </c>
    </row>
    <row r="271" spans="1:18" ht="36" customHeight="1" x14ac:dyDescent="0.4">
      <c r="A271" s="616"/>
      <c r="B271" s="616"/>
      <c r="C271" s="616"/>
      <c r="D271" s="616"/>
      <c r="E271" s="616"/>
      <c r="F271" s="616"/>
      <c r="G271" s="616"/>
      <c r="H271" s="616"/>
      <c r="I271" s="616"/>
      <c r="J271" s="616"/>
      <c r="K271" s="616"/>
      <c r="L271" s="616"/>
      <c r="M271" s="617"/>
      <c r="N271" s="617"/>
      <c r="O271" s="617"/>
      <c r="P271" s="617"/>
      <c r="Q271" s="616"/>
      <c r="R271" s="490" t="str">
        <f t="shared" si="3"/>
        <v>DELETE</v>
      </c>
    </row>
    <row r="272" spans="1:18" ht="36" customHeight="1" x14ac:dyDescent="0.4">
      <c r="A272" s="616"/>
      <c r="B272" s="616"/>
      <c r="C272" s="616"/>
      <c r="D272" s="626" t="s">
        <v>1251</v>
      </c>
      <c r="E272" s="616"/>
      <c r="F272" s="616"/>
      <c r="G272" s="616"/>
      <c r="H272" s="616"/>
      <c r="I272" s="616"/>
      <c r="J272" s="616"/>
      <c r="K272" s="616"/>
      <c r="L272" s="616"/>
      <c r="M272" s="617"/>
      <c r="N272" s="617"/>
      <c r="O272" s="617"/>
      <c r="P272" s="617"/>
      <c r="Q272" s="616"/>
      <c r="R272" s="490" t="str">
        <f t="shared" si="3"/>
        <v>DELETE</v>
      </c>
    </row>
    <row r="273" spans="1:18" ht="36" customHeight="1" x14ac:dyDescent="0.4">
      <c r="A273" s="616"/>
      <c r="B273" s="616"/>
      <c r="C273" s="616"/>
      <c r="D273" s="616"/>
      <c r="E273" s="616"/>
      <c r="F273" s="616"/>
      <c r="G273" s="616"/>
      <c r="H273" s="616"/>
      <c r="I273" s="616"/>
      <c r="J273" s="616"/>
      <c r="K273" s="616"/>
      <c r="L273" s="616"/>
      <c r="M273" s="617"/>
      <c r="N273" s="617"/>
      <c r="O273" s="617"/>
      <c r="P273" s="617"/>
      <c r="Q273" s="616"/>
      <c r="R273" s="490" t="str">
        <f t="shared" si="3"/>
        <v>DELETE</v>
      </c>
    </row>
    <row r="274" spans="1:18" ht="36" customHeight="1" x14ac:dyDescent="0.4">
      <c r="A274" s="616"/>
      <c r="B274" s="616"/>
      <c r="C274" s="616"/>
      <c r="D274" s="616" t="s">
        <v>1622</v>
      </c>
      <c r="E274" s="616"/>
      <c r="F274" s="616"/>
      <c r="G274" s="616"/>
      <c r="H274" s="616"/>
      <c r="I274" s="616"/>
      <c r="J274" s="616"/>
      <c r="K274" s="616"/>
      <c r="L274" s="616"/>
      <c r="M274" s="617"/>
      <c r="N274" s="617"/>
      <c r="O274" s="617"/>
      <c r="P274" s="617"/>
      <c r="Q274" s="616"/>
      <c r="R274" s="490" t="str">
        <f t="shared" si="3"/>
        <v>DELETE</v>
      </c>
    </row>
    <row r="275" spans="1:18" ht="36" customHeight="1" x14ac:dyDescent="0.4">
      <c r="A275" s="616"/>
      <c r="B275" s="616"/>
      <c r="C275" s="616"/>
      <c r="D275" s="616" t="s">
        <v>1615</v>
      </c>
      <c r="E275" s="616"/>
      <c r="F275" s="616"/>
      <c r="G275" s="616"/>
      <c r="H275" s="616"/>
      <c r="I275" s="616"/>
      <c r="J275" s="616"/>
      <c r="K275" s="616"/>
      <c r="L275" s="616"/>
      <c r="M275" s="617"/>
      <c r="N275" s="617"/>
      <c r="O275" s="617"/>
      <c r="P275" s="617"/>
      <c r="Q275" s="616"/>
      <c r="R275" s="490" t="str">
        <f t="shared" si="3"/>
        <v>DELETE</v>
      </c>
    </row>
    <row r="276" spans="1:18" ht="36" customHeight="1" x14ac:dyDescent="0.4">
      <c r="A276" s="616"/>
      <c r="B276" s="616"/>
      <c r="C276" s="616"/>
      <c r="D276" s="616" t="s">
        <v>1616</v>
      </c>
      <c r="E276" s="616"/>
      <c r="F276" s="616"/>
      <c r="G276" s="616"/>
      <c r="H276" s="616"/>
      <c r="I276" s="616"/>
      <c r="J276" s="616"/>
      <c r="K276" s="616"/>
      <c r="L276" s="616"/>
      <c r="M276" s="617"/>
      <c r="N276" s="617"/>
      <c r="O276" s="617"/>
      <c r="P276" s="617"/>
      <c r="Q276" s="616"/>
      <c r="R276" s="490" t="str">
        <f t="shared" si="3"/>
        <v>DELETE</v>
      </c>
    </row>
    <row r="277" spans="1:18" ht="36" customHeight="1" x14ac:dyDescent="0.4">
      <c r="A277" s="616"/>
      <c r="B277" s="616"/>
      <c r="C277" s="616"/>
      <c r="D277" s="616" t="s">
        <v>1617</v>
      </c>
      <c r="E277" s="616"/>
      <c r="F277" s="616"/>
      <c r="G277" s="616"/>
      <c r="H277" s="616"/>
      <c r="I277" s="616"/>
      <c r="J277" s="616"/>
      <c r="K277" s="616"/>
      <c r="L277" s="616"/>
      <c r="M277" s="617"/>
      <c r="N277" s="617"/>
      <c r="O277" s="617"/>
      <c r="P277" s="617"/>
      <c r="Q277" s="616"/>
      <c r="R277" s="490" t="str">
        <f t="shared" si="3"/>
        <v>DELETE</v>
      </c>
    </row>
    <row r="278" spans="1:18" ht="36" customHeight="1" x14ac:dyDescent="0.4">
      <c r="A278" s="616"/>
      <c r="B278" s="616"/>
      <c r="C278" s="616"/>
      <c r="D278" s="616" t="s">
        <v>1618</v>
      </c>
      <c r="E278" s="616"/>
      <c r="F278" s="616"/>
      <c r="G278" s="616"/>
      <c r="H278" s="616"/>
      <c r="I278" s="616"/>
      <c r="J278" s="616"/>
      <c r="K278" s="616"/>
      <c r="L278" s="616"/>
      <c r="M278" s="617"/>
      <c r="N278" s="617"/>
      <c r="O278" s="617"/>
      <c r="P278" s="617"/>
      <c r="Q278" s="616"/>
      <c r="R278" s="490" t="str">
        <f t="shared" si="3"/>
        <v>DELETE</v>
      </c>
    </row>
    <row r="279" spans="1:18" ht="36" customHeight="1" x14ac:dyDescent="0.4">
      <c r="A279" s="616"/>
      <c r="B279" s="616"/>
      <c r="C279" s="616"/>
      <c r="D279" s="616" t="s">
        <v>1619</v>
      </c>
      <c r="E279" s="616"/>
      <c r="F279" s="616"/>
      <c r="G279" s="616"/>
      <c r="H279" s="616"/>
      <c r="I279" s="616"/>
      <c r="J279" s="616"/>
      <c r="K279" s="616"/>
      <c r="L279" s="616"/>
      <c r="M279" s="617"/>
      <c r="N279" s="617"/>
      <c r="O279" s="617"/>
      <c r="P279" s="617"/>
      <c r="Q279" s="616"/>
      <c r="R279" s="490" t="str">
        <f t="shared" si="3"/>
        <v>DELETE</v>
      </c>
    </row>
    <row r="280" spans="1:18" ht="36" customHeight="1" x14ac:dyDescent="0.4">
      <c r="A280" s="616"/>
      <c r="B280" s="616"/>
      <c r="C280" s="616"/>
      <c r="D280" s="616" t="s">
        <v>1621</v>
      </c>
      <c r="E280" s="616"/>
      <c r="F280" s="616"/>
      <c r="G280" s="616"/>
      <c r="H280" s="616"/>
      <c r="I280" s="616"/>
      <c r="J280" s="616"/>
      <c r="K280" s="616"/>
      <c r="L280" s="616"/>
      <c r="M280" s="617"/>
      <c r="N280" s="617"/>
      <c r="O280" s="617"/>
      <c r="P280" s="617"/>
      <c r="Q280" s="616"/>
      <c r="R280" s="490" t="str">
        <f t="shared" si="3"/>
        <v>DELETE</v>
      </c>
    </row>
    <row r="281" spans="1:18" ht="36" customHeight="1" x14ac:dyDescent="0.4">
      <c r="A281" s="616"/>
      <c r="B281" s="616"/>
      <c r="C281" s="616"/>
      <c r="D281" s="616" t="s">
        <v>1620</v>
      </c>
      <c r="E281" s="616"/>
      <c r="F281" s="616"/>
      <c r="G281" s="616"/>
      <c r="H281" s="616"/>
      <c r="I281" s="616"/>
      <c r="J281" s="616"/>
      <c r="K281" s="616"/>
      <c r="L281" s="616"/>
      <c r="M281" s="617"/>
      <c r="N281" s="617"/>
      <c r="O281" s="617"/>
      <c r="P281" s="617"/>
      <c r="Q281" s="616"/>
      <c r="R281" s="490" t="str">
        <f t="shared" si="3"/>
        <v>DELETE</v>
      </c>
    </row>
    <row r="282" spans="1:18" ht="36" customHeight="1" x14ac:dyDescent="0.4">
      <c r="A282" s="616"/>
      <c r="B282" s="616"/>
      <c r="C282" s="616"/>
      <c r="D282" s="616"/>
      <c r="E282" s="616"/>
      <c r="F282" s="616"/>
      <c r="G282" s="616"/>
      <c r="H282" s="616"/>
      <c r="I282" s="616"/>
      <c r="J282" s="616"/>
      <c r="K282" s="616"/>
      <c r="L282" s="616"/>
      <c r="M282" s="617"/>
      <c r="N282" s="617"/>
      <c r="O282" s="617"/>
      <c r="P282" s="617"/>
      <c r="Q282" s="616"/>
      <c r="R282" s="490" t="str">
        <f t="shared" si="3"/>
        <v>DELETE</v>
      </c>
    </row>
    <row r="283" spans="1:18" ht="36" customHeight="1" x14ac:dyDescent="0.4">
      <c r="A283" s="616"/>
      <c r="B283" s="616"/>
      <c r="C283" s="616"/>
      <c r="D283" s="616" t="s">
        <v>1545</v>
      </c>
      <c r="E283" s="616"/>
      <c r="F283" s="616"/>
      <c r="G283" s="616"/>
      <c r="H283" s="616"/>
      <c r="I283" s="616"/>
      <c r="J283" s="616"/>
      <c r="K283" s="616"/>
      <c r="L283" s="616"/>
      <c r="M283" s="617"/>
      <c r="N283" s="617"/>
      <c r="O283" s="617"/>
      <c r="P283" s="617"/>
      <c r="Q283" s="616"/>
      <c r="R283" s="490" t="str">
        <f t="shared" si="3"/>
        <v>DELETE</v>
      </c>
    </row>
    <row r="284" spans="1:18" ht="36" customHeight="1" x14ac:dyDescent="0.4">
      <c r="A284" s="616"/>
      <c r="B284" s="616"/>
      <c r="C284" s="616"/>
      <c r="D284" s="616" t="s">
        <v>1547</v>
      </c>
      <c r="E284" s="616"/>
      <c r="F284" s="616"/>
      <c r="G284" s="616"/>
      <c r="H284" s="616"/>
      <c r="I284" s="616"/>
      <c r="J284" s="616"/>
      <c r="K284" s="616"/>
      <c r="L284" s="616"/>
      <c r="M284" s="617"/>
      <c r="N284" s="617"/>
      <c r="O284" s="617"/>
      <c r="P284" s="617"/>
      <c r="Q284" s="616"/>
      <c r="R284" s="490" t="str">
        <f t="shared" si="3"/>
        <v>DELETE</v>
      </c>
    </row>
    <row r="285" spans="1:18" ht="36" customHeight="1" x14ac:dyDescent="0.4">
      <c r="A285" s="616"/>
      <c r="B285" s="616"/>
      <c r="C285" s="616"/>
      <c r="D285" s="616" t="s">
        <v>1624</v>
      </c>
      <c r="E285" s="616"/>
      <c r="F285" s="616"/>
      <c r="G285" s="616"/>
      <c r="H285" s="616"/>
      <c r="I285" s="616"/>
      <c r="J285" s="616"/>
      <c r="K285" s="616"/>
      <c r="L285" s="616"/>
      <c r="M285" s="617"/>
      <c r="N285" s="617"/>
      <c r="O285" s="617"/>
      <c r="P285" s="617"/>
      <c r="Q285" s="616"/>
      <c r="R285" s="490" t="str">
        <f t="shared" si="3"/>
        <v>DELETE</v>
      </c>
    </row>
    <row r="286" spans="1:18" ht="36" customHeight="1" x14ac:dyDescent="0.4">
      <c r="A286" s="616"/>
      <c r="B286" s="616"/>
      <c r="C286" s="616"/>
      <c r="D286" s="616" t="s">
        <v>1623</v>
      </c>
      <c r="E286" s="616"/>
      <c r="F286" s="616"/>
      <c r="G286" s="616"/>
      <c r="H286" s="616"/>
      <c r="I286" s="616"/>
      <c r="J286" s="616"/>
      <c r="K286" s="616"/>
      <c r="L286" s="616"/>
      <c r="M286" s="617"/>
      <c r="N286" s="617"/>
      <c r="O286" s="617"/>
      <c r="P286" s="617"/>
      <c r="Q286" s="616"/>
      <c r="R286" s="490" t="str">
        <f t="shared" si="3"/>
        <v>DELETE</v>
      </c>
    </row>
    <row r="287" spans="1:18" ht="36" customHeight="1" x14ac:dyDescent="0.4">
      <c r="A287" s="616"/>
      <c r="B287" s="616"/>
      <c r="C287" s="616"/>
      <c r="D287" s="616"/>
      <c r="E287" s="616"/>
      <c r="F287" s="616"/>
      <c r="G287" s="616"/>
      <c r="H287" s="616"/>
      <c r="I287" s="616"/>
      <c r="J287" s="616"/>
      <c r="K287" s="616"/>
      <c r="L287" s="616"/>
      <c r="M287" s="617"/>
      <c r="N287" s="617"/>
      <c r="O287" s="617"/>
      <c r="P287" s="617"/>
      <c r="Q287" s="616"/>
      <c r="R287" s="490" t="str">
        <f t="shared" si="3"/>
        <v>DELETE</v>
      </c>
    </row>
    <row r="288" spans="1:18" ht="36" customHeight="1" x14ac:dyDescent="0.4">
      <c r="A288" s="616"/>
      <c r="B288" s="616"/>
      <c r="C288" s="616"/>
      <c r="D288" s="616" t="s">
        <v>1625</v>
      </c>
      <c r="E288" s="616"/>
      <c r="F288" s="616"/>
      <c r="G288" s="616"/>
      <c r="H288" s="616"/>
      <c r="I288" s="616"/>
      <c r="J288" s="616"/>
      <c r="K288" s="616"/>
      <c r="L288" s="616"/>
      <c r="M288" s="617"/>
      <c r="N288" s="617"/>
      <c r="O288" s="617"/>
      <c r="P288" s="617"/>
      <c r="Q288" s="616"/>
      <c r="R288" s="490" t="str">
        <f t="shared" si="3"/>
        <v>DELETE</v>
      </c>
    </row>
    <row r="289" spans="1:18" ht="36" customHeight="1" x14ac:dyDescent="0.4">
      <c r="A289" s="616"/>
      <c r="B289" s="616"/>
      <c r="C289" s="616"/>
      <c r="D289" s="616" t="s">
        <v>1627</v>
      </c>
      <c r="E289" s="616"/>
      <c r="F289" s="616"/>
      <c r="G289" s="616"/>
      <c r="H289" s="616"/>
      <c r="I289" s="616"/>
      <c r="J289" s="616"/>
      <c r="K289" s="616"/>
      <c r="L289" s="616"/>
      <c r="M289" s="617"/>
      <c r="N289" s="617"/>
      <c r="O289" s="617"/>
      <c r="P289" s="617"/>
      <c r="Q289" s="616"/>
      <c r="R289" s="490" t="str">
        <f t="shared" si="3"/>
        <v>DELETE</v>
      </c>
    </row>
    <row r="290" spans="1:18" ht="36" customHeight="1" x14ac:dyDescent="0.4">
      <c r="A290" s="616"/>
      <c r="B290" s="616"/>
      <c r="C290" s="616"/>
      <c r="D290" s="616" t="s">
        <v>1626</v>
      </c>
      <c r="E290" s="616"/>
      <c r="F290" s="616"/>
      <c r="G290" s="616"/>
      <c r="H290" s="616"/>
      <c r="I290" s="616"/>
      <c r="J290" s="616"/>
      <c r="K290" s="616"/>
      <c r="L290" s="616"/>
      <c r="M290" s="617"/>
      <c r="N290" s="617"/>
      <c r="O290" s="617"/>
      <c r="P290" s="617"/>
      <c r="Q290" s="616"/>
      <c r="R290" s="490" t="str">
        <f t="shared" si="3"/>
        <v>DELETE</v>
      </c>
    </row>
    <row r="291" spans="1:18" ht="36" customHeight="1" x14ac:dyDescent="0.4">
      <c r="A291" s="616"/>
      <c r="B291" s="616"/>
      <c r="C291" s="616"/>
      <c r="D291" s="616"/>
      <c r="E291" s="616"/>
      <c r="F291" s="616"/>
      <c r="G291" s="616"/>
      <c r="H291" s="616"/>
      <c r="I291" s="616"/>
      <c r="J291" s="616"/>
      <c r="K291" s="616"/>
      <c r="L291" s="616"/>
      <c r="M291" s="617"/>
      <c r="N291" s="617"/>
      <c r="O291" s="617"/>
      <c r="P291" s="617"/>
      <c r="Q291" s="616"/>
      <c r="R291" s="490" t="str">
        <f t="shared" si="3"/>
        <v>DELETE</v>
      </c>
    </row>
    <row r="292" spans="1:18" ht="36" customHeight="1" x14ac:dyDescent="0.4">
      <c r="A292" s="616"/>
      <c r="B292" s="616"/>
      <c r="C292" s="616"/>
      <c r="D292" s="616"/>
      <c r="E292" s="616"/>
      <c r="F292" s="616"/>
      <c r="G292" s="616"/>
      <c r="H292" s="616"/>
      <c r="I292" s="616"/>
      <c r="J292" s="616"/>
      <c r="K292" s="616"/>
      <c r="L292" s="616"/>
      <c r="M292" s="617"/>
      <c r="N292" s="617"/>
      <c r="O292" s="617"/>
      <c r="P292" s="617"/>
      <c r="Q292" s="616"/>
      <c r="R292" s="490" t="str">
        <f t="shared" si="3"/>
        <v>DELETE</v>
      </c>
    </row>
    <row r="293" spans="1:18" ht="36" customHeight="1" x14ac:dyDescent="0.4">
      <c r="A293" s="616"/>
      <c r="B293" s="616"/>
      <c r="C293" s="616"/>
      <c r="D293" s="616"/>
      <c r="E293" s="616"/>
      <c r="F293" s="616"/>
      <c r="G293" s="616"/>
      <c r="H293" s="616"/>
      <c r="I293" s="616"/>
      <c r="J293" s="616"/>
      <c r="K293" s="616"/>
      <c r="L293" s="616"/>
      <c r="M293" s="617"/>
      <c r="N293" s="617"/>
      <c r="O293" s="617"/>
      <c r="P293" s="617"/>
      <c r="Q293" s="616"/>
      <c r="R293" s="490" t="str">
        <f t="shared" si="3"/>
        <v>DELETE</v>
      </c>
    </row>
    <row r="294" spans="1:18" ht="36" customHeight="1" x14ac:dyDescent="0.4">
      <c r="A294" s="616"/>
      <c r="B294" s="616"/>
      <c r="C294" s="616"/>
      <c r="D294" s="616"/>
      <c r="E294" s="616"/>
      <c r="F294" s="616"/>
      <c r="G294" s="616"/>
      <c r="H294" s="616"/>
      <c r="I294" s="616"/>
      <c r="J294" s="616"/>
      <c r="K294" s="616"/>
      <c r="L294" s="616"/>
      <c r="M294" s="617"/>
      <c r="N294" s="617"/>
      <c r="O294" s="617"/>
      <c r="P294" s="617"/>
      <c r="Q294" s="616"/>
      <c r="R294" s="490" t="str">
        <f t="shared" si="3"/>
        <v>DELETE</v>
      </c>
    </row>
    <row r="295" spans="1:18" ht="36" customHeight="1" x14ac:dyDescent="0.4">
      <c r="A295" s="616"/>
      <c r="B295" s="616"/>
      <c r="C295" s="616"/>
      <c r="D295" s="616"/>
      <c r="E295" s="616"/>
      <c r="F295" s="616"/>
      <c r="G295" s="616"/>
      <c r="H295" s="616"/>
      <c r="I295" s="616"/>
      <c r="J295" s="616"/>
      <c r="K295" s="616"/>
      <c r="L295" s="616"/>
      <c r="M295" s="617"/>
      <c r="N295" s="617"/>
      <c r="O295" s="617"/>
      <c r="P295" s="617"/>
      <c r="Q295" s="616"/>
      <c r="R295" s="490" t="str">
        <f t="shared" si="3"/>
        <v>DELETE</v>
      </c>
    </row>
    <row r="296" spans="1:18" ht="36" customHeight="1" x14ac:dyDescent="0.4">
      <c r="A296" s="616"/>
      <c r="B296" s="616"/>
      <c r="C296" s="616"/>
      <c r="D296" s="616"/>
      <c r="E296" s="616"/>
      <c r="F296" s="616"/>
      <c r="G296" s="616"/>
      <c r="H296" s="616"/>
      <c r="I296" s="616"/>
      <c r="J296" s="616"/>
      <c r="K296" s="616"/>
      <c r="L296" s="616"/>
      <c r="M296" s="617"/>
      <c r="N296" s="617"/>
      <c r="O296" s="617"/>
      <c r="P296" s="617"/>
      <c r="Q296" s="616"/>
      <c r="R296" s="490" t="str">
        <f t="shared" si="3"/>
        <v>DELETE</v>
      </c>
    </row>
    <row r="297" spans="1:18" ht="36" customHeight="1" x14ac:dyDescent="0.4">
      <c r="A297" s="616"/>
      <c r="B297" s="616"/>
      <c r="C297" s="616"/>
      <c r="D297" s="616"/>
      <c r="E297" s="616"/>
      <c r="F297" s="616"/>
      <c r="G297" s="616"/>
      <c r="H297" s="616"/>
      <c r="I297" s="616"/>
      <c r="J297" s="616"/>
      <c r="K297" s="616"/>
      <c r="L297" s="616"/>
      <c r="M297" s="617"/>
      <c r="N297" s="617"/>
      <c r="O297" s="617"/>
      <c r="P297" s="617"/>
      <c r="Q297" s="616"/>
      <c r="R297" s="490" t="str">
        <f t="shared" si="3"/>
        <v>DELETE</v>
      </c>
    </row>
    <row r="298" spans="1:18" ht="36" customHeight="1" x14ac:dyDescent="0.4">
      <c r="A298" s="616"/>
      <c r="B298" s="616"/>
      <c r="C298" s="616"/>
      <c r="D298" s="616"/>
      <c r="E298" s="616"/>
      <c r="F298" s="616"/>
      <c r="G298" s="616"/>
      <c r="H298" s="616"/>
      <c r="I298" s="616"/>
      <c r="J298" s="616"/>
      <c r="K298" s="616"/>
      <c r="L298" s="616"/>
      <c r="M298" s="617"/>
      <c r="N298" s="617"/>
      <c r="O298" s="617"/>
      <c r="P298" s="617"/>
      <c r="Q298" s="616"/>
      <c r="R298" s="490" t="str">
        <f t="shared" si="3"/>
        <v>DELETE</v>
      </c>
    </row>
    <row r="299" spans="1:18" ht="36" customHeight="1" x14ac:dyDescent="0.45">
      <c r="A299" s="616"/>
      <c r="B299" s="616"/>
      <c r="C299" s="616"/>
      <c r="D299" s="616"/>
      <c r="E299" s="616"/>
      <c r="F299" s="616"/>
      <c r="G299" s="616"/>
      <c r="H299" s="616"/>
      <c r="I299" s="616"/>
      <c r="J299" s="616"/>
      <c r="K299" s="616"/>
      <c r="L299" s="616"/>
      <c r="M299" s="617"/>
      <c r="N299" s="617"/>
      <c r="O299" s="454" t="s">
        <v>112</v>
      </c>
      <c r="P299" s="454"/>
      <c r="Q299" s="450">
        <f>MAX($Q$103:Q298)+1</f>
        <v>5</v>
      </c>
      <c r="R299" s="490" t="str">
        <f t="shared" si="3"/>
        <v>DELETE</v>
      </c>
    </row>
    <row r="300" spans="1:18" ht="36" customHeight="1" x14ac:dyDescent="0.45">
      <c r="A300" s="616"/>
      <c r="B300" s="616"/>
      <c r="C300" s="616"/>
      <c r="D300" s="616"/>
      <c r="E300" s="616"/>
      <c r="F300" s="616"/>
      <c r="G300" s="616"/>
      <c r="H300" s="616"/>
      <c r="I300" s="616"/>
      <c r="J300" s="616"/>
      <c r="K300" s="616"/>
      <c r="L300" s="616"/>
      <c r="M300" s="617"/>
      <c r="N300" s="617"/>
      <c r="O300" s="454"/>
      <c r="P300" s="454"/>
      <c r="Q300" s="450"/>
      <c r="R300" s="490" t="str">
        <f t="shared" si="3"/>
        <v>DELETE</v>
      </c>
    </row>
    <row r="301" spans="1:18" ht="36" customHeight="1" x14ac:dyDescent="0.45">
      <c r="A301" s="616"/>
      <c r="B301" s="616"/>
      <c r="C301" s="616"/>
      <c r="D301" s="616"/>
      <c r="E301" s="616"/>
      <c r="F301" s="616"/>
      <c r="G301" s="616"/>
      <c r="H301" s="616"/>
      <c r="I301" s="616"/>
      <c r="J301" s="616"/>
      <c r="K301" s="616"/>
      <c r="L301" s="616"/>
      <c r="M301" s="617"/>
      <c r="N301" s="617"/>
      <c r="O301" s="454"/>
      <c r="P301" s="454"/>
      <c r="Q301" s="450"/>
      <c r="R301" s="490" t="str">
        <f t="shared" si="3"/>
        <v>DELETE</v>
      </c>
    </row>
    <row r="302" spans="1:18" ht="36" customHeight="1" x14ac:dyDescent="0.45">
      <c r="A302" s="616"/>
      <c r="B302" s="616"/>
      <c r="C302" s="616"/>
      <c r="D302" s="616"/>
      <c r="E302" s="616"/>
      <c r="F302" s="616"/>
      <c r="G302" s="616"/>
      <c r="H302" s="616"/>
      <c r="I302" s="616"/>
      <c r="J302" s="616"/>
      <c r="K302" s="616"/>
      <c r="L302" s="616"/>
      <c r="M302" s="617"/>
      <c r="N302" s="617"/>
      <c r="O302" s="454"/>
      <c r="P302" s="454"/>
      <c r="Q302" s="450"/>
      <c r="R302" s="490" t="str">
        <f t="shared" si="3"/>
        <v>DELETE</v>
      </c>
    </row>
    <row r="303" spans="1:18" ht="36" customHeight="1" x14ac:dyDescent="0.4">
      <c r="A303" s="616"/>
      <c r="B303" s="616"/>
      <c r="C303" s="616"/>
      <c r="D303" s="616"/>
      <c r="E303" s="616"/>
      <c r="F303" s="616"/>
      <c r="G303" s="616"/>
      <c r="H303" s="616"/>
      <c r="I303" s="616"/>
      <c r="J303" s="616"/>
      <c r="K303" s="616"/>
      <c r="L303" s="616"/>
      <c r="M303" s="617"/>
      <c r="N303" s="617"/>
      <c r="O303" s="617"/>
      <c r="P303" s="617"/>
      <c r="Q303" s="616"/>
      <c r="R303" s="490" t="str">
        <f t="shared" si="3"/>
        <v>DELETE</v>
      </c>
    </row>
    <row r="304" spans="1:18" ht="36" customHeight="1" x14ac:dyDescent="0.4">
      <c r="A304" s="616"/>
      <c r="B304" s="616"/>
      <c r="C304" s="616"/>
      <c r="D304" s="626" t="s">
        <v>1252</v>
      </c>
      <c r="E304" s="616"/>
      <c r="F304" s="616"/>
      <c r="G304" s="616"/>
      <c r="H304" s="616"/>
      <c r="I304" s="616"/>
      <c r="J304" s="616"/>
      <c r="K304" s="616"/>
      <c r="L304" s="616"/>
      <c r="M304" s="617"/>
      <c r="N304" s="617"/>
      <c r="O304" s="617"/>
      <c r="P304" s="617"/>
      <c r="Q304" s="616"/>
      <c r="R304" s="490" t="str">
        <f t="shared" si="3"/>
        <v>DELETE</v>
      </c>
    </row>
    <row r="305" spans="1:18" ht="36" customHeight="1" x14ac:dyDescent="0.4">
      <c r="A305" s="616"/>
      <c r="B305" s="616"/>
      <c r="C305" s="616"/>
      <c r="D305" s="664" t="str">
        <f>CONCATENATE("Based on our review, nothing has come to our attention that causes us to believe that these Financial Statements do not present fairly, in all material respects, the financial position of ",Criteria!E11," as at ",Criteria!G24," and its financial performance and cash flows for the year then ended in accordance with the International Financial Reporting Standard for Small- and Medium-sized entities and the requirements of the Companies Act of South Africa.")</f>
        <v>Based on our review, nothing has come to our attention that causes us to believe that these Financial Statements do not present fairly, in all material respects, the financial position of ABC Company (Pty) Ltd as at 28 February 2026 and its financial performance and cash flows for the year then ended in accordance with the International Financial Reporting Standard for Small- and Medium-sized entities and the requirements of the Companies Act of South Africa.</v>
      </c>
      <c r="E305" s="664"/>
      <c r="F305" s="664"/>
      <c r="G305" s="664"/>
      <c r="H305" s="664"/>
      <c r="I305" s="664"/>
      <c r="J305" s="664"/>
      <c r="K305" s="664"/>
      <c r="L305" s="664"/>
      <c r="M305" s="664"/>
      <c r="N305" s="664"/>
      <c r="O305" s="664"/>
      <c r="P305" s="664"/>
      <c r="Q305" s="664"/>
      <c r="R305" s="490" t="str">
        <f t="shared" si="3"/>
        <v>DELETE</v>
      </c>
    </row>
    <row r="306" spans="1:18" ht="36" customHeight="1" x14ac:dyDescent="0.4">
      <c r="A306" s="616"/>
      <c r="B306" s="616"/>
      <c r="C306" s="616"/>
      <c r="D306" s="664"/>
      <c r="E306" s="664"/>
      <c r="F306" s="664"/>
      <c r="G306" s="664"/>
      <c r="H306" s="664"/>
      <c r="I306" s="664"/>
      <c r="J306" s="664"/>
      <c r="K306" s="664"/>
      <c r="L306" s="664"/>
      <c r="M306" s="664"/>
      <c r="N306" s="664"/>
      <c r="O306" s="664"/>
      <c r="P306" s="664"/>
      <c r="Q306" s="664"/>
      <c r="R306" s="490" t="str">
        <f t="shared" si="3"/>
        <v>DELETE</v>
      </c>
    </row>
    <row r="307" spans="1:18" ht="36" customHeight="1" x14ac:dyDescent="0.4">
      <c r="A307" s="616"/>
      <c r="B307" s="616"/>
      <c r="C307" s="616"/>
      <c r="D307" s="664"/>
      <c r="E307" s="664"/>
      <c r="F307" s="664"/>
      <c r="G307" s="664"/>
      <c r="H307" s="664"/>
      <c r="I307" s="664"/>
      <c r="J307" s="664"/>
      <c r="K307" s="664"/>
      <c r="L307" s="664"/>
      <c r="M307" s="664"/>
      <c r="N307" s="664"/>
      <c r="O307" s="664"/>
      <c r="P307" s="664"/>
      <c r="Q307" s="664"/>
      <c r="R307" s="490" t="str">
        <f t="shared" si="3"/>
        <v>DELETE</v>
      </c>
    </row>
    <row r="308" spans="1:18" ht="36" customHeight="1" x14ac:dyDescent="0.4">
      <c r="A308" s="616"/>
      <c r="B308" s="616"/>
      <c r="C308" s="616"/>
      <c r="D308" s="664"/>
      <c r="E308" s="664"/>
      <c r="F308" s="664"/>
      <c r="G308" s="664"/>
      <c r="H308" s="664"/>
      <c r="I308" s="664"/>
      <c r="J308" s="664"/>
      <c r="K308" s="664"/>
      <c r="L308" s="664"/>
      <c r="M308" s="664"/>
      <c r="N308" s="664"/>
      <c r="O308" s="664"/>
      <c r="P308" s="664"/>
      <c r="Q308" s="664"/>
      <c r="R308" s="490" t="str">
        <f t="shared" si="3"/>
        <v>DELETE</v>
      </c>
    </row>
    <row r="309" spans="1:18" ht="36" customHeight="1" x14ac:dyDescent="0.4">
      <c r="A309" s="616"/>
      <c r="B309" s="616"/>
      <c r="C309" s="616"/>
      <c r="D309" s="664"/>
      <c r="E309" s="664"/>
      <c r="F309" s="664"/>
      <c r="G309" s="664"/>
      <c r="H309" s="664"/>
      <c r="I309" s="664"/>
      <c r="J309" s="664"/>
      <c r="K309" s="664"/>
      <c r="L309" s="664"/>
      <c r="M309" s="664"/>
      <c r="N309" s="664"/>
      <c r="O309" s="664"/>
      <c r="P309" s="664"/>
      <c r="Q309" s="664"/>
      <c r="R309" s="490" t="str">
        <f t="shared" si="3"/>
        <v>DELETE</v>
      </c>
    </row>
    <row r="310" spans="1:18" ht="36" customHeight="1" x14ac:dyDescent="0.4">
      <c r="A310" s="616"/>
      <c r="B310" s="616"/>
      <c r="C310" s="616"/>
      <c r="D310" s="664"/>
      <c r="E310" s="664"/>
      <c r="F310" s="664"/>
      <c r="G310" s="664"/>
      <c r="H310" s="664"/>
      <c r="I310" s="664"/>
      <c r="J310" s="664"/>
      <c r="K310" s="664"/>
      <c r="L310" s="664"/>
      <c r="M310" s="664"/>
      <c r="N310" s="664"/>
      <c r="O310" s="664"/>
      <c r="P310" s="664"/>
      <c r="Q310" s="664"/>
      <c r="R310" s="490" t="str">
        <f t="shared" si="3"/>
        <v>DELETE</v>
      </c>
    </row>
    <row r="311" spans="1:18" ht="36" customHeight="1" x14ac:dyDescent="0.4">
      <c r="A311" s="616"/>
      <c r="B311" s="616"/>
      <c r="C311" s="616"/>
      <c r="D311" s="664"/>
      <c r="E311" s="664"/>
      <c r="F311" s="664"/>
      <c r="G311" s="664"/>
      <c r="H311" s="664"/>
      <c r="I311" s="664"/>
      <c r="J311" s="664"/>
      <c r="K311" s="664"/>
      <c r="L311" s="664"/>
      <c r="M311" s="664"/>
      <c r="N311" s="664"/>
      <c r="O311" s="664"/>
      <c r="P311" s="664"/>
      <c r="Q311" s="664"/>
      <c r="R311" s="490" t="str">
        <f t="shared" si="3"/>
        <v>DELETE</v>
      </c>
    </row>
    <row r="312" spans="1:18" ht="36" customHeight="1" x14ac:dyDescent="0.4">
      <c r="A312" s="616"/>
      <c r="B312" s="616"/>
      <c r="C312" s="616"/>
      <c r="D312" s="616"/>
      <c r="E312" s="616"/>
      <c r="F312" s="616"/>
      <c r="G312" s="616"/>
      <c r="H312" s="616"/>
      <c r="I312" s="616"/>
      <c r="J312" s="616"/>
      <c r="K312" s="616"/>
      <c r="L312" s="616"/>
      <c r="M312" s="617"/>
      <c r="N312" s="617"/>
      <c r="O312" s="617"/>
      <c r="P312" s="617"/>
      <c r="Q312" s="616"/>
      <c r="R312" s="490" t="str">
        <f t="shared" si="3"/>
        <v>DELETE</v>
      </c>
    </row>
    <row r="313" spans="1:18" ht="36" customHeight="1" x14ac:dyDescent="0.4">
      <c r="A313" s="616"/>
      <c r="B313" s="616"/>
      <c r="C313" s="616"/>
      <c r="D313" s="616"/>
      <c r="E313" s="616"/>
      <c r="F313" s="616"/>
      <c r="G313" s="616"/>
      <c r="H313" s="616"/>
      <c r="I313" s="616"/>
      <c r="J313" s="616"/>
      <c r="K313" s="616"/>
      <c r="L313" s="616"/>
      <c r="M313" s="617"/>
      <c r="N313" s="617"/>
      <c r="O313" s="617"/>
      <c r="P313" s="617"/>
      <c r="Q313" s="616"/>
      <c r="R313" s="490" t="str">
        <f t="shared" si="3"/>
        <v>DELETE</v>
      </c>
    </row>
    <row r="314" spans="1:18" ht="36" customHeight="1" x14ac:dyDescent="0.4">
      <c r="A314" s="616"/>
      <c r="B314" s="616"/>
      <c r="C314" s="616"/>
      <c r="D314" s="616"/>
      <c r="E314" s="616"/>
      <c r="F314" s="616"/>
      <c r="G314" s="616"/>
      <c r="H314" s="616"/>
      <c r="I314" s="616"/>
      <c r="J314" s="616"/>
      <c r="K314" s="616"/>
      <c r="L314" s="616"/>
      <c r="M314" s="617"/>
      <c r="N314" s="617"/>
      <c r="O314" s="617"/>
      <c r="P314" s="617"/>
      <c r="Q314" s="616"/>
      <c r="R314" s="490" t="str">
        <f t="shared" si="3"/>
        <v>DELETE</v>
      </c>
    </row>
    <row r="315" spans="1:18" ht="36" customHeight="1" x14ac:dyDescent="0.4">
      <c r="A315" s="616"/>
      <c r="B315" s="616"/>
      <c r="C315" s="616"/>
      <c r="D315" s="616"/>
      <c r="E315" s="616"/>
      <c r="F315" s="616"/>
      <c r="G315" s="616"/>
      <c r="H315" s="616"/>
      <c r="I315" s="616"/>
      <c r="J315" s="616"/>
      <c r="K315" s="616"/>
      <c r="L315" s="616"/>
      <c r="M315" s="617"/>
      <c r="N315" s="617"/>
      <c r="O315" s="617"/>
      <c r="P315" s="617"/>
      <c r="Q315" s="616"/>
      <c r="R315" s="490" t="str">
        <f t="shared" si="3"/>
        <v>DELETE</v>
      </c>
    </row>
    <row r="316" spans="1:18" ht="36" customHeight="1" x14ac:dyDescent="0.4">
      <c r="A316" s="616"/>
      <c r="B316" s="616"/>
      <c r="C316" s="616"/>
      <c r="D316" s="616" t="s">
        <v>141</v>
      </c>
      <c r="E316" s="616"/>
      <c r="F316" s="616"/>
      <c r="G316" s="616"/>
      <c r="H316" s="616"/>
      <c r="I316" s="616"/>
      <c r="J316" s="616"/>
      <c r="K316" s="451"/>
      <c r="L316" s="451"/>
      <c r="M316" s="451"/>
      <c r="N316" s="451"/>
      <c r="O316" s="451"/>
      <c r="P316" s="451"/>
      <c r="Q316" s="451"/>
      <c r="R316" s="490" t="str">
        <f t="shared" si="3"/>
        <v>DELETE</v>
      </c>
    </row>
    <row r="317" spans="1:18" ht="36" customHeight="1" x14ac:dyDescent="0.4">
      <c r="A317" s="616"/>
      <c r="B317" s="616"/>
      <c r="C317" s="616"/>
      <c r="D317" s="616" t="s">
        <v>747</v>
      </c>
      <c r="E317" s="616"/>
      <c r="F317" s="616"/>
      <c r="G317" s="616"/>
      <c r="H317" s="616"/>
      <c r="I317" s="616"/>
      <c r="J317" s="616"/>
      <c r="K317" s="451"/>
      <c r="L317" s="451"/>
      <c r="M317" s="451"/>
      <c r="N317" s="451"/>
      <c r="O317" s="451"/>
      <c r="P317" s="451"/>
      <c r="Q317" s="451"/>
      <c r="R317" s="490" t="str">
        <f t="shared" si="3"/>
        <v>DELETE</v>
      </c>
    </row>
    <row r="318" spans="1:18" ht="36" customHeight="1" x14ac:dyDescent="0.4">
      <c r="A318" s="616"/>
      <c r="B318" s="616"/>
      <c r="C318" s="616"/>
      <c r="D318" s="616"/>
      <c r="E318" s="616"/>
      <c r="F318" s="616"/>
      <c r="G318" s="616"/>
      <c r="H318" s="616"/>
      <c r="I318" s="616"/>
      <c r="J318" s="616"/>
      <c r="K318" s="616"/>
      <c r="L318" s="616"/>
      <c r="M318" s="617"/>
      <c r="N318" s="617"/>
      <c r="O318" s="617"/>
      <c r="P318" s="617"/>
      <c r="Q318" s="616"/>
      <c r="R318" s="490" t="str">
        <f t="shared" si="3"/>
        <v>DELETE</v>
      </c>
    </row>
    <row r="319" spans="1:18" ht="36" customHeight="1" x14ac:dyDescent="0.4">
      <c r="A319" s="616"/>
      <c r="B319" s="616"/>
      <c r="C319" s="616"/>
      <c r="D319" s="616"/>
      <c r="E319" s="616"/>
      <c r="F319" s="616"/>
      <c r="G319" s="616"/>
      <c r="H319" s="616"/>
      <c r="I319" s="616"/>
      <c r="J319" s="616"/>
      <c r="K319" s="616" t="s">
        <v>117</v>
      </c>
      <c r="L319" s="616" t="s">
        <v>142</v>
      </c>
      <c r="M319" s="617"/>
      <c r="N319" s="617"/>
      <c r="O319" s="617"/>
      <c r="P319" s="617"/>
      <c r="Q319" s="616"/>
      <c r="R319" s="490" t="str">
        <f t="shared" si="3"/>
        <v>DELETE</v>
      </c>
    </row>
    <row r="320" spans="1:18" ht="36" customHeight="1" x14ac:dyDescent="0.4">
      <c r="A320" s="616"/>
      <c r="B320" s="616"/>
      <c r="C320" s="616"/>
      <c r="D320" s="616"/>
      <c r="E320" s="616"/>
      <c r="F320" s="616"/>
      <c r="G320" s="616"/>
      <c r="H320" s="616"/>
      <c r="I320" s="616"/>
      <c r="J320" s="616"/>
      <c r="K320" s="616"/>
      <c r="L320" s="616" t="str">
        <f>Criteria!E32</f>
        <v>Johannesburg</v>
      </c>
      <c r="M320" s="617"/>
      <c r="N320" s="617"/>
      <c r="O320" s="617"/>
      <c r="P320" s="617"/>
      <c r="Q320" s="616"/>
      <c r="R320" s="490" t="str">
        <f t="shared" si="3"/>
        <v>DELETE</v>
      </c>
    </row>
    <row r="321" spans="1:18" ht="36" customHeight="1" x14ac:dyDescent="0.4">
      <c r="A321" s="616"/>
      <c r="B321" s="616"/>
      <c r="C321" s="616"/>
      <c r="D321" s="616"/>
      <c r="E321" s="616"/>
      <c r="F321" s="616"/>
      <c r="G321" s="616"/>
      <c r="H321" s="616"/>
      <c r="I321" s="616"/>
      <c r="J321" s="616"/>
      <c r="K321" s="616"/>
      <c r="L321" s="616"/>
      <c r="M321" s="617"/>
      <c r="N321" s="617"/>
      <c r="O321" s="617"/>
      <c r="P321" s="617"/>
      <c r="Q321" s="616"/>
      <c r="R321" s="490" t="str">
        <f t="shared" si="3"/>
        <v>DELETE</v>
      </c>
    </row>
    <row r="322" spans="1:18" ht="36" customHeight="1" x14ac:dyDescent="0.4">
      <c r="A322" s="616"/>
      <c r="B322" s="616"/>
      <c r="C322" s="616"/>
      <c r="D322" s="616"/>
      <c r="E322" s="616"/>
      <c r="F322" s="616"/>
      <c r="G322" s="616"/>
      <c r="H322" s="616"/>
      <c r="I322" s="616"/>
      <c r="J322" s="616"/>
      <c r="K322" s="616"/>
      <c r="L322" s="616"/>
      <c r="M322" s="617"/>
      <c r="N322" s="617"/>
      <c r="O322" s="617"/>
      <c r="P322" s="617"/>
      <c r="Q322" s="616"/>
      <c r="R322" s="490" t="str">
        <f t="shared" si="3"/>
        <v>DELETE</v>
      </c>
    </row>
    <row r="323" spans="1:18" ht="36" customHeight="1" x14ac:dyDescent="0.4">
      <c r="A323" s="616"/>
      <c r="B323" s="616"/>
      <c r="C323" s="616"/>
      <c r="D323" s="616"/>
      <c r="E323" s="616"/>
      <c r="F323" s="616"/>
      <c r="G323" s="616"/>
      <c r="H323" s="616"/>
      <c r="I323" s="616"/>
      <c r="J323" s="616"/>
      <c r="K323" s="616"/>
      <c r="L323" s="616"/>
      <c r="M323" s="617"/>
      <c r="N323" s="617"/>
      <c r="O323" s="617"/>
      <c r="P323" s="617"/>
      <c r="Q323" s="616"/>
      <c r="R323" s="490" t="str">
        <f t="shared" si="3"/>
        <v>DELETE</v>
      </c>
    </row>
    <row r="324" spans="1:18" ht="36" customHeight="1" x14ac:dyDescent="0.4">
      <c r="A324" s="616"/>
      <c r="B324" s="616"/>
      <c r="C324" s="616"/>
      <c r="D324" s="616"/>
      <c r="E324" s="616"/>
      <c r="F324" s="616"/>
      <c r="G324" s="616"/>
      <c r="H324" s="616"/>
      <c r="I324" s="616"/>
      <c r="J324" s="616"/>
      <c r="K324" s="616"/>
      <c r="L324" s="616"/>
      <c r="M324" s="617"/>
      <c r="N324" s="617"/>
      <c r="O324" s="617"/>
      <c r="P324" s="617"/>
      <c r="Q324" s="616"/>
      <c r="R324" s="490" t="str">
        <f t="shared" si="3"/>
        <v>DELETE</v>
      </c>
    </row>
    <row r="325" spans="1:18" ht="36" customHeight="1" x14ac:dyDescent="0.4">
      <c r="A325" s="616"/>
      <c r="B325" s="616"/>
      <c r="C325" s="616"/>
      <c r="D325" s="616"/>
      <c r="E325" s="616"/>
      <c r="F325" s="616"/>
      <c r="G325" s="616"/>
      <c r="H325" s="616"/>
      <c r="I325" s="616"/>
      <c r="J325" s="616"/>
      <c r="K325" s="616"/>
      <c r="L325" s="616"/>
      <c r="M325" s="617"/>
      <c r="N325" s="617"/>
      <c r="O325" s="617"/>
      <c r="P325" s="617"/>
      <c r="Q325" s="616"/>
      <c r="R325" s="490" t="str">
        <f t="shared" si="3"/>
        <v>DELETE</v>
      </c>
    </row>
    <row r="326" spans="1:18" ht="36" customHeight="1" x14ac:dyDescent="0.4">
      <c r="A326" s="616"/>
      <c r="B326" s="616"/>
      <c r="C326" s="616"/>
      <c r="D326" s="616"/>
      <c r="E326" s="616"/>
      <c r="F326" s="616"/>
      <c r="G326" s="616"/>
      <c r="H326" s="616"/>
      <c r="I326" s="616"/>
      <c r="J326" s="616"/>
      <c r="K326" s="616"/>
      <c r="L326" s="616"/>
      <c r="M326" s="617"/>
      <c r="N326" s="617"/>
      <c r="O326" s="617"/>
      <c r="P326" s="617"/>
      <c r="Q326" s="616"/>
      <c r="R326" s="490" t="str">
        <f t="shared" si="3"/>
        <v>DELETE</v>
      </c>
    </row>
    <row r="327" spans="1:18" ht="36" customHeight="1" x14ac:dyDescent="0.4">
      <c r="A327" s="616"/>
      <c r="B327" s="616"/>
      <c r="C327" s="616"/>
      <c r="D327" s="616"/>
      <c r="E327" s="616"/>
      <c r="F327" s="616"/>
      <c r="G327" s="616"/>
      <c r="H327" s="616"/>
      <c r="I327" s="616"/>
      <c r="J327" s="616"/>
      <c r="K327" s="616"/>
      <c r="L327" s="616"/>
      <c r="M327" s="617"/>
      <c r="N327" s="617"/>
      <c r="O327" s="617"/>
      <c r="P327" s="617"/>
      <c r="Q327" s="616"/>
      <c r="R327" s="490" t="str">
        <f t="shared" si="3"/>
        <v>DELETE</v>
      </c>
    </row>
    <row r="328" spans="1:18" ht="36" customHeight="1" x14ac:dyDescent="0.4">
      <c r="A328" s="616"/>
      <c r="B328" s="616"/>
      <c r="C328" s="616"/>
      <c r="D328" s="616"/>
      <c r="E328" s="616"/>
      <c r="F328" s="616"/>
      <c r="G328" s="616"/>
      <c r="H328" s="616"/>
      <c r="I328" s="616"/>
      <c r="J328" s="616"/>
      <c r="K328" s="616"/>
      <c r="L328" s="616"/>
      <c r="M328" s="617"/>
      <c r="N328" s="617"/>
      <c r="O328" s="617"/>
      <c r="P328" s="617"/>
      <c r="Q328" s="616"/>
      <c r="R328" s="490" t="str">
        <f t="shared" si="3"/>
        <v>DELETE</v>
      </c>
    </row>
    <row r="329" spans="1:18" ht="36" customHeight="1" x14ac:dyDescent="0.4">
      <c r="A329" s="616"/>
      <c r="B329" s="616"/>
      <c r="C329" s="616"/>
      <c r="D329" s="616"/>
      <c r="E329" s="616"/>
      <c r="F329" s="616"/>
      <c r="G329" s="616"/>
      <c r="H329" s="616"/>
      <c r="I329" s="616"/>
      <c r="J329" s="616"/>
      <c r="K329" s="616"/>
      <c r="L329" s="616"/>
      <c r="M329" s="617"/>
      <c r="N329" s="617"/>
      <c r="O329" s="617"/>
      <c r="P329" s="617"/>
      <c r="Q329" s="616"/>
      <c r="R329" s="490" t="str">
        <f t="shared" si="3"/>
        <v>DELETE</v>
      </c>
    </row>
    <row r="330" spans="1:18" ht="36" customHeight="1" x14ac:dyDescent="0.4">
      <c r="A330" s="616"/>
      <c r="B330" s="616"/>
      <c r="C330" s="616"/>
      <c r="D330" s="616"/>
      <c r="E330" s="616"/>
      <c r="F330" s="616"/>
      <c r="G330" s="616"/>
      <c r="H330" s="616"/>
      <c r="I330" s="616"/>
      <c r="J330" s="616"/>
      <c r="K330" s="616"/>
      <c r="L330" s="616"/>
      <c r="M330" s="617"/>
      <c r="N330" s="617"/>
      <c r="O330" s="617"/>
      <c r="P330" s="617"/>
      <c r="Q330" s="616"/>
      <c r="R330" s="490" t="str">
        <f t="shared" si="3"/>
        <v>DELETE</v>
      </c>
    </row>
    <row r="331" spans="1:18" ht="36" customHeight="1" x14ac:dyDescent="0.4">
      <c r="A331" s="616"/>
      <c r="B331" s="616"/>
      <c r="C331" s="616"/>
      <c r="D331" s="616"/>
      <c r="E331" s="616"/>
      <c r="F331" s="616"/>
      <c r="G331" s="616"/>
      <c r="H331" s="616"/>
      <c r="I331" s="616"/>
      <c r="J331" s="616"/>
      <c r="K331" s="616"/>
      <c r="L331" s="616"/>
      <c r="M331" s="617"/>
      <c r="N331" s="617"/>
      <c r="O331" s="617"/>
      <c r="P331" s="617"/>
      <c r="Q331" s="616"/>
      <c r="R331" s="490" t="str">
        <f t="shared" si="3"/>
        <v>DELETE</v>
      </c>
    </row>
    <row r="332" spans="1:18" ht="36" customHeight="1" x14ac:dyDescent="0.4">
      <c r="A332" s="616"/>
      <c r="B332" s="616"/>
      <c r="C332" s="616"/>
      <c r="D332" s="616"/>
      <c r="E332" s="616"/>
      <c r="F332" s="616"/>
      <c r="G332" s="616"/>
      <c r="H332" s="616"/>
      <c r="I332" s="616"/>
      <c r="J332" s="616"/>
      <c r="K332" s="616"/>
      <c r="L332" s="616"/>
      <c r="M332" s="617"/>
      <c r="N332" s="617"/>
      <c r="O332" s="617"/>
      <c r="P332" s="617"/>
      <c r="Q332" s="616"/>
      <c r="R332" s="490" t="str">
        <f t="shared" si="3"/>
        <v>DELETE</v>
      </c>
    </row>
    <row r="333" spans="1:18" ht="36" customHeight="1" x14ac:dyDescent="0.4">
      <c r="A333" s="616"/>
      <c r="B333" s="616"/>
      <c r="C333" s="616"/>
      <c r="D333" s="616"/>
      <c r="E333" s="616"/>
      <c r="F333" s="616"/>
      <c r="G333" s="616"/>
      <c r="H333" s="616"/>
      <c r="I333" s="616"/>
      <c r="J333" s="616"/>
      <c r="K333" s="616"/>
      <c r="L333" s="616"/>
      <c r="M333" s="617"/>
      <c r="N333" s="617"/>
      <c r="O333" s="617"/>
      <c r="P333" s="617"/>
      <c r="Q333" s="616"/>
      <c r="R333" s="490" t="str">
        <f t="shared" si="3"/>
        <v>DELETE</v>
      </c>
    </row>
    <row r="334" spans="1:18" ht="36" customHeight="1" x14ac:dyDescent="0.4">
      <c r="A334" s="616"/>
      <c r="B334" s="616"/>
      <c r="C334" s="616"/>
      <c r="D334" s="616"/>
      <c r="E334" s="616"/>
      <c r="F334" s="616"/>
      <c r="G334" s="616"/>
      <c r="H334" s="616"/>
      <c r="I334" s="616"/>
      <c r="J334" s="616"/>
      <c r="K334" s="616"/>
      <c r="L334" s="616"/>
      <c r="M334" s="617"/>
      <c r="N334" s="617"/>
      <c r="O334" s="617"/>
      <c r="P334" s="617"/>
      <c r="Q334" s="616"/>
      <c r="R334" s="490" t="str">
        <f t="shared" si="3"/>
        <v>DELETE</v>
      </c>
    </row>
    <row r="335" spans="1:18" ht="36" customHeight="1" x14ac:dyDescent="0.4">
      <c r="A335" s="616"/>
      <c r="B335" s="616"/>
      <c r="C335" s="616"/>
      <c r="D335" s="616"/>
      <c r="E335" s="616"/>
      <c r="F335" s="616"/>
      <c r="G335" s="616"/>
      <c r="H335" s="616"/>
      <c r="I335" s="616"/>
      <c r="J335" s="616"/>
      <c r="K335" s="616"/>
      <c r="L335" s="616"/>
      <c r="M335" s="617"/>
      <c r="N335" s="617"/>
      <c r="O335" s="617"/>
      <c r="P335" s="617"/>
      <c r="Q335" s="616"/>
      <c r="R335" s="490" t="str">
        <f t="shared" si="3"/>
        <v>DELETE</v>
      </c>
    </row>
    <row r="336" spans="1:18" ht="36" customHeight="1" x14ac:dyDescent="0.4">
      <c r="A336" s="616"/>
      <c r="B336" s="616"/>
      <c r="C336" s="616"/>
      <c r="D336" s="616"/>
      <c r="E336" s="616"/>
      <c r="F336" s="616"/>
      <c r="G336" s="616"/>
      <c r="H336" s="616"/>
      <c r="I336" s="616"/>
      <c r="J336" s="616"/>
      <c r="K336" s="616"/>
      <c r="L336" s="616"/>
      <c r="M336" s="617"/>
      <c r="N336" s="617"/>
      <c r="O336" s="617"/>
      <c r="P336" s="617"/>
      <c r="Q336" s="616"/>
      <c r="R336" s="490" t="str">
        <f t="shared" si="3"/>
        <v>DELETE</v>
      </c>
    </row>
    <row r="337" spans="1:18" ht="36" customHeight="1" x14ac:dyDescent="0.4">
      <c r="A337" s="616"/>
      <c r="B337" s="616"/>
      <c r="C337" s="616"/>
      <c r="D337" s="616"/>
      <c r="E337" s="616"/>
      <c r="F337" s="616"/>
      <c r="G337" s="616"/>
      <c r="H337" s="616"/>
      <c r="I337" s="616"/>
      <c r="J337" s="616"/>
      <c r="K337" s="616"/>
      <c r="L337" s="616"/>
      <c r="M337" s="617"/>
      <c r="N337" s="617"/>
      <c r="O337" s="617"/>
      <c r="P337" s="617"/>
      <c r="Q337" s="616"/>
      <c r="R337" s="490" t="str">
        <f t="shared" si="3"/>
        <v>DELETE</v>
      </c>
    </row>
    <row r="338" spans="1:18" ht="36" customHeight="1" x14ac:dyDescent="0.4">
      <c r="A338" s="616"/>
      <c r="B338" s="616"/>
      <c r="C338" s="616"/>
      <c r="D338" s="616"/>
      <c r="E338" s="616"/>
      <c r="F338" s="616"/>
      <c r="G338" s="616"/>
      <c r="H338" s="616"/>
      <c r="I338" s="616"/>
      <c r="J338" s="616"/>
      <c r="K338" s="616"/>
      <c r="L338" s="616"/>
      <c r="M338" s="617"/>
      <c r="N338" s="617"/>
      <c r="O338" s="617"/>
      <c r="P338" s="617"/>
      <c r="Q338" s="616"/>
      <c r="R338" s="490" t="str">
        <f t="shared" si="3"/>
        <v>DELETE</v>
      </c>
    </row>
    <row r="339" spans="1:18" ht="36" customHeight="1" x14ac:dyDescent="0.4">
      <c r="A339" s="616"/>
      <c r="B339" s="616"/>
      <c r="C339" s="616"/>
      <c r="D339" s="616"/>
      <c r="E339" s="616"/>
      <c r="F339" s="616"/>
      <c r="G339" s="616"/>
      <c r="H339" s="616"/>
      <c r="I339" s="616"/>
      <c r="J339" s="616"/>
      <c r="K339" s="616"/>
      <c r="L339" s="616"/>
      <c r="M339" s="617"/>
      <c r="N339" s="617"/>
      <c r="O339" s="617"/>
      <c r="P339" s="617"/>
      <c r="Q339" s="616"/>
      <c r="R339" s="490" t="str">
        <f t="shared" si="3"/>
        <v>DELETE</v>
      </c>
    </row>
    <row r="340" spans="1:18" ht="36" customHeight="1" x14ac:dyDescent="0.4">
      <c r="A340" s="616"/>
      <c r="B340" s="616"/>
      <c r="C340" s="616"/>
      <c r="D340" s="616"/>
      <c r="E340" s="616"/>
      <c r="F340" s="616"/>
      <c r="G340" s="616"/>
      <c r="H340" s="616"/>
      <c r="I340" s="616"/>
      <c r="J340" s="616"/>
      <c r="K340" s="616"/>
      <c r="L340" s="616"/>
      <c r="M340" s="617"/>
      <c r="N340" s="617"/>
      <c r="O340" s="617"/>
      <c r="P340" s="617"/>
      <c r="Q340" s="616"/>
      <c r="R340" s="490" t="str">
        <f t="shared" si="3"/>
        <v>DELETE</v>
      </c>
    </row>
    <row r="341" spans="1:18" ht="36" customHeight="1" x14ac:dyDescent="0.4">
      <c r="A341" s="616"/>
      <c r="B341" s="616"/>
      <c r="C341" s="616"/>
      <c r="D341" s="616"/>
      <c r="E341" s="616"/>
      <c r="F341" s="616"/>
      <c r="G341" s="616"/>
      <c r="H341" s="616"/>
      <c r="I341" s="616"/>
      <c r="J341" s="616"/>
      <c r="K341" s="616"/>
      <c r="L341" s="616"/>
      <c r="M341" s="617"/>
      <c r="N341" s="617"/>
      <c r="O341" s="617"/>
      <c r="P341" s="617"/>
      <c r="Q341" s="616"/>
      <c r="R341" s="490" t="str">
        <f t="shared" si="3"/>
        <v>DELETE</v>
      </c>
    </row>
    <row r="342" spans="1:18" ht="36" customHeight="1" x14ac:dyDescent="0.4">
      <c r="A342" s="616"/>
      <c r="B342" s="616"/>
      <c r="C342" s="616"/>
      <c r="D342" s="616"/>
      <c r="E342" s="616"/>
      <c r="F342" s="616"/>
      <c r="G342" s="616"/>
      <c r="H342" s="616"/>
      <c r="I342" s="616"/>
      <c r="J342" s="616"/>
      <c r="K342" s="616"/>
      <c r="L342" s="616"/>
      <c r="M342" s="617"/>
      <c r="N342" s="617"/>
      <c r="O342" s="617"/>
      <c r="P342" s="617"/>
      <c r="Q342" s="616"/>
      <c r="R342" s="490" t="str">
        <f t="shared" si="3"/>
        <v>DELETE</v>
      </c>
    </row>
    <row r="343" spans="1:18" ht="36" customHeight="1" x14ac:dyDescent="0.4">
      <c r="A343" s="616"/>
      <c r="B343" s="616"/>
      <c r="C343" s="616"/>
      <c r="D343" s="616"/>
      <c r="E343" s="616"/>
      <c r="F343" s="616"/>
      <c r="G343" s="616"/>
      <c r="H343" s="616"/>
      <c r="I343" s="616"/>
      <c r="J343" s="616"/>
      <c r="K343" s="616"/>
      <c r="L343" s="616"/>
      <c r="M343" s="617"/>
      <c r="N343" s="617"/>
      <c r="O343" s="617"/>
      <c r="P343" s="617"/>
      <c r="Q343" s="616"/>
      <c r="R343" s="490" t="str">
        <f t="shared" si="3"/>
        <v>DELETE</v>
      </c>
    </row>
    <row r="344" spans="1:18" ht="36" customHeight="1" x14ac:dyDescent="0.4">
      <c r="A344" s="616"/>
      <c r="B344" s="616"/>
      <c r="C344" s="616"/>
      <c r="D344" s="616"/>
      <c r="E344" s="616"/>
      <c r="F344" s="616"/>
      <c r="G344" s="616"/>
      <c r="H344" s="616"/>
      <c r="I344" s="616"/>
      <c r="J344" s="616"/>
      <c r="K344" s="616"/>
      <c r="L344" s="616"/>
      <c r="M344" s="617"/>
      <c r="N344" s="617"/>
      <c r="O344" s="617"/>
      <c r="P344" s="617"/>
      <c r="Q344" s="616"/>
      <c r="R344" s="490" t="str">
        <f t="shared" si="3"/>
        <v>DELETE</v>
      </c>
    </row>
    <row r="345" spans="1:18" ht="36" customHeight="1" x14ac:dyDescent="0.4">
      <c r="A345" s="616"/>
      <c r="B345" s="616"/>
      <c r="C345" s="616"/>
      <c r="D345" s="616"/>
      <c r="E345" s="616"/>
      <c r="F345" s="616"/>
      <c r="G345" s="616"/>
      <c r="H345" s="616"/>
      <c r="I345" s="616"/>
      <c r="J345" s="616"/>
      <c r="K345" s="616"/>
      <c r="L345" s="616"/>
      <c r="M345" s="617"/>
      <c r="N345" s="617"/>
      <c r="O345" s="617"/>
      <c r="P345" s="617"/>
      <c r="Q345" s="616"/>
      <c r="R345" s="490" t="str">
        <f t="shared" si="3"/>
        <v>DELETE</v>
      </c>
    </row>
    <row r="346" spans="1:18" ht="36" customHeight="1" x14ac:dyDescent="0.4">
      <c r="A346" s="616"/>
      <c r="B346" s="616"/>
      <c r="C346" s="616"/>
      <c r="D346" s="616"/>
      <c r="E346" s="616"/>
      <c r="F346" s="616"/>
      <c r="G346" s="616"/>
      <c r="H346" s="616"/>
      <c r="I346" s="616"/>
      <c r="J346" s="616"/>
      <c r="K346" s="616"/>
      <c r="L346" s="616"/>
      <c r="M346" s="617"/>
      <c r="N346" s="617"/>
      <c r="O346" s="617"/>
      <c r="P346" s="617"/>
      <c r="Q346" s="616"/>
      <c r="R346" s="490" t="str">
        <f t="shared" si="3"/>
        <v>DELETE</v>
      </c>
    </row>
    <row r="347" spans="1:18" ht="36" customHeight="1" x14ac:dyDescent="0.45">
      <c r="O347" s="454" t="s">
        <v>112</v>
      </c>
      <c r="Q347" s="450">
        <f>MAX($Q$103:Q346)+1</f>
        <v>6</v>
      </c>
      <c r="R347" s="490" t="str">
        <f>IF(Criteria!E$29="Compilation"," ","DELETE")</f>
        <v xml:space="preserve"> </v>
      </c>
    </row>
    <row r="348" spans="1:18" ht="36" customHeight="1" x14ac:dyDescent="0.45">
      <c r="D348" s="616"/>
      <c r="E348" s="616"/>
      <c r="F348" s="616"/>
      <c r="G348" s="616"/>
      <c r="H348" s="616"/>
      <c r="I348" s="616"/>
      <c r="J348" s="616"/>
      <c r="K348" s="620"/>
      <c r="L348" s="620"/>
      <c r="M348" s="616"/>
      <c r="N348" s="620"/>
      <c r="O348" s="617"/>
      <c r="P348" s="617"/>
      <c r="Q348" s="616"/>
      <c r="R348" s="490" t="str">
        <f t="shared" ref="R348:R398" si="4">R$347</f>
        <v xml:space="preserve"> </v>
      </c>
    </row>
    <row r="349" spans="1:18" ht="36" customHeight="1" x14ac:dyDescent="0.45">
      <c r="D349" s="616"/>
      <c r="E349" s="616"/>
      <c r="F349" s="616"/>
      <c r="G349" s="616"/>
      <c r="H349" s="616"/>
      <c r="I349" s="616"/>
      <c r="J349" s="616"/>
      <c r="K349" s="616"/>
      <c r="L349" s="616"/>
      <c r="M349" s="616"/>
      <c r="N349" s="617"/>
      <c r="O349" s="616"/>
      <c r="P349" s="617"/>
      <c r="Q349" s="616"/>
      <c r="R349" s="490" t="str">
        <f t="shared" si="4"/>
        <v xml:space="preserve"> </v>
      </c>
    </row>
    <row r="350" spans="1:18" ht="36" customHeight="1" x14ac:dyDescent="0.45">
      <c r="D350" s="616"/>
      <c r="E350" s="616"/>
      <c r="F350" s="616"/>
      <c r="G350" s="616"/>
      <c r="H350" s="616"/>
      <c r="I350" s="616"/>
      <c r="J350" s="616"/>
      <c r="K350" s="616"/>
      <c r="L350" s="620"/>
      <c r="M350" s="616"/>
      <c r="N350" s="617"/>
      <c r="O350" s="627"/>
      <c r="P350" s="617"/>
      <c r="Q350" s="616"/>
      <c r="R350" s="490" t="str">
        <f t="shared" si="4"/>
        <v xml:space="preserve"> </v>
      </c>
    </row>
    <row r="351" spans="1:18" ht="36" customHeight="1" x14ac:dyDescent="0.45">
      <c r="D351" s="616"/>
      <c r="E351" s="616"/>
      <c r="F351" s="616"/>
      <c r="G351" s="616"/>
      <c r="H351" s="616"/>
      <c r="I351" s="616"/>
      <c r="J351" s="616"/>
      <c r="K351" s="616"/>
      <c r="L351" s="620"/>
      <c r="M351" s="616"/>
      <c r="N351" s="617"/>
      <c r="O351" s="627"/>
      <c r="P351" s="617"/>
      <c r="Q351" s="616"/>
      <c r="R351" s="490" t="str">
        <f t="shared" si="4"/>
        <v xml:space="preserve"> </v>
      </c>
    </row>
    <row r="352" spans="1:18" ht="36" customHeight="1" x14ac:dyDescent="0.45">
      <c r="D352" s="616"/>
      <c r="E352" s="616"/>
      <c r="F352" s="616"/>
      <c r="G352" s="616"/>
      <c r="H352" s="616"/>
      <c r="I352" s="616"/>
      <c r="J352" s="616"/>
      <c r="K352" s="616"/>
      <c r="L352" s="620"/>
      <c r="M352" s="628"/>
      <c r="N352" s="617"/>
      <c r="O352" s="617"/>
      <c r="P352" s="617"/>
      <c r="Q352" s="616"/>
      <c r="R352" s="490" t="str">
        <f t="shared" si="4"/>
        <v xml:space="preserve"> </v>
      </c>
    </row>
    <row r="353" spans="4:18" ht="36" customHeight="1" x14ac:dyDescent="0.45">
      <c r="D353" s="616"/>
      <c r="E353" s="616"/>
      <c r="F353" s="616"/>
      <c r="G353" s="616"/>
      <c r="H353" s="616"/>
      <c r="I353" s="616"/>
      <c r="J353" s="616"/>
      <c r="K353" s="616"/>
      <c r="L353" s="620"/>
      <c r="M353" s="617"/>
      <c r="N353" s="617"/>
      <c r="O353" s="617"/>
      <c r="P353" s="617"/>
      <c r="Q353" s="616"/>
      <c r="R353" s="490" t="str">
        <f t="shared" si="4"/>
        <v xml:space="preserve"> </v>
      </c>
    </row>
    <row r="354" spans="4:18" ht="36" customHeight="1" x14ac:dyDescent="0.45">
      <c r="D354" s="616"/>
      <c r="E354" s="616"/>
      <c r="F354" s="616"/>
      <c r="G354" s="616"/>
      <c r="H354" s="616"/>
      <c r="I354" s="616"/>
      <c r="J354" s="616"/>
      <c r="K354" s="616"/>
      <c r="L354" s="616"/>
      <c r="M354" s="629"/>
      <c r="N354" s="629"/>
      <c r="O354" s="629"/>
      <c r="P354" s="629"/>
      <c r="Q354" s="616"/>
      <c r="R354" s="490" t="str">
        <f t="shared" si="4"/>
        <v xml:space="preserve"> </v>
      </c>
    </row>
    <row r="355" spans="4:18" ht="36" customHeight="1" x14ac:dyDescent="0.45">
      <c r="D355" s="616"/>
      <c r="E355" s="616"/>
      <c r="F355" s="616"/>
      <c r="G355" s="616"/>
      <c r="H355" s="616"/>
      <c r="I355" s="616"/>
      <c r="J355" s="616"/>
      <c r="K355" s="616"/>
      <c r="L355" s="616"/>
      <c r="M355" s="617"/>
      <c r="N355" s="617"/>
      <c r="O355" s="617"/>
      <c r="P355" s="617"/>
      <c r="Q355" s="616"/>
      <c r="R355" s="490" t="str">
        <f t="shared" si="4"/>
        <v xml:space="preserve"> </v>
      </c>
    </row>
    <row r="356" spans="4:18" ht="36" customHeight="1" x14ac:dyDescent="0.45">
      <c r="D356" s="616"/>
      <c r="E356" s="616"/>
      <c r="F356" s="616"/>
      <c r="G356" s="616"/>
      <c r="H356" s="616"/>
      <c r="I356" s="616"/>
      <c r="J356" s="616"/>
      <c r="K356" s="616"/>
      <c r="L356" s="616"/>
      <c r="M356" s="617"/>
      <c r="N356" s="617"/>
      <c r="O356" s="617"/>
      <c r="P356" s="617"/>
      <c r="Q356" s="616"/>
      <c r="R356" s="490" t="str">
        <f t="shared" si="4"/>
        <v xml:space="preserve"> </v>
      </c>
    </row>
    <row r="357" spans="4:18" ht="36" customHeight="1" x14ac:dyDescent="0.45">
      <c r="D357" s="615" t="s">
        <v>1644</v>
      </c>
      <c r="E357" s="616"/>
      <c r="F357" s="616"/>
      <c r="G357" s="616"/>
      <c r="H357" s="616"/>
      <c r="I357" s="616"/>
      <c r="J357" s="616"/>
      <c r="K357" s="616"/>
      <c r="L357" s="616"/>
      <c r="M357" s="617"/>
      <c r="N357" s="617"/>
      <c r="O357" s="617"/>
      <c r="P357" s="617"/>
      <c r="Q357" s="616"/>
      <c r="R357" s="490" t="str">
        <f t="shared" si="4"/>
        <v xml:space="preserve"> </v>
      </c>
    </row>
    <row r="358" spans="4:18" ht="36" customHeight="1" x14ac:dyDescent="0.45">
      <c r="D358" s="615" t="str">
        <f>IF(MAX(Criteria!I41:I45)&gt;1,"TO THE DIRECTORS OF","TO THE DIRECTOR OF")</f>
        <v>TO THE DIRECTORS OF</v>
      </c>
      <c r="E358" s="616"/>
      <c r="F358" s="616"/>
      <c r="G358" s="616"/>
      <c r="H358" s="616"/>
      <c r="I358" s="616"/>
      <c r="J358" s="616"/>
      <c r="K358" s="616"/>
      <c r="L358" s="616"/>
      <c r="M358" s="617"/>
      <c r="N358" s="617"/>
      <c r="O358" s="617"/>
      <c r="P358" s="617"/>
      <c r="Q358" s="616"/>
      <c r="R358" s="490" t="str">
        <f t="shared" si="4"/>
        <v xml:space="preserve"> </v>
      </c>
    </row>
    <row r="359" spans="4:18" ht="36" customHeight="1" x14ac:dyDescent="0.45">
      <c r="D359" s="615" t="str">
        <f>Criteria!E9</f>
        <v>ABC COMPANY (PROPRIETARY) LIMITED</v>
      </c>
      <c r="E359" s="616"/>
      <c r="F359" s="616"/>
      <c r="G359" s="616"/>
      <c r="H359" s="616"/>
      <c r="I359" s="616"/>
      <c r="J359" s="616"/>
      <c r="K359" s="616"/>
      <c r="L359" s="616"/>
      <c r="M359" s="617"/>
      <c r="N359" s="617"/>
      <c r="O359" s="617"/>
      <c r="P359" s="617"/>
      <c r="Q359" s="616"/>
      <c r="R359" s="490" t="str">
        <f t="shared" si="4"/>
        <v xml:space="preserve"> </v>
      </c>
    </row>
    <row r="360" spans="4:18" ht="36" customHeight="1" x14ac:dyDescent="0.45">
      <c r="D360" s="616"/>
      <c r="E360" s="616"/>
      <c r="F360" s="616"/>
      <c r="G360" s="616"/>
      <c r="H360" s="616"/>
      <c r="I360" s="616"/>
      <c r="J360" s="616"/>
      <c r="K360" s="616"/>
      <c r="L360" s="616"/>
      <c r="M360" s="617"/>
      <c r="N360" s="617"/>
      <c r="O360" s="617"/>
      <c r="P360" s="617"/>
      <c r="Q360" s="616"/>
      <c r="R360" s="490" t="str">
        <f t="shared" si="4"/>
        <v xml:space="preserve"> </v>
      </c>
    </row>
    <row r="361" spans="4:18" ht="36" customHeight="1" x14ac:dyDescent="0.45">
      <c r="D361" s="664" t="str">
        <f>CONCATENATE("We have compiled the annual Financial Statements of ",Criteria!E11,", as set out on pages ",Q601," to ",MAX(Q601:Q2736),", based on information you have provided. These Financial Statements comprise the statement of financial position of ",Criteria!E11," as at ",Criteria!G24,", the statement of comprehensive income, statement of changes in equity and statement of cash flows for the year then ended and notes to the Financial Statements, including a summary of significant accounting policies and other explanatory information.")</f>
        <v>We have compiled the annual Financial Statements of ABC Company (Pty) Ltd, as set out on pages 13 to 72, based on information you have provided. These Financial Statements comprise the statement of financial position of ABC Company (Pty) Ltd as at 28 February 2026, the statement of comprehensive income, statement of changes in equity and statement of cash flows for the year then ended and notes to the Financial Statements, including a summary of significant accounting policies and other explanatory information.</v>
      </c>
      <c r="E361" s="664"/>
      <c r="F361" s="664"/>
      <c r="G361" s="664"/>
      <c r="H361" s="664"/>
      <c r="I361" s="664"/>
      <c r="J361" s="664"/>
      <c r="K361" s="664"/>
      <c r="L361" s="664"/>
      <c r="M361" s="664"/>
      <c r="N361" s="664"/>
      <c r="O361" s="664"/>
      <c r="P361" s="664"/>
      <c r="Q361" s="664"/>
      <c r="R361" s="490" t="str">
        <f t="shared" si="4"/>
        <v xml:space="preserve"> </v>
      </c>
    </row>
    <row r="362" spans="4:18" ht="36" customHeight="1" x14ac:dyDescent="0.45">
      <c r="D362" s="664"/>
      <c r="E362" s="664"/>
      <c r="F362" s="664"/>
      <c r="G362" s="664"/>
      <c r="H362" s="664"/>
      <c r="I362" s="664"/>
      <c r="J362" s="664"/>
      <c r="K362" s="664"/>
      <c r="L362" s="664"/>
      <c r="M362" s="664"/>
      <c r="N362" s="664"/>
      <c r="O362" s="664"/>
      <c r="P362" s="664"/>
      <c r="Q362" s="664"/>
      <c r="R362" s="490" t="str">
        <f t="shared" si="4"/>
        <v xml:space="preserve"> </v>
      </c>
    </row>
    <row r="363" spans="4:18" ht="36" customHeight="1" x14ac:dyDescent="0.45">
      <c r="D363" s="664"/>
      <c r="E363" s="664"/>
      <c r="F363" s="664"/>
      <c r="G363" s="664"/>
      <c r="H363" s="664"/>
      <c r="I363" s="664"/>
      <c r="J363" s="664"/>
      <c r="K363" s="664"/>
      <c r="L363" s="664"/>
      <c r="M363" s="664"/>
      <c r="N363" s="664"/>
      <c r="O363" s="664"/>
      <c r="P363" s="664"/>
      <c r="Q363" s="664"/>
      <c r="R363" s="490" t="str">
        <f t="shared" si="4"/>
        <v xml:space="preserve"> </v>
      </c>
    </row>
    <row r="364" spans="4:18" ht="36" customHeight="1" x14ac:dyDescent="0.45">
      <c r="D364" s="664"/>
      <c r="E364" s="664"/>
      <c r="F364" s="664"/>
      <c r="G364" s="664"/>
      <c r="H364" s="664"/>
      <c r="I364" s="664"/>
      <c r="J364" s="664"/>
      <c r="K364" s="664"/>
      <c r="L364" s="664"/>
      <c r="M364" s="664"/>
      <c r="N364" s="664"/>
      <c r="O364" s="664"/>
      <c r="P364" s="664"/>
      <c r="Q364" s="664"/>
      <c r="R364" s="490" t="str">
        <f t="shared" si="4"/>
        <v xml:space="preserve"> </v>
      </c>
    </row>
    <row r="365" spans="4:18" ht="36" customHeight="1" x14ac:dyDescent="0.45">
      <c r="D365" s="664"/>
      <c r="E365" s="664"/>
      <c r="F365" s="664"/>
      <c r="G365" s="664"/>
      <c r="H365" s="664"/>
      <c r="I365" s="664"/>
      <c r="J365" s="664"/>
      <c r="K365" s="664"/>
      <c r="L365" s="664"/>
      <c r="M365" s="664"/>
      <c r="N365" s="664"/>
      <c r="O365" s="664"/>
      <c r="P365" s="664"/>
      <c r="Q365" s="664"/>
      <c r="R365" s="490" t="str">
        <f t="shared" si="4"/>
        <v xml:space="preserve"> </v>
      </c>
    </row>
    <row r="366" spans="4:18" ht="36" customHeight="1" x14ac:dyDescent="0.45">
      <c r="D366" s="664"/>
      <c r="E366" s="664"/>
      <c r="F366" s="664"/>
      <c r="G366" s="664"/>
      <c r="H366" s="664"/>
      <c r="I366" s="664"/>
      <c r="J366" s="664"/>
      <c r="K366" s="664"/>
      <c r="L366" s="664"/>
      <c r="M366" s="664"/>
      <c r="N366" s="664"/>
      <c r="O366" s="664"/>
      <c r="P366" s="664"/>
      <c r="Q366" s="664"/>
      <c r="R366" s="490" t="str">
        <f t="shared" si="4"/>
        <v xml:space="preserve"> </v>
      </c>
    </row>
    <row r="367" spans="4:18" ht="36" customHeight="1" x14ac:dyDescent="0.45">
      <c r="D367" s="664"/>
      <c r="E367" s="664"/>
      <c r="F367" s="664"/>
      <c r="G367" s="664"/>
      <c r="H367" s="664"/>
      <c r="I367" s="664"/>
      <c r="J367" s="664"/>
      <c r="K367" s="664"/>
      <c r="L367" s="664"/>
      <c r="M367" s="664"/>
      <c r="N367" s="664"/>
      <c r="O367" s="664"/>
      <c r="P367" s="664"/>
      <c r="Q367" s="664"/>
      <c r="R367" s="490" t="str">
        <f t="shared" si="4"/>
        <v xml:space="preserve"> </v>
      </c>
    </row>
    <row r="368" spans="4:18" ht="36" customHeight="1" x14ac:dyDescent="0.45">
      <c r="D368" s="616"/>
      <c r="E368" s="616"/>
      <c r="F368" s="616"/>
      <c r="G368" s="616"/>
      <c r="H368" s="616"/>
      <c r="I368" s="616"/>
      <c r="J368" s="616"/>
      <c r="K368" s="616"/>
      <c r="L368" s="616"/>
      <c r="M368" s="617"/>
      <c r="N368" s="617"/>
      <c r="O368" s="617"/>
      <c r="P368" s="617"/>
      <c r="Q368" s="616"/>
      <c r="R368" s="490" t="str">
        <f t="shared" si="4"/>
        <v xml:space="preserve"> </v>
      </c>
    </row>
    <row r="369" spans="4:18" ht="36" customHeight="1" x14ac:dyDescent="0.45">
      <c r="D369" s="616" t="s">
        <v>1629</v>
      </c>
      <c r="E369" s="616"/>
      <c r="F369" s="616"/>
      <c r="G369" s="616"/>
      <c r="H369" s="616"/>
      <c r="I369" s="616"/>
      <c r="J369" s="616"/>
      <c r="K369" s="616"/>
      <c r="L369" s="616"/>
      <c r="M369" s="617"/>
      <c r="N369" s="617"/>
      <c r="O369" s="617"/>
      <c r="P369" s="617"/>
      <c r="Q369" s="616"/>
      <c r="R369" s="490" t="str">
        <f t="shared" si="4"/>
        <v xml:space="preserve"> </v>
      </c>
    </row>
    <row r="370" spans="4:18" ht="36" customHeight="1" x14ac:dyDescent="0.45">
      <c r="D370" s="616" t="s">
        <v>1628</v>
      </c>
      <c r="E370" s="616"/>
      <c r="F370" s="616"/>
      <c r="G370" s="616"/>
      <c r="H370" s="616"/>
      <c r="I370" s="616"/>
      <c r="J370" s="616"/>
      <c r="K370" s="616"/>
      <c r="L370" s="616"/>
      <c r="M370" s="617"/>
      <c r="N370" s="617"/>
      <c r="O370" s="617"/>
      <c r="P370" s="617"/>
      <c r="Q370" s="616"/>
      <c r="R370" s="490" t="str">
        <f t="shared" si="4"/>
        <v xml:space="preserve"> </v>
      </c>
    </row>
    <row r="371" spans="4:18" ht="36" customHeight="1" x14ac:dyDescent="0.45">
      <c r="D371" s="616"/>
      <c r="E371" s="616"/>
      <c r="F371" s="616"/>
      <c r="G371" s="616"/>
      <c r="H371" s="616"/>
      <c r="I371" s="616"/>
      <c r="J371" s="616"/>
      <c r="K371" s="616"/>
      <c r="L371" s="616"/>
      <c r="M371" s="617"/>
      <c r="N371" s="617"/>
      <c r="O371" s="617"/>
      <c r="P371" s="617"/>
      <c r="Q371" s="616"/>
      <c r="R371" s="490" t="str">
        <f t="shared" si="4"/>
        <v xml:space="preserve"> </v>
      </c>
    </row>
    <row r="372" spans="4:18" ht="36" customHeight="1" x14ac:dyDescent="0.45">
      <c r="D372" s="616" t="s">
        <v>1631</v>
      </c>
      <c r="E372" s="616"/>
      <c r="F372" s="616"/>
      <c r="G372" s="616"/>
      <c r="H372" s="616"/>
      <c r="I372" s="616"/>
      <c r="J372" s="616"/>
      <c r="K372" s="616"/>
      <c r="L372" s="616"/>
      <c r="M372" s="617"/>
      <c r="N372" s="617"/>
      <c r="O372" s="617"/>
      <c r="P372" s="617"/>
      <c r="Q372" s="616"/>
      <c r="R372" s="490" t="str">
        <f t="shared" si="4"/>
        <v xml:space="preserve"> </v>
      </c>
    </row>
    <row r="373" spans="4:18" ht="36" customHeight="1" x14ac:dyDescent="0.45">
      <c r="D373" s="616" t="s">
        <v>1630</v>
      </c>
      <c r="E373" s="616"/>
      <c r="F373" s="616"/>
      <c r="G373" s="616"/>
      <c r="H373" s="616"/>
      <c r="I373" s="616"/>
      <c r="J373" s="616"/>
      <c r="K373" s="616"/>
      <c r="L373" s="616"/>
      <c r="M373" s="617"/>
      <c r="N373" s="617"/>
      <c r="O373" s="617"/>
      <c r="P373" s="617"/>
      <c r="Q373" s="616"/>
      <c r="R373" s="490" t="str">
        <f t="shared" si="4"/>
        <v xml:space="preserve"> </v>
      </c>
    </row>
    <row r="374" spans="4:18" ht="36" customHeight="1" x14ac:dyDescent="0.45">
      <c r="D374" s="616" t="s">
        <v>1632</v>
      </c>
      <c r="E374" s="616"/>
      <c r="F374" s="616"/>
      <c r="G374" s="616"/>
      <c r="H374" s="616"/>
      <c r="I374" s="616"/>
      <c r="J374" s="616"/>
      <c r="K374" s="616"/>
      <c r="L374" s="616"/>
      <c r="M374" s="617"/>
      <c r="N374" s="617"/>
      <c r="O374" s="617"/>
      <c r="P374" s="617"/>
      <c r="Q374" s="616"/>
      <c r="R374" s="490" t="str">
        <f t="shared" si="4"/>
        <v xml:space="preserve"> </v>
      </c>
    </row>
    <row r="375" spans="4:18" ht="36" customHeight="1" x14ac:dyDescent="0.45">
      <c r="D375" s="616" t="s">
        <v>1634</v>
      </c>
      <c r="E375" s="616"/>
      <c r="F375" s="616"/>
      <c r="G375" s="616"/>
      <c r="H375" s="616"/>
      <c r="I375" s="616"/>
      <c r="J375" s="616"/>
      <c r="K375" s="616"/>
      <c r="L375" s="616"/>
      <c r="M375" s="617"/>
      <c r="N375" s="617"/>
      <c r="O375" s="617"/>
      <c r="P375" s="617"/>
      <c r="Q375" s="616"/>
      <c r="R375" s="490" t="str">
        <f t="shared" si="4"/>
        <v xml:space="preserve"> </v>
      </c>
    </row>
    <row r="376" spans="4:18" ht="36" customHeight="1" x14ac:dyDescent="0.45">
      <c r="D376" s="616" t="s">
        <v>1633</v>
      </c>
      <c r="E376" s="616"/>
      <c r="F376" s="616"/>
      <c r="G376" s="616"/>
      <c r="H376" s="616"/>
      <c r="I376" s="616"/>
      <c r="J376" s="616"/>
      <c r="K376" s="616"/>
      <c r="L376" s="616"/>
      <c r="M376" s="617"/>
      <c r="N376" s="617"/>
      <c r="O376" s="617"/>
      <c r="P376" s="617"/>
      <c r="Q376" s="616"/>
      <c r="R376" s="490" t="str">
        <f t="shared" si="4"/>
        <v xml:space="preserve"> </v>
      </c>
    </row>
    <row r="377" spans="4:18" ht="36" customHeight="1" x14ac:dyDescent="0.45">
      <c r="D377" s="616"/>
      <c r="E377" s="616"/>
      <c r="F377" s="616"/>
      <c r="G377" s="616"/>
      <c r="H377" s="616"/>
      <c r="I377" s="616"/>
      <c r="J377" s="616"/>
      <c r="K377" s="616"/>
      <c r="L377" s="616"/>
      <c r="M377" s="617"/>
      <c r="N377" s="617"/>
      <c r="O377" s="617"/>
      <c r="P377" s="617"/>
      <c r="Q377" s="616"/>
      <c r="R377" s="490" t="str">
        <f t="shared" si="4"/>
        <v xml:space="preserve"> </v>
      </c>
    </row>
    <row r="378" spans="4:18" ht="36" customHeight="1" x14ac:dyDescent="0.45">
      <c r="D378" s="616" t="s">
        <v>1636</v>
      </c>
      <c r="E378" s="616"/>
      <c r="F378" s="616"/>
      <c r="G378" s="616"/>
      <c r="H378" s="616"/>
      <c r="I378" s="616"/>
      <c r="J378" s="616"/>
      <c r="K378" s="616"/>
      <c r="L378" s="616"/>
      <c r="M378" s="617"/>
      <c r="N378" s="617"/>
      <c r="O378" s="617"/>
      <c r="P378" s="617"/>
      <c r="Q378" s="616"/>
      <c r="R378" s="490" t="str">
        <f t="shared" si="4"/>
        <v xml:space="preserve"> </v>
      </c>
    </row>
    <row r="379" spans="4:18" ht="36" customHeight="1" x14ac:dyDescent="0.45">
      <c r="D379" s="616" t="s">
        <v>1635</v>
      </c>
      <c r="E379" s="616"/>
      <c r="F379" s="616"/>
      <c r="G379" s="616"/>
      <c r="H379" s="616"/>
      <c r="I379" s="616"/>
      <c r="J379" s="616"/>
      <c r="K379" s="616"/>
      <c r="L379" s="616"/>
      <c r="M379" s="617"/>
      <c r="N379" s="617"/>
      <c r="O379" s="617"/>
      <c r="P379" s="617"/>
      <c r="Q379" s="616"/>
      <c r="R379" s="490" t="str">
        <f t="shared" si="4"/>
        <v xml:space="preserve"> </v>
      </c>
    </row>
    <row r="380" spans="4:18" ht="36" customHeight="1" x14ac:dyDescent="0.45">
      <c r="D380" s="616"/>
      <c r="E380" s="616"/>
      <c r="F380" s="616"/>
      <c r="G380" s="616"/>
      <c r="H380" s="616"/>
      <c r="I380" s="616"/>
      <c r="J380" s="616"/>
      <c r="K380" s="616"/>
      <c r="L380" s="616"/>
      <c r="M380" s="617"/>
      <c r="N380" s="617"/>
      <c r="O380" s="617"/>
      <c r="P380" s="617"/>
      <c r="Q380" s="616"/>
      <c r="R380" s="490" t="str">
        <f t="shared" si="4"/>
        <v xml:space="preserve"> </v>
      </c>
    </row>
    <row r="381" spans="4:18" ht="36" customHeight="1" x14ac:dyDescent="0.45">
      <c r="D381" s="616"/>
      <c r="E381" s="616"/>
      <c r="F381" s="616"/>
      <c r="G381" s="616"/>
      <c r="H381" s="616"/>
      <c r="I381" s="616"/>
      <c r="J381" s="616"/>
      <c r="K381" s="616"/>
      <c r="L381" s="616"/>
      <c r="M381" s="617"/>
      <c r="N381" s="617"/>
      <c r="O381" s="617"/>
      <c r="P381" s="617"/>
      <c r="Q381" s="616"/>
      <c r="R381" s="490" t="str">
        <f t="shared" si="4"/>
        <v xml:space="preserve"> </v>
      </c>
    </row>
    <row r="382" spans="4:18" ht="36" customHeight="1" x14ac:dyDescent="0.45">
      <c r="D382" s="616"/>
      <c r="E382" s="616"/>
      <c r="F382" s="616"/>
      <c r="G382" s="616"/>
      <c r="H382" s="616"/>
      <c r="I382" s="616"/>
      <c r="J382" s="616"/>
      <c r="K382" s="616"/>
      <c r="L382" s="616"/>
      <c r="M382" s="617"/>
      <c r="N382" s="617"/>
      <c r="O382" s="617"/>
      <c r="P382" s="617"/>
      <c r="Q382" s="616"/>
      <c r="R382" s="490" t="str">
        <f t="shared" si="4"/>
        <v xml:space="preserve"> </v>
      </c>
    </row>
    <row r="383" spans="4:18" ht="36" customHeight="1" x14ac:dyDescent="0.45">
      <c r="D383" s="616"/>
      <c r="E383" s="616"/>
      <c r="F383" s="616"/>
      <c r="G383" s="616"/>
      <c r="H383" s="616"/>
      <c r="I383" s="616"/>
      <c r="J383" s="616"/>
      <c r="K383" s="616"/>
      <c r="L383" s="616"/>
      <c r="M383" s="617"/>
      <c r="N383" s="617"/>
      <c r="O383" s="617"/>
      <c r="P383" s="617"/>
      <c r="Q383" s="616"/>
      <c r="R383" s="490" t="str">
        <f t="shared" si="4"/>
        <v xml:space="preserve"> </v>
      </c>
    </row>
    <row r="384" spans="4:18" ht="36" customHeight="1" x14ac:dyDescent="0.45">
      <c r="D384" s="616"/>
      <c r="E384" s="616"/>
      <c r="F384" s="616"/>
      <c r="G384" s="616"/>
      <c r="H384" s="616"/>
      <c r="I384" s="616"/>
      <c r="J384" s="616"/>
      <c r="K384" s="616"/>
      <c r="L384" s="616"/>
      <c r="M384" s="617"/>
      <c r="N384" s="617"/>
      <c r="O384" s="617"/>
      <c r="P384" s="617"/>
      <c r="Q384" s="616"/>
      <c r="R384" s="490" t="str">
        <f t="shared" si="4"/>
        <v xml:space="preserve"> </v>
      </c>
    </row>
    <row r="385" spans="4:18" ht="36" customHeight="1" x14ac:dyDescent="0.45">
      <c r="D385" s="616"/>
      <c r="E385" s="616"/>
      <c r="F385" s="616"/>
      <c r="G385" s="616"/>
      <c r="H385" s="616"/>
      <c r="I385" s="616"/>
      <c r="J385" s="616"/>
      <c r="K385" s="616"/>
      <c r="L385" s="616"/>
      <c r="M385" s="617"/>
      <c r="N385" s="617"/>
      <c r="O385" s="617"/>
      <c r="P385" s="617"/>
      <c r="Q385" s="616"/>
      <c r="R385" s="490" t="str">
        <f t="shared" si="4"/>
        <v xml:space="preserve"> </v>
      </c>
    </row>
    <row r="386" spans="4:18" ht="36" customHeight="1" x14ac:dyDescent="0.45">
      <c r="D386" s="616"/>
      <c r="E386" s="616"/>
      <c r="F386" s="616"/>
      <c r="G386" s="616"/>
      <c r="H386" s="616"/>
      <c r="I386" s="616"/>
      <c r="J386" s="616"/>
      <c r="K386" s="616"/>
      <c r="L386" s="616"/>
      <c r="M386" s="617"/>
      <c r="N386" s="617"/>
      <c r="O386" s="617"/>
      <c r="P386" s="617"/>
      <c r="Q386" s="616"/>
      <c r="R386" s="490" t="str">
        <f t="shared" si="4"/>
        <v xml:space="preserve"> </v>
      </c>
    </row>
    <row r="387" spans="4:18" ht="36" customHeight="1" x14ac:dyDescent="0.45">
      <c r="D387" s="616"/>
      <c r="E387" s="616"/>
      <c r="F387" s="616"/>
      <c r="G387" s="616"/>
      <c r="H387" s="616"/>
      <c r="I387" s="616"/>
      <c r="J387" s="616"/>
      <c r="K387" s="616"/>
      <c r="L387" s="616"/>
      <c r="M387" s="617"/>
      <c r="N387" s="617"/>
      <c r="O387" s="617"/>
      <c r="P387" s="617"/>
      <c r="Q387" s="616"/>
      <c r="R387" s="490" t="str">
        <f t="shared" si="4"/>
        <v xml:space="preserve"> </v>
      </c>
    </row>
    <row r="388" spans="4:18" ht="36" customHeight="1" x14ac:dyDescent="0.45">
      <c r="D388" s="616"/>
      <c r="E388" s="616"/>
      <c r="F388" s="616"/>
      <c r="G388" s="616"/>
      <c r="H388" s="616"/>
      <c r="I388" s="616"/>
      <c r="J388" s="616"/>
      <c r="K388" s="616"/>
      <c r="L388" s="616"/>
      <c r="M388" s="617"/>
      <c r="N388" s="617"/>
      <c r="O388" s="617"/>
      <c r="P388" s="617"/>
      <c r="Q388" s="616"/>
      <c r="R388" s="490" t="str">
        <f t="shared" si="4"/>
        <v xml:space="preserve"> </v>
      </c>
    </row>
    <row r="389" spans="4:18" ht="36" customHeight="1" x14ac:dyDescent="0.45">
      <c r="D389" s="616"/>
      <c r="E389" s="616"/>
      <c r="F389" s="616"/>
      <c r="G389" s="616"/>
      <c r="H389" s="616"/>
      <c r="I389" s="616"/>
      <c r="J389" s="616"/>
      <c r="K389" s="616"/>
      <c r="L389" s="616"/>
      <c r="M389" s="617"/>
      <c r="N389" s="617"/>
      <c r="O389" s="617"/>
      <c r="P389" s="617"/>
      <c r="Q389" s="616"/>
      <c r="R389" s="490" t="str">
        <f t="shared" si="4"/>
        <v xml:space="preserve"> </v>
      </c>
    </row>
    <row r="390" spans="4:18" ht="36" customHeight="1" x14ac:dyDescent="0.45">
      <c r="D390" s="616"/>
      <c r="E390" s="616"/>
      <c r="F390" s="616"/>
      <c r="G390" s="616"/>
      <c r="H390" s="616"/>
      <c r="I390" s="616"/>
      <c r="J390" s="616"/>
      <c r="K390" s="616"/>
      <c r="L390" s="616"/>
      <c r="M390" s="617"/>
      <c r="N390" s="617"/>
      <c r="O390" s="617"/>
      <c r="P390" s="617"/>
      <c r="Q390" s="616"/>
      <c r="R390" s="490" t="str">
        <f t="shared" si="4"/>
        <v xml:space="preserve"> </v>
      </c>
    </row>
    <row r="391" spans="4:18" ht="36" customHeight="1" x14ac:dyDescent="0.45">
      <c r="D391" s="616"/>
      <c r="E391" s="616"/>
      <c r="F391" s="616"/>
      <c r="G391" s="616"/>
      <c r="H391" s="616"/>
      <c r="I391" s="616"/>
      <c r="J391" s="616"/>
      <c r="K391" s="616"/>
      <c r="L391" s="616"/>
      <c r="M391" s="617"/>
      <c r="N391" s="617"/>
      <c r="O391" s="617"/>
      <c r="P391" s="617"/>
      <c r="Q391" s="616"/>
      <c r="R391" s="490" t="str">
        <f t="shared" si="4"/>
        <v xml:space="preserve"> </v>
      </c>
    </row>
    <row r="392" spans="4:18" ht="36" customHeight="1" x14ac:dyDescent="0.45">
      <c r="D392" s="616"/>
      <c r="E392" s="616"/>
      <c r="F392" s="616"/>
      <c r="G392" s="616"/>
      <c r="H392" s="616"/>
      <c r="I392" s="616"/>
      <c r="J392" s="616"/>
      <c r="K392" s="616"/>
      <c r="L392" s="616"/>
      <c r="M392" s="617"/>
      <c r="N392" s="617"/>
      <c r="O392" s="617"/>
      <c r="P392" s="617"/>
      <c r="Q392" s="616"/>
      <c r="R392" s="490" t="str">
        <f t="shared" si="4"/>
        <v xml:space="preserve"> </v>
      </c>
    </row>
    <row r="393" spans="4:18" ht="36" customHeight="1" x14ac:dyDescent="0.45">
      <c r="D393" s="616"/>
      <c r="E393" s="616"/>
      <c r="F393" s="616"/>
      <c r="G393" s="616"/>
      <c r="H393" s="616"/>
      <c r="I393" s="616"/>
      <c r="J393" s="616"/>
      <c r="K393" s="616"/>
      <c r="L393" s="616"/>
      <c r="M393" s="617"/>
      <c r="N393" s="617"/>
      <c r="O393" s="617"/>
      <c r="P393" s="617"/>
      <c r="Q393" s="616"/>
      <c r="R393" s="490" t="str">
        <f t="shared" si="4"/>
        <v xml:space="preserve"> </v>
      </c>
    </row>
    <row r="394" spans="4:18" ht="36" customHeight="1" x14ac:dyDescent="0.45">
      <c r="D394" s="616"/>
      <c r="E394" s="616"/>
      <c r="F394" s="616"/>
      <c r="G394" s="616"/>
      <c r="H394" s="616"/>
      <c r="I394" s="616"/>
      <c r="J394" s="616"/>
      <c r="K394" s="616"/>
      <c r="L394" s="616"/>
      <c r="M394" s="617"/>
      <c r="N394" s="617"/>
      <c r="O394" s="454" t="s">
        <v>112</v>
      </c>
      <c r="Q394" s="450">
        <f>MAX($Q$103:Q393)+1</f>
        <v>7</v>
      </c>
      <c r="R394" s="490" t="str">
        <f t="shared" si="4"/>
        <v xml:space="preserve"> </v>
      </c>
    </row>
    <row r="395" spans="4:18" ht="36" customHeight="1" x14ac:dyDescent="0.45">
      <c r="D395" s="616"/>
      <c r="E395" s="616"/>
      <c r="F395" s="616"/>
      <c r="G395" s="616"/>
      <c r="H395" s="616"/>
      <c r="I395" s="616"/>
      <c r="J395" s="616"/>
      <c r="K395" s="616"/>
      <c r="L395" s="616"/>
      <c r="M395" s="617"/>
      <c r="N395" s="617"/>
      <c r="O395" s="617"/>
      <c r="P395" s="617"/>
      <c r="Q395" s="616"/>
      <c r="R395" s="490" t="str">
        <f t="shared" si="4"/>
        <v xml:space="preserve"> </v>
      </c>
    </row>
    <row r="396" spans="4:18" ht="36" customHeight="1" x14ac:dyDescent="0.45">
      <c r="D396" s="616"/>
      <c r="E396" s="616"/>
      <c r="F396" s="616"/>
      <c r="G396" s="616"/>
      <c r="H396" s="616"/>
      <c r="I396" s="616"/>
      <c r="J396" s="616"/>
      <c r="K396" s="616"/>
      <c r="L396" s="616"/>
      <c r="M396" s="617"/>
      <c r="N396" s="617"/>
      <c r="O396" s="617"/>
      <c r="P396" s="617"/>
      <c r="Q396" s="616"/>
      <c r="R396" s="490" t="str">
        <f t="shared" si="4"/>
        <v xml:space="preserve"> </v>
      </c>
    </row>
    <row r="397" spans="4:18" ht="36" customHeight="1" x14ac:dyDescent="0.45">
      <c r="D397" s="616"/>
      <c r="E397" s="616"/>
      <c r="F397" s="616"/>
      <c r="G397" s="616"/>
      <c r="H397" s="616"/>
      <c r="I397" s="616"/>
      <c r="J397" s="616"/>
      <c r="K397" s="616"/>
      <c r="L397" s="616"/>
      <c r="M397" s="617"/>
      <c r="N397" s="617"/>
      <c r="O397" s="617"/>
      <c r="P397" s="617"/>
      <c r="Q397" s="616"/>
      <c r="R397" s="490" t="str">
        <f t="shared" si="4"/>
        <v xml:space="preserve"> </v>
      </c>
    </row>
    <row r="398" spans="4:18" ht="36" customHeight="1" x14ac:dyDescent="0.45">
      <c r="D398" s="616"/>
      <c r="E398" s="616"/>
      <c r="F398" s="616"/>
      <c r="G398" s="616"/>
      <c r="H398" s="616"/>
      <c r="I398" s="616"/>
      <c r="J398" s="616"/>
      <c r="K398" s="616"/>
      <c r="L398" s="616"/>
      <c r="M398" s="617"/>
      <c r="N398" s="617"/>
      <c r="O398" s="617"/>
      <c r="P398" s="617"/>
      <c r="Q398" s="616"/>
      <c r="R398" s="490" t="str">
        <f t="shared" si="4"/>
        <v xml:space="preserve"> </v>
      </c>
    </row>
    <row r="399" spans="4:18" ht="36" customHeight="1" x14ac:dyDescent="0.45">
      <c r="D399" s="616" t="s">
        <v>1637</v>
      </c>
      <c r="E399" s="616"/>
      <c r="F399" s="616"/>
      <c r="G399" s="616"/>
      <c r="H399" s="616"/>
      <c r="I399" s="616"/>
      <c r="J399" s="616"/>
      <c r="K399" s="616"/>
      <c r="L399" s="616"/>
      <c r="M399" s="617"/>
      <c r="N399" s="617"/>
      <c r="O399" s="617"/>
      <c r="P399" s="617"/>
      <c r="Q399" s="616"/>
      <c r="R399" s="490" t="str">
        <f t="shared" ref="R399:R442" si="5">R$347</f>
        <v xml:space="preserve"> </v>
      </c>
    </row>
    <row r="400" spans="4:18" ht="36" customHeight="1" x14ac:dyDescent="0.45">
      <c r="D400" s="616" t="s">
        <v>1638</v>
      </c>
      <c r="E400" s="616"/>
      <c r="F400" s="616"/>
      <c r="G400" s="616"/>
      <c r="H400" s="616"/>
      <c r="I400" s="616"/>
      <c r="J400" s="616"/>
      <c r="K400" s="616"/>
      <c r="L400" s="616"/>
      <c r="M400" s="617"/>
      <c r="N400" s="617"/>
      <c r="O400" s="617"/>
      <c r="P400" s="617"/>
      <c r="Q400" s="616"/>
      <c r="R400" s="490" t="str">
        <f t="shared" si="5"/>
        <v xml:space="preserve"> </v>
      </c>
    </row>
    <row r="401" spans="4:18" ht="36" customHeight="1" x14ac:dyDescent="0.45">
      <c r="D401" s="616" t="s">
        <v>1639</v>
      </c>
      <c r="E401" s="616"/>
      <c r="F401" s="616"/>
      <c r="G401" s="616"/>
      <c r="H401" s="616"/>
      <c r="I401" s="616"/>
      <c r="J401" s="616"/>
      <c r="K401" s="616"/>
      <c r="L401" s="616"/>
      <c r="M401" s="617"/>
      <c r="N401" s="617"/>
      <c r="O401" s="617"/>
      <c r="P401" s="617"/>
      <c r="Q401" s="616"/>
      <c r="R401" s="490" t="str">
        <f t="shared" si="5"/>
        <v xml:space="preserve"> </v>
      </c>
    </row>
    <row r="402" spans="4:18" ht="36" customHeight="1" x14ac:dyDescent="0.45">
      <c r="D402" s="616" t="s">
        <v>1643</v>
      </c>
      <c r="E402" s="616"/>
      <c r="F402" s="616"/>
      <c r="G402" s="616"/>
      <c r="H402" s="616"/>
      <c r="I402" s="616"/>
      <c r="J402" s="616"/>
      <c r="K402" s="616"/>
      <c r="L402" s="616"/>
      <c r="M402" s="617"/>
      <c r="N402" s="617"/>
      <c r="O402" s="617"/>
      <c r="P402" s="617"/>
      <c r="Q402" s="616"/>
      <c r="R402" s="490" t="str">
        <f t="shared" si="5"/>
        <v xml:space="preserve"> </v>
      </c>
    </row>
    <row r="403" spans="4:18" ht="36" customHeight="1" x14ac:dyDescent="0.45">
      <c r="D403" s="616" t="s">
        <v>1642</v>
      </c>
      <c r="E403" s="616"/>
      <c r="F403" s="616"/>
      <c r="G403" s="616"/>
      <c r="H403" s="616"/>
      <c r="I403" s="616"/>
      <c r="J403" s="616"/>
      <c r="K403" s="616"/>
      <c r="L403" s="616"/>
      <c r="M403" s="617"/>
      <c r="N403" s="617"/>
      <c r="O403" s="617"/>
      <c r="P403" s="617"/>
      <c r="Q403" s="616"/>
      <c r="R403" s="490" t="str">
        <f t="shared" si="5"/>
        <v xml:space="preserve"> </v>
      </c>
    </row>
    <row r="404" spans="4:18" ht="36" customHeight="1" x14ac:dyDescent="0.45">
      <c r="D404" s="616" t="s">
        <v>1641</v>
      </c>
      <c r="E404" s="616"/>
      <c r="F404" s="616"/>
      <c r="G404" s="616"/>
      <c r="H404" s="616"/>
      <c r="I404" s="616"/>
      <c r="J404" s="616"/>
      <c r="K404" s="616"/>
      <c r="L404" s="616"/>
      <c r="M404" s="617"/>
      <c r="N404" s="617"/>
      <c r="O404" s="617"/>
      <c r="P404" s="617"/>
      <c r="Q404" s="616"/>
      <c r="R404" s="490" t="str">
        <f t="shared" si="5"/>
        <v xml:space="preserve"> </v>
      </c>
    </row>
    <row r="405" spans="4:18" ht="36" customHeight="1" x14ac:dyDescent="0.45">
      <c r="D405" s="616"/>
      <c r="E405" s="616"/>
      <c r="F405" s="616"/>
      <c r="G405" s="616"/>
      <c r="H405" s="616"/>
      <c r="I405" s="616"/>
      <c r="J405" s="616"/>
      <c r="K405" s="616"/>
      <c r="L405" s="616"/>
      <c r="M405" s="617"/>
      <c r="N405" s="617"/>
      <c r="O405" s="617"/>
      <c r="P405" s="617"/>
      <c r="Q405" s="616"/>
      <c r="R405" s="490" t="str">
        <f t="shared" si="5"/>
        <v xml:space="preserve"> </v>
      </c>
    </row>
    <row r="406" spans="4:18" ht="36" customHeight="1" x14ac:dyDescent="0.45">
      <c r="D406" s="616"/>
      <c r="E406" s="616"/>
      <c r="F406" s="616"/>
      <c r="G406" s="616"/>
      <c r="H406" s="616"/>
      <c r="I406" s="616"/>
      <c r="J406" s="616"/>
      <c r="K406" s="616"/>
      <c r="L406" s="616"/>
      <c r="M406" s="617"/>
      <c r="N406" s="617"/>
      <c r="O406" s="617"/>
      <c r="P406" s="617"/>
      <c r="Q406" s="616"/>
      <c r="R406" s="490" t="str">
        <f t="shared" si="5"/>
        <v xml:space="preserve"> </v>
      </c>
    </row>
    <row r="407" spans="4:18" ht="36" customHeight="1" x14ac:dyDescent="0.45">
      <c r="D407" s="616"/>
      <c r="E407" s="616"/>
      <c r="F407" s="616"/>
      <c r="G407" s="616"/>
      <c r="H407" s="616"/>
      <c r="I407" s="616"/>
      <c r="J407" s="616"/>
      <c r="K407" s="616"/>
      <c r="L407" s="616"/>
      <c r="M407" s="617"/>
      <c r="N407" s="617"/>
      <c r="O407" s="617"/>
      <c r="P407" s="617"/>
      <c r="Q407" s="616"/>
      <c r="R407" s="490" t="str">
        <f t="shared" si="5"/>
        <v xml:space="preserve"> </v>
      </c>
    </row>
    <row r="408" spans="4:18" ht="36" customHeight="1" x14ac:dyDescent="0.45">
      <c r="D408" s="616"/>
      <c r="E408" s="616"/>
      <c r="F408" s="616"/>
      <c r="G408" s="616"/>
      <c r="H408" s="616"/>
      <c r="I408" s="616"/>
      <c r="J408" s="616"/>
      <c r="K408" s="616"/>
      <c r="L408" s="616"/>
      <c r="M408" s="617"/>
      <c r="N408" s="617"/>
      <c r="O408" s="617"/>
      <c r="P408" s="617"/>
      <c r="Q408" s="616"/>
      <c r="R408" s="490" t="str">
        <f t="shared" si="5"/>
        <v xml:space="preserve"> </v>
      </c>
    </row>
    <row r="409" spans="4:18" ht="36" customHeight="1" x14ac:dyDescent="0.45">
      <c r="D409" s="616"/>
      <c r="E409" s="616"/>
      <c r="F409" s="616"/>
      <c r="G409" s="616"/>
      <c r="H409" s="616"/>
      <c r="I409" s="616"/>
      <c r="J409" s="616"/>
      <c r="K409" s="616"/>
      <c r="L409" s="616"/>
      <c r="M409" s="617"/>
      <c r="N409" s="617"/>
      <c r="O409" s="617"/>
      <c r="P409" s="617"/>
      <c r="Q409" s="616"/>
      <c r="R409" s="490" t="str">
        <f t="shared" si="5"/>
        <v xml:space="preserve"> </v>
      </c>
    </row>
    <row r="410" spans="4:18" ht="36" customHeight="1" x14ac:dyDescent="0.45">
      <c r="D410" s="616" t="s">
        <v>141</v>
      </c>
      <c r="E410" s="616"/>
      <c r="F410" s="616"/>
      <c r="G410" s="616"/>
      <c r="H410" s="616"/>
      <c r="I410" s="616"/>
      <c r="J410" s="616"/>
      <c r="K410" s="616"/>
      <c r="L410" s="616"/>
      <c r="M410" s="617"/>
      <c r="N410" s="617"/>
      <c r="O410" s="617"/>
      <c r="P410" s="617"/>
      <c r="Q410" s="616"/>
      <c r="R410" s="490" t="str">
        <f t="shared" si="5"/>
        <v xml:space="preserve"> </v>
      </c>
    </row>
    <row r="411" spans="4:18" ht="36" customHeight="1" x14ac:dyDescent="0.45">
      <c r="D411" s="666" t="s">
        <v>747</v>
      </c>
      <c r="E411" s="666"/>
      <c r="F411" s="666"/>
      <c r="G411" s="666"/>
      <c r="H411" s="666"/>
      <c r="I411" s="616"/>
      <c r="J411" s="616"/>
      <c r="K411" s="616"/>
      <c r="L411" s="616"/>
      <c r="M411" s="617"/>
      <c r="N411" s="617"/>
      <c r="O411" s="617"/>
      <c r="P411" s="617"/>
      <c r="Q411" s="616"/>
      <c r="R411" s="490" t="str">
        <f t="shared" si="5"/>
        <v xml:space="preserve"> </v>
      </c>
    </row>
    <row r="412" spans="4:18" ht="36" customHeight="1" x14ac:dyDescent="0.45">
      <c r="D412" s="616"/>
      <c r="E412" s="616"/>
      <c r="F412" s="616"/>
      <c r="G412" s="616"/>
      <c r="H412" s="616"/>
      <c r="I412" s="616"/>
      <c r="J412" s="616"/>
      <c r="K412" s="616"/>
      <c r="L412" s="616"/>
      <c r="M412" s="617"/>
      <c r="N412" s="617"/>
      <c r="O412" s="617"/>
      <c r="P412" s="617"/>
      <c r="Q412" s="616"/>
      <c r="R412" s="490" t="str">
        <f t="shared" si="5"/>
        <v xml:space="preserve"> </v>
      </c>
    </row>
    <row r="413" spans="4:18" ht="36" customHeight="1" x14ac:dyDescent="0.45">
      <c r="D413" s="616" t="s">
        <v>117</v>
      </c>
      <c r="E413" s="616"/>
      <c r="F413" s="616"/>
      <c r="G413" s="616"/>
      <c r="H413" s="616"/>
      <c r="I413" s="616"/>
      <c r="J413" s="616"/>
      <c r="K413" s="616"/>
      <c r="L413" s="616"/>
      <c r="M413" s="617"/>
      <c r="N413" s="617"/>
      <c r="O413" s="617"/>
      <c r="P413" s="617"/>
      <c r="Q413" s="616"/>
      <c r="R413" s="490" t="str">
        <f t="shared" si="5"/>
        <v xml:space="preserve"> </v>
      </c>
    </row>
    <row r="414" spans="4:18" ht="21" customHeight="1" x14ac:dyDescent="0.45">
      <c r="D414" s="616"/>
      <c r="E414" s="616" t="s">
        <v>142</v>
      </c>
      <c r="F414" s="616"/>
      <c r="G414" s="616"/>
      <c r="H414" s="616"/>
      <c r="I414" s="616"/>
      <c r="J414" s="616"/>
      <c r="K414" s="616"/>
      <c r="L414" s="616"/>
      <c r="M414" s="617"/>
      <c r="N414" s="617"/>
      <c r="O414" s="617"/>
      <c r="P414" s="617"/>
      <c r="Q414" s="616"/>
      <c r="R414" s="490" t="str">
        <f t="shared" si="5"/>
        <v xml:space="preserve"> </v>
      </c>
    </row>
    <row r="415" spans="4:18" ht="36" customHeight="1" x14ac:dyDescent="0.45">
      <c r="D415" s="616" t="str">
        <f>Criteria!E32</f>
        <v>Johannesburg</v>
      </c>
      <c r="E415" s="616"/>
      <c r="F415" s="616"/>
      <c r="G415" s="616"/>
      <c r="H415" s="616"/>
      <c r="I415" s="616"/>
      <c r="J415" s="616"/>
      <c r="K415" s="616"/>
      <c r="L415" s="616"/>
      <c r="M415" s="617"/>
      <c r="N415" s="617"/>
      <c r="O415" s="617"/>
      <c r="P415" s="617"/>
      <c r="Q415" s="616"/>
      <c r="R415" s="490" t="str">
        <f t="shared" si="5"/>
        <v xml:space="preserve"> </v>
      </c>
    </row>
    <row r="416" spans="4:18" ht="36" customHeight="1" x14ac:dyDescent="0.45">
      <c r="D416" s="620"/>
      <c r="E416" s="616"/>
      <c r="F416" s="616"/>
      <c r="G416" s="616"/>
      <c r="H416" s="616"/>
      <c r="I416" s="616"/>
      <c r="J416" s="616"/>
      <c r="K416" s="616"/>
      <c r="L416" s="616"/>
      <c r="M416" s="617"/>
      <c r="N416" s="617"/>
      <c r="O416" s="617"/>
      <c r="P416" s="617"/>
      <c r="Q416" s="616"/>
      <c r="R416" s="490" t="str">
        <f t="shared" si="5"/>
        <v xml:space="preserve"> </v>
      </c>
    </row>
    <row r="417" spans="4:18" ht="36" customHeight="1" x14ac:dyDescent="0.45">
      <c r="D417" s="616"/>
      <c r="E417" s="616"/>
      <c r="F417" s="616"/>
      <c r="G417" s="616"/>
      <c r="H417" s="616"/>
      <c r="I417" s="616"/>
      <c r="J417" s="616"/>
      <c r="K417" s="616"/>
      <c r="L417" s="616"/>
      <c r="M417" s="616"/>
      <c r="N417" s="616"/>
      <c r="O417" s="616"/>
      <c r="P417" s="616"/>
      <c r="Q417" s="616"/>
      <c r="R417" s="490" t="str">
        <f t="shared" si="5"/>
        <v xml:space="preserve"> </v>
      </c>
    </row>
    <row r="418" spans="4:18" ht="36" customHeight="1" x14ac:dyDescent="0.45">
      <c r="D418" s="616"/>
      <c r="E418" s="616"/>
      <c r="F418" s="616"/>
      <c r="G418" s="616"/>
      <c r="H418" s="616"/>
      <c r="I418" s="616"/>
      <c r="J418" s="616"/>
      <c r="K418" s="616"/>
      <c r="L418" s="616"/>
      <c r="M418" s="616"/>
      <c r="N418" s="616"/>
      <c r="O418" s="616"/>
      <c r="P418" s="616"/>
      <c r="Q418" s="616"/>
      <c r="R418" s="490" t="str">
        <f t="shared" si="5"/>
        <v xml:space="preserve"> </v>
      </c>
    </row>
    <row r="419" spans="4:18" ht="36" customHeight="1" x14ac:dyDescent="0.45">
      <c r="D419" s="616"/>
      <c r="E419" s="616"/>
      <c r="F419" s="616"/>
      <c r="G419" s="616"/>
      <c r="H419" s="616"/>
      <c r="I419" s="616"/>
      <c r="J419" s="616"/>
      <c r="K419" s="616"/>
      <c r="L419" s="616"/>
      <c r="M419" s="616"/>
      <c r="N419" s="616"/>
      <c r="O419" s="616"/>
      <c r="P419" s="616"/>
      <c r="Q419" s="616"/>
      <c r="R419" s="490" t="str">
        <f t="shared" si="5"/>
        <v xml:space="preserve"> </v>
      </c>
    </row>
    <row r="420" spans="4:18" ht="36" customHeight="1" x14ac:dyDescent="0.45">
      <c r="D420" s="616"/>
      <c r="E420" s="616"/>
      <c r="F420" s="616"/>
      <c r="G420" s="616"/>
      <c r="H420" s="616"/>
      <c r="I420" s="616"/>
      <c r="J420" s="616"/>
      <c r="K420" s="616"/>
      <c r="L420" s="616"/>
      <c r="M420" s="616"/>
      <c r="N420" s="616"/>
      <c r="O420" s="616"/>
      <c r="P420" s="616"/>
      <c r="Q420" s="616"/>
      <c r="R420" s="490" t="str">
        <f t="shared" si="5"/>
        <v xml:space="preserve"> </v>
      </c>
    </row>
    <row r="421" spans="4:18" ht="36" customHeight="1" x14ac:dyDescent="0.45">
      <c r="D421" s="616"/>
      <c r="E421" s="616"/>
      <c r="F421" s="616"/>
      <c r="G421" s="616"/>
      <c r="H421" s="616"/>
      <c r="I421" s="616"/>
      <c r="J421" s="616"/>
      <c r="K421" s="616"/>
      <c r="L421" s="616"/>
      <c r="M421" s="616"/>
      <c r="N421" s="616"/>
      <c r="O421" s="616"/>
      <c r="P421" s="616"/>
      <c r="Q421" s="616"/>
      <c r="R421" s="490" t="str">
        <f t="shared" si="5"/>
        <v xml:space="preserve"> </v>
      </c>
    </row>
    <row r="422" spans="4:18" ht="36" customHeight="1" x14ac:dyDescent="0.45">
      <c r="D422" s="616"/>
      <c r="E422" s="616"/>
      <c r="F422" s="616"/>
      <c r="G422" s="616"/>
      <c r="H422" s="616"/>
      <c r="I422" s="616"/>
      <c r="J422" s="616"/>
      <c r="K422" s="616"/>
      <c r="L422" s="616"/>
      <c r="M422" s="616"/>
      <c r="N422" s="616"/>
      <c r="O422" s="616"/>
      <c r="P422" s="616"/>
      <c r="Q422" s="616"/>
      <c r="R422" s="490" t="str">
        <f t="shared" si="5"/>
        <v xml:space="preserve"> </v>
      </c>
    </row>
    <row r="423" spans="4:18" ht="36" customHeight="1" x14ac:dyDescent="0.45">
      <c r="D423" s="616"/>
      <c r="E423" s="616"/>
      <c r="F423" s="616"/>
      <c r="G423" s="616"/>
      <c r="H423" s="616"/>
      <c r="I423" s="616"/>
      <c r="J423" s="616"/>
      <c r="K423" s="616"/>
      <c r="L423" s="616"/>
      <c r="M423" s="616"/>
      <c r="N423" s="616"/>
      <c r="O423" s="616"/>
      <c r="P423" s="616"/>
      <c r="Q423" s="616"/>
      <c r="R423" s="490" t="str">
        <f t="shared" si="5"/>
        <v xml:space="preserve"> </v>
      </c>
    </row>
    <row r="424" spans="4:18" ht="36" customHeight="1" x14ac:dyDescent="0.45">
      <c r="D424" s="616"/>
      <c r="E424" s="616"/>
      <c r="F424" s="616"/>
      <c r="G424" s="616"/>
      <c r="H424" s="616"/>
      <c r="I424" s="616"/>
      <c r="J424" s="616"/>
      <c r="K424" s="616"/>
      <c r="L424" s="616"/>
      <c r="M424" s="616"/>
      <c r="N424" s="616"/>
      <c r="O424" s="616"/>
      <c r="P424" s="616"/>
      <c r="Q424" s="616"/>
      <c r="R424" s="490" t="str">
        <f t="shared" si="5"/>
        <v xml:space="preserve"> </v>
      </c>
    </row>
    <row r="425" spans="4:18" ht="36" customHeight="1" x14ac:dyDescent="0.45">
      <c r="D425" s="616"/>
      <c r="E425" s="616"/>
      <c r="F425" s="616"/>
      <c r="G425" s="616"/>
      <c r="H425" s="616"/>
      <c r="I425" s="616"/>
      <c r="J425" s="616"/>
      <c r="K425" s="616"/>
      <c r="L425" s="616"/>
      <c r="M425" s="616"/>
      <c r="N425" s="616"/>
      <c r="O425" s="616"/>
      <c r="P425" s="616"/>
      <c r="Q425" s="616"/>
      <c r="R425" s="490" t="str">
        <f t="shared" si="5"/>
        <v xml:space="preserve"> </v>
      </c>
    </row>
    <row r="426" spans="4:18" ht="36" customHeight="1" x14ac:dyDescent="0.45">
      <c r="D426" s="616"/>
      <c r="E426" s="616"/>
      <c r="F426" s="616"/>
      <c r="G426" s="616"/>
      <c r="H426" s="616"/>
      <c r="I426" s="616"/>
      <c r="J426" s="616"/>
      <c r="K426" s="616"/>
      <c r="L426" s="616"/>
      <c r="M426" s="616"/>
      <c r="N426" s="616"/>
      <c r="O426" s="616"/>
      <c r="P426" s="616"/>
      <c r="Q426" s="616"/>
      <c r="R426" s="490" t="str">
        <f t="shared" si="5"/>
        <v xml:space="preserve"> </v>
      </c>
    </row>
    <row r="427" spans="4:18" ht="36" customHeight="1" x14ac:dyDescent="0.45">
      <c r="D427" s="616"/>
      <c r="E427" s="616"/>
      <c r="F427" s="616"/>
      <c r="G427" s="616"/>
      <c r="H427" s="616"/>
      <c r="I427" s="616"/>
      <c r="J427" s="616"/>
      <c r="K427" s="616"/>
      <c r="L427" s="616"/>
      <c r="M427" s="616"/>
      <c r="N427" s="616"/>
      <c r="O427" s="616"/>
      <c r="P427" s="616"/>
      <c r="Q427" s="616"/>
      <c r="R427" s="490" t="str">
        <f t="shared" si="5"/>
        <v xml:space="preserve"> </v>
      </c>
    </row>
    <row r="428" spans="4:18" ht="36" customHeight="1" x14ac:dyDescent="0.45">
      <c r="D428" s="616"/>
      <c r="E428" s="616"/>
      <c r="F428" s="616"/>
      <c r="G428" s="616"/>
      <c r="H428" s="616"/>
      <c r="I428" s="616"/>
      <c r="J428" s="616"/>
      <c r="K428" s="616"/>
      <c r="L428" s="616"/>
      <c r="M428" s="616"/>
      <c r="N428" s="616"/>
      <c r="O428" s="616"/>
      <c r="P428" s="616"/>
      <c r="Q428" s="616"/>
      <c r="R428" s="490" t="str">
        <f t="shared" si="5"/>
        <v xml:space="preserve"> </v>
      </c>
    </row>
    <row r="429" spans="4:18" ht="36" customHeight="1" x14ac:dyDescent="0.45">
      <c r="D429" s="616"/>
      <c r="E429" s="616"/>
      <c r="F429" s="616"/>
      <c r="G429" s="616"/>
      <c r="H429" s="616"/>
      <c r="I429" s="616"/>
      <c r="J429" s="616"/>
      <c r="K429" s="616"/>
      <c r="L429" s="616"/>
      <c r="M429" s="616"/>
      <c r="N429" s="616"/>
      <c r="O429" s="616"/>
      <c r="P429" s="616"/>
      <c r="Q429" s="616"/>
      <c r="R429" s="490" t="str">
        <f t="shared" si="5"/>
        <v xml:space="preserve"> </v>
      </c>
    </row>
    <row r="430" spans="4:18" ht="36" customHeight="1" x14ac:dyDescent="0.45">
      <c r="D430" s="616"/>
      <c r="E430" s="616"/>
      <c r="F430" s="616"/>
      <c r="G430" s="616"/>
      <c r="H430" s="616"/>
      <c r="I430" s="616"/>
      <c r="J430" s="616"/>
      <c r="K430" s="616"/>
      <c r="L430" s="616"/>
      <c r="M430" s="616"/>
      <c r="N430" s="616"/>
      <c r="O430" s="616"/>
      <c r="P430" s="616"/>
      <c r="Q430" s="616"/>
      <c r="R430" s="490" t="str">
        <f t="shared" si="5"/>
        <v xml:space="preserve"> </v>
      </c>
    </row>
    <row r="431" spans="4:18" ht="36" customHeight="1" x14ac:dyDescent="0.45">
      <c r="D431" s="616"/>
      <c r="E431" s="616"/>
      <c r="F431" s="616"/>
      <c r="G431" s="616"/>
      <c r="H431" s="616"/>
      <c r="I431" s="616"/>
      <c r="J431" s="616"/>
      <c r="K431" s="616"/>
      <c r="L431" s="616"/>
      <c r="M431" s="616"/>
      <c r="N431" s="616"/>
      <c r="O431" s="616"/>
      <c r="P431" s="616"/>
      <c r="Q431" s="616"/>
      <c r="R431" s="490" t="str">
        <f t="shared" si="5"/>
        <v xml:space="preserve"> </v>
      </c>
    </row>
    <row r="432" spans="4:18" ht="36" customHeight="1" x14ac:dyDescent="0.45">
      <c r="D432" s="616"/>
      <c r="E432" s="616"/>
      <c r="F432" s="616"/>
      <c r="G432" s="616"/>
      <c r="H432" s="616"/>
      <c r="I432" s="616"/>
      <c r="J432" s="616"/>
      <c r="K432" s="616"/>
      <c r="L432" s="616"/>
      <c r="M432" s="616"/>
      <c r="N432" s="616"/>
      <c r="O432" s="616"/>
      <c r="P432" s="616"/>
      <c r="Q432" s="616"/>
      <c r="R432" s="490" t="str">
        <f t="shared" si="5"/>
        <v xml:space="preserve"> </v>
      </c>
    </row>
    <row r="433" spans="4:18" ht="36" customHeight="1" x14ac:dyDescent="0.45">
      <c r="D433" s="616"/>
      <c r="E433" s="616"/>
      <c r="F433" s="616"/>
      <c r="G433" s="616"/>
      <c r="H433" s="616"/>
      <c r="I433" s="616"/>
      <c r="J433" s="616"/>
      <c r="K433" s="616"/>
      <c r="L433" s="616"/>
      <c r="M433" s="616"/>
      <c r="N433" s="616"/>
      <c r="O433" s="616"/>
      <c r="P433" s="616"/>
      <c r="Q433" s="616"/>
      <c r="R433" s="490" t="str">
        <f t="shared" si="5"/>
        <v xml:space="preserve"> </v>
      </c>
    </row>
    <row r="434" spans="4:18" ht="36" customHeight="1" x14ac:dyDescent="0.45">
      <c r="D434" s="616"/>
      <c r="E434" s="616"/>
      <c r="F434" s="616"/>
      <c r="G434" s="616"/>
      <c r="H434" s="616"/>
      <c r="I434" s="616"/>
      <c r="J434" s="616"/>
      <c r="K434" s="616"/>
      <c r="L434" s="616"/>
      <c r="M434" s="616"/>
      <c r="N434" s="616"/>
      <c r="O434" s="616"/>
      <c r="P434" s="616"/>
      <c r="Q434" s="616"/>
      <c r="R434" s="490" t="str">
        <f t="shared" si="5"/>
        <v xml:space="preserve"> </v>
      </c>
    </row>
    <row r="435" spans="4:18" ht="36" customHeight="1" x14ac:dyDescent="0.45">
      <c r="D435" s="616"/>
      <c r="E435" s="616"/>
      <c r="F435" s="616"/>
      <c r="G435" s="616"/>
      <c r="H435" s="616"/>
      <c r="I435" s="616"/>
      <c r="J435" s="616"/>
      <c r="K435" s="616"/>
      <c r="L435" s="616"/>
      <c r="M435" s="616"/>
      <c r="N435" s="616"/>
      <c r="O435" s="616"/>
      <c r="P435" s="616"/>
      <c r="Q435" s="616"/>
      <c r="R435" s="490" t="str">
        <f t="shared" si="5"/>
        <v xml:space="preserve"> </v>
      </c>
    </row>
    <row r="436" spans="4:18" ht="36" customHeight="1" x14ac:dyDescent="0.45">
      <c r="D436" s="616"/>
      <c r="E436" s="616"/>
      <c r="F436" s="616"/>
      <c r="G436" s="616"/>
      <c r="H436" s="616"/>
      <c r="I436" s="616"/>
      <c r="J436" s="616"/>
      <c r="K436" s="616"/>
      <c r="L436" s="616"/>
      <c r="M436" s="616"/>
      <c r="N436" s="616"/>
      <c r="O436" s="616"/>
      <c r="P436" s="616"/>
      <c r="Q436" s="616"/>
      <c r="R436" s="490" t="str">
        <f t="shared" si="5"/>
        <v xml:space="preserve"> </v>
      </c>
    </row>
    <row r="437" spans="4:18" ht="36" customHeight="1" x14ac:dyDescent="0.45">
      <c r="D437" s="616"/>
      <c r="E437" s="616"/>
      <c r="F437" s="616"/>
      <c r="G437" s="616"/>
      <c r="H437" s="616"/>
      <c r="I437" s="616"/>
      <c r="J437" s="616"/>
      <c r="K437" s="616"/>
      <c r="L437" s="616"/>
      <c r="M437" s="616"/>
      <c r="N437" s="616"/>
      <c r="O437" s="616"/>
      <c r="P437" s="616"/>
      <c r="Q437" s="616"/>
      <c r="R437" s="490" t="str">
        <f t="shared" si="5"/>
        <v xml:space="preserve"> </v>
      </c>
    </row>
    <row r="438" spans="4:18" ht="36" customHeight="1" x14ac:dyDescent="0.45">
      <c r="D438" s="616"/>
      <c r="E438" s="616"/>
      <c r="F438" s="616"/>
      <c r="G438" s="616"/>
      <c r="H438" s="616"/>
      <c r="I438" s="616"/>
      <c r="J438" s="616"/>
      <c r="K438" s="616"/>
      <c r="L438" s="616"/>
      <c r="M438" s="616"/>
      <c r="N438" s="616"/>
      <c r="O438" s="616"/>
      <c r="P438" s="616"/>
      <c r="Q438" s="616"/>
      <c r="R438" s="490" t="str">
        <f t="shared" si="5"/>
        <v xml:space="preserve"> </v>
      </c>
    </row>
    <row r="439" spans="4:18" ht="36" customHeight="1" x14ac:dyDescent="0.45">
      <c r="D439" s="616"/>
      <c r="E439" s="616"/>
      <c r="F439" s="616"/>
      <c r="G439" s="616"/>
      <c r="H439" s="616"/>
      <c r="I439" s="616"/>
      <c r="J439" s="616"/>
      <c r="K439" s="616"/>
      <c r="L439" s="616"/>
      <c r="M439" s="616"/>
      <c r="N439" s="616"/>
      <c r="O439" s="616"/>
      <c r="P439" s="616"/>
      <c r="Q439" s="616"/>
      <c r="R439" s="490" t="str">
        <f t="shared" si="5"/>
        <v xml:space="preserve"> </v>
      </c>
    </row>
    <row r="440" spans="4:18" ht="36" customHeight="1" x14ac:dyDescent="0.45">
      <c r="D440" s="616"/>
      <c r="E440" s="616"/>
      <c r="F440" s="616"/>
      <c r="G440" s="616"/>
      <c r="H440" s="616"/>
      <c r="I440" s="616"/>
      <c r="J440" s="616"/>
      <c r="K440" s="616"/>
      <c r="L440" s="616"/>
      <c r="M440" s="616"/>
      <c r="N440" s="616"/>
      <c r="O440" s="616"/>
      <c r="P440" s="616"/>
      <c r="Q440" s="616"/>
      <c r="R440" s="490" t="str">
        <f t="shared" si="5"/>
        <v xml:space="preserve"> </v>
      </c>
    </row>
    <row r="441" spans="4:18" ht="36" customHeight="1" x14ac:dyDescent="0.45">
      <c r="D441" s="616"/>
      <c r="E441" s="616"/>
      <c r="F441" s="616"/>
      <c r="G441" s="616"/>
      <c r="H441" s="616"/>
      <c r="I441" s="616"/>
      <c r="J441" s="616"/>
      <c r="K441" s="616"/>
      <c r="L441" s="616"/>
      <c r="M441" s="616"/>
      <c r="N441" s="616"/>
      <c r="O441" s="616"/>
      <c r="P441" s="616"/>
      <c r="Q441" s="616"/>
      <c r="R441" s="490" t="str">
        <f t="shared" si="5"/>
        <v xml:space="preserve"> </v>
      </c>
    </row>
    <row r="442" spans="4:18" ht="36" customHeight="1" x14ac:dyDescent="0.45">
      <c r="D442" s="616"/>
      <c r="E442" s="616"/>
      <c r="F442" s="616"/>
      <c r="G442" s="616"/>
      <c r="H442" s="616"/>
      <c r="I442" s="616"/>
      <c r="J442" s="616"/>
      <c r="K442" s="616"/>
      <c r="L442" s="616"/>
      <c r="M442" s="616"/>
      <c r="N442" s="616"/>
      <c r="O442" s="616"/>
      <c r="P442" s="616"/>
      <c r="Q442" s="616"/>
      <c r="R442" s="490" t="str">
        <f t="shared" si="5"/>
        <v xml:space="preserve"> </v>
      </c>
    </row>
    <row r="443" spans="4:18" ht="36" customHeight="1" x14ac:dyDescent="0.45">
      <c r="M443" s="540"/>
      <c r="O443" s="454" t="s">
        <v>112</v>
      </c>
      <c r="P443" s="454"/>
      <c r="Q443" s="450">
        <f>MAX($Q$103:Q442)+1</f>
        <v>8</v>
      </c>
    </row>
    <row r="444" spans="4:18" ht="36" customHeight="1" x14ac:dyDescent="0.5">
      <c r="D444" s="630" t="str">
        <f>Criteria!E9</f>
        <v>ABC COMPANY (PROPRIETARY) LIMITED</v>
      </c>
      <c r="E444" s="631"/>
      <c r="F444" s="631"/>
      <c r="G444" s="631"/>
      <c r="H444" s="631"/>
      <c r="I444" s="631"/>
      <c r="J444" s="631"/>
      <c r="M444" s="540"/>
      <c r="O444" s="540"/>
    </row>
    <row r="445" spans="4:18" ht="36" customHeight="1" x14ac:dyDescent="0.5">
      <c r="D445" s="630" t="str">
        <f>Criteria!E10</f>
        <v>T/A SEAFRONT HOTEL, ABC RESTAURANT AND RENTAL PROPERTIES</v>
      </c>
      <c r="E445" s="631"/>
      <c r="F445" s="631"/>
      <c r="G445" s="631"/>
      <c r="H445" s="631"/>
      <c r="I445" s="631"/>
      <c r="J445" s="631"/>
      <c r="M445" s="540"/>
      <c r="O445" s="540"/>
      <c r="R445" s="490" t="str">
        <f>IF(D445=0,"DELETE"," ")</f>
        <v xml:space="preserve"> </v>
      </c>
    </row>
    <row r="446" spans="4:18" ht="36" customHeight="1" x14ac:dyDescent="0.5">
      <c r="D446" s="631"/>
      <c r="E446" s="631"/>
      <c r="F446" s="631"/>
      <c r="G446" s="631"/>
      <c r="H446" s="631"/>
      <c r="I446" s="631"/>
      <c r="J446" s="631"/>
      <c r="M446" s="540"/>
      <c r="O446" s="540"/>
    </row>
    <row r="447" spans="4:18" ht="36" customHeight="1" x14ac:dyDescent="0.5">
      <c r="D447" s="630" t="str">
        <f>IF(SUM(Criteria!I41:I45)&gt;1,"DIRECTORS' REPORT FOR THE YEAR ENDED","DIRECTOR'S REPORT FOR THE YEAR ENDED")</f>
        <v>DIRECTORS' REPORT FOR THE YEAR ENDED</v>
      </c>
      <c r="E447" s="631"/>
      <c r="F447" s="631"/>
      <c r="G447" s="631"/>
      <c r="H447" s="631"/>
      <c r="I447" s="631"/>
      <c r="J447" s="631"/>
      <c r="M447" s="547"/>
      <c r="N447" s="547"/>
      <c r="O447" s="540"/>
    </row>
    <row r="448" spans="4:18" ht="36" customHeight="1" x14ac:dyDescent="0.5">
      <c r="D448" s="630" t="str">
        <f>Criteria!E20</f>
        <v>28 FEBRUARY 2026</v>
      </c>
      <c r="E448" s="631"/>
      <c r="F448" s="631"/>
      <c r="G448" s="631"/>
      <c r="H448" s="631"/>
      <c r="I448" s="631"/>
      <c r="J448" s="631"/>
      <c r="M448" s="547"/>
      <c r="N448" s="547"/>
      <c r="O448" s="540"/>
    </row>
    <row r="449" spans="2:18" ht="36" customHeight="1" x14ac:dyDescent="0.5">
      <c r="D449" s="633"/>
      <c r="E449" s="633"/>
      <c r="F449" s="633"/>
      <c r="G449" s="633"/>
      <c r="H449" s="633"/>
      <c r="I449" s="633"/>
      <c r="J449" s="633"/>
      <c r="K449" s="455"/>
      <c r="L449" s="455"/>
      <c r="M449" s="542"/>
      <c r="N449" s="542"/>
      <c r="O449" s="543"/>
      <c r="P449" s="543"/>
      <c r="Q449" s="455"/>
    </row>
    <row r="450" spans="2:18" ht="36" customHeight="1" x14ac:dyDescent="0.5">
      <c r="D450" s="631"/>
      <c r="E450" s="631"/>
      <c r="F450" s="631"/>
      <c r="G450" s="631"/>
      <c r="H450" s="631"/>
      <c r="I450" s="631"/>
      <c r="J450" s="631"/>
      <c r="M450" s="540"/>
      <c r="O450" s="540"/>
    </row>
    <row r="451" spans="2:18" ht="36" customHeight="1" x14ac:dyDescent="0.5">
      <c r="B451" s="451"/>
      <c r="C451" s="450">
        <v>1</v>
      </c>
      <c r="D451" s="631" t="str">
        <f>IF(MAX(Criteria!I41:I45)&gt;1,"The directors have pleasure in presenting the annual Financial Statements and their","The director has pleasure in presenting the annual Financial Statements and the")</f>
        <v>The directors have pleasure in presenting the annual Financial Statements and their</v>
      </c>
      <c r="E451" s="631"/>
      <c r="F451" s="631"/>
      <c r="G451" s="631"/>
      <c r="H451" s="631"/>
      <c r="I451" s="631"/>
      <c r="J451" s="631"/>
      <c r="M451" s="540"/>
      <c r="O451" s="540"/>
    </row>
    <row r="452" spans="2:18" ht="36" customHeight="1" x14ac:dyDescent="0.5">
      <c r="B452" s="451"/>
      <c r="C452" s="450"/>
      <c r="D452" s="631" t="str">
        <f>CONCATENATE(IF(MAX(Criteria!I41:I45)&gt;1,"annual ","Director's "),"report which forms part of the Financial Statements of the company for the")</f>
        <v>annual report which forms part of the Financial Statements of the company for the</v>
      </c>
      <c r="E452" s="631"/>
      <c r="F452" s="631"/>
      <c r="G452" s="631"/>
      <c r="H452" s="631"/>
      <c r="I452" s="631"/>
      <c r="J452" s="631"/>
      <c r="M452" s="540"/>
      <c r="O452" s="540"/>
    </row>
    <row r="453" spans="2:18" ht="36" customHeight="1" x14ac:dyDescent="0.5">
      <c r="B453" s="451"/>
      <c r="C453" s="450"/>
      <c r="D453" s="631" t="str">
        <f>CONCATENATE("year ended ",Criteria!G24,".")</f>
        <v>year ended 28 February 2026.</v>
      </c>
      <c r="E453" s="631"/>
      <c r="F453" s="631"/>
      <c r="G453" s="631"/>
      <c r="H453" s="631"/>
      <c r="I453" s="631"/>
      <c r="J453" s="631"/>
      <c r="M453" s="540"/>
      <c r="O453" s="540"/>
    </row>
    <row r="454" spans="2:18" ht="36" customHeight="1" x14ac:dyDescent="0.5">
      <c r="B454" s="451"/>
      <c r="C454" s="450"/>
      <c r="D454" s="631"/>
      <c r="E454" s="631"/>
      <c r="F454" s="631"/>
      <c r="G454" s="631"/>
      <c r="H454" s="631"/>
      <c r="I454" s="631"/>
      <c r="J454" s="631"/>
      <c r="M454" s="540"/>
      <c r="O454" s="540"/>
    </row>
    <row r="455" spans="2:18" ht="36" customHeight="1" x14ac:dyDescent="0.5">
      <c r="B455" s="451"/>
      <c r="C455" s="450">
        <f>MAX(C$451:C454)+1</f>
        <v>2</v>
      </c>
      <c r="D455" s="630" t="s">
        <v>113</v>
      </c>
      <c r="E455" s="631"/>
      <c r="F455" s="631"/>
      <c r="G455" s="631"/>
      <c r="H455" s="631"/>
      <c r="I455" s="631"/>
      <c r="J455" s="631"/>
      <c r="M455" s="540"/>
      <c r="O455" s="540"/>
    </row>
    <row r="456" spans="2:18" ht="36" customHeight="1" x14ac:dyDescent="0.5">
      <c r="B456" s="451"/>
      <c r="C456" s="450"/>
      <c r="D456" s="630"/>
      <c r="E456" s="631"/>
      <c r="F456" s="631"/>
      <c r="G456" s="631"/>
      <c r="H456" s="631"/>
      <c r="I456" s="631"/>
      <c r="J456" s="631"/>
      <c r="M456" s="540"/>
      <c r="O456" s="540"/>
    </row>
    <row r="457" spans="2:18" ht="36" customHeight="1" x14ac:dyDescent="0.5">
      <c r="B457" s="451"/>
      <c r="C457" s="450"/>
      <c r="D457" s="631" t="str">
        <f>Criteria!C84</f>
        <v>The company's main objective is trading in the restaurant industry.</v>
      </c>
      <c r="E457" s="631"/>
      <c r="F457" s="631"/>
      <c r="G457" s="631"/>
      <c r="H457" s="631"/>
      <c r="I457" s="631"/>
      <c r="J457" s="631"/>
      <c r="M457" s="540"/>
      <c r="O457" s="540"/>
    </row>
    <row r="458" spans="2:18" ht="36" customHeight="1" x14ac:dyDescent="0.5">
      <c r="B458" s="451"/>
      <c r="C458" s="450"/>
      <c r="D458" s="631" t="str">
        <f>CONCATENATE(Criteria!E11," is registered, incorporated and operates")</f>
        <v>ABC Company (Pty) Ltd is registered, incorporated and operates</v>
      </c>
      <c r="E458" s="631"/>
      <c r="F458" s="631"/>
      <c r="G458" s="631"/>
      <c r="H458" s="631"/>
      <c r="I458" s="631"/>
      <c r="J458" s="631"/>
      <c r="M458" s="540"/>
      <c r="O458" s="540"/>
    </row>
    <row r="459" spans="2:18" ht="36" customHeight="1" x14ac:dyDescent="0.5">
      <c r="B459" s="451"/>
      <c r="C459" s="450"/>
      <c r="D459" s="631" t="s">
        <v>1645</v>
      </c>
      <c r="E459" s="631"/>
      <c r="F459" s="631"/>
      <c r="G459" s="631"/>
      <c r="H459" s="631"/>
      <c r="I459" s="631"/>
      <c r="J459" s="631"/>
      <c r="M459" s="540"/>
      <c r="O459" s="540"/>
    </row>
    <row r="460" spans="2:18" ht="36" customHeight="1" x14ac:dyDescent="0.5">
      <c r="B460" s="451"/>
      <c r="C460" s="450"/>
      <c r="D460" s="631" t="str">
        <f>CONCATENATE(Criteria!E18,".")</f>
        <v>2000/123456/07.</v>
      </c>
      <c r="E460" s="631"/>
      <c r="F460" s="631"/>
      <c r="G460" s="631"/>
      <c r="H460" s="631"/>
      <c r="I460" s="631"/>
      <c r="J460" s="631"/>
      <c r="M460" s="540"/>
      <c r="O460" s="540"/>
    </row>
    <row r="461" spans="2:18" ht="36" customHeight="1" x14ac:dyDescent="0.5">
      <c r="B461" s="451"/>
      <c r="C461" s="450"/>
      <c r="D461" s="631" t="str">
        <f>IF(Criteria!F90="No","There were no changes in the nature of the company's business during the period","The company sold all it's assets in the current financial year and will be deregistered")</f>
        <v>There were no changes in the nature of the company's business during the period</v>
      </c>
      <c r="E461" s="631"/>
      <c r="F461" s="631"/>
      <c r="G461" s="631"/>
      <c r="H461" s="631"/>
      <c r="I461" s="631"/>
      <c r="J461" s="631"/>
      <c r="M461" s="540"/>
      <c r="O461" s="540"/>
      <c r="R461" s="490" t="str">
        <f>IF(D461=" ","DELETE"," ")</f>
        <v xml:space="preserve"> </v>
      </c>
    </row>
    <row r="462" spans="2:18" ht="36" customHeight="1" x14ac:dyDescent="0.5">
      <c r="B462" s="451"/>
      <c r="C462" s="450"/>
      <c r="D462" s="631" t="str">
        <f>IF(Criteria!F90="No","under review.","the following year.")</f>
        <v>under review.</v>
      </c>
      <c r="E462" s="631"/>
      <c r="F462" s="631"/>
      <c r="G462" s="631"/>
      <c r="H462" s="631"/>
      <c r="I462" s="631"/>
      <c r="J462" s="631"/>
      <c r="M462" s="540"/>
      <c r="O462" s="540"/>
    </row>
    <row r="463" spans="2:18" ht="36" customHeight="1" x14ac:dyDescent="0.5">
      <c r="B463" s="451"/>
      <c r="C463" s="450"/>
      <c r="D463" s="631"/>
      <c r="E463" s="631"/>
      <c r="F463" s="631"/>
      <c r="G463" s="631"/>
      <c r="H463" s="631"/>
      <c r="I463" s="631"/>
      <c r="J463" s="631"/>
      <c r="M463" s="540"/>
      <c r="O463" s="540"/>
    </row>
    <row r="464" spans="2:18" ht="36" customHeight="1" x14ac:dyDescent="0.5">
      <c r="B464" s="451"/>
      <c r="C464" s="450">
        <f>MAX(C$451:C463)+1</f>
        <v>3</v>
      </c>
      <c r="D464" s="630" t="s">
        <v>1502</v>
      </c>
      <c r="E464" s="631"/>
      <c r="F464" s="631"/>
      <c r="G464" s="631"/>
      <c r="H464" s="631"/>
      <c r="I464" s="631"/>
      <c r="J464" s="631"/>
      <c r="M464" s="540"/>
      <c r="O464" s="540"/>
    </row>
    <row r="465" spans="2:18" ht="36" customHeight="1" x14ac:dyDescent="0.5">
      <c r="B465" s="451"/>
      <c r="C465" s="450"/>
      <c r="D465" s="630"/>
      <c r="E465" s="631"/>
      <c r="F465" s="631"/>
      <c r="G465" s="631"/>
      <c r="H465" s="631"/>
      <c r="I465" s="631"/>
      <c r="J465" s="631"/>
      <c r="M465" s="540"/>
      <c r="O465" s="540"/>
    </row>
    <row r="466" spans="2:18" ht="36" customHeight="1" x14ac:dyDescent="0.5">
      <c r="B466" s="451"/>
      <c r="C466" s="450"/>
      <c r="D466" s="631" t="s">
        <v>1646</v>
      </c>
      <c r="E466" s="631"/>
      <c r="F466" s="631"/>
      <c r="G466" s="631"/>
      <c r="H466" s="631"/>
      <c r="I466" s="631"/>
      <c r="J466" s="631"/>
      <c r="M466" s="540"/>
      <c r="O466" s="540"/>
    </row>
    <row r="467" spans="2:18" ht="36" customHeight="1" x14ac:dyDescent="0.5">
      <c r="B467" s="451"/>
      <c r="C467" s="450"/>
      <c r="D467" s="631" t="s">
        <v>1603</v>
      </c>
      <c r="E467" s="631"/>
      <c r="F467" s="631"/>
      <c r="G467" s="631"/>
      <c r="H467" s="631"/>
      <c r="I467" s="631"/>
      <c r="J467" s="631"/>
      <c r="M467" s="540"/>
      <c r="O467" s="540"/>
    </row>
    <row r="468" spans="2:18" ht="36" customHeight="1" x14ac:dyDescent="0.5">
      <c r="B468" s="451"/>
      <c r="C468" s="450"/>
      <c r="D468" s="631" t="s">
        <v>1647</v>
      </c>
      <c r="E468" s="631"/>
      <c r="F468" s="631"/>
      <c r="G468" s="631"/>
      <c r="H468" s="631"/>
      <c r="I468" s="631"/>
      <c r="J468" s="631"/>
      <c r="M468" s="540"/>
      <c r="O468" s="540"/>
    </row>
    <row r="469" spans="2:18" ht="36" customHeight="1" x14ac:dyDescent="0.5">
      <c r="B469" s="451"/>
      <c r="C469" s="450"/>
      <c r="D469" s="631" t="str">
        <f>IF(Criteria!F88="No"," ","The accounting policies have been applied consistently compared to the prior year.")</f>
        <v>The accounting policies have been applied consistently compared to the prior year.</v>
      </c>
      <c r="E469" s="631"/>
      <c r="F469" s="631"/>
      <c r="G469" s="631"/>
      <c r="H469" s="631"/>
      <c r="I469" s="631"/>
      <c r="J469" s="631"/>
      <c r="M469" s="540"/>
      <c r="O469" s="540"/>
      <c r="R469" s="490" t="str">
        <f>IF(D469=" ","DELETE"," ")</f>
        <v xml:space="preserve"> </v>
      </c>
    </row>
    <row r="470" spans="2:18" ht="36" customHeight="1" x14ac:dyDescent="0.5">
      <c r="B470" s="451"/>
      <c r="C470" s="450"/>
      <c r="D470" s="631" t="str">
        <f>CONCATENATE("The ",IF(MAX(Criteria!I41:I45)&gt;1,"directors present","director presents")," the following extracts from the Financial Statements for the")</f>
        <v>The directors present the following extracts from the Financial Statements for the</v>
      </c>
      <c r="E470" s="631"/>
      <c r="F470" s="631"/>
      <c r="G470" s="631"/>
      <c r="H470" s="631"/>
      <c r="I470" s="631"/>
      <c r="J470" s="631"/>
      <c r="M470" s="540"/>
      <c r="O470" s="540"/>
    </row>
    <row r="471" spans="2:18" ht="36" customHeight="1" x14ac:dyDescent="0.5">
      <c r="B471" s="451"/>
      <c r="C471" s="450"/>
      <c r="D471" s="631" t="s">
        <v>1648</v>
      </c>
      <c r="E471" s="631"/>
      <c r="F471" s="631"/>
      <c r="G471" s="631"/>
      <c r="H471" s="631"/>
      <c r="I471" s="631"/>
      <c r="J471" s="631"/>
      <c r="M471" s="540"/>
      <c r="O471" s="540"/>
    </row>
    <row r="472" spans="2:18" ht="36" customHeight="1" x14ac:dyDescent="0.5">
      <c r="B472" s="451"/>
      <c r="C472" s="450"/>
      <c r="D472" s="631"/>
      <c r="E472" s="631"/>
      <c r="F472" s="631"/>
      <c r="G472" s="631"/>
      <c r="H472" s="631"/>
      <c r="I472" s="631"/>
      <c r="J472" s="631"/>
      <c r="M472" s="540"/>
      <c r="O472" s="540"/>
    </row>
    <row r="473" spans="2:18" ht="36" customHeight="1" x14ac:dyDescent="0.5">
      <c r="B473" s="451"/>
      <c r="C473" s="450"/>
      <c r="D473" s="631" t="s">
        <v>1355</v>
      </c>
      <c r="E473" s="648"/>
      <c r="F473" s="631"/>
      <c r="G473" s="631"/>
      <c r="H473" s="631"/>
      <c r="I473" s="631"/>
      <c r="J473" s="631"/>
      <c r="M473" s="540"/>
      <c r="O473" s="541">
        <f>SUM(TrialBalance!L230:L282)</f>
        <v>0</v>
      </c>
    </row>
    <row r="474" spans="2:18" ht="9" customHeight="1" thickBot="1" x14ac:dyDescent="0.55000000000000004">
      <c r="B474" s="451"/>
      <c r="C474" s="450"/>
      <c r="D474" s="631"/>
      <c r="E474" s="648"/>
      <c r="F474" s="631"/>
      <c r="G474" s="631"/>
      <c r="H474" s="631"/>
      <c r="I474" s="631"/>
      <c r="J474" s="631"/>
      <c r="M474" s="540"/>
      <c r="O474" s="552"/>
    </row>
    <row r="475" spans="2:18" ht="9" customHeight="1" thickTop="1" x14ac:dyDescent="0.5">
      <c r="B475" s="451"/>
      <c r="C475" s="450"/>
      <c r="D475" s="631"/>
      <c r="E475" s="648"/>
      <c r="F475" s="631"/>
      <c r="G475" s="631"/>
      <c r="H475" s="631"/>
      <c r="I475" s="631"/>
      <c r="J475" s="631"/>
      <c r="M475" s="540"/>
      <c r="O475" s="555"/>
    </row>
    <row r="476" spans="2:18" ht="36.75" customHeight="1" x14ac:dyDescent="0.5">
      <c r="B476" s="451"/>
      <c r="C476" s="450"/>
      <c r="D476" s="631" t="s">
        <v>1356</v>
      </c>
      <c r="E476" s="648"/>
      <c r="F476" s="631"/>
      <c r="G476" s="631"/>
      <c r="H476" s="631"/>
      <c r="I476" s="631"/>
      <c r="J476" s="631"/>
      <c r="M476" s="540"/>
      <c r="O476" s="541">
        <f>SUM(TrialBalance!L230:L234)+SUM(TrialBalance!L241:L245)+SUM(TrialBalance!L252:L254)+SUM(TrialBalance!L260:L262)+SUM(TrialBalance!L268:L270)+SUM(TrialBalance!L276:L278)</f>
        <v>0</v>
      </c>
    </row>
    <row r="477" spans="2:18" ht="9" customHeight="1" thickBot="1" x14ac:dyDescent="0.55000000000000004">
      <c r="B477" s="451"/>
      <c r="C477" s="450"/>
      <c r="D477" s="631"/>
      <c r="E477" s="648"/>
      <c r="F477" s="631"/>
      <c r="G477" s="631"/>
      <c r="H477" s="631"/>
      <c r="I477" s="631"/>
      <c r="J477" s="631"/>
      <c r="M477" s="540"/>
      <c r="O477" s="552"/>
    </row>
    <row r="478" spans="2:18" ht="9" customHeight="1" thickTop="1" x14ac:dyDescent="0.5">
      <c r="B478" s="451"/>
      <c r="C478" s="450"/>
      <c r="D478" s="631"/>
      <c r="E478" s="648"/>
      <c r="F478" s="631"/>
      <c r="G478" s="631"/>
      <c r="H478" s="631"/>
      <c r="I478" s="631"/>
      <c r="J478" s="631"/>
      <c r="M478" s="540"/>
      <c r="O478" s="555"/>
    </row>
    <row r="479" spans="2:18" ht="36.75" customHeight="1" x14ac:dyDescent="0.5">
      <c r="B479" s="451"/>
      <c r="C479" s="450"/>
      <c r="D479" s="631" t="s">
        <v>862</v>
      </c>
      <c r="E479" s="648"/>
      <c r="F479" s="631"/>
      <c r="G479" s="631"/>
      <c r="H479" s="631"/>
      <c r="I479" s="631"/>
      <c r="J479" s="631"/>
      <c r="M479" s="540"/>
      <c r="O479" s="541">
        <f>O694</f>
        <v>0</v>
      </c>
    </row>
    <row r="480" spans="2:18" ht="9" customHeight="1" thickBot="1" x14ac:dyDescent="0.55000000000000004">
      <c r="B480" s="451"/>
      <c r="C480" s="450"/>
      <c r="D480" s="631"/>
      <c r="E480" s="648"/>
      <c r="F480" s="631"/>
      <c r="G480" s="631"/>
      <c r="H480" s="631"/>
      <c r="I480" s="631"/>
      <c r="J480" s="631"/>
      <c r="M480" s="540"/>
      <c r="O480" s="552"/>
    </row>
    <row r="481" spans="2:21" ht="9" customHeight="1" thickTop="1" x14ac:dyDescent="0.5">
      <c r="B481" s="451"/>
      <c r="C481" s="450"/>
      <c r="D481" s="631"/>
      <c r="E481" s="648"/>
      <c r="F481" s="631"/>
      <c r="G481" s="631"/>
      <c r="H481" s="631"/>
      <c r="I481" s="631"/>
      <c r="J481" s="631"/>
      <c r="M481" s="540"/>
      <c r="O481" s="555"/>
    </row>
    <row r="482" spans="2:21" ht="36.75" customHeight="1" x14ac:dyDescent="0.5">
      <c r="B482" s="451"/>
      <c r="C482" s="450"/>
      <c r="D482" s="631"/>
      <c r="E482" s="648"/>
      <c r="F482" s="631"/>
      <c r="G482" s="631"/>
      <c r="H482" s="631"/>
      <c r="I482" s="631"/>
      <c r="J482" s="631"/>
      <c r="M482" s="540"/>
      <c r="O482" s="541"/>
    </row>
    <row r="483" spans="2:21" ht="36.75" customHeight="1" x14ac:dyDescent="0.5">
      <c r="B483" s="451"/>
      <c r="C483" s="450"/>
      <c r="D483" s="631" t="s">
        <v>1194</v>
      </c>
      <c r="E483" s="648"/>
      <c r="F483" s="631"/>
      <c r="G483" s="631"/>
      <c r="H483" s="631"/>
      <c r="I483" s="631"/>
      <c r="J483" s="631"/>
      <c r="M483" s="540"/>
      <c r="O483" s="541">
        <f>SUM(O611:O612)</f>
        <v>0</v>
      </c>
    </row>
    <row r="484" spans="2:21" ht="9" customHeight="1" thickBot="1" x14ac:dyDescent="0.55000000000000004">
      <c r="B484" s="451"/>
      <c r="C484" s="450"/>
      <c r="D484" s="631"/>
      <c r="E484" s="648"/>
      <c r="F484" s="631"/>
      <c r="G484" s="631"/>
      <c r="H484" s="631"/>
      <c r="I484" s="631"/>
      <c r="J484" s="631"/>
      <c r="M484" s="540"/>
      <c r="O484" s="552"/>
    </row>
    <row r="485" spans="2:21" ht="9" customHeight="1" thickTop="1" x14ac:dyDescent="0.5">
      <c r="B485" s="451"/>
      <c r="C485" s="450"/>
      <c r="D485" s="631"/>
      <c r="E485" s="648"/>
      <c r="F485" s="631"/>
      <c r="G485" s="631"/>
      <c r="H485" s="631"/>
      <c r="I485" s="631"/>
      <c r="J485" s="631"/>
      <c r="M485" s="540"/>
      <c r="O485" s="541"/>
    </row>
    <row r="486" spans="2:21" ht="36.75" customHeight="1" x14ac:dyDescent="0.5">
      <c r="B486" s="451"/>
      <c r="C486" s="450"/>
      <c r="D486" s="631"/>
      <c r="E486" s="648"/>
      <c r="F486" s="631"/>
      <c r="G486" s="631"/>
      <c r="H486" s="631"/>
      <c r="I486" s="631"/>
      <c r="J486" s="631"/>
      <c r="M486" s="540"/>
      <c r="O486" s="541"/>
    </row>
    <row r="487" spans="2:21" ht="36.75" customHeight="1" x14ac:dyDescent="0.5">
      <c r="B487" s="451"/>
      <c r="C487" s="450"/>
      <c r="D487" s="631" t="str">
        <f>IF(O487&lt;0,"Net loss before taxation","Net profit before taxation")</f>
        <v>Net profit before taxation</v>
      </c>
      <c r="E487" s="648"/>
      <c r="F487" s="631"/>
      <c r="G487" s="631"/>
      <c r="H487" s="631"/>
      <c r="I487" s="631"/>
      <c r="J487" s="631"/>
      <c r="M487" s="540"/>
      <c r="O487" s="541">
        <f>O634</f>
        <v>0</v>
      </c>
    </row>
    <row r="488" spans="2:21" ht="36.75" customHeight="1" x14ac:dyDescent="0.5">
      <c r="B488" s="451"/>
      <c r="C488" s="450"/>
      <c r="D488" s="631" t="s">
        <v>978</v>
      </c>
      <c r="E488" s="648"/>
      <c r="F488" s="631"/>
      <c r="G488" s="631"/>
      <c r="H488" s="631"/>
      <c r="I488" s="631"/>
      <c r="J488" s="631"/>
      <c r="M488" s="540"/>
      <c r="O488" s="541">
        <f>O636</f>
        <v>0</v>
      </c>
    </row>
    <row r="489" spans="2:21" ht="9" customHeight="1" x14ac:dyDescent="0.5">
      <c r="B489" s="451"/>
      <c r="C489" s="450"/>
      <c r="D489" s="631"/>
      <c r="E489" s="648"/>
      <c r="F489" s="631"/>
      <c r="G489" s="631"/>
      <c r="H489" s="631"/>
      <c r="I489" s="631"/>
      <c r="J489" s="631"/>
      <c r="M489" s="540"/>
      <c r="O489" s="554"/>
    </row>
    <row r="490" spans="2:21" ht="9" customHeight="1" x14ac:dyDescent="0.5">
      <c r="B490" s="451"/>
      <c r="C490" s="450"/>
      <c r="D490" s="631"/>
      <c r="E490" s="648"/>
      <c r="F490" s="631"/>
      <c r="G490" s="631"/>
      <c r="H490" s="631"/>
      <c r="I490" s="631"/>
      <c r="J490" s="631"/>
      <c r="M490" s="540"/>
      <c r="O490" s="555"/>
    </row>
    <row r="491" spans="2:21" ht="36.75" customHeight="1" x14ac:dyDescent="0.5">
      <c r="B491" s="451"/>
      <c r="C491" s="450"/>
      <c r="D491" s="631" t="str">
        <f>IF(O491&lt;0,"Net loss after taxation","Net profit after taxation")</f>
        <v>Net profit after taxation</v>
      </c>
      <c r="E491" s="648"/>
      <c r="F491" s="631"/>
      <c r="G491" s="631"/>
      <c r="H491" s="631"/>
      <c r="I491" s="631"/>
      <c r="J491" s="631"/>
      <c r="M491" s="540"/>
      <c r="O491" s="541">
        <f>SUM(O487:O490)</f>
        <v>0</v>
      </c>
    </row>
    <row r="492" spans="2:21" ht="36.75" customHeight="1" x14ac:dyDescent="0.5">
      <c r="B492" s="451"/>
      <c r="C492" s="450"/>
      <c r="D492" s="631" t="s">
        <v>1745</v>
      </c>
      <c r="E492" s="648"/>
      <c r="F492" s="631"/>
      <c r="G492" s="631"/>
      <c r="H492" s="631"/>
      <c r="I492" s="631"/>
      <c r="J492" s="631"/>
      <c r="M492" s="540"/>
      <c r="O492" s="541">
        <f>O641</f>
        <v>0</v>
      </c>
      <c r="R492" s="490" t="str">
        <f>IF(O492=0,"DELETE"," ")</f>
        <v>DELETE</v>
      </c>
    </row>
    <row r="493" spans="2:21" ht="36.75" customHeight="1" x14ac:dyDescent="0.5">
      <c r="B493" s="451"/>
      <c r="C493" s="450"/>
      <c r="D493" s="631" t="s">
        <v>781</v>
      </c>
      <c r="E493" s="648"/>
      <c r="F493" s="631"/>
      <c r="G493" s="631"/>
      <c r="H493" s="631"/>
      <c r="I493" s="631"/>
      <c r="J493" s="631"/>
      <c r="M493" s="540"/>
      <c r="O493" s="541">
        <f>-SUM(TrialBalance!L164:L165)</f>
        <v>0</v>
      </c>
    </row>
    <row r="494" spans="2:21" ht="9" customHeight="1" x14ac:dyDescent="0.5">
      <c r="B494" s="451"/>
      <c r="C494" s="450"/>
      <c r="D494" s="631"/>
      <c r="E494" s="648"/>
      <c r="F494" s="631"/>
      <c r="G494" s="631"/>
      <c r="H494" s="631"/>
      <c r="I494" s="631"/>
      <c r="J494" s="631"/>
      <c r="M494" s="540"/>
      <c r="O494" s="554"/>
    </row>
    <row r="495" spans="2:21" ht="9" customHeight="1" x14ac:dyDescent="0.5">
      <c r="B495" s="451"/>
      <c r="C495" s="450"/>
      <c r="D495" s="631"/>
      <c r="E495" s="648"/>
      <c r="F495" s="631"/>
      <c r="G495" s="631"/>
      <c r="H495" s="631"/>
      <c r="I495" s="631"/>
      <c r="J495" s="631"/>
      <c r="M495" s="540"/>
      <c r="O495" s="541"/>
    </row>
    <row r="496" spans="2:21" ht="36.75" customHeight="1" x14ac:dyDescent="0.5">
      <c r="B496" s="451"/>
      <c r="C496" s="450"/>
      <c r="D496" s="631" t="str">
        <f>IF(O496&lt;0,"Net loss for the year","Net profit for the year")</f>
        <v>Net profit for the year</v>
      </c>
      <c r="E496" s="648"/>
      <c r="F496" s="631"/>
      <c r="G496" s="631"/>
      <c r="H496" s="631"/>
      <c r="I496" s="631"/>
      <c r="J496" s="631"/>
      <c r="M496" s="540"/>
      <c r="O496" s="541">
        <f>SUM(O491:O495)</f>
        <v>0</v>
      </c>
      <c r="U496" s="491" t="b">
        <f>O496=O644-SUM(TrialBalance!L164:L165)</f>
        <v>1</v>
      </c>
    </row>
    <row r="497" spans="2:18" ht="9" customHeight="1" thickBot="1" x14ac:dyDescent="0.55000000000000004">
      <c r="B497" s="451"/>
      <c r="C497" s="450"/>
      <c r="D497" s="631"/>
      <c r="E497" s="631"/>
      <c r="F497" s="631"/>
      <c r="G497" s="631"/>
      <c r="H497" s="631"/>
      <c r="I497" s="631"/>
      <c r="J497" s="631"/>
      <c r="M497" s="540"/>
      <c r="O497" s="552"/>
    </row>
    <row r="498" spans="2:18" ht="9" customHeight="1" thickTop="1" x14ac:dyDescent="0.5">
      <c r="B498" s="451"/>
      <c r="C498" s="450"/>
      <c r="D498" s="631"/>
      <c r="E498" s="631"/>
      <c r="F498" s="631"/>
      <c r="G498" s="631"/>
      <c r="H498" s="631"/>
      <c r="I498" s="631"/>
      <c r="J498" s="631"/>
      <c r="M498" s="540"/>
      <c r="O498" s="540"/>
    </row>
    <row r="499" spans="2:18" ht="36" customHeight="1" x14ac:dyDescent="0.5">
      <c r="B499" s="451"/>
      <c r="C499" s="450"/>
      <c r="D499" s="631" t="str">
        <f>IF(Criteria!F86="No","The company did not have any operations in the current financial year."," ")</f>
        <v xml:space="preserve"> </v>
      </c>
      <c r="E499" s="631"/>
      <c r="F499" s="631"/>
      <c r="G499" s="631"/>
      <c r="H499" s="631"/>
      <c r="I499" s="631"/>
      <c r="J499" s="631"/>
      <c r="M499" s="540"/>
      <c r="O499" s="540"/>
      <c r="R499" s="490" t="str">
        <f>IF(D499=" ","DELETE"," ")</f>
        <v>DELETE</v>
      </c>
    </row>
    <row r="500" spans="2:18" ht="36" customHeight="1" x14ac:dyDescent="0.5">
      <c r="B500" s="451"/>
      <c r="C500" s="450"/>
      <c r="D500" s="631" t="s">
        <v>1649</v>
      </c>
      <c r="E500" s="631"/>
      <c r="F500" s="631"/>
      <c r="G500" s="631"/>
      <c r="H500" s="631"/>
      <c r="I500" s="631"/>
      <c r="J500" s="631"/>
      <c r="M500" s="540"/>
      <c r="O500" s="540"/>
    </row>
    <row r="501" spans="2:18" ht="36" customHeight="1" x14ac:dyDescent="0.5">
      <c r="B501" s="451"/>
      <c r="C501" s="450"/>
      <c r="D501" s="631" t="str">
        <f>CONCATENATE("and the ",IF(MAX(Criteria!I41:I45)&gt;1,"directors are","director is")," of the opinion that no further comment thereon is necessary.")</f>
        <v>and the directors are of the opinion that no further comment thereon is necessary.</v>
      </c>
      <c r="E501" s="631"/>
      <c r="F501" s="631"/>
      <c r="G501" s="631"/>
      <c r="H501" s="631"/>
      <c r="I501" s="631"/>
      <c r="J501" s="631"/>
      <c r="M501" s="540"/>
      <c r="O501" s="540"/>
    </row>
    <row r="502" spans="2:18" ht="36" customHeight="1" x14ac:dyDescent="0.5">
      <c r="B502" s="451"/>
      <c r="C502" s="450"/>
      <c r="D502" s="631"/>
      <c r="E502" s="631"/>
      <c r="F502" s="631"/>
      <c r="G502" s="631"/>
      <c r="H502" s="631"/>
      <c r="I502" s="631"/>
      <c r="J502" s="631"/>
      <c r="M502" s="540"/>
      <c r="O502" s="540"/>
    </row>
    <row r="503" spans="2:18" ht="36" customHeight="1" x14ac:dyDescent="0.5">
      <c r="B503" s="451"/>
      <c r="C503" s="450"/>
      <c r="D503" s="631"/>
      <c r="E503" s="631"/>
      <c r="F503" s="631"/>
      <c r="G503" s="631"/>
      <c r="H503" s="631"/>
      <c r="I503" s="631"/>
      <c r="J503" s="631"/>
      <c r="M503" s="540"/>
      <c r="O503" s="454" t="s">
        <v>112</v>
      </c>
      <c r="P503" s="454"/>
      <c r="Q503" s="450">
        <f>MAX($Q$103:Q502)+1</f>
        <v>9</v>
      </c>
    </row>
    <row r="504" spans="2:18" ht="36" customHeight="1" x14ac:dyDescent="0.5">
      <c r="D504" s="630" t="str">
        <f>Criteria!E9</f>
        <v>ABC COMPANY (PROPRIETARY) LIMITED</v>
      </c>
      <c r="E504" s="631"/>
      <c r="F504" s="631"/>
      <c r="G504" s="631"/>
      <c r="H504" s="631"/>
      <c r="I504" s="631"/>
      <c r="J504" s="631"/>
      <c r="M504" s="540"/>
      <c r="O504" s="540"/>
    </row>
    <row r="505" spans="2:18" ht="36" customHeight="1" x14ac:dyDescent="0.5">
      <c r="D505" s="630" t="str">
        <f>Criteria!E10</f>
        <v>T/A SEAFRONT HOTEL, ABC RESTAURANT AND RENTAL PROPERTIES</v>
      </c>
      <c r="E505" s="631"/>
      <c r="F505" s="631"/>
      <c r="G505" s="631"/>
      <c r="H505" s="631"/>
      <c r="I505" s="631"/>
      <c r="J505" s="631"/>
      <c r="M505" s="540"/>
      <c r="O505" s="540"/>
      <c r="R505" s="490" t="str">
        <f>IF(D505=0,"DELETE"," ")</f>
        <v xml:space="preserve"> </v>
      </c>
    </row>
    <row r="506" spans="2:18" ht="36" customHeight="1" x14ac:dyDescent="0.5">
      <c r="D506" s="631"/>
      <c r="E506" s="631"/>
      <c r="F506" s="631"/>
      <c r="G506" s="631"/>
      <c r="H506" s="631"/>
      <c r="I506" s="631"/>
      <c r="J506" s="631"/>
      <c r="M506" s="540"/>
      <c r="O506" s="540"/>
    </row>
    <row r="507" spans="2:18" ht="36" customHeight="1" x14ac:dyDescent="0.5">
      <c r="D507" s="630" t="str">
        <f>D447</f>
        <v>DIRECTORS' REPORT FOR THE YEAR ENDED</v>
      </c>
      <c r="E507" s="631"/>
      <c r="F507" s="631"/>
      <c r="G507" s="631"/>
      <c r="H507" s="631"/>
      <c r="I507" s="631"/>
      <c r="J507" s="631"/>
      <c r="M507" s="547"/>
      <c r="N507" s="547"/>
      <c r="O507" s="540"/>
    </row>
    <row r="508" spans="2:18" ht="36" customHeight="1" x14ac:dyDescent="0.5">
      <c r="D508" s="630" t="str">
        <f>Criteria!E20</f>
        <v>28 FEBRUARY 2026</v>
      </c>
      <c r="E508" s="631"/>
      <c r="F508" s="631"/>
      <c r="G508" s="631"/>
      <c r="H508" s="631"/>
      <c r="I508" s="631"/>
      <c r="J508" s="631" t="s">
        <v>282</v>
      </c>
      <c r="M508" s="547"/>
      <c r="N508" s="547"/>
      <c r="O508" s="540"/>
    </row>
    <row r="509" spans="2:18" ht="36" customHeight="1" x14ac:dyDescent="0.5">
      <c r="D509" s="633"/>
      <c r="E509" s="633"/>
      <c r="F509" s="633"/>
      <c r="G509" s="633"/>
      <c r="H509" s="633"/>
      <c r="I509" s="633"/>
      <c r="J509" s="633"/>
      <c r="K509" s="455"/>
      <c r="L509" s="455"/>
      <c r="M509" s="542"/>
      <c r="N509" s="542"/>
      <c r="O509" s="543"/>
      <c r="P509" s="543"/>
      <c r="Q509" s="455"/>
    </row>
    <row r="510" spans="2:18" ht="36" customHeight="1" x14ac:dyDescent="0.5">
      <c r="D510" s="631"/>
      <c r="E510" s="631"/>
      <c r="F510" s="631"/>
      <c r="G510" s="631"/>
      <c r="H510" s="631"/>
      <c r="I510" s="631"/>
      <c r="J510" s="631"/>
      <c r="M510" s="566"/>
      <c r="N510" s="566"/>
      <c r="O510" s="545"/>
      <c r="P510" s="545"/>
    </row>
    <row r="511" spans="2:18" ht="36" customHeight="1" x14ac:dyDescent="0.5">
      <c r="C511" s="450">
        <f>MAX(C$451:C510)+1</f>
        <v>4</v>
      </c>
      <c r="D511" s="630" t="s">
        <v>781</v>
      </c>
      <c r="E511" s="631"/>
      <c r="F511" s="631"/>
      <c r="G511" s="631"/>
      <c r="H511" s="631"/>
      <c r="I511" s="631"/>
      <c r="J511" s="631"/>
      <c r="M511" s="540"/>
      <c r="O511" s="540"/>
    </row>
    <row r="512" spans="2:18" ht="36" customHeight="1" x14ac:dyDescent="0.5">
      <c r="C512" s="450"/>
      <c r="D512" s="630"/>
      <c r="E512" s="631"/>
      <c r="F512" s="631"/>
      <c r="G512" s="631"/>
      <c r="H512" s="631"/>
      <c r="I512" s="631"/>
      <c r="J512" s="631"/>
      <c r="M512" s="540"/>
      <c r="O512" s="540"/>
    </row>
    <row r="513" spans="2:18" ht="36" customHeight="1" x14ac:dyDescent="0.5">
      <c r="C513" s="450"/>
      <c r="D513" s="631" t="str">
        <f>IF(Criteria!F92="Yes",Criteria!G92,"No dividends have been declared nor are any recommended.")</f>
        <v>No dividends have been declared nor are any recommended.</v>
      </c>
      <c r="E513" s="631"/>
      <c r="F513" s="631"/>
      <c r="G513" s="631"/>
      <c r="H513" s="631"/>
      <c r="I513" s="631"/>
      <c r="J513" s="631"/>
      <c r="M513" s="540"/>
      <c r="O513" s="540"/>
    </row>
    <row r="514" spans="2:18" ht="36" customHeight="1" x14ac:dyDescent="0.5">
      <c r="C514" s="450"/>
      <c r="D514" s="631" t="str">
        <f>IF(Criteria!F92="Yes",Criteria!G93," ")</f>
        <v xml:space="preserve"> </v>
      </c>
      <c r="E514" s="631"/>
      <c r="F514" s="631"/>
      <c r="G514" s="631"/>
      <c r="H514" s="631"/>
      <c r="I514" s="631"/>
      <c r="J514" s="631"/>
      <c r="M514" s="540"/>
      <c r="O514" s="540"/>
      <c r="R514" s="490" t="str">
        <f>IF(D514=" ","DELETE"," ")</f>
        <v>DELETE</v>
      </c>
    </row>
    <row r="515" spans="2:18" ht="36" customHeight="1" x14ac:dyDescent="0.5">
      <c r="B515" s="451"/>
      <c r="C515" s="451"/>
      <c r="D515" s="648"/>
      <c r="E515" s="648"/>
      <c r="F515" s="648"/>
      <c r="G515" s="648"/>
      <c r="H515" s="648"/>
      <c r="I515" s="648"/>
      <c r="J515" s="648"/>
      <c r="K515" s="451"/>
      <c r="L515" s="451"/>
      <c r="M515" s="448"/>
      <c r="N515" s="451"/>
      <c r="O515" s="451"/>
      <c r="P515" s="451"/>
      <c r="Q515" s="451"/>
      <c r="R515" s="492"/>
    </row>
    <row r="516" spans="2:18" ht="36" customHeight="1" x14ac:dyDescent="0.5">
      <c r="B516" s="451"/>
      <c r="C516" s="450">
        <f>MAX(C$451:C515)+1</f>
        <v>5</v>
      </c>
      <c r="D516" s="630" t="s">
        <v>593</v>
      </c>
      <c r="E516" s="631"/>
      <c r="F516" s="631"/>
      <c r="G516" s="631"/>
      <c r="H516" s="631"/>
      <c r="I516" s="631"/>
      <c r="J516" s="631"/>
      <c r="M516" s="540"/>
      <c r="O516" s="540"/>
    </row>
    <row r="517" spans="2:18" ht="36" customHeight="1" x14ac:dyDescent="0.5">
      <c r="B517" s="451"/>
      <c r="C517" s="450"/>
      <c r="D517" s="630"/>
      <c r="E517" s="631"/>
      <c r="F517" s="631"/>
      <c r="G517" s="631"/>
      <c r="H517" s="631"/>
      <c r="I517" s="631"/>
      <c r="J517" s="631"/>
      <c r="M517" s="540"/>
      <c r="O517" s="540"/>
    </row>
    <row r="518" spans="2:18" ht="36" customHeight="1" x14ac:dyDescent="0.5">
      <c r="B518" s="451"/>
      <c r="C518" s="450"/>
      <c r="D518" s="631" t="str">
        <f>CONCATENATE("The authorised and issued share capital are presented at Note ",B2213," of the Notes to the")</f>
        <v>The authorised and issued share capital are presented at Note 20 of the Notes to the</v>
      </c>
      <c r="E518" s="631"/>
      <c r="F518" s="631"/>
      <c r="G518" s="631"/>
      <c r="H518" s="631"/>
      <c r="I518" s="631"/>
      <c r="J518" s="631"/>
      <c r="M518" s="540"/>
      <c r="O518" s="540"/>
    </row>
    <row r="519" spans="2:18" ht="36" customHeight="1" x14ac:dyDescent="0.5">
      <c r="B519" s="451"/>
      <c r="C519" s="450"/>
      <c r="D519" s="631" t="s">
        <v>1650</v>
      </c>
      <c r="E519" s="631"/>
      <c r="F519" s="631"/>
      <c r="G519" s="631"/>
      <c r="H519" s="631"/>
      <c r="I519" s="631"/>
      <c r="J519" s="631"/>
      <c r="M519" s="540"/>
      <c r="O519" s="540"/>
    </row>
    <row r="520" spans="2:18" ht="36" customHeight="1" x14ac:dyDescent="0.5">
      <c r="B520" s="451"/>
      <c r="C520" s="450"/>
      <c r="D520" s="631" t="str">
        <f>IF(Criteria!F95="No","The authorised and issued share capital remained unchanged during the financial year",Criteria!G96)</f>
        <v>The authorised and issued share capital remained unchanged during the financial year</v>
      </c>
      <c r="E520" s="631"/>
      <c r="F520" s="631"/>
      <c r="G520" s="631"/>
      <c r="H520" s="631"/>
      <c r="I520" s="631"/>
      <c r="J520" s="631"/>
      <c r="M520" s="540"/>
      <c r="O520" s="540"/>
    </row>
    <row r="521" spans="2:18" ht="36" customHeight="1" x14ac:dyDescent="0.5">
      <c r="B521" s="451"/>
      <c r="C521" s="450"/>
      <c r="D521" s="631" t="str">
        <f>IF(Criteria!F95="Yes",Criteria!G97,"under review.")</f>
        <v>under review.</v>
      </c>
      <c r="E521" s="631"/>
      <c r="F521" s="631"/>
      <c r="G521" s="631"/>
      <c r="H521" s="631"/>
      <c r="I521" s="631"/>
      <c r="J521" s="631"/>
      <c r="M521" s="540"/>
      <c r="O521" s="540"/>
      <c r="R521" s="490" t="str">
        <f>IF(D521=" ","DELETE",IF(D521=0,"DELETE"," "))</f>
        <v xml:space="preserve"> </v>
      </c>
    </row>
    <row r="522" spans="2:18" ht="36" customHeight="1" x14ac:dyDescent="0.5">
      <c r="B522" s="451"/>
      <c r="C522" s="451"/>
      <c r="D522" s="648"/>
      <c r="E522" s="648"/>
      <c r="F522" s="648"/>
      <c r="G522" s="648"/>
      <c r="H522" s="648"/>
      <c r="I522" s="648"/>
      <c r="J522" s="648"/>
      <c r="K522" s="451"/>
      <c r="L522" s="451"/>
      <c r="M522" s="448"/>
      <c r="N522" s="451"/>
      <c r="O522" s="451"/>
      <c r="P522" s="451"/>
      <c r="Q522" s="451"/>
      <c r="R522" s="492"/>
    </row>
    <row r="523" spans="2:18" ht="36" customHeight="1" x14ac:dyDescent="0.5">
      <c r="B523" s="451"/>
      <c r="C523" s="450">
        <f>MAX(C$451:C522)+1</f>
        <v>6</v>
      </c>
      <c r="D523" s="630" t="s">
        <v>1503</v>
      </c>
      <c r="E523" s="631"/>
      <c r="F523" s="631"/>
      <c r="G523" s="631"/>
      <c r="H523" s="631"/>
      <c r="I523" s="648"/>
      <c r="J523" s="648"/>
      <c r="K523" s="451"/>
      <c r="L523" s="451"/>
      <c r="M523" s="448"/>
      <c r="N523" s="451"/>
      <c r="O523" s="451"/>
      <c r="P523" s="451"/>
      <c r="Q523" s="451"/>
      <c r="R523" s="492"/>
    </row>
    <row r="524" spans="2:18" ht="36" customHeight="1" x14ac:dyDescent="0.5">
      <c r="B524" s="451"/>
      <c r="C524" s="450"/>
      <c r="D524" s="630"/>
      <c r="E524" s="631"/>
      <c r="F524" s="631"/>
      <c r="G524" s="631"/>
      <c r="H524" s="631"/>
      <c r="I524" s="648"/>
      <c r="J524" s="648"/>
      <c r="K524" s="451"/>
      <c r="L524" s="451"/>
      <c r="M524" s="448"/>
      <c r="N524" s="451"/>
      <c r="O524" s="451"/>
      <c r="P524" s="451"/>
      <c r="Q524" s="451"/>
      <c r="R524" s="492"/>
    </row>
    <row r="525" spans="2:18" ht="36" customHeight="1" x14ac:dyDescent="0.5">
      <c r="B525" s="451"/>
      <c r="D525" s="631" t="str">
        <f>IF(Criteria!F99="Yes",Criteria!G100,"No fundamental change in the nature or use of fixed assets took place during the")</f>
        <v>No fundamental change in the nature or use of fixed assets took place during the</v>
      </c>
      <c r="E525" s="631"/>
      <c r="F525" s="631"/>
      <c r="G525" s="631"/>
      <c r="H525" s="631"/>
      <c r="I525" s="648"/>
      <c r="J525" s="648"/>
      <c r="K525" s="451"/>
      <c r="L525" s="451"/>
      <c r="M525" s="448"/>
      <c r="N525" s="451"/>
      <c r="O525" s="451"/>
      <c r="P525" s="451"/>
      <c r="Q525" s="451"/>
      <c r="R525" s="492"/>
    </row>
    <row r="526" spans="2:18" ht="36" customHeight="1" x14ac:dyDescent="0.5">
      <c r="B526" s="451"/>
      <c r="D526" s="631" t="str">
        <f>IF(Criteria!F99="Yes"," ","financial year.")</f>
        <v>financial year.</v>
      </c>
      <c r="E526" s="631"/>
      <c r="F526" s="631"/>
      <c r="G526" s="631"/>
      <c r="H526" s="631"/>
      <c r="I526" s="648"/>
      <c r="J526" s="648"/>
      <c r="K526" s="451"/>
      <c r="L526" s="451"/>
      <c r="M526" s="448"/>
      <c r="N526" s="451"/>
      <c r="O526" s="451"/>
      <c r="P526" s="451"/>
      <c r="Q526" s="451"/>
      <c r="R526" s="490" t="str">
        <f>IF(D526=" ","DELETE",IF(D526=0,"DELETE"," "))</f>
        <v xml:space="preserve"> </v>
      </c>
    </row>
    <row r="527" spans="2:18" ht="36" customHeight="1" x14ac:dyDescent="0.5">
      <c r="B527" s="451"/>
      <c r="D527" s="631"/>
      <c r="E527" s="631"/>
      <c r="F527" s="631"/>
      <c r="G527" s="631"/>
      <c r="H527" s="631"/>
      <c r="I527" s="648"/>
      <c r="J527" s="648"/>
      <c r="K527" s="451"/>
      <c r="L527" s="451"/>
      <c r="M527" s="448"/>
      <c r="N527" s="451"/>
      <c r="O527" s="451"/>
      <c r="P527" s="451"/>
      <c r="Q527" s="451"/>
      <c r="R527" s="492"/>
    </row>
    <row r="528" spans="2:18" ht="36" customHeight="1" x14ac:dyDescent="0.5">
      <c r="B528" s="451"/>
      <c r="C528" s="450">
        <f>MAX(C$451:C527)+1</f>
        <v>7</v>
      </c>
      <c r="D528" s="630" t="str">
        <f>IF(MAX(Criteria!I41:I45)&gt;1,"Directors","Director")</f>
        <v>Directors</v>
      </c>
      <c r="E528" s="631"/>
      <c r="F528" s="631"/>
      <c r="G528" s="631"/>
      <c r="H528" s="631"/>
      <c r="I528" s="631"/>
      <c r="J528" s="631"/>
      <c r="M528" s="540"/>
      <c r="O528" s="540"/>
    </row>
    <row r="529" spans="2:18" ht="36" customHeight="1" x14ac:dyDescent="0.5">
      <c r="B529" s="451"/>
      <c r="C529" s="450"/>
      <c r="D529" s="630"/>
      <c r="E529" s="631"/>
      <c r="F529" s="631"/>
      <c r="G529" s="631"/>
      <c r="H529" s="631"/>
      <c r="I529" s="631"/>
      <c r="J529" s="631"/>
      <c r="M529" s="540"/>
      <c r="O529" s="540"/>
    </row>
    <row r="530" spans="2:18" ht="36" customHeight="1" x14ac:dyDescent="0.5">
      <c r="B530" s="451"/>
      <c r="C530" s="450"/>
      <c r="D530" s="631" t="str">
        <f>IF(MAX(Criteria!I41:I45)&gt;1,"The directors in office at the date of the financial year end are as follows:","The director in office at the date of the financial year end is as follows:")</f>
        <v>The directors in office at the date of the financial year end are as follows:</v>
      </c>
      <c r="E530" s="631"/>
      <c r="F530" s="631"/>
      <c r="G530" s="631"/>
      <c r="H530" s="631"/>
      <c r="I530" s="631"/>
      <c r="J530" s="631"/>
      <c r="M530" s="540"/>
      <c r="O530" s="540"/>
    </row>
    <row r="531" spans="2:18" ht="36" customHeight="1" x14ac:dyDescent="0.5">
      <c r="B531" s="451"/>
      <c r="C531" s="450"/>
      <c r="D531" s="630"/>
      <c r="E531" s="631"/>
      <c r="F531" s="631"/>
      <c r="G531" s="631"/>
      <c r="H531" s="631"/>
      <c r="I531" s="631"/>
      <c r="J531" s="631"/>
      <c r="M531" s="617" t="s">
        <v>859</v>
      </c>
      <c r="O531" s="540"/>
    </row>
    <row r="532" spans="2:18" ht="36" customHeight="1" x14ac:dyDescent="0.5">
      <c r="C532" s="450"/>
      <c r="D532" s="631" t="str">
        <f>Criteria!E41</f>
        <v>A Director</v>
      </c>
      <c r="E532" s="631"/>
      <c r="F532" s="631"/>
      <c r="G532" s="631"/>
      <c r="H532" s="631"/>
      <c r="I532" s="631"/>
      <c r="J532" s="631"/>
      <c r="M532" s="619" t="str">
        <f>Criteria!G41</f>
        <v>RSA</v>
      </c>
      <c r="O532" s="540"/>
    </row>
    <row r="533" spans="2:18" ht="36" customHeight="1" x14ac:dyDescent="0.5">
      <c r="C533" s="450"/>
      <c r="D533" s="631" t="str">
        <f>Criteria!E42</f>
        <v>B Director</v>
      </c>
      <c r="E533" s="631"/>
      <c r="F533" s="631"/>
      <c r="G533" s="631"/>
      <c r="H533" s="631"/>
      <c r="I533" s="631"/>
      <c r="J533" s="631"/>
      <c r="M533" s="619" t="str">
        <f>Criteria!G42</f>
        <v>RSA</v>
      </c>
      <c r="O533" s="540"/>
      <c r="R533" s="490" t="str">
        <f>IF(D533=0,"DELETE"," ")</f>
        <v xml:space="preserve"> </v>
      </c>
    </row>
    <row r="534" spans="2:18" ht="36" customHeight="1" x14ac:dyDescent="0.5">
      <c r="C534" s="450"/>
      <c r="D534" s="631">
        <f>Criteria!E43</f>
        <v>0</v>
      </c>
      <c r="E534" s="631"/>
      <c r="F534" s="631"/>
      <c r="G534" s="631"/>
      <c r="H534" s="631"/>
      <c r="I534" s="631"/>
      <c r="J534" s="631"/>
      <c r="M534" s="619">
        <f>Criteria!G43</f>
        <v>0</v>
      </c>
      <c r="O534" s="540"/>
      <c r="R534" s="490" t="str">
        <f t="shared" ref="R534:R536" si="6">IF(D534=0,"DELETE"," ")</f>
        <v>DELETE</v>
      </c>
    </row>
    <row r="535" spans="2:18" ht="36" customHeight="1" x14ac:dyDescent="0.5">
      <c r="C535" s="450"/>
      <c r="D535" s="631">
        <f>Criteria!E44</f>
        <v>0</v>
      </c>
      <c r="E535" s="631"/>
      <c r="F535" s="631"/>
      <c r="G535" s="631"/>
      <c r="H535" s="631"/>
      <c r="I535" s="631"/>
      <c r="J535" s="631"/>
      <c r="M535" s="619">
        <f>Criteria!G44</f>
        <v>0</v>
      </c>
      <c r="O535" s="540"/>
      <c r="R535" s="490" t="str">
        <f t="shared" si="6"/>
        <v>DELETE</v>
      </c>
    </row>
    <row r="536" spans="2:18" ht="36" customHeight="1" x14ac:dyDescent="0.5">
      <c r="C536" s="450"/>
      <c r="D536" s="631">
        <f>Criteria!E45</f>
        <v>0</v>
      </c>
      <c r="E536" s="631"/>
      <c r="F536" s="631"/>
      <c r="G536" s="631"/>
      <c r="H536" s="631"/>
      <c r="I536" s="631"/>
      <c r="J536" s="631"/>
      <c r="M536" s="619">
        <f>Criteria!G45</f>
        <v>0</v>
      </c>
      <c r="O536" s="540"/>
      <c r="R536" s="490" t="str">
        <f t="shared" si="6"/>
        <v>DELETE</v>
      </c>
    </row>
    <row r="537" spans="2:18" ht="36" customHeight="1" x14ac:dyDescent="0.5">
      <c r="C537" s="450"/>
      <c r="D537" s="631"/>
      <c r="E537" s="631"/>
      <c r="F537" s="631"/>
      <c r="G537" s="631"/>
      <c r="H537" s="631"/>
      <c r="I537" s="631"/>
      <c r="J537" s="631"/>
      <c r="M537" s="540"/>
      <c r="O537" s="540"/>
    </row>
    <row r="538" spans="2:18" ht="36" customHeight="1" x14ac:dyDescent="0.5">
      <c r="C538" s="450"/>
      <c r="D538" s="631" t="str">
        <f>IF(Criteria!G50="Yes",Criteria!G51,"There have been no changes to the directorate during the period under review.")</f>
        <v>There have been no changes to the directorate during the period under review.</v>
      </c>
      <c r="E538" s="631"/>
      <c r="F538" s="631"/>
      <c r="G538" s="631"/>
      <c r="H538" s="631"/>
      <c r="I538" s="631"/>
      <c r="J538" s="631"/>
      <c r="M538" s="540"/>
      <c r="O538" s="540"/>
    </row>
    <row r="539" spans="2:18" ht="36" customHeight="1" x14ac:dyDescent="0.5">
      <c r="C539" s="450"/>
      <c r="D539" s="631" t="str">
        <f>IF(Criteria!G50="Yes",Criteria!G52," ")</f>
        <v xml:space="preserve"> </v>
      </c>
      <c r="E539" s="631"/>
      <c r="F539" s="631"/>
      <c r="G539" s="631"/>
      <c r="H539" s="631"/>
      <c r="I539" s="631"/>
      <c r="J539" s="631"/>
      <c r="M539" s="540"/>
      <c r="O539" s="540"/>
      <c r="R539" s="490" t="str">
        <f>IF(D539=" ","DELETE",IF(D539=0,"DELETE"," "))</f>
        <v>DELETE</v>
      </c>
    </row>
    <row r="540" spans="2:18" ht="36" customHeight="1" x14ac:dyDescent="0.5">
      <c r="D540" s="631"/>
      <c r="E540" s="631"/>
      <c r="F540" s="631"/>
      <c r="G540" s="631"/>
      <c r="H540" s="631"/>
      <c r="I540" s="631"/>
      <c r="J540" s="631"/>
      <c r="M540" s="540"/>
      <c r="O540" s="540"/>
    </row>
    <row r="541" spans="2:18" ht="36" customHeight="1" x14ac:dyDescent="0.5">
      <c r="C541" s="450">
        <f>MAX(C$451:C540)+1</f>
        <v>8</v>
      </c>
      <c r="D541" s="630" t="s">
        <v>1504</v>
      </c>
      <c r="E541" s="631"/>
      <c r="F541" s="631"/>
      <c r="G541" s="631"/>
      <c r="H541" s="631"/>
      <c r="I541" s="631"/>
      <c r="J541" s="631"/>
      <c r="M541" s="540"/>
      <c r="O541" s="540"/>
    </row>
    <row r="542" spans="2:18" ht="36" customHeight="1" x14ac:dyDescent="0.5">
      <c r="C542" s="450"/>
      <c r="D542" s="630"/>
      <c r="E542" s="631"/>
      <c r="F542" s="631"/>
      <c r="G542" s="631"/>
      <c r="H542" s="631"/>
      <c r="I542" s="631"/>
      <c r="J542" s="631"/>
      <c r="M542" s="540"/>
      <c r="O542" s="540"/>
    </row>
    <row r="543" spans="2:18" ht="36" customHeight="1" x14ac:dyDescent="0.5">
      <c r="C543" s="450"/>
      <c r="D543" s="631" t="s">
        <v>1651</v>
      </c>
      <c r="E543" s="631"/>
      <c r="F543" s="631"/>
      <c r="G543" s="631"/>
      <c r="H543" s="631"/>
      <c r="I543" s="631"/>
      <c r="J543" s="631"/>
      <c r="M543" s="540"/>
      <c r="O543" s="540"/>
    </row>
    <row r="544" spans="2:18" ht="36" customHeight="1" x14ac:dyDescent="0.5">
      <c r="C544" s="450"/>
      <c r="D544" s="631" t="s">
        <v>1653</v>
      </c>
      <c r="E544" s="631"/>
      <c r="F544" s="631"/>
      <c r="G544" s="631"/>
      <c r="H544" s="631"/>
      <c r="I544" s="631"/>
      <c r="J544" s="631"/>
      <c r="M544" s="540"/>
      <c r="O544" s="540"/>
    </row>
    <row r="545" spans="3:18" ht="36" customHeight="1" x14ac:dyDescent="0.5">
      <c r="C545" s="450"/>
      <c r="D545" s="631" t="s">
        <v>1654</v>
      </c>
      <c r="E545" s="631"/>
      <c r="F545" s="631"/>
      <c r="G545" s="631"/>
      <c r="H545" s="631"/>
      <c r="I545" s="631"/>
      <c r="J545" s="631"/>
      <c r="M545" s="540"/>
      <c r="O545" s="540"/>
    </row>
    <row r="546" spans="3:18" ht="36" customHeight="1" x14ac:dyDescent="0.5">
      <c r="C546" s="450"/>
      <c r="D546" s="631" t="s">
        <v>1656</v>
      </c>
      <c r="E546" s="631"/>
      <c r="F546" s="631"/>
      <c r="G546" s="631"/>
      <c r="H546" s="631"/>
      <c r="I546" s="631"/>
      <c r="J546" s="631"/>
      <c r="M546" s="540"/>
      <c r="O546" s="540"/>
    </row>
    <row r="547" spans="3:18" ht="36" customHeight="1" x14ac:dyDescent="0.5">
      <c r="C547" s="450"/>
      <c r="D547" s="631" t="s">
        <v>1655</v>
      </c>
      <c r="E547" s="631"/>
      <c r="F547" s="631"/>
      <c r="G547" s="631"/>
      <c r="H547" s="631"/>
      <c r="I547" s="631"/>
      <c r="J547" s="631"/>
      <c r="M547" s="540"/>
      <c r="O547" s="540"/>
    </row>
    <row r="548" spans="3:18" ht="36" customHeight="1" x14ac:dyDescent="0.5">
      <c r="C548" s="450"/>
      <c r="D548" s="631"/>
      <c r="E548" s="631"/>
      <c r="F548" s="631"/>
      <c r="G548" s="631"/>
      <c r="H548" s="631"/>
      <c r="I548" s="631"/>
      <c r="J548" s="631"/>
      <c r="M548" s="540"/>
      <c r="O548" s="540"/>
    </row>
    <row r="549" spans="3:18" ht="36" customHeight="1" x14ac:dyDescent="0.5">
      <c r="C549" s="450"/>
      <c r="D549" s="631"/>
      <c r="E549" s="631"/>
      <c r="F549" s="631"/>
      <c r="G549" s="631"/>
      <c r="H549" s="631"/>
      <c r="I549" s="631"/>
      <c r="J549" s="631"/>
      <c r="M549" s="540"/>
      <c r="O549" s="540"/>
    </row>
    <row r="550" spans="3:18" ht="36" customHeight="1" x14ac:dyDescent="0.5">
      <c r="C550" s="450"/>
      <c r="D550" s="631"/>
      <c r="E550" s="631"/>
      <c r="F550" s="631"/>
      <c r="G550" s="631"/>
      <c r="H550" s="631"/>
      <c r="I550" s="631"/>
      <c r="J550" s="631"/>
      <c r="M550" s="540"/>
      <c r="O550" s="540"/>
    </row>
    <row r="551" spans="3:18" ht="36" customHeight="1" x14ac:dyDescent="0.5">
      <c r="C551" s="450"/>
      <c r="D551" s="631"/>
      <c r="E551" s="631"/>
      <c r="F551" s="631"/>
      <c r="G551" s="631"/>
      <c r="H551" s="631"/>
      <c r="I551" s="631"/>
      <c r="J551" s="631"/>
      <c r="M551" s="540"/>
      <c r="O551" s="454" t="s">
        <v>112</v>
      </c>
      <c r="P551" s="454"/>
      <c r="Q551" s="450">
        <f>MAX($Q$103:Q550)+1</f>
        <v>10</v>
      </c>
    </row>
    <row r="552" spans="3:18" ht="36" customHeight="1" x14ac:dyDescent="0.5">
      <c r="C552" s="450"/>
      <c r="D552" s="630" t="str">
        <f>Criteria!E9</f>
        <v>ABC COMPANY (PROPRIETARY) LIMITED</v>
      </c>
      <c r="E552" s="631"/>
      <c r="F552" s="631"/>
      <c r="G552" s="631"/>
      <c r="H552" s="631"/>
      <c r="I552" s="631"/>
      <c r="J552" s="631"/>
      <c r="M552" s="540"/>
      <c r="O552" s="540"/>
    </row>
    <row r="553" spans="3:18" ht="36" customHeight="1" x14ac:dyDescent="0.5">
      <c r="C553" s="450"/>
      <c r="D553" s="630" t="str">
        <f>Criteria!E10</f>
        <v>T/A SEAFRONT HOTEL, ABC RESTAURANT AND RENTAL PROPERTIES</v>
      </c>
      <c r="E553" s="631"/>
      <c r="F553" s="631"/>
      <c r="G553" s="631"/>
      <c r="H553" s="631"/>
      <c r="I553" s="631"/>
      <c r="J553" s="631"/>
      <c r="M553" s="540"/>
      <c r="O553" s="540"/>
      <c r="R553" s="490" t="str">
        <f>IF(D553=0,"DELETE"," ")</f>
        <v xml:space="preserve"> </v>
      </c>
    </row>
    <row r="554" spans="3:18" ht="36" customHeight="1" x14ac:dyDescent="0.5">
      <c r="C554" s="450"/>
      <c r="D554" s="631"/>
      <c r="E554" s="631"/>
      <c r="F554" s="631"/>
      <c r="G554" s="631"/>
      <c r="H554" s="631"/>
      <c r="I554" s="631"/>
      <c r="J554" s="631"/>
      <c r="M554" s="540"/>
      <c r="O554" s="540"/>
    </row>
    <row r="555" spans="3:18" ht="36" customHeight="1" x14ac:dyDescent="0.5">
      <c r="C555" s="450"/>
      <c r="D555" s="630" t="str">
        <f>D447</f>
        <v>DIRECTORS' REPORT FOR THE YEAR ENDED</v>
      </c>
      <c r="E555" s="631"/>
      <c r="F555" s="631"/>
      <c r="G555" s="631"/>
      <c r="H555" s="631"/>
      <c r="I555" s="631"/>
      <c r="J555" s="631"/>
      <c r="M555" s="547"/>
      <c r="N555" s="547"/>
      <c r="O555" s="540"/>
    </row>
    <row r="556" spans="3:18" ht="36" customHeight="1" x14ac:dyDescent="0.5">
      <c r="C556" s="450"/>
      <c r="D556" s="630" t="str">
        <f>Criteria!E20</f>
        <v>28 FEBRUARY 2026</v>
      </c>
      <c r="E556" s="631"/>
      <c r="F556" s="631"/>
      <c r="G556" s="631"/>
      <c r="H556" s="631"/>
      <c r="I556" s="631"/>
      <c r="J556" s="631" t="s">
        <v>282</v>
      </c>
      <c r="M556" s="547"/>
      <c r="N556" s="547"/>
      <c r="O556" s="540"/>
    </row>
    <row r="557" spans="3:18" ht="36" customHeight="1" x14ac:dyDescent="0.5">
      <c r="C557" s="450"/>
      <c r="D557" s="633"/>
      <c r="E557" s="633"/>
      <c r="F557" s="633"/>
      <c r="G557" s="633"/>
      <c r="H557" s="633"/>
      <c r="I557" s="633"/>
      <c r="J557" s="633"/>
      <c r="K557" s="455"/>
      <c r="L557" s="455"/>
      <c r="M557" s="542"/>
      <c r="N557" s="542"/>
      <c r="O557" s="543"/>
      <c r="P557" s="543"/>
      <c r="Q557" s="455"/>
    </row>
    <row r="558" spans="3:18" ht="36" customHeight="1" x14ac:dyDescent="0.5">
      <c r="D558" s="631"/>
      <c r="E558" s="631"/>
      <c r="F558" s="631"/>
      <c r="G558" s="631"/>
      <c r="H558" s="631"/>
      <c r="I558" s="631"/>
      <c r="J558" s="631"/>
      <c r="M558" s="540"/>
      <c r="O558" s="540"/>
    </row>
    <row r="559" spans="3:18" ht="36" customHeight="1" x14ac:dyDescent="0.5">
      <c r="C559" s="450">
        <f>MAX(C$451:C558)+1</f>
        <v>9</v>
      </c>
      <c r="D559" s="630" t="s">
        <v>1505</v>
      </c>
      <c r="E559" s="631"/>
      <c r="F559" s="631"/>
      <c r="G559" s="631"/>
      <c r="H559" s="631"/>
      <c r="I559" s="631"/>
      <c r="J559" s="631"/>
      <c r="M559" s="540"/>
      <c r="O559" s="540"/>
    </row>
    <row r="560" spans="3:18" ht="36" customHeight="1" x14ac:dyDescent="0.5">
      <c r="C560" s="450"/>
      <c r="D560" s="630"/>
      <c r="E560" s="631"/>
      <c r="F560" s="631"/>
      <c r="G560" s="631"/>
      <c r="H560" s="631"/>
      <c r="I560" s="631"/>
      <c r="J560" s="631"/>
      <c r="M560" s="540"/>
      <c r="O560" s="540"/>
    </row>
    <row r="561" spans="3:18" ht="36" customHeight="1" x14ac:dyDescent="0.5">
      <c r="D561" s="631" t="str">
        <f>IF(Criteria!F102="No","No material fact or event that could have a major impact on the financial position of",Criteria!G104 )</f>
        <v>No material fact or event that could have a major impact on the financial position of</v>
      </c>
      <c r="E561" s="631"/>
      <c r="F561" s="631"/>
      <c r="G561" s="631"/>
      <c r="H561" s="631"/>
      <c r="I561" s="631"/>
      <c r="J561" s="631"/>
      <c r="M561" s="540"/>
      <c r="O561" s="540"/>
    </row>
    <row r="562" spans="3:18" ht="36" customHeight="1" x14ac:dyDescent="0.5">
      <c r="D562" s="631" t="str">
        <f>IF(Criteria!F102="No","the company or its results took place between the date of the Financial Statements and",Criteria!G105)</f>
        <v>the company or its results took place between the date of the Financial Statements and</v>
      </c>
      <c r="E562" s="631"/>
      <c r="F562" s="631"/>
      <c r="G562" s="631"/>
      <c r="H562" s="631"/>
      <c r="I562" s="631"/>
      <c r="J562" s="631"/>
      <c r="M562" s="540"/>
      <c r="O562" s="540"/>
      <c r="R562" s="490" t="str">
        <f>IF(D562=0,"DELETE"," ")</f>
        <v xml:space="preserve"> </v>
      </c>
    </row>
    <row r="563" spans="3:18" ht="36" customHeight="1" x14ac:dyDescent="0.5">
      <c r="D563" s="631" t="str">
        <f>IF(Criteria!F102="No","the date of approval thereof.",Criteria!G106)</f>
        <v>the date of approval thereof.</v>
      </c>
      <c r="E563" s="631"/>
      <c r="F563" s="631"/>
      <c r="G563" s="631"/>
      <c r="H563" s="631"/>
      <c r="I563" s="631"/>
      <c r="J563" s="631"/>
      <c r="M563" s="540"/>
      <c r="O563" s="540"/>
      <c r="R563" s="490" t="str">
        <f>IF(D563=0,"DELETE"," ")</f>
        <v xml:space="preserve"> </v>
      </c>
    </row>
    <row r="564" spans="3:18" ht="36" customHeight="1" x14ac:dyDescent="0.5">
      <c r="D564" s="631"/>
      <c r="E564" s="631"/>
      <c r="F564" s="631"/>
      <c r="G564" s="631"/>
      <c r="H564" s="631"/>
      <c r="I564" s="631"/>
      <c r="J564" s="631"/>
      <c r="M564" s="540"/>
      <c r="O564" s="540"/>
    </row>
    <row r="565" spans="3:18" ht="36" customHeight="1" x14ac:dyDescent="0.5">
      <c r="D565" s="631"/>
      <c r="E565" s="631"/>
      <c r="F565" s="631"/>
      <c r="G565" s="631"/>
      <c r="H565" s="631"/>
      <c r="I565" s="631"/>
      <c r="J565" s="631"/>
      <c r="M565" s="540"/>
      <c r="O565" s="540"/>
    </row>
    <row r="566" spans="3:18" ht="36" customHeight="1" x14ac:dyDescent="0.5">
      <c r="D566" s="631"/>
      <c r="E566" s="631"/>
      <c r="F566" s="631"/>
      <c r="G566" s="631"/>
      <c r="H566" s="631"/>
      <c r="I566" s="631"/>
      <c r="J566" s="631"/>
      <c r="M566" s="540"/>
      <c r="O566" s="540"/>
    </row>
    <row r="567" spans="3:18" ht="36" customHeight="1" x14ac:dyDescent="0.5">
      <c r="D567" s="631"/>
      <c r="E567" s="631"/>
      <c r="F567" s="631"/>
      <c r="G567" s="631"/>
      <c r="H567" s="631"/>
      <c r="I567" s="631"/>
      <c r="J567" s="631"/>
      <c r="M567" s="540"/>
      <c r="O567" s="540"/>
    </row>
    <row r="568" spans="3:18" ht="36" customHeight="1" x14ac:dyDescent="0.5">
      <c r="D568" s="631"/>
      <c r="E568" s="631"/>
      <c r="F568" s="631"/>
      <c r="G568" s="631"/>
      <c r="H568" s="631"/>
      <c r="I568" s="631"/>
      <c r="J568" s="631"/>
      <c r="M568" s="540"/>
      <c r="O568" s="454" t="s">
        <v>112</v>
      </c>
      <c r="P568" s="454"/>
      <c r="Q568" s="450">
        <f>MAX($Q$103:Q567)+1</f>
        <v>11</v>
      </c>
      <c r="R568" s="490" t="str">
        <f>IF(R576="DELETE","DELETE"," ")</f>
        <v>DELETE</v>
      </c>
    </row>
    <row r="569" spans="3:18" ht="36" customHeight="1" x14ac:dyDescent="0.5">
      <c r="D569" s="630" t="str">
        <f>Criteria!E9</f>
        <v>ABC COMPANY (PROPRIETARY) LIMITED</v>
      </c>
      <c r="E569" s="631"/>
      <c r="F569" s="631"/>
      <c r="G569" s="631"/>
      <c r="H569" s="631"/>
      <c r="I569" s="631"/>
      <c r="J569" s="631"/>
      <c r="M569" s="540"/>
      <c r="O569" s="540"/>
      <c r="R569" s="490" t="str">
        <f>R$568</f>
        <v>DELETE</v>
      </c>
    </row>
    <row r="570" spans="3:18" ht="36" customHeight="1" x14ac:dyDescent="0.5">
      <c r="D570" s="630" t="str">
        <f>Criteria!E10</f>
        <v>T/A SEAFRONT HOTEL, ABC RESTAURANT AND RENTAL PROPERTIES</v>
      </c>
      <c r="E570" s="631"/>
      <c r="F570" s="631"/>
      <c r="G570" s="631"/>
      <c r="H570" s="631"/>
      <c r="I570" s="631"/>
      <c r="J570" s="631"/>
      <c r="M570" s="540"/>
      <c r="O570" s="540"/>
      <c r="R570" s="490" t="str">
        <f>IF(R$568="DELETE","DELETE",IF(D570=0,"DELETE"," "))</f>
        <v>DELETE</v>
      </c>
    </row>
    <row r="571" spans="3:18" ht="36" customHeight="1" x14ac:dyDescent="0.5">
      <c r="D571" s="631"/>
      <c r="E571" s="631"/>
      <c r="F571" s="631"/>
      <c r="G571" s="631"/>
      <c r="H571" s="631"/>
      <c r="I571" s="631"/>
      <c r="J571" s="631"/>
      <c r="M571" s="540"/>
      <c r="O571" s="540"/>
      <c r="R571" s="490" t="str">
        <f t="shared" ref="R571:R574" si="7">R$568</f>
        <v>DELETE</v>
      </c>
    </row>
    <row r="572" spans="3:18" ht="36" customHeight="1" x14ac:dyDescent="0.5">
      <c r="D572" s="630" t="str">
        <f>D447</f>
        <v>DIRECTORS' REPORT FOR THE YEAR ENDED</v>
      </c>
      <c r="E572" s="631"/>
      <c r="F572" s="631"/>
      <c r="G572" s="631"/>
      <c r="H572" s="631"/>
      <c r="I572" s="631"/>
      <c r="J572" s="631"/>
      <c r="M572" s="547"/>
      <c r="N572" s="547"/>
      <c r="O572" s="540"/>
      <c r="R572" s="490" t="str">
        <f t="shared" si="7"/>
        <v>DELETE</v>
      </c>
    </row>
    <row r="573" spans="3:18" ht="36" customHeight="1" x14ac:dyDescent="0.5">
      <c r="D573" s="630" t="str">
        <f>Criteria!E20</f>
        <v>28 FEBRUARY 2026</v>
      </c>
      <c r="E573" s="631"/>
      <c r="F573" s="631"/>
      <c r="G573" s="631"/>
      <c r="H573" s="631"/>
      <c r="I573" s="631"/>
      <c r="J573" s="631" t="s">
        <v>282</v>
      </c>
      <c r="M573" s="547"/>
      <c r="N573" s="547"/>
      <c r="O573" s="540"/>
      <c r="R573" s="490" t="str">
        <f t="shared" si="7"/>
        <v>DELETE</v>
      </c>
    </row>
    <row r="574" spans="3:18" ht="36" customHeight="1" x14ac:dyDescent="0.5">
      <c r="D574" s="633"/>
      <c r="E574" s="633"/>
      <c r="F574" s="633"/>
      <c r="G574" s="633"/>
      <c r="H574" s="633"/>
      <c r="I574" s="633"/>
      <c r="J574" s="633"/>
      <c r="K574" s="455"/>
      <c r="L574" s="455"/>
      <c r="M574" s="542"/>
      <c r="N574" s="542"/>
      <c r="O574" s="543"/>
      <c r="P574" s="543"/>
      <c r="Q574" s="455"/>
      <c r="R574" s="490" t="str">
        <f t="shared" si="7"/>
        <v>DELETE</v>
      </c>
    </row>
    <row r="575" spans="3:18" ht="36" customHeight="1" x14ac:dyDescent="0.5">
      <c r="D575" s="631"/>
      <c r="E575" s="631"/>
      <c r="F575" s="631"/>
      <c r="G575" s="631"/>
      <c r="H575" s="631"/>
      <c r="I575" s="631"/>
      <c r="J575" s="631"/>
      <c r="M575" s="540"/>
      <c r="O575" s="540"/>
      <c r="R575" s="490" t="str">
        <f>R576</f>
        <v>DELETE</v>
      </c>
    </row>
    <row r="576" spans="3:18" ht="36" customHeight="1" x14ac:dyDescent="0.5">
      <c r="C576" s="450">
        <f>MAX(C$451:C575)+1</f>
        <v>10</v>
      </c>
      <c r="D576" s="630" t="s">
        <v>1506</v>
      </c>
      <c r="E576" s="631"/>
      <c r="F576" s="631"/>
      <c r="G576" s="631"/>
      <c r="H576" s="631"/>
      <c r="I576" s="631"/>
      <c r="J576" s="631"/>
      <c r="M576" s="540"/>
      <c r="O576" s="540"/>
      <c r="R576" s="490" t="str">
        <f>R578</f>
        <v>DELETE</v>
      </c>
    </row>
    <row r="577" spans="3:18" ht="36" customHeight="1" x14ac:dyDescent="0.5">
      <c r="C577" s="450"/>
      <c r="D577" s="630"/>
      <c r="E577" s="631"/>
      <c r="F577" s="631"/>
      <c r="G577" s="631"/>
      <c r="H577" s="631"/>
      <c r="I577" s="631"/>
      <c r="J577" s="631"/>
      <c r="M577" s="540"/>
      <c r="O577" s="540"/>
      <c r="R577" s="490" t="str">
        <f>R578</f>
        <v>DELETE</v>
      </c>
    </row>
    <row r="578" spans="3:18" ht="36" customHeight="1" x14ac:dyDescent="0.5">
      <c r="C578" s="449"/>
      <c r="D578" s="631" t="str">
        <f>IF(Criteria!F108="No","No provision is being made for deferred taxation as there are no temporary differences"," ")</f>
        <v xml:space="preserve"> </v>
      </c>
      <c r="E578" s="631"/>
      <c r="F578" s="631"/>
      <c r="G578" s="631"/>
      <c r="H578" s="631"/>
      <c r="I578" s="631"/>
      <c r="J578" s="631"/>
      <c r="M578" s="540"/>
      <c r="O578" s="540"/>
      <c r="R578" s="490" t="str">
        <f>IF(D578=" ","DELETE"," ")</f>
        <v>DELETE</v>
      </c>
    </row>
    <row r="579" spans="3:18" ht="36" customHeight="1" x14ac:dyDescent="0.5">
      <c r="C579" s="449"/>
      <c r="D579" s="631" t="str">
        <f>IF(Criteria!F108="No","between the tax bases of assets and liabilities and their carrying values for financial"," ")</f>
        <v xml:space="preserve"> </v>
      </c>
      <c r="E579" s="631"/>
      <c r="F579" s="631"/>
      <c r="G579" s="631"/>
      <c r="H579" s="631"/>
      <c r="I579" s="631"/>
      <c r="J579" s="631"/>
      <c r="M579" s="540"/>
      <c r="O579" s="540"/>
      <c r="R579" s="490" t="str">
        <f>IF(D579=" ","DELETE"," ")</f>
        <v>DELETE</v>
      </c>
    </row>
    <row r="580" spans="3:18" ht="36" customHeight="1" x14ac:dyDescent="0.5">
      <c r="C580" s="449"/>
      <c r="D580" s="631" t="str">
        <f>IF(Criteria!F108="No","reporting purposes."," ")</f>
        <v xml:space="preserve"> </v>
      </c>
      <c r="E580" s="631"/>
      <c r="F580" s="631"/>
      <c r="G580" s="631"/>
      <c r="H580" s="631"/>
      <c r="I580" s="631"/>
      <c r="J580" s="631"/>
      <c r="M580" s="540"/>
      <c r="O580" s="540"/>
      <c r="R580" s="490" t="str">
        <f>IF(D580=" ","DELETE"," ")</f>
        <v>DELETE</v>
      </c>
    </row>
    <row r="581" spans="3:18" ht="36" customHeight="1" x14ac:dyDescent="0.5">
      <c r="C581" s="449"/>
      <c r="D581" s="631"/>
      <c r="E581" s="631"/>
      <c r="F581" s="631"/>
      <c r="G581" s="631"/>
      <c r="H581" s="631"/>
      <c r="I581" s="631"/>
      <c r="J581" s="631"/>
      <c r="M581" s="540"/>
      <c r="O581" s="540"/>
      <c r="R581" s="490" t="str">
        <f t="shared" ref="R581:R583" si="8">R$568</f>
        <v>DELETE</v>
      </c>
    </row>
    <row r="582" spans="3:18" ht="36" customHeight="1" x14ac:dyDescent="0.5">
      <c r="C582" s="449"/>
      <c r="D582" s="631"/>
      <c r="E582" s="631"/>
      <c r="F582" s="631"/>
      <c r="G582" s="631"/>
      <c r="H582" s="631"/>
      <c r="I582" s="631"/>
      <c r="J582" s="631"/>
      <c r="M582" s="540"/>
      <c r="O582" s="540"/>
      <c r="R582" s="490" t="str">
        <f t="shared" si="8"/>
        <v>DELETE</v>
      </c>
    </row>
    <row r="583" spans="3:18" ht="36" customHeight="1" x14ac:dyDescent="0.5">
      <c r="C583" s="449"/>
      <c r="D583" s="631"/>
      <c r="E583" s="631"/>
      <c r="F583" s="631"/>
      <c r="G583" s="631"/>
      <c r="H583" s="631"/>
      <c r="I583" s="631"/>
      <c r="J583" s="631"/>
      <c r="M583" s="540"/>
      <c r="O583" s="540"/>
      <c r="R583" s="490" t="str">
        <f t="shared" si="8"/>
        <v>DELETE</v>
      </c>
    </row>
    <row r="584" spans="3:18" ht="36" customHeight="1" x14ac:dyDescent="0.5">
      <c r="C584" s="449"/>
      <c r="D584" s="631"/>
      <c r="E584" s="631"/>
      <c r="F584" s="631"/>
      <c r="G584" s="631"/>
      <c r="H584" s="631"/>
      <c r="I584" s="631"/>
      <c r="J584" s="631"/>
      <c r="M584" s="540"/>
      <c r="O584" s="454" t="s">
        <v>112</v>
      </c>
      <c r="P584" s="454"/>
      <c r="Q584" s="450">
        <f>MAX($Q$103:Q583)+1</f>
        <v>12</v>
      </c>
      <c r="R584" s="490" t="str">
        <f>IF(R592="DELETE","DELETE"," ")</f>
        <v>DELETE</v>
      </c>
    </row>
    <row r="585" spans="3:18" ht="36" customHeight="1" x14ac:dyDescent="0.5">
      <c r="C585" s="449"/>
      <c r="D585" s="630" t="str">
        <f>Criteria!E9</f>
        <v>ABC COMPANY (PROPRIETARY) LIMITED</v>
      </c>
      <c r="E585" s="631"/>
      <c r="F585" s="631"/>
      <c r="G585" s="631"/>
      <c r="H585" s="631"/>
      <c r="I585" s="631"/>
      <c r="J585" s="631"/>
      <c r="M585" s="540"/>
      <c r="O585" s="540"/>
      <c r="R585" s="490" t="str">
        <f>R$584</f>
        <v>DELETE</v>
      </c>
    </row>
    <row r="586" spans="3:18" ht="36" customHeight="1" x14ac:dyDescent="0.5">
      <c r="C586" s="449"/>
      <c r="D586" s="630" t="str">
        <f>Criteria!E10</f>
        <v>T/A SEAFRONT HOTEL, ABC RESTAURANT AND RENTAL PROPERTIES</v>
      </c>
      <c r="E586" s="631"/>
      <c r="F586" s="631"/>
      <c r="G586" s="631"/>
      <c r="H586" s="631"/>
      <c r="I586" s="631"/>
      <c r="J586" s="631"/>
      <c r="M586" s="540"/>
      <c r="O586" s="540"/>
      <c r="R586" s="490" t="str">
        <f>IF(R$584="DELETE","DELETE",IF(D586=0,"DELETE"," "))</f>
        <v>DELETE</v>
      </c>
    </row>
    <row r="587" spans="3:18" ht="36" customHeight="1" x14ac:dyDescent="0.5">
      <c r="C587" s="449"/>
      <c r="D587" s="631"/>
      <c r="E587" s="631"/>
      <c r="F587" s="631"/>
      <c r="G587" s="631"/>
      <c r="H587" s="631"/>
      <c r="I587" s="631"/>
      <c r="J587" s="631"/>
      <c r="M587" s="540"/>
      <c r="O587" s="540"/>
      <c r="R587" s="490" t="str">
        <f t="shared" ref="R587:R590" si="9">R$584</f>
        <v>DELETE</v>
      </c>
    </row>
    <row r="588" spans="3:18" ht="36" customHeight="1" x14ac:dyDescent="0.5">
      <c r="C588" s="449"/>
      <c r="D588" s="630" t="str">
        <f>D447</f>
        <v>DIRECTORS' REPORT FOR THE YEAR ENDED</v>
      </c>
      <c r="E588" s="631"/>
      <c r="F588" s="631"/>
      <c r="G588" s="631"/>
      <c r="H588" s="631"/>
      <c r="I588" s="631"/>
      <c r="J588" s="631"/>
      <c r="M588" s="547"/>
      <c r="N588" s="547"/>
      <c r="O588" s="540"/>
      <c r="R588" s="490" t="str">
        <f t="shared" si="9"/>
        <v>DELETE</v>
      </c>
    </row>
    <row r="589" spans="3:18" ht="36" customHeight="1" x14ac:dyDescent="0.5">
      <c r="C589" s="449"/>
      <c r="D589" s="630" t="str">
        <f>Criteria!E20</f>
        <v>28 FEBRUARY 2026</v>
      </c>
      <c r="E589" s="631"/>
      <c r="F589" s="631"/>
      <c r="G589" s="631"/>
      <c r="H589" s="631"/>
      <c r="I589" s="631"/>
      <c r="J589" s="631" t="s">
        <v>282</v>
      </c>
      <c r="M589" s="547"/>
      <c r="N589" s="547"/>
      <c r="O589" s="540"/>
      <c r="R589" s="490" t="str">
        <f t="shared" si="9"/>
        <v>DELETE</v>
      </c>
    </row>
    <row r="590" spans="3:18" ht="36" customHeight="1" x14ac:dyDescent="0.5">
      <c r="C590" s="449"/>
      <c r="D590" s="633"/>
      <c r="E590" s="633"/>
      <c r="F590" s="633"/>
      <c r="G590" s="633"/>
      <c r="H590" s="633"/>
      <c r="I590" s="633"/>
      <c r="J590" s="633"/>
      <c r="K590" s="455"/>
      <c r="L590" s="455"/>
      <c r="M590" s="542"/>
      <c r="N590" s="542"/>
      <c r="O590" s="543"/>
      <c r="P590" s="543"/>
      <c r="Q590" s="455"/>
      <c r="R590" s="490" t="str">
        <f t="shared" si="9"/>
        <v>DELETE</v>
      </c>
    </row>
    <row r="591" spans="3:18" ht="36" customHeight="1" x14ac:dyDescent="0.5">
      <c r="D591" s="631"/>
      <c r="E591" s="631"/>
      <c r="F591" s="631"/>
      <c r="G591" s="631"/>
      <c r="H591" s="631"/>
      <c r="I591" s="631"/>
      <c r="J591" s="631"/>
      <c r="M591" s="540"/>
      <c r="O591" s="540"/>
      <c r="R591" s="490" t="str">
        <f>R592</f>
        <v>DELETE</v>
      </c>
    </row>
    <row r="592" spans="3:18" ht="36" customHeight="1" x14ac:dyDescent="0.5">
      <c r="C592" s="450">
        <f>MAX(C$451:C591)+1</f>
        <v>11</v>
      </c>
      <c r="D592" s="630" t="s">
        <v>1481</v>
      </c>
      <c r="E592" s="631"/>
      <c r="F592" s="631"/>
      <c r="G592" s="631"/>
      <c r="H592" s="631"/>
      <c r="I592" s="631"/>
      <c r="J592" s="631"/>
      <c r="M592" s="540"/>
      <c r="O592" s="540"/>
      <c r="R592" s="490" t="str">
        <f>R594</f>
        <v>DELETE</v>
      </c>
    </row>
    <row r="593" spans="3:18" ht="36" customHeight="1" x14ac:dyDescent="0.5">
      <c r="C593" s="450"/>
      <c r="D593" s="630"/>
      <c r="E593" s="631"/>
      <c r="F593" s="631"/>
      <c r="G593" s="631"/>
      <c r="H593" s="631"/>
      <c r="I593" s="631"/>
      <c r="J593" s="631"/>
      <c r="M593" s="540"/>
      <c r="O593" s="540"/>
      <c r="R593" s="490" t="str">
        <f>R594</f>
        <v>DELETE</v>
      </c>
    </row>
    <row r="594" spans="3:18" ht="36" customHeight="1" x14ac:dyDescent="0.5">
      <c r="D594" s="632" t="str">
        <f>IF(Criteria!F110="No","As the company's cash flow is comprehensively disclosed in the Statement of"," ")</f>
        <v xml:space="preserve"> </v>
      </c>
      <c r="E594" s="648"/>
      <c r="F594" s="631"/>
      <c r="G594" s="631"/>
      <c r="H594" s="631"/>
      <c r="I594" s="631"/>
      <c r="J594" s="631"/>
      <c r="M594" s="540"/>
      <c r="O594" s="540"/>
      <c r="R594" s="490" t="str">
        <f>IF(D594=" ","DELETE"," ")</f>
        <v>DELETE</v>
      </c>
    </row>
    <row r="595" spans="3:18" ht="36" customHeight="1" x14ac:dyDescent="0.5">
      <c r="D595" s="632" t="str">
        <f>IF(Criteria!F110="No","Comprehensive Income, a separate Statement of Cash Flows is considered to be of no"," ")</f>
        <v xml:space="preserve"> </v>
      </c>
      <c r="E595" s="648"/>
      <c r="F595" s="631"/>
      <c r="G595" s="631"/>
      <c r="H595" s="631"/>
      <c r="I595" s="631"/>
      <c r="J595" s="631"/>
      <c r="M595" s="540"/>
      <c r="O595" s="540"/>
      <c r="R595" s="490" t="str">
        <f>IF(D595=" ","DELETE"," ")</f>
        <v>DELETE</v>
      </c>
    </row>
    <row r="596" spans="3:18" ht="36" customHeight="1" x14ac:dyDescent="0.5">
      <c r="D596" s="632" t="str">
        <f>IF(Criteria!F110="No","value and is therefore not presented."," ")</f>
        <v xml:space="preserve"> </v>
      </c>
      <c r="E596" s="648"/>
      <c r="F596" s="631"/>
      <c r="G596" s="631"/>
      <c r="H596" s="631"/>
      <c r="I596" s="631"/>
      <c r="J596" s="631"/>
      <c r="M596" s="540"/>
      <c r="O596" s="540"/>
      <c r="R596" s="490" t="str">
        <f>IF(D596=" ","DELETE"," ")</f>
        <v>DELETE</v>
      </c>
    </row>
    <row r="597" spans="3:18" ht="36" customHeight="1" x14ac:dyDescent="0.5">
      <c r="D597" s="632"/>
      <c r="E597" s="648"/>
      <c r="F597" s="631"/>
      <c r="G597" s="631"/>
      <c r="H597" s="631"/>
      <c r="I597" s="631"/>
      <c r="J597" s="631"/>
      <c r="M597" s="540"/>
      <c r="O597" s="540"/>
      <c r="R597" s="490" t="str">
        <f t="shared" ref="R597:R600" si="10">R$584</f>
        <v>DELETE</v>
      </c>
    </row>
    <row r="598" spans="3:18" ht="36" customHeight="1" x14ac:dyDescent="0.5">
      <c r="D598" s="632"/>
      <c r="E598" s="648"/>
      <c r="F598" s="631"/>
      <c r="G598" s="631"/>
      <c r="H598" s="631"/>
      <c r="I598" s="631"/>
      <c r="J598" s="631"/>
      <c r="M598" s="540"/>
      <c r="O598" s="540"/>
      <c r="R598" s="490" t="str">
        <f t="shared" si="10"/>
        <v>DELETE</v>
      </c>
    </row>
    <row r="599" spans="3:18" ht="36" customHeight="1" x14ac:dyDescent="0.5">
      <c r="D599" s="632"/>
      <c r="E599" s="648"/>
      <c r="F599" s="631"/>
      <c r="G599" s="631"/>
      <c r="H599" s="631"/>
      <c r="I599" s="631"/>
      <c r="J599" s="631"/>
      <c r="M599" s="540"/>
      <c r="O599" s="540"/>
      <c r="R599" s="490" t="str">
        <f t="shared" si="10"/>
        <v>DELETE</v>
      </c>
    </row>
    <row r="600" spans="3:18" ht="36" customHeight="1" x14ac:dyDescent="0.5">
      <c r="D600" s="631"/>
      <c r="E600" s="631"/>
      <c r="F600" s="631"/>
      <c r="G600" s="631"/>
      <c r="H600" s="631"/>
      <c r="I600" s="631"/>
      <c r="J600" s="631"/>
      <c r="M600" s="540"/>
      <c r="O600" s="540"/>
      <c r="R600" s="490" t="str">
        <f t="shared" si="10"/>
        <v>DELETE</v>
      </c>
    </row>
    <row r="601" spans="3:18" ht="36" customHeight="1" x14ac:dyDescent="0.45">
      <c r="M601" s="540"/>
      <c r="O601" s="454" t="s">
        <v>112</v>
      </c>
      <c r="Q601" s="450">
        <f>MAX($Q$103:Q600)+1</f>
        <v>13</v>
      </c>
    </row>
    <row r="602" spans="3:18" ht="36" customHeight="1" x14ac:dyDescent="0.45">
      <c r="D602" s="615" t="str">
        <f>Criteria!E9</f>
        <v>ABC COMPANY (PROPRIETARY) LIMITED</v>
      </c>
      <c r="E602" s="616"/>
      <c r="F602" s="616"/>
      <c r="G602" s="616"/>
      <c r="H602" s="616"/>
      <c r="I602" s="616"/>
      <c r="J602" s="616"/>
      <c r="M602" s="540"/>
      <c r="O602" s="540"/>
    </row>
    <row r="603" spans="3:18" ht="36" customHeight="1" x14ac:dyDescent="0.45">
      <c r="D603" s="615" t="str">
        <f>Criteria!E10</f>
        <v>T/A SEAFRONT HOTEL, ABC RESTAURANT AND RENTAL PROPERTIES</v>
      </c>
      <c r="E603" s="616"/>
      <c r="F603" s="616"/>
      <c r="G603" s="616"/>
      <c r="H603" s="616"/>
      <c r="I603" s="616"/>
      <c r="J603" s="616"/>
      <c r="M603" s="540"/>
      <c r="O603" s="540"/>
      <c r="R603" s="490" t="str">
        <f>IF(D603=0,"DELETE"," ")</f>
        <v xml:space="preserve"> </v>
      </c>
    </row>
    <row r="604" spans="3:18" ht="36" customHeight="1" x14ac:dyDescent="0.45">
      <c r="D604" s="616"/>
      <c r="E604" s="616"/>
      <c r="F604" s="616"/>
      <c r="G604" s="616"/>
      <c r="H604" s="616"/>
      <c r="I604" s="616"/>
      <c r="J604" s="616"/>
      <c r="M604" s="540"/>
      <c r="O604" s="540"/>
    </row>
    <row r="605" spans="3:18" ht="36" customHeight="1" x14ac:dyDescent="0.45">
      <c r="D605" s="615" t="s">
        <v>737</v>
      </c>
      <c r="E605" s="616"/>
      <c r="F605" s="616"/>
      <c r="G605" s="616"/>
      <c r="H605" s="616"/>
      <c r="I605" s="616"/>
      <c r="J605" s="616"/>
      <c r="M605" s="540"/>
      <c r="O605" s="540"/>
    </row>
    <row r="606" spans="3:18" ht="36" customHeight="1" x14ac:dyDescent="0.45">
      <c r="D606" s="615" t="str">
        <f>Criteria!E20</f>
        <v>28 FEBRUARY 2026</v>
      </c>
      <c r="E606" s="616"/>
      <c r="F606" s="616"/>
      <c r="G606" s="616"/>
      <c r="H606" s="616"/>
      <c r="I606" s="616"/>
      <c r="J606" s="616"/>
      <c r="M606" s="540"/>
      <c r="O606" s="540"/>
    </row>
    <row r="607" spans="3:18" ht="36" customHeight="1" x14ac:dyDescent="0.45">
      <c r="D607" s="616"/>
      <c r="E607" s="616"/>
      <c r="F607" s="616"/>
      <c r="G607" s="616"/>
      <c r="H607" s="616"/>
      <c r="I607" s="616"/>
      <c r="J607" s="616"/>
      <c r="K607" s="455"/>
      <c r="L607" s="455"/>
      <c r="M607" s="543"/>
      <c r="N607" s="543"/>
      <c r="O607" s="543"/>
    </row>
    <row r="608" spans="3:18" ht="36" customHeight="1" x14ac:dyDescent="0.45">
      <c r="D608" s="634"/>
      <c r="E608" s="634"/>
      <c r="F608" s="634"/>
      <c r="G608" s="634"/>
      <c r="H608" s="634"/>
      <c r="I608" s="634"/>
      <c r="J608" s="634"/>
      <c r="K608" s="450"/>
      <c r="L608" s="450"/>
      <c r="M608" s="453"/>
      <c r="N608" s="453"/>
      <c r="O608" s="453"/>
      <c r="P608" s="464"/>
      <c r="Q608" s="457"/>
    </row>
    <row r="609" spans="4:23" ht="36" customHeight="1" x14ac:dyDescent="0.45">
      <c r="D609" s="616"/>
      <c r="E609" s="616"/>
      <c r="F609" s="616"/>
      <c r="G609" s="616"/>
      <c r="H609" s="616"/>
      <c r="I609" s="616"/>
      <c r="J609" s="616"/>
      <c r="K609" s="450" t="s">
        <v>1494</v>
      </c>
      <c r="L609" s="451"/>
      <c r="M609" s="448"/>
      <c r="N609" s="450"/>
      <c r="O609" s="453">
        <f>Criteria!E22</f>
        <v>2026</v>
      </c>
      <c r="P609" s="453"/>
    </row>
    <row r="610" spans="4:23" ht="36" customHeight="1" x14ac:dyDescent="0.45">
      <c r="D610" s="616"/>
      <c r="E610" s="616"/>
      <c r="F610" s="616"/>
      <c r="G610" s="616"/>
      <c r="H610" s="616"/>
      <c r="I610" s="616"/>
      <c r="J610" s="616"/>
      <c r="K610" s="450"/>
      <c r="L610" s="451"/>
      <c r="M610" s="448"/>
      <c r="N610" s="450"/>
      <c r="O610" s="454"/>
      <c r="P610" s="454"/>
    </row>
    <row r="611" spans="4:23" ht="36" customHeight="1" x14ac:dyDescent="0.45">
      <c r="D611" s="616" t="s">
        <v>1194</v>
      </c>
      <c r="E611" s="616"/>
      <c r="F611" s="616"/>
      <c r="G611" s="616"/>
      <c r="H611" s="616"/>
      <c r="I611" s="616"/>
      <c r="J611" s="616"/>
      <c r="K611" s="450">
        <f>B1139</f>
        <v>2</v>
      </c>
      <c r="L611" s="451"/>
      <c r="M611" s="448"/>
      <c r="N611" s="450"/>
      <c r="O611" s="458">
        <f>-SUM(TrialBalance!L4:L11)-SUM(TrialBalanceA!I4:I11)-SUM(TrialBalanceB!I4:I11)-SUM(TrialBalanceC!I4:I11)</f>
        <v>0</v>
      </c>
      <c r="P611" s="454"/>
      <c r="S611" s="495">
        <f>O611</f>
        <v>0</v>
      </c>
      <c r="T611" s="495"/>
      <c r="U611" s="491" t="b">
        <f>O611=O1150</f>
        <v>1</v>
      </c>
    </row>
    <row r="612" spans="4:23" ht="36" customHeight="1" x14ac:dyDescent="0.45">
      <c r="D612" s="616"/>
      <c r="E612" s="616"/>
      <c r="F612" s="616"/>
      <c r="G612" s="616"/>
      <c r="H612" s="616"/>
      <c r="I612" s="616"/>
      <c r="J612" s="616"/>
      <c r="K612" s="450"/>
      <c r="L612" s="451"/>
      <c r="M612" s="448"/>
      <c r="N612" s="450"/>
      <c r="O612" s="458"/>
      <c r="P612" s="454"/>
    </row>
    <row r="613" spans="4:23" ht="36" customHeight="1" x14ac:dyDescent="0.45">
      <c r="D613" s="616" t="s">
        <v>1490</v>
      </c>
      <c r="E613" s="616"/>
      <c r="F613" s="616"/>
      <c r="G613" s="616"/>
      <c r="H613" s="616"/>
      <c r="I613" s="616"/>
      <c r="J613" s="616"/>
      <c r="K613" s="450"/>
      <c r="L613" s="451"/>
      <c r="M613" s="448"/>
      <c r="N613" s="450"/>
      <c r="O613" s="465">
        <f>-SUM(TrialBalance!L12:L26)-SUM(TrialBalanceA!I12:I26)-SUM(TrialBalanceB!I12:I26)-SUM(TrialBalanceC!I12:I26)</f>
        <v>0</v>
      </c>
      <c r="P613" s="454"/>
      <c r="R613" s="490" t="str">
        <f t="shared" ref="R613" si="11">IF(O613=0,"DELETE"," ")</f>
        <v>DELETE</v>
      </c>
      <c r="S613" s="495">
        <f>O613</f>
        <v>0</v>
      </c>
      <c r="T613" s="495"/>
    </row>
    <row r="614" spans="4:23" ht="9" customHeight="1" x14ac:dyDescent="0.45">
      <c r="D614" s="616"/>
      <c r="E614" s="616"/>
      <c r="F614" s="616"/>
      <c r="G614" s="616"/>
      <c r="H614" s="616"/>
      <c r="I614" s="616"/>
      <c r="J614" s="616"/>
      <c r="K614" s="450"/>
      <c r="L614" s="451"/>
      <c r="M614" s="448"/>
      <c r="N614" s="450"/>
      <c r="O614" s="461"/>
      <c r="P614" s="454"/>
      <c r="R614" s="490" t="str">
        <f>R613</f>
        <v>DELETE</v>
      </c>
    </row>
    <row r="615" spans="4:23" ht="9" customHeight="1" x14ac:dyDescent="0.45">
      <c r="D615" s="616"/>
      <c r="E615" s="616"/>
      <c r="F615" s="616"/>
      <c r="G615" s="616"/>
      <c r="H615" s="616"/>
      <c r="I615" s="616"/>
      <c r="J615" s="616"/>
      <c r="K615" s="450"/>
      <c r="L615" s="451"/>
      <c r="M615" s="448"/>
      <c r="N615" s="450"/>
      <c r="O615" s="458"/>
      <c r="P615" s="454"/>
      <c r="R615" s="490" t="str">
        <f>R614</f>
        <v>DELETE</v>
      </c>
    </row>
    <row r="616" spans="4:23" ht="36" customHeight="1" x14ac:dyDescent="0.45">
      <c r="D616" s="628" t="str">
        <f>IF(W616=2,"Gross profit","Gross loss")</f>
        <v>Gross profit</v>
      </c>
      <c r="E616" s="616"/>
      <c r="F616" s="616"/>
      <c r="G616" s="616"/>
      <c r="H616" s="616"/>
      <c r="I616" s="616"/>
      <c r="J616" s="638"/>
      <c r="K616" s="466"/>
      <c r="L616" s="451"/>
      <c r="M616" s="448"/>
      <c r="N616" s="450"/>
      <c r="O616" s="458">
        <f>SUM(S611:S613)</f>
        <v>0</v>
      </c>
      <c r="P616" s="454"/>
      <c r="R616" s="490" t="str">
        <f>R615</f>
        <v>DELETE</v>
      </c>
      <c r="W616" s="491">
        <f>IF(O616&lt;0,1,2)</f>
        <v>2</v>
      </c>
    </row>
    <row r="617" spans="4:23" ht="36" customHeight="1" x14ac:dyDescent="0.45">
      <c r="D617" s="616"/>
      <c r="E617" s="616"/>
      <c r="F617" s="616"/>
      <c r="G617" s="616"/>
      <c r="H617" s="616"/>
      <c r="I617" s="616"/>
      <c r="J617" s="616"/>
      <c r="K617" s="450"/>
      <c r="L617" s="451"/>
      <c r="M617" s="448"/>
      <c r="N617" s="450"/>
      <c r="O617" s="458"/>
      <c r="P617" s="454"/>
      <c r="R617" s="490" t="str">
        <f>R616</f>
        <v>DELETE</v>
      </c>
    </row>
    <row r="618" spans="4:23" ht="36" customHeight="1" x14ac:dyDescent="0.45">
      <c r="D618" s="616" t="s">
        <v>1491</v>
      </c>
      <c r="E618" s="616"/>
      <c r="F618" s="616"/>
      <c r="G618" s="616"/>
      <c r="H618" s="616"/>
      <c r="I618" s="616"/>
      <c r="J618" s="616"/>
      <c r="K618" s="450">
        <f>B1167</f>
        <v>3</v>
      </c>
      <c r="L618" s="451"/>
      <c r="M618" s="448"/>
      <c r="N618" s="450"/>
      <c r="O618" s="458">
        <f>-SUM(TrialBalance!L27:L33)-SUM(TrialBalanceA!I27:I33)-SUM(TrialBalanceB!I27:I33)-SUM(TrialBalanceC!I27:I33)</f>
        <v>0</v>
      </c>
      <c r="P618" s="454"/>
      <c r="R618" s="490" t="str">
        <f t="shared" ref="R618:R622" si="12">IF(O618=0,"DELETE"," ")</f>
        <v>DELETE</v>
      </c>
      <c r="S618" s="495">
        <f>O618</f>
        <v>0</v>
      </c>
      <c r="T618" s="495"/>
      <c r="U618" s="491" t="b">
        <f>O618=O1195</f>
        <v>1</v>
      </c>
    </row>
    <row r="619" spans="4:23" ht="36" customHeight="1" x14ac:dyDescent="0.45">
      <c r="D619" s="616"/>
      <c r="E619" s="616"/>
      <c r="F619" s="616"/>
      <c r="G619" s="616"/>
      <c r="H619" s="616"/>
      <c r="I619" s="616"/>
      <c r="J619" s="616"/>
      <c r="K619" s="450"/>
      <c r="L619" s="451"/>
      <c r="M619" s="448"/>
      <c r="N619" s="450"/>
      <c r="O619" s="458"/>
      <c r="P619" s="454"/>
      <c r="R619" s="490" t="str">
        <f>R618</f>
        <v>DELETE</v>
      </c>
    </row>
    <row r="620" spans="4:23" ht="36" customHeight="1" x14ac:dyDescent="0.45">
      <c r="D620" s="616" t="s">
        <v>47</v>
      </c>
      <c r="E620" s="616"/>
      <c r="F620" s="616"/>
      <c r="G620" s="616"/>
      <c r="H620" s="616"/>
      <c r="I620" s="616"/>
      <c r="J620" s="616"/>
      <c r="K620" s="450"/>
      <c r="L620" s="451"/>
      <c r="M620" s="448"/>
      <c r="N620" s="450"/>
      <c r="O620" s="463">
        <f>-SUM(TrialBalance!L39:L82)-SUM(TrialBalanceA!I39:I82)-SUM(TrialBalanceB!I39:I82)-SUM(TrialBalanceC!I39:I82)</f>
        <v>0</v>
      </c>
      <c r="P620" s="454"/>
      <c r="R620" s="490" t="str">
        <f t="shared" si="12"/>
        <v>DELETE</v>
      </c>
      <c r="S620" s="495">
        <f>O620</f>
        <v>0</v>
      </c>
      <c r="T620" s="495"/>
    </row>
    <row r="621" spans="4:23" ht="36" customHeight="1" x14ac:dyDescent="0.45">
      <c r="D621" s="616"/>
      <c r="E621" s="616"/>
      <c r="F621" s="616"/>
      <c r="G621" s="616"/>
      <c r="H621" s="616"/>
      <c r="I621" s="616"/>
      <c r="J621" s="616"/>
      <c r="K621" s="450"/>
      <c r="L621" s="451"/>
      <c r="M621" s="448"/>
      <c r="N621" s="450"/>
      <c r="O621" s="458"/>
      <c r="P621" s="454"/>
      <c r="R621" s="490" t="str">
        <f>R620</f>
        <v>DELETE</v>
      </c>
    </row>
    <row r="622" spans="4:23" ht="36" customHeight="1" x14ac:dyDescent="0.45">
      <c r="D622" s="616" t="s">
        <v>1492</v>
      </c>
      <c r="E622" s="616"/>
      <c r="F622" s="616"/>
      <c r="G622" s="616"/>
      <c r="H622" s="616"/>
      <c r="I622" s="616"/>
      <c r="J622" s="616"/>
      <c r="K622" s="450"/>
      <c r="L622" s="451"/>
      <c r="M622" s="448"/>
      <c r="N622" s="450"/>
      <c r="O622" s="463">
        <f>-SUM(TrialBalance!L98:L141)-SUM(TrialBalance!L156:L156)-IF(TrialBalance!L94&lt;0,0,TrialBalance!L94)-SUM(TrialBalanceA!I98:I141)-SUM(TrialBalanceA!I156:I156)-IF(TrialBalanceA!I94&lt;0,0,TrialBalanceA!I94)-SUM(TrialBalanceB!I98:I141)-SUM(TrialBalanceB!I156:I156)-IF(TrialBalanceB!I94&lt;0,0,TrialBalanceB!I94)-SUM(TrialBalanceC!I98:I141)-SUM(TrialBalanceC!I156:I156)-IF(TrialBalanceC!I94&lt;0,0,TrialBalanceC!I94)</f>
        <v>0</v>
      </c>
      <c r="P622" s="454"/>
      <c r="R622" s="490" t="str">
        <f t="shared" si="12"/>
        <v>DELETE</v>
      </c>
      <c r="S622" s="495">
        <f>O622</f>
        <v>0</v>
      </c>
      <c r="T622" s="495"/>
    </row>
    <row r="623" spans="4:23" ht="36" customHeight="1" x14ac:dyDescent="0.45">
      <c r="D623" s="616"/>
      <c r="E623" s="616"/>
      <c r="F623" s="616"/>
      <c r="G623" s="616"/>
      <c r="H623" s="616"/>
      <c r="I623" s="616"/>
      <c r="J623" s="616"/>
      <c r="K623" s="450"/>
      <c r="L623" s="451"/>
      <c r="M623" s="448"/>
      <c r="N623" s="450"/>
      <c r="O623" s="458"/>
      <c r="P623" s="454"/>
      <c r="R623" s="490" t="str">
        <f>R622</f>
        <v>DELETE</v>
      </c>
    </row>
    <row r="624" spans="4:23" ht="9" customHeight="1" x14ac:dyDescent="0.45">
      <c r="D624" s="616"/>
      <c r="E624" s="616"/>
      <c r="F624" s="616"/>
      <c r="G624" s="616"/>
      <c r="H624" s="616"/>
      <c r="I624" s="616"/>
      <c r="J624" s="616"/>
      <c r="K624" s="450"/>
      <c r="L624" s="451"/>
      <c r="M624" s="448"/>
      <c r="N624" s="450"/>
      <c r="O624" s="461"/>
      <c r="P624" s="454"/>
      <c r="R624" s="490" t="str">
        <f>R626</f>
        <v>DELETE</v>
      </c>
    </row>
    <row r="625" spans="4:25" ht="9" customHeight="1" x14ac:dyDescent="0.45">
      <c r="D625" s="616"/>
      <c r="E625" s="616"/>
      <c r="F625" s="616"/>
      <c r="G625" s="616"/>
      <c r="H625" s="616"/>
      <c r="I625" s="616"/>
      <c r="J625" s="616"/>
      <c r="K625" s="450"/>
      <c r="L625" s="451"/>
      <c r="M625" s="448"/>
      <c r="N625" s="450"/>
      <c r="O625" s="458"/>
      <c r="P625" s="454"/>
      <c r="R625" s="490" t="str">
        <f>R626</f>
        <v>DELETE</v>
      </c>
    </row>
    <row r="626" spans="4:25" ht="36" customHeight="1" x14ac:dyDescent="0.45">
      <c r="D626" s="628" t="str">
        <f>IF(W626=2,"Operating profit","Operating loss")</f>
        <v>Operating profit</v>
      </c>
      <c r="E626" s="616"/>
      <c r="F626" s="616"/>
      <c r="G626" s="616"/>
      <c r="H626" s="616"/>
      <c r="I626" s="616"/>
      <c r="J626" s="616"/>
      <c r="K626" s="450">
        <f>B1212</f>
        <v>4</v>
      </c>
      <c r="L626" s="451"/>
      <c r="M626" s="448"/>
      <c r="N626" s="450"/>
      <c r="O626" s="458">
        <f>SUM(S611:S623)</f>
        <v>0</v>
      </c>
      <c r="P626" s="454"/>
      <c r="R626" s="490" t="str">
        <f t="shared" ref="R626:R630" si="13">IF(O626=0,"DELETE"," ")</f>
        <v>DELETE</v>
      </c>
      <c r="W626" s="491">
        <f>IF(O626&lt;0,1,2)</f>
        <v>2</v>
      </c>
      <c r="Y626" s="491"/>
    </row>
    <row r="627" spans="4:25" ht="36" customHeight="1" x14ac:dyDescent="0.45">
      <c r="D627" s="616"/>
      <c r="E627" s="616"/>
      <c r="F627" s="616"/>
      <c r="G627" s="616"/>
      <c r="H627" s="616"/>
      <c r="I627" s="616"/>
      <c r="J627" s="616"/>
      <c r="K627" s="450"/>
      <c r="L627" s="451"/>
      <c r="M627" s="448"/>
      <c r="N627" s="450"/>
      <c r="O627" s="458"/>
      <c r="P627" s="454"/>
      <c r="R627" s="490" t="str">
        <f>R626</f>
        <v>DELETE</v>
      </c>
    </row>
    <row r="628" spans="4:25" ht="36" customHeight="1" x14ac:dyDescent="0.45">
      <c r="D628" s="616" t="s">
        <v>225</v>
      </c>
      <c r="E628" s="616"/>
      <c r="F628" s="616"/>
      <c r="G628" s="616"/>
      <c r="H628" s="616"/>
      <c r="I628" s="616"/>
      <c r="J628" s="616"/>
      <c r="K628" s="450">
        <f>B1325</f>
        <v>5</v>
      </c>
      <c r="L628" s="451"/>
      <c r="M628" s="448"/>
      <c r="N628" s="450"/>
      <c r="O628" s="458">
        <f>-SUM(TrialBalance!L83:L93)-SUM(TrialBalance!L95:L96)+IF(TrialBalance!L94&lt;0,-TrialBalance!L94,0)-SUM(TrialBalanceA!I83:I93)-SUM(TrialBalanceA!I95:I96)+IF(TrialBalanceA!I94&lt;0,-TrialBalanceA!I94,0)-SUM(TrialBalanceB!I83:I93)-SUM(TrialBalanceB!I95:I96)+IF(TrialBalanceB!I94&lt;0,-TrialBalanceB!I94,0)-SUM(TrialBalanceC!I83:I93)-SUM(TrialBalanceC!I95:I96)+IF(TrialBalanceC!I94&lt;0,-TrialBalanceC!I94,0)</f>
        <v>0</v>
      </c>
      <c r="P628" s="454"/>
      <c r="R628" s="490" t="str">
        <f t="shared" si="13"/>
        <v>DELETE</v>
      </c>
      <c r="S628" s="495">
        <f>O628</f>
        <v>0</v>
      </c>
      <c r="T628" s="495"/>
      <c r="U628" s="491" t="b">
        <f>O628=O1367</f>
        <v>1</v>
      </c>
    </row>
    <row r="629" spans="4:25" ht="36" customHeight="1" x14ac:dyDescent="0.45">
      <c r="D629" s="616"/>
      <c r="E629" s="616"/>
      <c r="F629" s="616"/>
      <c r="G629" s="616"/>
      <c r="H629" s="616"/>
      <c r="I629" s="616"/>
      <c r="J629" s="616"/>
      <c r="K629" s="450"/>
      <c r="L629" s="451"/>
      <c r="M629" s="448"/>
      <c r="N629" s="450"/>
      <c r="O629" s="458"/>
      <c r="P629" s="454"/>
      <c r="R629" s="490" t="str">
        <f>R628</f>
        <v>DELETE</v>
      </c>
    </row>
    <row r="630" spans="4:25" ht="36" customHeight="1" x14ac:dyDescent="0.45">
      <c r="D630" s="616" t="s">
        <v>1493</v>
      </c>
      <c r="E630" s="616"/>
      <c r="F630" s="616"/>
      <c r="G630" s="616"/>
      <c r="H630" s="616"/>
      <c r="I630" s="616"/>
      <c r="J630" s="616"/>
      <c r="K630" s="450">
        <f>B1384</f>
        <v>6</v>
      </c>
      <c r="L630" s="451"/>
      <c r="M630" s="448"/>
      <c r="N630" s="450"/>
      <c r="O630" s="463">
        <f>-SUM(TrialBalance!L142:L154)-SUM(TrialBalanceA!I142:I154)-SUM(TrialBalanceB!I142:I154)-SUM(TrialBalanceC!I142:I154)</f>
        <v>0</v>
      </c>
      <c r="P630" s="454"/>
      <c r="R630" s="490" t="str">
        <f t="shared" si="13"/>
        <v>DELETE</v>
      </c>
      <c r="S630" s="495">
        <f>O630</f>
        <v>0</v>
      </c>
      <c r="T630" s="495"/>
      <c r="U630" s="491" t="b">
        <f>-O630=O1432</f>
        <v>1</v>
      </c>
    </row>
    <row r="631" spans="4:25" ht="36" customHeight="1" x14ac:dyDescent="0.45">
      <c r="D631" s="616"/>
      <c r="E631" s="616"/>
      <c r="F631" s="616"/>
      <c r="G631" s="616"/>
      <c r="H631" s="616"/>
      <c r="I631" s="616"/>
      <c r="J631" s="616"/>
      <c r="K631" s="450"/>
      <c r="L631" s="451"/>
      <c r="M631" s="448"/>
      <c r="N631" s="450"/>
      <c r="O631" s="458"/>
      <c r="P631" s="454"/>
      <c r="R631" s="490" t="str">
        <f>R630</f>
        <v>DELETE</v>
      </c>
    </row>
    <row r="632" spans="4:25" ht="9" customHeight="1" x14ac:dyDescent="0.45">
      <c r="D632" s="616"/>
      <c r="E632" s="616"/>
      <c r="F632" s="616"/>
      <c r="G632" s="616"/>
      <c r="H632" s="616"/>
      <c r="I632" s="616"/>
      <c r="J632" s="616"/>
      <c r="K632" s="450"/>
      <c r="L632" s="451"/>
      <c r="M632" s="448"/>
      <c r="N632" s="450"/>
      <c r="O632" s="461"/>
      <c r="P632" s="454"/>
    </row>
    <row r="633" spans="4:25" ht="9" customHeight="1" x14ac:dyDescent="0.45">
      <c r="D633" s="616"/>
      <c r="E633" s="616"/>
      <c r="F633" s="616"/>
      <c r="G633" s="616"/>
      <c r="H633" s="616"/>
      <c r="I633" s="616"/>
      <c r="J633" s="616"/>
      <c r="K633" s="450"/>
      <c r="L633" s="451"/>
      <c r="M633" s="448"/>
      <c r="N633" s="450"/>
      <c r="O633" s="458"/>
      <c r="P633" s="454"/>
    </row>
    <row r="634" spans="4:25" ht="36" customHeight="1" x14ac:dyDescent="0.45">
      <c r="D634" s="628" t="str">
        <f>IF(W634=2,"Net profit before taxation","Net loss before taxation")</f>
        <v>Net profit before taxation</v>
      </c>
      <c r="E634" s="616"/>
      <c r="F634" s="616"/>
      <c r="G634" s="616"/>
      <c r="H634" s="616"/>
      <c r="I634" s="616"/>
      <c r="J634" s="616"/>
      <c r="K634" s="450"/>
      <c r="L634" s="451"/>
      <c r="M634" s="448"/>
      <c r="N634" s="450"/>
      <c r="O634" s="458">
        <f>SUM(S611:S632)</f>
        <v>0</v>
      </c>
      <c r="P634" s="454"/>
      <c r="W634" s="491">
        <f>IF(O634&lt;0,1,2)</f>
        <v>2</v>
      </c>
    </row>
    <row r="635" spans="4:25" ht="36" customHeight="1" x14ac:dyDescent="0.45">
      <c r="D635" s="616"/>
      <c r="E635" s="616"/>
      <c r="F635" s="616"/>
      <c r="G635" s="616"/>
      <c r="H635" s="616"/>
      <c r="I635" s="616"/>
      <c r="J635" s="616"/>
      <c r="K635" s="450"/>
      <c r="L635" s="451"/>
      <c r="M635" s="448"/>
      <c r="N635" s="450"/>
      <c r="O635" s="458"/>
      <c r="P635" s="454"/>
    </row>
    <row r="636" spans="4:25" ht="36" customHeight="1" x14ac:dyDescent="0.45">
      <c r="D636" s="616" t="s">
        <v>978</v>
      </c>
      <c r="E636" s="616"/>
      <c r="F636" s="616"/>
      <c r="G636" s="616"/>
      <c r="H636" s="616"/>
      <c r="I636" s="616"/>
      <c r="J636" s="616"/>
      <c r="K636" s="450">
        <f>B1469</f>
        <v>8</v>
      </c>
      <c r="L636" s="451"/>
      <c r="M636" s="448"/>
      <c r="N636" s="450"/>
      <c r="O636" s="463">
        <f>-SUM(TrialBalance!L157:L163)</f>
        <v>0</v>
      </c>
      <c r="P636" s="454"/>
      <c r="S636" s="495">
        <f>O636</f>
        <v>0</v>
      </c>
      <c r="U636" s="491" t="b">
        <f>-O636=O1490</f>
        <v>1</v>
      </c>
    </row>
    <row r="637" spans="4:25" ht="8.25" customHeight="1" x14ac:dyDescent="0.45">
      <c r="D637" s="616"/>
      <c r="E637" s="616"/>
      <c r="F637" s="616"/>
      <c r="G637" s="616"/>
      <c r="H637" s="616"/>
      <c r="I637" s="616"/>
      <c r="J637" s="616"/>
      <c r="K637" s="450"/>
      <c r="L637" s="451"/>
      <c r="M637" s="448"/>
      <c r="N637" s="450"/>
      <c r="O637" s="570"/>
      <c r="P637" s="454"/>
      <c r="R637" s="490" t="str">
        <f t="shared" ref="R637:R639" si="14">R$641</f>
        <v>DELETE</v>
      </c>
    </row>
    <row r="638" spans="4:25" ht="8.25" customHeight="1" x14ac:dyDescent="0.45">
      <c r="D638" s="616"/>
      <c r="E638" s="616"/>
      <c r="F638" s="616"/>
      <c r="G638" s="616"/>
      <c r="H638" s="616"/>
      <c r="I638" s="616"/>
      <c r="J638" s="616"/>
      <c r="K638" s="450"/>
      <c r="L638" s="451"/>
      <c r="M638" s="448"/>
      <c r="N638" s="450"/>
      <c r="O638" s="463"/>
      <c r="P638" s="454"/>
      <c r="R638" s="490" t="str">
        <f t="shared" si="14"/>
        <v>DELETE</v>
      </c>
    </row>
    <row r="639" spans="4:25" ht="36" customHeight="1" x14ac:dyDescent="0.45">
      <c r="D639" s="628" t="str">
        <f>IF(W639=2,"Profit before other comprehensive income","Loss before other comprehensive income")</f>
        <v>Profit before other comprehensive income</v>
      </c>
      <c r="E639" s="616"/>
      <c r="F639" s="616"/>
      <c r="G639" s="616"/>
      <c r="H639" s="616"/>
      <c r="I639" s="616"/>
      <c r="J639" s="616"/>
      <c r="K639" s="450"/>
      <c r="L639" s="451"/>
      <c r="M639" s="448"/>
      <c r="N639" s="450"/>
      <c r="O639" s="463">
        <f>SUM(S611:S637)</f>
        <v>0</v>
      </c>
      <c r="P639" s="454"/>
      <c r="R639" s="490" t="str">
        <f t="shared" si="14"/>
        <v>DELETE</v>
      </c>
      <c r="W639" s="491">
        <f>IF(O639&lt;0,1,2)</f>
        <v>2</v>
      </c>
    </row>
    <row r="640" spans="4:25" ht="36" customHeight="1" x14ac:dyDescent="0.45">
      <c r="D640" s="616"/>
      <c r="E640" s="616"/>
      <c r="F640" s="616"/>
      <c r="G640" s="616"/>
      <c r="H640" s="616"/>
      <c r="I640" s="616"/>
      <c r="J640" s="616"/>
      <c r="K640" s="450"/>
      <c r="L640" s="451"/>
      <c r="M640" s="448"/>
      <c r="N640" s="450"/>
      <c r="O640" s="463"/>
      <c r="P640" s="454"/>
      <c r="R640" s="490" t="str">
        <f>R$641</f>
        <v>DELETE</v>
      </c>
    </row>
    <row r="641" spans="4:23" ht="36" customHeight="1" x14ac:dyDescent="0.45">
      <c r="D641" s="628" t="s">
        <v>1745</v>
      </c>
      <c r="E641" s="616"/>
      <c r="F641" s="616"/>
      <c r="G641" s="616"/>
      <c r="H641" s="616"/>
      <c r="I641" s="616"/>
      <c r="J641" s="616"/>
      <c r="K641" s="450">
        <f>B1448</f>
        <v>7</v>
      </c>
      <c r="L641" s="451"/>
      <c r="M641" s="448"/>
      <c r="N641" s="450"/>
      <c r="O641" s="458">
        <f>-TrialBalance!L97-TrialBalanceA!I97-TrialBalanceB!I97-TrialBalanceC!I97</f>
        <v>0</v>
      </c>
      <c r="P641" s="454"/>
      <c r="R641" s="490" t="str">
        <f>IF(O641=0,"DELETE"," ")</f>
        <v>DELETE</v>
      </c>
      <c r="S641" s="495">
        <f>O641</f>
        <v>0</v>
      </c>
      <c r="U641" s="491" t="b">
        <f>O641=O1453</f>
        <v>1</v>
      </c>
    </row>
    <row r="642" spans="4:23" ht="9" customHeight="1" x14ac:dyDescent="0.45">
      <c r="D642" s="616"/>
      <c r="E642" s="616"/>
      <c r="F642" s="616"/>
      <c r="G642" s="616"/>
      <c r="H642" s="616"/>
      <c r="I642" s="616"/>
      <c r="J642" s="616"/>
      <c r="K642" s="450"/>
      <c r="L642" s="451"/>
      <c r="M642" s="448"/>
      <c r="N642" s="450"/>
      <c r="O642" s="461"/>
      <c r="P642" s="454"/>
      <c r="U642" s="498"/>
      <c r="V642" s="498"/>
    </row>
    <row r="643" spans="4:23" ht="9" customHeight="1" x14ac:dyDescent="0.45">
      <c r="D643" s="616"/>
      <c r="E643" s="616"/>
      <c r="F643" s="616"/>
      <c r="G643" s="616"/>
      <c r="H643" s="616"/>
      <c r="I643" s="616"/>
      <c r="J643" s="616"/>
      <c r="K643" s="450"/>
      <c r="L643" s="451"/>
      <c r="M643" s="448"/>
      <c r="N643" s="450"/>
      <c r="O643" s="458"/>
      <c r="P643" s="454"/>
    </row>
    <row r="644" spans="4:23" ht="36.75" customHeight="1" x14ac:dyDescent="0.45">
      <c r="D644" s="628" t="str">
        <f>IF(W644=2,"Total comprehensive income for the year","Total comprehensive loss for the year")</f>
        <v>Total comprehensive income for the year</v>
      </c>
      <c r="E644" s="616"/>
      <c r="F644" s="616"/>
      <c r="G644" s="616"/>
      <c r="H644" s="616"/>
      <c r="I644" s="616"/>
      <c r="J644" s="616"/>
      <c r="K644" s="450"/>
      <c r="L644" s="451"/>
      <c r="M644" s="448"/>
      <c r="N644" s="450"/>
      <c r="O644" s="458">
        <f>SUM(S611:S642)</f>
        <v>0</v>
      </c>
      <c r="P644" s="454"/>
      <c r="U644" s="491" t="b">
        <f>O644=-SUM(TrialBalance!L5:L33)-SUM(TrialBalance!L39:L163)-SUM(TrialBalanceA!I5:I163)-SUM(TrialBalanceB!I5:I163)-SUM(TrialBalanceC!I5:I163)</f>
        <v>1</v>
      </c>
      <c r="W644" s="491">
        <f>IF(O644&lt;0,1,2)</f>
        <v>2</v>
      </c>
    </row>
    <row r="645" spans="4:23" ht="9" customHeight="1" thickBot="1" x14ac:dyDescent="0.5">
      <c r="D645" s="616"/>
      <c r="E645" s="616"/>
      <c r="F645" s="616"/>
      <c r="G645" s="616"/>
      <c r="H645" s="616"/>
      <c r="I645" s="616"/>
      <c r="J645" s="616"/>
      <c r="K645" s="450"/>
      <c r="L645" s="451"/>
      <c r="M645" s="448"/>
      <c r="N645" s="450"/>
      <c r="O645" s="462"/>
      <c r="P645" s="454"/>
    </row>
    <row r="646" spans="4:23" ht="9" customHeight="1" thickTop="1" x14ac:dyDescent="0.45">
      <c r="D646" s="616"/>
      <c r="E646" s="616"/>
      <c r="F646" s="616"/>
      <c r="G646" s="616"/>
      <c r="H646" s="616"/>
      <c r="I646" s="616"/>
      <c r="J646" s="616"/>
      <c r="K646" s="450"/>
      <c r="L646" s="451"/>
      <c r="M646" s="448"/>
      <c r="N646" s="450"/>
      <c r="O646" s="458"/>
      <c r="P646" s="454"/>
    </row>
    <row r="647" spans="4:23" ht="36" customHeight="1" x14ac:dyDescent="0.45">
      <c r="D647" s="616"/>
      <c r="E647" s="616"/>
      <c r="F647" s="616"/>
      <c r="G647" s="616"/>
      <c r="H647" s="616"/>
      <c r="I647" s="616"/>
      <c r="J647" s="616"/>
      <c r="K647" s="450"/>
      <c r="L647" s="451"/>
      <c r="M647" s="448"/>
      <c r="N647" s="450"/>
      <c r="O647" s="454"/>
      <c r="P647" s="454"/>
      <c r="U647" s="491" t="b">
        <f>O644=O2898</f>
        <v>1</v>
      </c>
    </row>
    <row r="648" spans="4:23" ht="36" customHeight="1" x14ac:dyDescent="0.45">
      <c r="D648" s="616"/>
      <c r="E648" s="616"/>
      <c r="F648" s="616"/>
      <c r="G648" s="616"/>
      <c r="H648" s="616"/>
      <c r="I648" s="616"/>
      <c r="J648" s="616"/>
      <c r="K648" s="450"/>
      <c r="L648" s="451"/>
      <c r="M648" s="448"/>
      <c r="N648" s="450"/>
      <c r="O648" s="454"/>
      <c r="P648" s="454"/>
    </row>
    <row r="649" spans="4:23" ht="36" customHeight="1" x14ac:dyDescent="0.45">
      <c r="D649" s="616"/>
      <c r="E649" s="616"/>
      <c r="F649" s="616"/>
      <c r="G649" s="616"/>
      <c r="H649" s="616"/>
      <c r="I649" s="616"/>
      <c r="J649" s="616"/>
      <c r="K649" s="450"/>
      <c r="L649" s="451"/>
      <c r="M649" s="448"/>
      <c r="N649" s="450"/>
      <c r="O649" s="454"/>
      <c r="P649" s="454"/>
    </row>
    <row r="650" spans="4:23" ht="36" customHeight="1" x14ac:dyDescent="0.45">
      <c r="D650" s="616"/>
      <c r="E650" s="616"/>
      <c r="F650" s="616"/>
      <c r="G650" s="616"/>
      <c r="H650" s="616"/>
      <c r="I650" s="616"/>
      <c r="J650" s="616"/>
      <c r="K650" s="450"/>
      <c r="L650" s="451"/>
      <c r="M650" s="448"/>
      <c r="N650" s="450"/>
      <c r="O650" s="454"/>
      <c r="P650" s="454"/>
    </row>
    <row r="651" spans="4:23" ht="36" customHeight="1" x14ac:dyDescent="0.45">
      <c r="D651" s="616"/>
      <c r="E651" s="616"/>
      <c r="F651" s="616"/>
      <c r="G651" s="616"/>
      <c r="H651" s="616"/>
      <c r="I651" s="616"/>
      <c r="J651" s="616"/>
      <c r="K651" s="450"/>
      <c r="L651" s="451"/>
      <c r="M651" s="448"/>
      <c r="N651" s="450"/>
      <c r="O651" s="454"/>
      <c r="P651" s="454"/>
    </row>
    <row r="652" spans="4:23" ht="36" customHeight="1" x14ac:dyDescent="0.45">
      <c r="D652" s="616"/>
      <c r="E652" s="616"/>
      <c r="F652" s="616"/>
      <c r="G652" s="616"/>
      <c r="H652" s="616"/>
      <c r="I652" s="616"/>
      <c r="J652" s="616"/>
      <c r="K652" s="450"/>
      <c r="L652" s="451"/>
      <c r="M652" s="448"/>
      <c r="N652" s="450"/>
      <c r="O652" s="454"/>
      <c r="P652" s="454"/>
    </row>
    <row r="653" spans="4:23" ht="36" customHeight="1" x14ac:dyDescent="0.45">
      <c r="D653" s="616"/>
      <c r="E653" s="616"/>
      <c r="F653" s="616"/>
      <c r="G653" s="616"/>
      <c r="H653" s="616"/>
      <c r="I653" s="616"/>
      <c r="J653" s="616"/>
      <c r="K653" s="450"/>
      <c r="L653" s="451"/>
      <c r="M653" s="448"/>
      <c r="N653" s="450"/>
      <c r="O653" s="454"/>
      <c r="P653" s="454"/>
    </row>
    <row r="654" spans="4:23" ht="36" customHeight="1" x14ac:dyDescent="0.45">
      <c r="D654" s="616"/>
      <c r="E654" s="616"/>
      <c r="F654" s="616"/>
      <c r="G654" s="616"/>
      <c r="H654" s="616"/>
      <c r="I654" s="616"/>
      <c r="J654" s="616"/>
      <c r="K654" s="450"/>
      <c r="L654" s="451"/>
      <c r="M654" s="448"/>
      <c r="N654" s="450"/>
      <c r="O654" s="454"/>
      <c r="P654" s="454"/>
    </row>
    <row r="655" spans="4:23" ht="36" customHeight="1" x14ac:dyDescent="0.45">
      <c r="D655" s="616"/>
      <c r="E655" s="616"/>
      <c r="F655" s="616"/>
      <c r="G655" s="616"/>
      <c r="H655" s="616"/>
      <c r="I655" s="616"/>
      <c r="J655" s="616"/>
      <c r="K655" s="450"/>
      <c r="L655" s="451"/>
      <c r="M655" s="448"/>
      <c r="N655" s="450"/>
      <c r="O655" s="454"/>
      <c r="P655" s="454"/>
    </row>
    <row r="656" spans="4:23" ht="36" customHeight="1" x14ac:dyDescent="0.45">
      <c r="D656" s="616"/>
      <c r="E656" s="616"/>
      <c r="F656" s="616"/>
      <c r="G656" s="616"/>
      <c r="H656" s="616"/>
      <c r="I656" s="616"/>
      <c r="J656" s="616"/>
      <c r="K656" s="450"/>
      <c r="L656" s="451"/>
      <c r="M656" s="448"/>
      <c r="N656" s="450"/>
      <c r="O656" s="454"/>
      <c r="P656" s="454"/>
    </row>
    <row r="657" spans="3:22" ht="36" customHeight="1" x14ac:dyDescent="0.45">
      <c r="D657" s="616"/>
      <c r="E657" s="616"/>
      <c r="F657" s="616"/>
      <c r="G657" s="616"/>
      <c r="H657" s="616"/>
      <c r="I657" s="616"/>
      <c r="J657" s="616"/>
      <c r="K657" s="450"/>
      <c r="L657" s="450"/>
      <c r="M657" s="454"/>
      <c r="N657" s="454"/>
      <c r="O657" s="454"/>
      <c r="P657" s="454"/>
    </row>
    <row r="658" spans="3:22" ht="36" customHeight="1" x14ac:dyDescent="0.45">
      <c r="D658" s="616"/>
      <c r="E658" s="616"/>
      <c r="F658" s="616"/>
      <c r="G658" s="616"/>
      <c r="H658" s="616"/>
      <c r="I658" s="616"/>
      <c r="J658" s="616"/>
      <c r="K658" s="450"/>
      <c r="L658" s="450"/>
      <c r="M658" s="521"/>
      <c r="N658" s="521"/>
      <c r="O658" s="521"/>
      <c r="P658" s="521"/>
    </row>
    <row r="659" spans="3:22" ht="36" customHeight="1" x14ac:dyDescent="0.45">
      <c r="D659" s="616"/>
      <c r="E659" s="616"/>
      <c r="F659" s="616"/>
      <c r="G659" s="616"/>
      <c r="H659" s="616"/>
      <c r="I659" s="616"/>
      <c r="J659" s="616"/>
      <c r="M659" s="540"/>
      <c r="O659" s="540"/>
    </row>
    <row r="660" spans="3:22" ht="36" customHeight="1" x14ac:dyDescent="0.5">
      <c r="C660" s="520"/>
      <c r="D660" s="520"/>
      <c r="E660" s="520"/>
      <c r="F660" s="520"/>
      <c r="G660" s="520"/>
      <c r="H660" s="520"/>
      <c r="I660" s="520"/>
      <c r="J660" s="520"/>
      <c r="M660" s="540"/>
      <c r="O660" s="454" t="s">
        <v>112</v>
      </c>
      <c r="Q660" s="450">
        <f>MAX($Q$103:Q659)+1</f>
        <v>14</v>
      </c>
    </row>
    <row r="661" spans="3:22" ht="36" customHeight="1" x14ac:dyDescent="0.5">
      <c r="C661" s="520"/>
      <c r="D661" s="615" t="str">
        <f>Criteria!E9</f>
        <v>ABC COMPANY (PROPRIETARY) LIMITED</v>
      </c>
      <c r="E661" s="616"/>
      <c r="F661" s="616"/>
      <c r="G661" s="616"/>
      <c r="H661" s="616"/>
      <c r="I661" s="520"/>
      <c r="J661" s="520"/>
      <c r="M661" s="540"/>
      <c r="O661" s="540"/>
      <c r="S661" s="494"/>
      <c r="T661" s="494"/>
      <c r="U661" s="494"/>
      <c r="V661" s="494"/>
    </row>
    <row r="662" spans="3:22" ht="36" customHeight="1" x14ac:dyDescent="0.5">
      <c r="C662" s="520"/>
      <c r="D662" s="615" t="str">
        <f>Criteria!E10</f>
        <v>T/A SEAFRONT HOTEL, ABC RESTAURANT AND RENTAL PROPERTIES</v>
      </c>
      <c r="E662" s="616"/>
      <c r="F662" s="616"/>
      <c r="G662" s="616"/>
      <c r="H662" s="616"/>
      <c r="I662" s="520"/>
      <c r="J662" s="520"/>
      <c r="M662" s="540"/>
      <c r="O662" s="540"/>
      <c r="R662" s="490" t="str">
        <f>IF(D662=0,"DELETE"," ")</f>
        <v xml:space="preserve"> </v>
      </c>
      <c r="S662" s="494"/>
      <c r="T662" s="494"/>
      <c r="U662" s="494"/>
      <c r="V662" s="494"/>
    </row>
    <row r="663" spans="3:22" ht="36" customHeight="1" x14ac:dyDescent="0.5">
      <c r="C663" s="520"/>
      <c r="D663" s="616"/>
      <c r="E663" s="616"/>
      <c r="F663" s="616"/>
      <c r="G663" s="616"/>
      <c r="H663" s="616"/>
      <c r="I663" s="520"/>
      <c r="J663" s="520"/>
      <c r="M663" s="540"/>
      <c r="O663" s="540"/>
      <c r="S663" s="494"/>
      <c r="T663" s="494"/>
      <c r="U663" s="494"/>
      <c r="V663" s="494"/>
    </row>
    <row r="664" spans="3:22" ht="36" customHeight="1" x14ac:dyDescent="0.5">
      <c r="C664" s="520"/>
      <c r="D664" s="615" t="str">
        <f>CONCATENATE("STATEMENT OF FINANCIAL POSITION AS AT ",Criteria!E20)</f>
        <v>STATEMENT OF FINANCIAL POSITION AS AT 28 FEBRUARY 2026</v>
      </c>
      <c r="E664" s="616"/>
      <c r="F664" s="616"/>
      <c r="G664" s="616"/>
      <c r="H664" s="615"/>
      <c r="I664" s="520"/>
      <c r="J664" s="520"/>
      <c r="M664" s="540"/>
      <c r="O664" s="540"/>
    </row>
    <row r="665" spans="3:22" ht="36" customHeight="1" x14ac:dyDescent="0.5">
      <c r="C665" s="520"/>
      <c r="D665" s="616"/>
      <c r="E665" s="616"/>
      <c r="F665" s="616"/>
      <c r="G665" s="616"/>
      <c r="H665" s="616"/>
      <c r="I665" s="520"/>
      <c r="J665" s="520"/>
      <c r="M665" s="540"/>
      <c r="O665" s="540"/>
    </row>
    <row r="666" spans="3:22" ht="36" customHeight="1" x14ac:dyDescent="0.5">
      <c r="C666" s="520"/>
      <c r="D666" s="634"/>
      <c r="E666" s="634"/>
      <c r="F666" s="634"/>
      <c r="G666" s="634"/>
      <c r="H666" s="634"/>
      <c r="I666" s="591"/>
      <c r="J666" s="591"/>
      <c r="K666" s="457"/>
      <c r="L666" s="457"/>
      <c r="M666" s="551"/>
      <c r="N666" s="551"/>
      <c r="O666" s="551"/>
      <c r="P666" s="551"/>
      <c r="Q666" s="457"/>
    </row>
    <row r="667" spans="3:22" ht="36" customHeight="1" x14ac:dyDescent="0.5">
      <c r="C667" s="520"/>
      <c r="D667" s="616"/>
      <c r="E667" s="616"/>
      <c r="F667" s="616"/>
      <c r="G667" s="616"/>
      <c r="H667" s="616"/>
      <c r="I667" s="520"/>
      <c r="J667" s="520"/>
      <c r="K667" s="450" t="s">
        <v>1494</v>
      </c>
      <c r="L667" s="451"/>
      <c r="M667" s="448"/>
      <c r="N667" s="450"/>
      <c r="O667" s="453">
        <f>Criteria!E22</f>
        <v>2026</v>
      </c>
      <c r="P667" s="453"/>
    </row>
    <row r="668" spans="3:22" ht="36" customHeight="1" x14ac:dyDescent="0.5">
      <c r="C668" s="451"/>
      <c r="D668" s="615" t="s">
        <v>121</v>
      </c>
      <c r="E668" s="616"/>
      <c r="F668" s="616"/>
      <c r="G668" s="616"/>
      <c r="H668" s="616"/>
      <c r="I668" s="520"/>
      <c r="J668" s="520"/>
      <c r="K668" s="450"/>
      <c r="L668" s="451"/>
      <c r="M668" s="448"/>
      <c r="N668" s="450"/>
      <c r="O668" s="454"/>
      <c r="P668" s="454"/>
    </row>
    <row r="669" spans="3:22" ht="36" customHeight="1" x14ac:dyDescent="0.5">
      <c r="C669" s="520"/>
      <c r="D669" s="615" t="s">
        <v>1495</v>
      </c>
      <c r="E669" s="616"/>
      <c r="F669" s="616"/>
      <c r="G669" s="616"/>
      <c r="H669" s="616"/>
      <c r="I669" s="520"/>
      <c r="J669" s="520"/>
      <c r="K669" s="450"/>
      <c r="L669" s="451"/>
      <c r="M669" s="448"/>
      <c r="N669" s="450"/>
      <c r="O669" s="458">
        <f>SUM(O671:O681)</f>
        <v>0</v>
      </c>
      <c r="P669" s="454"/>
      <c r="R669" s="490" t="str">
        <f>IF(O669=0,"DELETE"," ")</f>
        <v>DELETE</v>
      </c>
      <c r="S669" s="495">
        <f>O669</f>
        <v>0</v>
      </c>
      <c r="T669" s="495"/>
      <c r="U669" s="495"/>
      <c r="V669" s="495"/>
    </row>
    <row r="670" spans="3:22" ht="9" customHeight="1" x14ac:dyDescent="0.5">
      <c r="C670" s="520"/>
      <c r="D670" s="615"/>
      <c r="E670" s="616"/>
      <c r="F670" s="616"/>
      <c r="G670" s="616"/>
      <c r="H670" s="616"/>
      <c r="I670" s="520"/>
      <c r="J670" s="520"/>
      <c r="K670" s="450"/>
      <c r="L670" s="451"/>
      <c r="M670" s="448"/>
      <c r="N670" s="450"/>
      <c r="O670" s="458"/>
      <c r="P670" s="454"/>
      <c r="R670" s="490" t="str">
        <f>R669</f>
        <v>DELETE</v>
      </c>
    </row>
    <row r="671" spans="3:22" ht="9" customHeight="1" x14ac:dyDescent="0.5">
      <c r="C671" s="520"/>
      <c r="D671" s="615"/>
      <c r="E671" s="616"/>
      <c r="F671" s="616"/>
      <c r="G671" s="616"/>
      <c r="H671" s="616"/>
      <c r="I671" s="520"/>
      <c r="J671" s="520"/>
      <c r="K671" s="450"/>
      <c r="L671" s="451"/>
      <c r="M671" s="448"/>
      <c r="N671" s="450"/>
      <c r="O671" s="587"/>
      <c r="P671" s="454"/>
      <c r="R671" s="490" t="str">
        <f>R669</f>
        <v>DELETE</v>
      </c>
    </row>
    <row r="672" spans="3:22" ht="36" customHeight="1" x14ac:dyDescent="0.5">
      <c r="C672" s="520"/>
      <c r="D672" s="616" t="s">
        <v>1224</v>
      </c>
      <c r="E672" s="616"/>
      <c r="F672" s="616"/>
      <c r="G672" s="616"/>
      <c r="H672" s="616"/>
      <c r="I672" s="520"/>
      <c r="J672" s="520"/>
      <c r="K672" s="450">
        <f>B1571</f>
        <v>9</v>
      </c>
      <c r="L672" s="451"/>
      <c r="M672" s="448"/>
      <c r="N672" s="450"/>
      <c r="O672" s="588">
        <f>SUM(TrialBalance!L229:L239)</f>
        <v>0</v>
      </c>
      <c r="P672" s="454"/>
      <c r="R672" s="490" t="str">
        <f t="shared" ref="R672:R680" si="15">IF(O672=0,"DELETE"," ")</f>
        <v>DELETE</v>
      </c>
      <c r="U672" s="491" t="b">
        <f>O672=O1602</f>
        <v>1</v>
      </c>
    </row>
    <row r="673" spans="3:24" ht="36" customHeight="1" x14ac:dyDescent="0.5">
      <c r="C673" s="520"/>
      <c r="D673" s="616" t="s">
        <v>877</v>
      </c>
      <c r="E673" s="616"/>
      <c r="F673" s="616"/>
      <c r="G673" s="616"/>
      <c r="H673" s="616"/>
      <c r="I673" s="520"/>
      <c r="J673" s="520"/>
      <c r="K673" s="450">
        <f>B1682</f>
        <v>10</v>
      </c>
      <c r="L673" s="451"/>
      <c r="M673" s="448"/>
      <c r="N673" s="450"/>
      <c r="O673" s="588">
        <f>SUM(TrialBalance!L251:L282)</f>
        <v>0</v>
      </c>
      <c r="P673" s="454"/>
      <c r="R673" s="490" t="str">
        <f t="shared" si="15"/>
        <v>DELETE</v>
      </c>
      <c r="U673" s="496" t="b">
        <f>O673=O1709</f>
        <v>1</v>
      </c>
      <c r="V673" s="496"/>
      <c r="X673" s="496"/>
    </row>
    <row r="674" spans="3:24" ht="36" customHeight="1" x14ac:dyDescent="0.5">
      <c r="C674" s="520"/>
      <c r="D674" s="616" t="s">
        <v>1313</v>
      </c>
      <c r="E674" s="616"/>
      <c r="F674" s="616"/>
      <c r="G674" s="616"/>
      <c r="H674" s="616"/>
      <c r="I674" s="520"/>
      <c r="J674" s="520"/>
      <c r="K674" s="450">
        <f>B1754</f>
        <v>11</v>
      </c>
      <c r="L674" s="451"/>
      <c r="M674" s="448"/>
      <c r="N674" s="450"/>
      <c r="O674" s="588">
        <f>SUM(TrialBalance!L240:L250)</f>
        <v>0</v>
      </c>
      <c r="P674" s="454"/>
      <c r="R674" s="490" t="str">
        <f t="shared" si="15"/>
        <v>DELETE</v>
      </c>
      <c r="U674" s="496" t="b">
        <f>O674=O1785</f>
        <v>1</v>
      </c>
      <c r="V674" s="496"/>
      <c r="X674" s="496"/>
    </row>
    <row r="675" spans="3:24" ht="36" customHeight="1" x14ac:dyDescent="0.5">
      <c r="C675" s="520"/>
      <c r="D675" s="616" t="s">
        <v>1296</v>
      </c>
      <c r="E675" s="616"/>
      <c r="F675" s="616"/>
      <c r="G675" s="616"/>
      <c r="H675" s="616"/>
      <c r="I675" s="520"/>
      <c r="J675" s="520"/>
      <c r="K675" s="450">
        <f>B1867</f>
        <v>12</v>
      </c>
      <c r="L675" s="451"/>
      <c r="M675" s="448"/>
      <c r="N675" s="450"/>
      <c r="O675" s="588">
        <f>SUM(TrialBalance!L285:L301)</f>
        <v>0</v>
      </c>
      <c r="P675" s="454"/>
      <c r="R675" s="490" t="str">
        <f t="shared" si="15"/>
        <v>DELETE</v>
      </c>
      <c r="U675" s="496" t="b">
        <f>O675=O1935</f>
        <v>1</v>
      </c>
      <c r="V675" s="496"/>
      <c r="X675" s="496"/>
    </row>
    <row r="676" spans="3:24" ht="36" customHeight="1" x14ac:dyDescent="0.5">
      <c r="C676" s="520"/>
      <c r="D676" s="616" t="str">
        <f>IF(COUNTIF(TrialBalance!L304:L306,"&gt;0")&gt;1,"Investments in associates","Investment in associate")</f>
        <v>Investment in associate</v>
      </c>
      <c r="E676" s="616"/>
      <c r="F676" s="616"/>
      <c r="G676" s="616"/>
      <c r="H676" s="616"/>
      <c r="I676" s="520"/>
      <c r="J676" s="520"/>
      <c r="K676" s="450">
        <f>B1952</f>
        <v>13</v>
      </c>
      <c r="L676" s="451"/>
      <c r="M676" s="448"/>
      <c r="N676" s="450"/>
      <c r="O676" s="588">
        <f>SUM(TrialBalance!L304:L306)</f>
        <v>0</v>
      </c>
      <c r="P676" s="454"/>
      <c r="R676" s="490" t="str">
        <f t="shared" si="15"/>
        <v>DELETE</v>
      </c>
      <c r="U676" s="491" t="b">
        <f>O676=O1959</f>
        <v>1</v>
      </c>
    </row>
    <row r="677" spans="3:24" ht="36" customHeight="1" x14ac:dyDescent="0.5">
      <c r="C677" s="520"/>
      <c r="D677" s="616" t="str">
        <f>IF(COUNTIF(TrialBalance!L308:L312,"&gt;0")&gt;1,"Listed investments","Listed investment")</f>
        <v>Listed investment</v>
      </c>
      <c r="E677" s="616"/>
      <c r="F677" s="616"/>
      <c r="G677" s="616"/>
      <c r="H677" s="616"/>
      <c r="I677" s="520"/>
      <c r="J677" s="520"/>
      <c r="K677" s="450">
        <f>B1977</f>
        <v>14</v>
      </c>
      <c r="L677" s="451"/>
      <c r="M677" s="448"/>
      <c r="N677" s="450"/>
      <c r="O677" s="588">
        <f>SUM(TrialBalance!L308:L312)</f>
        <v>0</v>
      </c>
      <c r="P677" s="454"/>
      <c r="R677" s="490" t="str">
        <f t="shared" si="15"/>
        <v>DELETE</v>
      </c>
      <c r="U677" s="496" t="b">
        <f>O677=O1986</f>
        <v>1</v>
      </c>
      <c r="V677" s="496"/>
      <c r="X677" s="496"/>
    </row>
    <row r="678" spans="3:24" ht="36" customHeight="1" x14ac:dyDescent="0.5">
      <c r="C678" s="520"/>
      <c r="D678" s="616" t="str">
        <f>IF(COUNTIF(TrialBalance!L314:L318,"&gt;0")&gt;1,"Other investments","Other investment")</f>
        <v>Other investment</v>
      </c>
      <c r="E678" s="616"/>
      <c r="F678" s="616"/>
      <c r="G678" s="616"/>
      <c r="H678" s="616"/>
      <c r="I678" s="520"/>
      <c r="J678" s="520"/>
      <c r="K678" s="450">
        <f>B2009</f>
        <v>15</v>
      </c>
      <c r="L678" s="451"/>
      <c r="M678" s="448"/>
      <c r="N678" s="450"/>
      <c r="O678" s="588">
        <f>SUM(TrialBalance!L314:L318)</f>
        <v>0</v>
      </c>
      <c r="P678" s="454"/>
      <c r="R678" s="490" t="str">
        <f t="shared" si="15"/>
        <v>DELETE</v>
      </c>
      <c r="U678" s="496" t="b">
        <f>O678=O2018</f>
        <v>1</v>
      </c>
      <c r="V678" s="496"/>
      <c r="X678" s="496"/>
    </row>
    <row r="679" spans="3:24" ht="36" customHeight="1" x14ac:dyDescent="0.5">
      <c r="C679" s="520"/>
      <c r="D679" s="616" t="str">
        <f>IF(COUNTIF(TrialBalance!L319:L353,"&gt;0")&gt;1,"Non - current receivables","Non - current receivable")</f>
        <v>Non - current receivable</v>
      </c>
      <c r="E679" s="616"/>
      <c r="F679" s="616"/>
      <c r="G679" s="616"/>
      <c r="H679" s="616"/>
      <c r="I679" s="520"/>
      <c r="J679" s="520"/>
      <c r="K679" s="450">
        <f>B2040</f>
        <v>16</v>
      </c>
      <c r="L679" s="451"/>
      <c r="M679" s="448"/>
      <c r="N679" s="450"/>
      <c r="O679" s="588">
        <f>SUM(TrialBalance!L319:L353)</f>
        <v>0</v>
      </c>
      <c r="P679" s="454"/>
      <c r="R679" s="490" t="str">
        <f t="shared" si="15"/>
        <v>DELETE</v>
      </c>
      <c r="U679" s="496" t="b">
        <f>O679=O2082</f>
        <v>1</v>
      </c>
      <c r="V679" s="496"/>
    </row>
    <row r="680" spans="3:24" ht="36" customHeight="1" x14ac:dyDescent="0.5">
      <c r="C680" s="520"/>
      <c r="D680" s="616" t="s">
        <v>592</v>
      </c>
      <c r="E680" s="616"/>
      <c r="F680" s="616"/>
      <c r="G680" s="616"/>
      <c r="H680" s="616"/>
      <c r="I680" s="520"/>
      <c r="J680" s="520"/>
      <c r="K680" s="450">
        <f>B2375</f>
        <v>25</v>
      </c>
      <c r="L680" s="451"/>
      <c r="M680" s="448"/>
      <c r="N680" s="450"/>
      <c r="O680" s="588">
        <f>IF(SUM(TrialBalance!L221:L228)&gt;0,SUM(TrialBalance!L221:L228),0)</f>
        <v>0</v>
      </c>
      <c r="P680" s="454"/>
      <c r="R680" s="490" t="str">
        <f t="shared" si="15"/>
        <v>DELETE</v>
      </c>
      <c r="U680" s="496" t="str">
        <f>IF(O680=0,"TRUE",O680=-O2444)</f>
        <v>TRUE</v>
      </c>
      <c r="V680" s="496"/>
    </row>
    <row r="681" spans="3:24" ht="9" customHeight="1" x14ac:dyDescent="0.5">
      <c r="C681" s="520"/>
      <c r="D681" s="616"/>
      <c r="E681" s="616"/>
      <c r="F681" s="616"/>
      <c r="G681" s="616"/>
      <c r="H681" s="616"/>
      <c r="I681" s="520"/>
      <c r="J681" s="520"/>
      <c r="K681" s="450"/>
      <c r="L681" s="451"/>
      <c r="M681" s="448"/>
      <c r="N681" s="450"/>
      <c r="O681" s="589"/>
      <c r="P681" s="454"/>
      <c r="R681" s="490" t="str">
        <f>R669</f>
        <v>DELETE</v>
      </c>
    </row>
    <row r="682" spans="3:24" ht="9" customHeight="1" x14ac:dyDescent="0.5">
      <c r="C682" s="520"/>
      <c r="D682" s="616"/>
      <c r="E682" s="616"/>
      <c r="F682" s="616"/>
      <c r="G682" s="616"/>
      <c r="H682" s="616"/>
      <c r="I682" s="520"/>
      <c r="J682" s="520"/>
      <c r="K682" s="450"/>
      <c r="L682" s="451"/>
      <c r="M682" s="448"/>
      <c r="N682" s="450"/>
      <c r="O682" s="458"/>
      <c r="P682" s="454"/>
      <c r="R682" s="490" t="str">
        <f>R669</f>
        <v>DELETE</v>
      </c>
    </row>
    <row r="683" spans="3:24" ht="36" customHeight="1" x14ac:dyDescent="0.5">
      <c r="C683" s="520"/>
      <c r="D683" s="615" t="s">
        <v>1496</v>
      </c>
      <c r="E683" s="616"/>
      <c r="F683" s="616"/>
      <c r="G683" s="616"/>
      <c r="H683" s="616"/>
      <c r="I683" s="520"/>
      <c r="J683" s="520"/>
      <c r="K683" s="450"/>
      <c r="L683" s="451"/>
      <c r="M683" s="448"/>
      <c r="N683" s="450"/>
      <c r="O683" s="458">
        <f>SUM(O686:O690)</f>
        <v>0</v>
      </c>
      <c r="P683" s="454"/>
      <c r="R683" s="490" t="str">
        <f>IF(O683=0,"DELETE"," ")</f>
        <v>DELETE</v>
      </c>
      <c r="S683" s="495">
        <f>O683</f>
        <v>0</v>
      </c>
      <c r="T683" s="495"/>
      <c r="U683" s="495"/>
      <c r="V683" s="495"/>
    </row>
    <row r="684" spans="3:24" ht="9" customHeight="1" x14ac:dyDescent="0.5">
      <c r="C684" s="520"/>
      <c r="D684" s="616"/>
      <c r="E684" s="616"/>
      <c r="F684" s="616"/>
      <c r="G684" s="616"/>
      <c r="H684" s="616"/>
      <c r="I684" s="520"/>
      <c r="J684" s="520"/>
      <c r="K684" s="450"/>
      <c r="L684" s="451"/>
      <c r="M684" s="448"/>
      <c r="N684" s="450"/>
      <c r="O684" s="458"/>
      <c r="P684" s="454"/>
      <c r="R684" s="490" t="str">
        <f>R683</f>
        <v>DELETE</v>
      </c>
    </row>
    <row r="685" spans="3:24" ht="9" customHeight="1" x14ac:dyDescent="0.5">
      <c r="C685" s="520"/>
      <c r="D685" s="616"/>
      <c r="E685" s="616"/>
      <c r="F685" s="616"/>
      <c r="G685" s="616"/>
      <c r="H685" s="616"/>
      <c r="I685" s="520"/>
      <c r="J685" s="520"/>
      <c r="K685" s="450"/>
      <c r="L685" s="451"/>
      <c r="M685" s="448"/>
      <c r="N685" s="450"/>
      <c r="O685" s="587"/>
      <c r="P685" s="454"/>
      <c r="R685" s="490" t="str">
        <f>R683</f>
        <v>DELETE</v>
      </c>
    </row>
    <row r="686" spans="3:24" ht="36" customHeight="1" x14ac:dyDescent="0.5">
      <c r="C686" s="520"/>
      <c r="D686" s="616" t="s">
        <v>1202</v>
      </c>
      <c r="E686" s="616"/>
      <c r="F686" s="616"/>
      <c r="G686" s="616"/>
      <c r="H686" s="616"/>
      <c r="I686" s="520"/>
      <c r="J686" s="520"/>
      <c r="K686" s="450">
        <f>B2099</f>
        <v>17</v>
      </c>
      <c r="L686" s="451"/>
      <c r="M686" s="448"/>
      <c r="N686" s="450"/>
      <c r="O686" s="588">
        <f>SUM(TrialBalance!L355:L358)</f>
        <v>0</v>
      </c>
      <c r="P686" s="454"/>
      <c r="R686" s="490" t="str">
        <f t="shared" ref="R686:R689" si="16">IF(O686=0,"DELETE"," ")</f>
        <v>DELETE</v>
      </c>
      <c r="U686" s="496" t="b">
        <f>O686=O2108</f>
        <v>1</v>
      </c>
      <c r="V686" s="496"/>
      <c r="X686" s="496"/>
    </row>
    <row r="687" spans="3:24" ht="36" customHeight="1" x14ac:dyDescent="0.5">
      <c r="C687" s="520"/>
      <c r="D687" s="616" t="s">
        <v>869</v>
      </c>
      <c r="E687" s="616"/>
      <c r="F687" s="616"/>
      <c r="G687" s="616"/>
      <c r="H687" s="616"/>
      <c r="I687" s="520"/>
      <c r="J687" s="520"/>
      <c r="K687" s="450">
        <f>B2124</f>
        <v>18</v>
      </c>
      <c r="L687" s="451"/>
      <c r="M687" s="448"/>
      <c r="N687" s="450"/>
      <c r="O687" s="588">
        <f>SUM(TrialBalance!L360:L365)+IF(TrialBalance!L399&gt;0,TrialBalance!L399,0)</f>
        <v>0</v>
      </c>
      <c r="P687" s="454"/>
      <c r="R687" s="490" t="str">
        <f t="shared" si="16"/>
        <v>DELETE</v>
      </c>
      <c r="U687" s="496" t="b">
        <f>O687=O2138</f>
        <v>1</v>
      </c>
      <c r="V687" s="496"/>
    </row>
    <row r="688" spans="3:24" ht="36" customHeight="1" x14ac:dyDescent="0.5">
      <c r="C688" s="520"/>
      <c r="D688" s="616" t="s">
        <v>750</v>
      </c>
      <c r="E688" s="616"/>
      <c r="F688" s="616"/>
      <c r="G688" s="616"/>
      <c r="H688" s="616"/>
      <c r="I688" s="520"/>
      <c r="J688" s="520"/>
      <c r="K688" s="450">
        <f>B2156</f>
        <v>19</v>
      </c>
      <c r="L688" s="451"/>
      <c r="M688" s="448"/>
      <c r="N688" s="450"/>
      <c r="O688" s="588">
        <f>TrialBalance!L373+IF(TrialBalance!L367&gt;0,TrialBalance!L367,0)+IF(TrialBalance!L368&gt;0,TrialBalance!L368,0)+IF(TrialBalance!L369&gt;0,TrialBalance!L369,0)+IF(TrialBalance!L370&gt;0,TrialBalance!L370,0)+IF(TrialBalance!L371&gt;0,TrialBalance!L371,0)+IF(TrialBalance!L372&gt;0,TrialBalance!L372,0)</f>
        <v>0</v>
      </c>
      <c r="P688" s="454"/>
      <c r="R688" s="490" t="str">
        <f t="shared" si="16"/>
        <v>DELETE</v>
      </c>
      <c r="U688" s="496" t="b">
        <f>O688=O2167</f>
        <v>1</v>
      </c>
      <c r="V688" s="496"/>
    </row>
    <row r="689" spans="3:22" ht="36" customHeight="1" x14ac:dyDescent="0.5">
      <c r="C689" s="520"/>
      <c r="D689" s="616" t="s">
        <v>711</v>
      </c>
      <c r="E689" s="616"/>
      <c r="F689" s="616"/>
      <c r="G689" s="616"/>
      <c r="H689" s="616"/>
      <c r="I689" s="520"/>
      <c r="J689" s="520"/>
      <c r="K689" s="450">
        <f>B2570</f>
        <v>30</v>
      </c>
      <c r="L689" s="451"/>
      <c r="M689" s="448"/>
      <c r="N689" s="450"/>
      <c r="O689" s="588">
        <f>IF(SUM(TrialBalance!L386:L392)&gt;0,SUM(TrialBalance!L386:L392),0)</f>
        <v>0</v>
      </c>
      <c r="P689" s="454"/>
      <c r="R689" s="490" t="str">
        <f t="shared" si="16"/>
        <v>DELETE</v>
      </c>
      <c r="U689" s="496" t="str">
        <f>IF(O689=0,"TRUE",O689=-O2581)</f>
        <v>TRUE</v>
      </c>
      <c r="V689" s="496"/>
    </row>
    <row r="690" spans="3:22" ht="9" customHeight="1" x14ac:dyDescent="0.5">
      <c r="C690" s="520"/>
      <c r="D690" s="616"/>
      <c r="E690" s="616"/>
      <c r="F690" s="616"/>
      <c r="G690" s="616"/>
      <c r="H690" s="616"/>
      <c r="I690" s="520"/>
      <c r="J690" s="520"/>
      <c r="K690" s="450"/>
      <c r="L690" s="451"/>
      <c r="M690" s="448"/>
      <c r="N690" s="450"/>
      <c r="O690" s="589"/>
      <c r="P690" s="454"/>
      <c r="R690" s="490" t="str">
        <f>R683</f>
        <v>DELETE</v>
      </c>
    </row>
    <row r="691" spans="3:22" ht="9" customHeight="1" x14ac:dyDescent="0.5">
      <c r="C691" s="520"/>
      <c r="D691" s="616"/>
      <c r="E691" s="616"/>
      <c r="F691" s="616"/>
      <c r="G691" s="616"/>
      <c r="H691" s="616"/>
      <c r="I691" s="520"/>
      <c r="J691" s="520"/>
      <c r="K691" s="450"/>
      <c r="L691" s="451"/>
      <c r="M691" s="448"/>
      <c r="N691" s="450"/>
      <c r="O691" s="458"/>
      <c r="P691" s="454"/>
      <c r="R691" s="490" t="str">
        <f>R683</f>
        <v>DELETE</v>
      </c>
    </row>
    <row r="692" spans="3:22" ht="9" customHeight="1" x14ac:dyDescent="0.5">
      <c r="C692" s="520"/>
      <c r="D692" s="616"/>
      <c r="E692" s="616"/>
      <c r="F692" s="616"/>
      <c r="G692" s="616"/>
      <c r="H692" s="616"/>
      <c r="I692" s="520"/>
      <c r="J692" s="520"/>
      <c r="K692" s="450"/>
      <c r="L692" s="451"/>
      <c r="M692" s="448"/>
      <c r="N692" s="450"/>
      <c r="O692" s="461"/>
      <c r="P692" s="454"/>
    </row>
    <row r="693" spans="3:22" ht="9" customHeight="1" x14ac:dyDescent="0.5">
      <c r="C693" s="520"/>
      <c r="D693" s="616"/>
      <c r="E693" s="616"/>
      <c r="F693" s="616"/>
      <c r="G693" s="616"/>
      <c r="H693" s="616"/>
      <c r="I693" s="520"/>
      <c r="J693" s="520"/>
      <c r="K693" s="450"/>
      <c r="L693" s="451"/>
      <c r="M693" s="448"/>
      <c r="N693" s="450"/>
      <c r="O693" s="458"/>
      <c r="P693" s="454"/>
    </row>
    <row r="694" spans="3:22" ht="36.75" customHeight="1" x14ac:dyDescent="0.5">
      <c r="C694" s="520"/>
      <c r="D694" s="615" t="s">
        <v>862</v>
      </c>
      <c r="E694" s="616"/>
      <c r="F694" s="616"/>
      <c r="G694" s="616"/>
      <c r="H694" s="616"/>
      <c r="I694" s="520"/>
      <c r="J694" s="520"/>
      <c r="K694" s="450"/>
      <c r="L694" s="451"/>
      <c r="M694" s="448"/>
      <c r="N694" s="450"/>
      <c r="O694" s="458">
        <f>SUM(S669:S692)</f>
        <v>0</v>
      </c>
      <c r="P694" s="454"/>
      <c r="U694" s="497" t="b">
        <f>O694=O729</f>
        <v>1</v>
      </c>
      <c r="V694" s="497"/>
    </row>
    <row r="695" spans="3:22" ht="9" customHeight="1" thickBot="1" x14ac:dyDescent="0.55000000000000004">
      <c r="C695" s="520"/>
      <c r="D695" s="616"/>
      <c r="E695" s="616"/>
      <c r="F695" s="616"/>
      <c r="G695" s="616"/>
      <c r="H695" s="616"/>
      <c r="I695" s="520"/>
      <c r="J695" s="520"/>
      <c r="K695" s="450"/>
      <c r="L695" s="451"/>
      <c r="M695" s="448"/>
      <c r="N695" s="450"/>
      <c r="O695" s="462"/>
      <c r="P695" s="454"/>
    </row>
    <row r="696" spans="3:22" ht="9" customHeight="1" thickTop="1" x14ac:dyDescent="0.5">
      <c r="C696" s="520"/>
      <c r="D696" s="616"/>
      <c r="E696" s="616"/>
      <c r="F696" s="616"/>
      <c r="G696" s="616"/>
      <c r="H696" s="616"/>
      <c r="I696" s="520"/>
      <c r="J696" s="520"/>
      <c r="K696" s="450"/>
      <c r="L696" s="451"/>
      <c r="M696" s="448"/>
      <c r="N696" s="450"/>
      <c r="O696" s="458"/>
      <c r="P696" s="454"/>
    </row>
    <row r="697" spans="3:22" ht="36" customHeight="1" x14ac:dyDescent="0.5">
      <c r="C697" s="520"/>
      <c r="D697" s="616"/>
      <c r="E697" s="616"/>
      <c r="F697" s="616"/>
      <c r="G697" s="616"/>
      <c r="H697" s="616"/>
      <c r="I697" s="520"/>
      <c r="J697" s="520"/>
      <c r="K697" s="450"/>
      <c r="L697" s="451"/>
      <c r="M697" s="448"/>
      <c r="N697" s="450"/>
      <c r="O697" s="458"/>
      <c r="P697" s="454"/>
    </row>
    <row r="698" spans="3:22" ht="36" customHeight="1" x14ac:dyDescent="0.5">
      <c r="C698" s="451"/>
      <c r="D698" s="615" t="s">
        <v>122</v>
      </c>
      <c r="E698" s="616"/>
      <c r="F698" s="616"/>
      <c r="G698" s="616"/>
      <c r="H698" s="616"/>
      <c r="I698" s="520"/>
      <c r="J698" s="520"/>
      <c r="K698" s="450"/>
      <c r="L698" s="451"/>
      <c r="M698" s="448"/>
      <c r="N698" s="450"/>
      <c r="O698" s="458"/>
      <c r="P698" s="454"/>
    </row>
    <row r="699" spans="3:22" ht="36" customHeight="1" x14ac:dyDescent="0.5">
      <c r="C699" s="520"/>
      <c r="D699" s="615" t="s">
        <v>1497</v>
      </c>
      <c r="E699" s="616"/>
      <c r="F699" s="616"/>
      <c r="G699" s="616"/>
      <c r="H699" s="616"/>
      <c r="I699" s="520"/>
      <c r="J699" s="520"/>
      <c r="K699" s="450"/>
      <c r="L699" s="451"/>
      <c r="M699" s="448"/>
      <c r="N699" s="450"/>
      <c r="O699" s="458">
        <f>SUM(O702:O705)</f>
        <v>0</v>
      </c>
      <c r="P699" s="454"/>
      <c r="S699" s="495">
        <f>O699</f>
        <v>0</v>
      </c>
      <c r="T699" s="495"/>
      <c r="U699" s="495"/>
      <c r="V699" s="495"/>
    </row>
    <row r="700" spans="3:22" ht="9" customHeight="1" x14ac:dyDescent="0.5">
      <c r="C700" s="520"/>
      <c r="D700" s="616"/>
      <c r="E700" s="616"/>
      <c r="F700" s="616"/>
      <c r="G700" s="616"/>
      <c r="H700" s="616"/>
      <c r="I700" s="520"/>
      <c r="J700" s="520"/>
      <c r="K700" s="450"/>
      <c r="L700" s="451"/>
      <c r="M700" s="448"/>
      <c r="N700" s="450"/>
      <c r="O700" s="458"/>
      <c r="P700" s="454"/>
    </row>
    <row r="701" spans="3:22" ht="9" customHeight="1" x14ac:dyDescent="0.5">
      <c r="C701" s="520"/>
      <c r="D701" s="616"/>
      <c r="E701" s="616"/>
      <c r="F701" s="616"/>
      <c r="G701" s="616"/>
      <c r="H701" s="616"/>
      <c r="I701" s="520"/>
      <c r="J701" s="520"/>
      <c r="K701" s="450"/>
      <c r="L701" s="451"/>
      <c r="M701" s="448"/>
      <c r="N701" s="450"/>
      <c r="O701" s="587"/>
      <c r="P701" s="454"/>
    </row>
    <row r="702" spans="3:22" ht="36" customHeight="1" x14ac:dyDescent="0.5">
      <c r="C702" s="520"/>
      <c r="D702" s="616" t="s">
        <v>593</v>
      </c>
      <c r="E702" s="616"/>
      <c r="F702" s="616"/>
      <c r="G702" s="616"/>
      <c r="H702" s="616"/>
      <c r="I702" s="520"/>
      <c r="J702" s="520"/>
      <c r="K702" s="450">
        <f>B2213</f>
        <v>20</v>
      </c>
      <c r="L702" s="451"/>
      <c r="M702" s="448"/>
      <c r="N702" s="450"/>
      <c r="O702" s="588">
        <f>-SUM(TrialBalance!L170:L171)</f>
        <v>0</v>
      </c>
      <c r="P702" s="454"/>
      <c r="U702" s="496" t="b">
        <f>O2220=O702</f>
        <v>1</v>
      </c>
      <c r="V702" s="496"/>
    </row>
    <row r="703" spans="3:22" ht="36" customHeight="1" x14ac:dyDescent="0.5">
      <c r="C703" s="520"/>
      <c r="D703" s="616" t="s">
        <v>594</v>
      </c>
      <c r="E703" s="616"/>
      <c r="F703" s="616"/>
      <c r="G703" s="616"/>
      <c r="H703" s="616"/>
      <c r="I703" s="520"/>
      <c r="J703" s="520"/>
      <c r="K703" s="450">
        <f>B2236</f>
        <v>21</v>
      </c>
      <c r="L703" s="451"/>
      <c r="M703" s="448"/>
      <c r="N703" s="450"/>
      <c r="O703" s="588">
        <f>-SUM(TrialBalance!L173:L175)</f>
        <v>0</v>
      </c>
      <c r="P703" s="454"/>
      <c r="R703" s="490" t="str">
        <f t="shared" ref="R703:R704" si="17">IF(O703=0,"DELETE"," ")</f>
        <v>DELETE</v>
      </c>
      <c r="U703" s="496" t="b">
        <f>O703=O2243</f>
        <v>1</v>
      </c>
      <c r="V703" s="496"/>
    </row>
    <row r="704" spans="3:22" ht="36" customHeight="1" x14ac:dyDescent="0.5">
      <c r="C704" s="520"/>
      <c r="D704" s="616" t="s">
        <v>13</v>
      </c>
      <c r="E704" s="616"/>
      <c r="F704" s="616"/>
      <c r="G704" s="616"/>
      <c r="H704" s="616"/>
      <c r="I704" s="520"/>
      <c r="J704" s="520"/>
      <c r="K704" s="450">
        <f>B2260</f>
        <v>22</v>
      </c>
      <c r="L704" s="451"/>
      <c r="M704" s="448"/>
      <c r="N704" s="450"/>
      <c r="O704" s="588">
        <f>-SUM(TrialBalance!L177:L179)-SUM(TrialBalance!L181:L183)</f>
        <v>0</v>
      </c>
      <c r="P704" s="454"/>
      <c r="R704" s="490" t="str">
        <f t="shared" si="17"/>
        <v>DELETE</v>
      </c>
      <c r="U704" s="496" t="b">
        <f>O704=O2279</f>
        <v>1</v>
      </c>
      <c r="V704" s="496"/>
    </row>
    <row r="705" spans="3:22" ht="36" customHeight="1" x14ac:dyDescent="0.5">
      <c r="C705" s="520"/>
      <c r="D705" s="628" t="str">
        <f>IF(O705&lt;0,"Accumulated loss","Retained income")</f>
        <v>Retained income</v>
      </c>
      <c r="E705" s="616"/>
      <c r="F705" s="616"/>
      <c r="G705" s="616"/>
      <c r="H705" s="616"/>
      <c r="I705" s="520"/>
      <c r="J705" s="520"/>
      <c r="K705" s="450"/>
      <c r="L705" s="451"/>
      <c r="M705" s="448"/>
      <c r="N705" s="450"/>
      <c r="O705" s="590">
        <f>-TrialBalance!L184-SUM(TrialBalance!L5:L166)</f>
        <v>0</v>
      </c>
      <c r="P705" s="454"/>
      <c r="U705" s="496" t="b">
        <f>O705=O783</f>
        <v>1</v>
      </c>
      <c r="V705" s="496"/>
    </row>
    <row r="706" spans="3:22" ht="9" customHeight="1" x14ac:dyDescent="0.5">
      <c r="C706" s="520"/>
      <c r="D706" s="616"/>
      <c r="E706" s="616"/>
      <c r="F706" s="616"/>
      <c r="G706" s="616"/>
      <c r="H706" s="616"/>
      <c r="I706" s="520"/>
      <c r="J706" s="520"/>
      <c r="K706" s="450"/>
      <c r="L706" s="451"/>
      <c r="M706" s="448"/>
      <c r="N706" s="450"/>
      <c r="O706" s="589"/>
      <c r="P706" s="454"/>
    </row>
    <row r="707" spans="3:22" ht="9" customHeight="1" x14ac:dyDescent="0.5">
      <c r="C707" s="520"/>
      <c r="D707" s="616"/>
      <c r="E707" s="616"/>
      <c r="F707" s="616"/>
      <c r="G707" s="616"/>
      <c r="H707" s="616"/>
      <c r="I707" s="520"/>
      <c r="J707" s="520"/>
      <c r="K707" s="450"/>
      <c r="L707" s="451"/>
      <c r="M707" s="448"/>
      <c r="N707" s="450"/>
      <c r="O707" s="458"/>
      <c r="P707" s="454"/>
    </row>
    <row r="708" spans="3:22" ht="36" customHeight="1" x14ac:dyDescent="0.5">
      <c r="C708" s="520"/>
      <c r="D708" s="615" t="s">
        <v>1498</v>
      </c>
      <c r="E708" s="616"/>
      <c r="F708" s="616"/>
      <c r="G708" s="616"/>
      <c r="H708" s="616"/>
      <c r="I708" s="520"/>
      <c r="J708" s="520"/>
      <c r="K708" s="450"/>
      <c r="L708" s="451"/>
      <c r="M708" s="448"/>
      <c r="N708" s="450"/>
      <c r="O708" s="458">
        <f>SUM(O711:O714)</f>
        <v>0</v>
      </c>
      <c r="P708" s="454"/>
      <c r="R708" s="490" t="str">
        <f t="shared" ref="R708" si="18">IF(O708=0,"DELETE"," ")</f>
        <v>DELETE</v>
      </c>
      <c r="S708" s="495">
        <f>O708</f>
        <v>0</v>
      </c>
      <c r="T708" s="495"/>
      <c r="U708" s="495"/>
      <c r="V708" s="495"/>
    </row>
    <row r="709" spans="3:22" ht="9" customHeight="1" x14ac:dyDescent="0.5">
      <c r="C709" s="520"/>
      <c r="D709" s="616"/>
      <c r="E709" s="616"/>
      <c r="F709" s="616"/>
      <c r="G709" s="616"/>
      <c r="H709" s="616"/>
      <c r="I709" s="520"/>
      <c r="J709" s="520"/>
      <c r="K709" s="450"/>
      <c r="L709" s="451"/>
      <c r="M709" s="448"/>
      <c r="N709" s="450"/>
      <c r="O709" s="458"/>
      <c r="P709" s="454"/>
      <c r="R709" s="490" t="str">
        <f>R708</f>
        <v>DELETE</v>
      </c>
    </row>
    <row r="710" spans="3:22" ht="9" customHeight="1" x14ac:dyDescent="0.5">
      <c r="C710" s="520"/>
      <c r="D710" s="616"/>
      <c r="E710" s="616"/>
      <c r="F710" s="616"/>
      <c r="G710" s="616"/>
      <c r="H710" s="616"/>
      <c r="I710" s="520"/>
      <c r="J710" s="520"/>
      <c r="K710" s="450"/>
      <c r="L710" s="451"/>
      <c r="M710" s="448"/>
      <c r="N710" s="450"/>
      <c r="O710" s="587"/>
      <c r="P710" s="454"/>
      <c r="R710" s="490" t="str">
        <f>R708</f>
        <v>DELETE</v>
      </c>
    </row>
    <row r="711" spans="3:22" ht="36" customHeight="1" x14ac:dyDescent="0.5">
      <c r="C711" s="520"/>
      <c r="D711" s="616" t="str">
        <f>IF(COUNTIF(TrialBalance!L186:L200,"&lt;0")&gt;1,"Interest bearing borrowings","Interest bearing borrowing")</f>
        <v>Interest bearing borrowing</v>
      </c>
      <c r="E711" s="616"/>
      <c r="F711" s="616"/>
      <c r="G711" s="616"/>
      <c r="H711" s="616"/>
      <c r="I711" s="520"/>
      <c r="J711" s="520"/>
      <c r="K711" s="450">
        <f>B2296</f>
        <v>23</v>
      </c>
      <c r="L711" s="451"/>
      <c r="M711" s="448"/>
      <c r="N711" s="450"/>
      <c r="O711" s="588">
        <f>-SUM(TrialBalance!L186:L201)</f>
        <v>0</v>
      </c>
      <c r="P711" s="454"/>
      <c r="R711" s="490" t="str">
        <f t="shared" ref="R711:R713" si="19">IF(O711=0,"DELETE"," ")</f>
        <v>DELETE</v>
      </c>
      <c r="U711" s="491" t="b">
        <f>O711=O2319</f>
        <v>1</v>
      </c>
    </row>
    <row r="712" spans="3:22" ht="36" customHeight="1" x14ac:dyDescent="0.5">
      <c r="C712" s="520"/>
      <c r="D712" s="616" t="str">
        <f>IF(COUNTIF(TrialBalance!L203:L219,"&lt;0")&gt;1,"Interest free borrowings","Interest free borrowing")</f>
        <v>Interest free borrowing</v>
      </c>
      <c r="E712" s="616"/>
      <c r="F712" s="616"/>
      <c r="G712" s="616"/>
      <c r="H712" s="616"/>
      <c r="I712" s="520"/>
      <c r="J712" s="520"/>
      <c r="K712" s="450">
        <f>B2336</f>
        <v>24</v>
      </c>
      <c r="L712" s="451"/>
      <c r="M712" s="448"/>
      <c r="N712" s="450"/>
      <c r="O712" s="588">
        <f>-SUM(TrialBalance!L203:L219)</f>
        <v>0</v>
      </c>
      <c r="P712" s="454"/>
      <c r="R712" s="490" t="str">
        <f t="shared" si="19"/>
        <v>DELETE</v>
      </c>
      <c r="U712" s="491" t="b">
        <f>O712=O2357</f>
        <v>1</v>
      </c>
    </row>
    <row r="713" spans="3:22" ht="36" customHeight="1" x14ac:dyDescent="0.5">
      <c r="C713" s="520"/>
      <c r="D713" s="616" t="s">
        <v>595</v>
      </c>
      <c r="E713" s="616"/>
      <c r="F713" s="616"/>
      <c r="G713" s="616"/>
      <c r="H713" s="616"/>
      <c r="I713" s="520"/>
      <c r="J713" s="520"/>
      <c r="K713" s="450">
        <f>B2375</f>
        <v>25</v>
      </c>
      <c r="L713" s="451"/>
      <c r="M713" s="448"/>
      <c r="N713" s="450"/>
      <c r="O713" s="588">
        <f>IF(SUM(TrialBalance!L221:L228)&gt;0,0,-SUM(TrialBalance!L221:L228))</f>
        <v>0</v>
      </c>
      <c r="P713" s="454"/>
      <c r="R713" s="490" t="str">
        <f t="shared" si="19"/>
        <v>DELETE</v>
      </c>
      <c r="U713" s="496" t="str">
        <f>IF(O713=0,"TRUE",O713=O2444)</f>
        <v>TRUE</v>
      </c>
      <c r="V713" s="496"/>
    </row>
    <row r="714" spans="3:22" ht="9" customHeight="1" x14ac:dyDescent="0.5">
      <c r="C714" s="520"/>
      <c r="D714" s="616"/>
      <c r="E714" s="616"/>
      <c r="F714" s="616"/>
      <c r="G714" s="616"/>
      <c r="H714" s="616"/>
      <c r="I714" s="520"/>
      <c r="J714" s="520"/>
      <c r="K714" s="450"/>
      <c r="L714" s="451"/>
      <c r="M714" s="448"/>
      <c r="N714" s="450"/>
      <c r="O714" s="589"/>
      <c r="P714" s="454"/>
      <c r="R714" s="490" t="str">
        <f>R708</f>
        <v>DELETE</v>
      </c>
    </row>
    <row r="715" spans="3:22" ht="9" customHeight="1" x14ac:dyDescent="0.5">
      <c r="C715" s="520"/>
      <c r="D715" s="616"/>
      <c r="E715" s="616"/>
      <c r="F715" s="616"/>
      <c r="G715" s="616"/>
      <c r="H715" s="616"/>
      <c r="I715" s="520"/>
      <c r="J715" s="520"/>
      <c r="K715" s="450"/>
      <c r="L715" s="451"/>
      <c r="M715" s="448"/>
      <c r="N715" s="450"/>
      <c r="O715" s="458"/>
      <c r="P715" s="454"/>
      <c r="R715" s="490" t="str">
        <f>R708</f>
        <v>DELETE</v>
      </c>
    </row>
    <row r="716" spans="3:22" ht="36" customHeight="1" x14ac:dyDescent="0.5">
      <c r="C716" s="520"/>
      <c r="D716" s="615" t="s">
        <v>1499</v>
      </c>
      <c r="E716" s="616"/>
      <c r="F716" s="616"/>
      <c r="G716" s="616"/>
      <c r="H716" s="616"/>
      <c r="I716" s="520"/>
      <c r="J716" s="520"/>
      <c r="K716" s="450"/>
      <c r="L716" s="451"/>
      <c r="M716" s="448"/>
      <c r="N716" s="450"/>
      <c r="O716" s="458">
        <f>SUM(O719:O724)</f>
        <v>0</v>
      </c>
      <c r="P716" s="454"/>
      <c r="R716" s="490" t="str">
        <f t="shared" ref="R716" si="20">IF(O716=0,"DELETE"," ")</f>
        <v>DELETE</v>
      </c>
      <c r="S716" s="495">
        <f>O716</f>
        <v>0</v>
      </c>
      <c r="T716" s="495"/>
      <c r="U716" s="495"/>
      <c r="V716" s="495"/>
    </row>
    <row r="717" spans="3:22" ht="9" customHeight="1" x14ac:dyDescent="0.5">
      <c r="C717" s="520"/>
      <c r="D717" s="616"/>
      <c r="E717" s="616"/>
      <c r="F717" s="616"/>
      <c r="G717" s="616"/>
      <c r="H717" s="616"/>
      <c r="I717" s="520"/>
      <c r="J717" s="520"/>
      <c r="K717" s="450"/>
      <c r="L717" s="451"/>
      <c r="M717" s="448"/>
      <c r="N717" s="450"/>
      <c r="O717" s="458"/>
      <c r="P717" s="454"/>
      <c r="R717" s="490" t="str">
        <f>R716</f>
        <v>DELETE</v>
      </c>
    </row>
    <row r="718" spans="3:22" ht="9" customHeight="1" x14ac:dyDescent="0.5">
      <c r="C718" s="520"/>
      <c r="D718" s="616"/>
      <c r="E718" s="616"/>
      <c r="F718" s="616"/>
      <c r="G718" s="616"/>
      <c r="H718" s="616"/>
      <c r="I718" s="520"/>
      <c r="J718" s="520"/>
      <c r="K718" s="450"/>
      <c r="L718" s="451"/>
      <c r="M718" s="448"/>
      <c r="N718" s="450"/>
      <c r="O718" s="587"/>
      <c r="P718" s="454"/>
      <c r="R718" s="490" t="str">
        <f>R716</f>
        <v>DELETE</v>
      </c>
    </row>
    <row r="719" spans="3:22" ht="36" customHeight="1" x14ac:dyDescent="0.5">
      <c r="C719" s="520"/>
      <c r="D719" s="616" t="s">
        <v>878</v>
      </c>
      <c r="E719" s="616"/>
      <c r="F719" s="616"/>
      <c r="G719" s="616"/>
      <c r="H719" s="616"/>
      <c r="I719" s="520"/>
      <c r="J719" s="520"/>
      <c r="K719" s="450">
        <f>B2466</f>
        <v>26</v>
      </c>
      <c r="L719" s="451"/>
      <c r="M719" s="448"/>
      <c r="N719" s="450"/>
      <c r="O719" s="588">
        <f>-SUM(TrialBalance!L379:L384)-IF(TrialBalance!L399&lt;0,TrialBalance!L399,0)</f>
        <v>0</v>
      </c>
      <c r="P719" s="454"/>
      <c r="R719" s="490" t="str">
        <f t="shared" ref="R719:R724" si="21">IF(O719=0,"DELETE"," ")</f>
        <v>DELETE</v>
      </c>
      <c r="U719" s="491" t="b">
        <f>O719=O2476</f>
        <v>1</v>
      </c>
    </row>
    <row r="720" spans="3:22" ht="36" customHeight="1" x14ac:dyDescent="0.5">
      <c r="C720" s="520"/>
      <c r="D720" s="616" t="str">
        <f>IF(COUNTIF(TrialBalance!L367:L372,"&lt;0")&gt;1,"Bank overdrafts","Bank overdraft")</f>
        <v>Bank overdraft</v>
      </c>
      <c r="E720" s="616"/>
      <c r="F720" s="616"/>
      <c r="G720" s="616"/>
      <c r="H720" s="616"/>
      <c r="I720" s="520"/>
      <c r="J720" s="520"/>
      <c r="K720" s="450">
        <f>B2493</f>
        <v>27</v>
      </c>
      <c r="L720" s="451"/>
      <c r="M720" s="448"/>
      <c r="N720" s="450"/>
      <c r="O720" s="588">
        <f>IF(TrialBalance!L367&lt;0,-TrialBalance!L367,0)+IF(TrialBalance!L368&lt;0,-TrialBalance!L368,0)+IF(TrialBalance!L369&lt;0,-TrialBalance!L369,0)+IF(TrialBalance!L370&lt;0,-TrialBalance!L370,0)+IF(TrialBalance!L371&lt;0,-TrialBalance!L371,0)+IF(TrialBalance!L372&lt;0,-TrialBalance!L372,0)</f>
        <v>0</v>
      </c>
      <c r="P720" s="454"/>
      <c r="R720" s="490" t="str">
        <f t="shared" si="21"/>
        <v>DELETE</v>
      </c>
      <c r="U720" s="491" t="b">
        <f>O720=O2503</f>
        <v>1</v>
      </c>
    </row>
    <row r="721" spans="3:21" ht="36" customHeight="1" x14ac:dyDescent="0.5">
      <c r="C721" s="520"/>
      <c r="D721" s="616" t="str">
        <f>IF(COUNTIF(TrialBalance!L375:L377,"&lt;0")&gt;1,"Short term loans","Short term loan")</f>
        <v>Short term loan</v>
      </c>
      <c r="E721" s="616"/>
      <c r="F721" s="616"/>
      <c r="G721" s="616"/>
      <c r="H721" s="616"/>
      <c r="I721" s="520"/>
      <c r="J721" s="520"/>
      <c r="K721" s="450">
        <f>B2520</f>
        <v>28</v>
      </c>
      <c r="L721" s="451"/>
      <c r="M721" s="448"/>
      <c r="N721" s="450"/>
      <c r="O721" s="588">
        <f>-SUM(TrialBalance!L375:L377)</f>
        <v>0</v>
      </c>
      <c r="P721" s="454"/>
      <c r="R721" s="490" t="str">
        <f t="shared" si="21"/>
        <v>DELETE</v>
      </c>
      <c r="U721" s="491" t="b">
        <f>O721=O2527</f>
        <v>1</v>
      </c>
    </row>
    <row r="722" spans="3:21" ht="36" customHeight="1" x14ac:dyDescent="0.5">
      <c r="C722" s="520"/>
      <c r="D722" s="616" t="str">
        <f>IF(COUNTIF(TrialBalance!L186:L200,"&lt;0")&gt;1,"Current portion of interest bearing loans","Current portion of interest bearing loan")</f>
        <v>Current portion of interest bearing loan</v>
      </c>
      <c r="E722" s="616"/>
      <c r="F722" s="616"/>
      <c r="G722" s="616"/>
      <c r="H722" s="616"/>
      <c r="I722" s="520"/>
      <c r="J722" s="520"/>
      <c r="K722" s="450">
        <f>B2296</f>
        <v>23</v>
      </c>
      <c r="L722" s="451"/>
      <c r="M722" s="448"/>
      <c r="N722" s="450"/>
      <c r="O722" s="588">
        <f>-TrialBalance!L378</f>
        <v>0</v>
      </c>
      <c r="P722" s="454"/>
      <c r="R722" s="490" t="str">
        <f t="shared" si="21"/>
        <v>DELETE</v>
      </c>
      <c r="U722" s="491" t="b">
        <f>O722=O2316</f>
        <v>1</v>
      </c>
    </row>
    <row r="723" spans="3:21" ht="36" customHeight="1" x14ac:dyDescent="0.5">
      <c r="C723" s="520"/>
      <c r="D723" s="616" t="str">
        <f>IF(COUNTIF(TrialBalance!L393:L397,"&lt;0")&gt;1,"Provisions","Provision")</f>
        <v>Provision</v>
      </c>
      <c r="E723" s="616"/>
      <c r="F723" s="616"/>
      <c r="G723" s="616"/>
      <c r="H723" s="616"/>
      <c r="I723" s="520"/>
      <c r="J723" s="520"/>
      <c r="K723" s="450">
        <f>B2544</f>
        <v>29</v>
      </c>
      <c r="L723" s="451"/>
      <c r="M723" s="448"/>
      <c r="N723" s="450"/>
      <c r="O723" s="588">
        <f>-SUM(TrialBalance!L393:L397)</f>
        <v>0</v>
      </c>
      <c r="P723" s="454"/>
      <c r="R723" s="490" t="str">
        <f t="shared" si="21"/>
        <v>DELETE</v>
      </c>
      <c r="U723" s="491" t="b">
        <f>O723=O2553</f>
        <v>1</v>
      </c>
    </row>
    <row r="724" spans="3:21" ht="36" customHeight="1" x14ac:dyDescent="0.5">
      <c r="C724" s="520"/>
      <c r="D724" s="616" t="s">
        <v>596</v>
      </c>
      <c r="E724" s="616"/>
      <c r="F724" s="616"/>
      <c r="G724" s="616"/>
      <c r="H724" s="616"/>
      <c r="I724" s="520"/>
      <c r="J724" s="520"/>
      <c r="K724" s="450">
        <f>B2570</f>
        <v>30</v>
      </c>
      <c r="L724" s="451"/>
      <c r="M724" s="448"/>
      <c r="N724" s="450"/>
      <c r="O724" s="588">
        <f>IF(-SUM(TrialBalance!L386:L392)&gt;0,-SUM(TrialBalance!L386:L392),0)</f>
        <v>0</v>
      </c>
      <c r="P724" s="454"/>
      <c r="R724" s="490" t="str">
        <f t="shared" si="21"/>
        <v>DELETE</v>
      </c>
      <c r="U724" s="496" t="str">
        <f>IF(O724=0,"TRUE",O724=O2581)</f>
        <v>TRUE</v>
      </c>
    </row>
    <row r="725" spans="3:21" ht="9" customHeight="1" x14ac:dyDescent="0.5">
      <c r="C725" s="520"/>
      <c r="D725" s="616"/>
      <c r="E725" s="616"/>
      <c r="F725" s="616"/>
      <c r="G725" s="616"/>
      <c r="H725" s="616"/>
      <c r="I725" s="520"/>
      <c r="J725" s="520"/>
      <c r="K725" s="450"/>
      <c r="L725" s="451"/>
      <c r="M725" s="448"/>
      <c r="N725" s="450"/>
      <c r="O725" s="589"/>
      <c r="P725" s="454"/>
      <c r="R725" s="490" t="str">
        <f>R716</f>
        <v>DELETE</v>
      </c>
    </row>
    <row r="726" spans="3:21" ht="9" customHeight="1" x14ac:dyDescent="0.5">
      <c r="C726" s="520"/>
      <c r="D726" s="616"/>
      <c r="E726" s="616"/>
      <c r="F726" s="616"/>
      <c r="G726" s="616"/>
      <c r="H726" s="616"/>
      <c r="I726" s="520"/>
      <c r="J726" s="520"/>
      <c r="K726" s="450"/>
      <c r="L726" s="451"/>
      <c r="M726" s="448"/>
      <c r="N726" s="450"/>
      <c r="O726" s="458"/>
      <c r="P726" s="454"/>
      <c r="R726" s="490" t="str">
        <f>R716</f>
        <v>DELETE</v>
      </c>
    </row>
    <row r="727" spans="3:21" ht="9" customHeight="1" x14ac:dyDescent="0.5">
      <c r="C727" s="520"/>
      <c r="D727" s="616"/>
      <c r="E727" s="616"/>
      <c r="F727" s="616"/>
      <c r="G727" s="616"/>
      <c r="H727" s="616"/>
      <c r="I727" s="520"/>
      <c r="J727" s="520"/>
      <c r="K727" s="450"/>
      <c r="L727" s="451"/>
      <c r="M727" s="448"/>
      <c r="N727" s="450"/>
      <c r="O727" s="461"/>
      <c r="P727" s="454"/>
    </row>
    <row r="728" spans="3:21" ht="9" customHeight="1" x14ac:dyDescent="0.5">
      <c r="C728" s="520"/>
      <c r="D728" s="616"/>
      <c r="E728" s="616"/>
      <c r="F728" s="616"/>
      <c r="G728" s="616"/>
      <c r="H728" s="616"/>
      <c r="I728" s="520"/>
      <c r="J728" s="520"/>
      <c r="K728" s="450"/>
      <c r="L728" s="451"/>
      <c r="M728" s="448"/>
      <c r="N728" s="450"/>
      <c r="O728" s="458"/>
      <c r="P728" s="454"/>
    </row>
    <row r="729" spans="3:21" ht="36.75" customHeight="1" x14ac:dyDescent="0.5">
      <c r="C729" s="520"/>
      <c r="D729" s="615" t="s">
        <v>1500</v>
      </c>
      <c r="E729" s="616"/>
      <c r="F729" s="616"/>
      <c r="G729" s="616"/>
      <c r="H729" s="616"/>
      <c r="I729" s="520"/>
      <c r="J729" s="609"/>
      <c r="K729" s="450"/>
      <c r="L729" s="451"/>
      <c r="M729" s="448"/>
      <c r="N729" s="450"/>
      <c r="O729" s="458">
        <f>SUM(S699:S726)</f>
        <v>0</v>
      </c>
      <c r="P729" s="454"/>
      <c r="R729" s="635"/>
    </row>
    <row r="730" spans="3:21" ht="9" customHeight="1" thickBot="1" x14ac:dyDescent="0.55000000000000004">
      <c r="C730" s="520"/>
      <c r="D730" s="616"/>
      <c r="E730" s="616"/>
      <c r="F730" s="616"/>
      <c r="G730" s="616"/>
      <c r="H730" s="616"/>
      <c r="I730" s="520"/>
      <c r="J730" s="609"/>
      <c r="K730" s="450"/>
      <c r="L730" s="451"/>
      <c r="M730" s="448"/>
      <c r="N730" s="450"/>
      <c r="O730" s="462"/>
      <c r="P730" s="454"/>
    </row>
    <row r="731" spans="3:21" ht="9" customHeight="1" thickTop="1" x14ac:dyDescent="0.5">
      <c r="C731" s="520"/>
      <c r="D731" s="616"/>
      <c r="E731" s="616"/>
      <c r="F731" s="616"/>
      <c r="G731" s="616"/>
      <c r="H731" s="616"/>
      <c r="I731" s="520"/>
      <c r="J731" s="609"/>
      <c r="K731" s="450"/>
      <c r="L731" s="451"/>
      <c r="M731" s="448"/>
      <c r="N731" s="450"/>
      <c r="O731" s="458"/>
      <c r="P731" s="454"/>
    </row>
    <row r="732" spans="3:21" ht="36" customHeight="1" x14ac:dyDescent="0.5">
      <c r="C732" s="520"/>
      <c r="D732" s="616"/>
      <c r="E732" s="616"/>
      <c r="F732" s="616"/>
      <c r="G732" s="616"/>
      <c r="H732" s="616"/>
      <c r="I732" s="520"/>
      <c r="J732" s="609"/>
      <c r="K732" s="450"/>
      <c r="L732" s="451"/>
      <c r="M732" s="448"/>
      <c r="N732" s="450"/>
      <c r="O732" s="458"/>
      <c r="P732" s="454"/>
    </row>
    <row r="733" spans="3:21" ht="36" customHeight="1" x14ac:dyDescent="0.5">
      <c r="C733" s="520"/>
      <c r="D733" s="616"/>
      <c r="E733" s="616"/>
      <c r="F733" s="616"/>
      <c r="G733" s="616"/>
      <c r="H733" s="616"/>
      <c r="I733" s="520"/>
      <c r="J733" s="520"/>
      <c r="M733" s="540"/>
      <c r="O733" s="540"/>
    </row>
    <row r="734" spans="3:21" ht="36" customHeight="1" x14ac:dyDescent="0.5">
      <c r="C734" s="520"/>
      <c r="D734" s="520"/>
      <c r="E734" s="520"/>
      <c r="F734" s="520"/>
      <c r="G734" s="520"/>
      <c r="H734" s="520"/>
      <c r="I734" s="520"/>
      <c r="J734" s="520"/>
      <c r="M734" s="540"/>
      <c r="O734" s="454" t="s">
        <v>112</v>
      </c>
      <c r="Q734" s="450">
        <f>MAX($Q$103:Q733)+1</f>
        <v>15</v>
      </c>
    </row>
    <row r="735" spans="3:21" ht="36" customHeight="1" x14ac:dyDescent="0.5">
      <c r="C735" s="631"/>
      <c r="D735" s="630" t="str">
        <f>Criteria!E9</f>
        <v>ABC COMPANY (PROPRIETARY) LIMITED</v>
      </c>
      <c r="E735" s="631"/>
      <c r="F735" s="631"/>
      <c r="G735" s="631"/>
      <c r="H735" s="631"/>
      <c r="I735" s="520"/>
      <c r="J735" s="520"/>
      <c r="M735" s="540"/>
      <c r="O735" s="540"/>
    </row>
    <row r="736" spans="3:21" ht="36" customHeight="1" x14ac:dyDescent="0.5">
      <c r="C736" s="631"/>
      <c r="D736" s="630" t="str">
        <f>Criteria!E10</f>
        <v>T/A SEAFRONT HOTEL, ABC RESTAURANT AND RENTAL PROPERTIES</v>
      </c>
      <c r="E736" s="631"/>
      <c r="F736" s="631"/>
      <c r="G736" s="631"/>
      <c r="H736" s="631"/>
      <c r="I736" s="520"/>
      <c r="J736" s="520"/>
      <c r="M736" s="540"/>
      <c r="O736" s="540"/>
      <c r="R736" s="490" t="str">
        <f>IF(D736=0,"DELETE"," ")</f>
        <v xml:space="preserve"> </v>
      </c>
    </row>
    <row r="737" spans="2:21" ht="36" customHeight="1" x14ac:dyDescent="0.5">
      <c r="C737" s="631"/>
      <c r="D737" s="631"/>
      <c r="E737" s="631"/>
      <c r="F737" s="631"/>
      <c r="G737" s="631"/>
      <c r="H737" s="631"/>
      <c r="I737" s="520"/>
      <c r="J737" s="520"/>
      <c r="M737" s="540"/>
      <c r="O737" s="540"/>
    </row>
    <row r="738" spans="2:21" ht="36" customHeight="1" x14ac:dyDescent="0.5">
      <c r="C738" s="631"/>
      <c r="D738" s="630" t="s">
        <v>530</v>
      </c>
      <c r="E738" s="631"/>
      <c r="F738" s="631"/>
      <c r="G738" s="631"/>
      <c r="H738" s="631"/>
      <c r="I738" s="520"/>
      <c r="J738" s="520"/>
      <c r="M738" s="540"/>
      <c r="O738" s="540"/>
    </row>
    <row r="739" spans="2:21" ht="36" customHeight="1" x14ac:dyDescent="0.5">
      <c r="C739" s="631"/>
      <c r="D739" s="630" t="str">
        <f>Criteria!E20</f>
        <v>28 FEBRUARY 2026</v>
      </c>
      <c r="E739" s="631"/>
      <c r="F739" s="631"/>
      <c r="G739" s="631"/>
      <c r="H739" s="631"/>
      <c r="I739" s="520"/>
      <c r="J739" s="520"/>
      <c r="M739" s="540"/>
      <c r="O739" s="540"/>
    </row>
    <row r="740" spans="2:21" ht="36" customHeight="1" x14ac:dyDescent="0.5">
      <c r="C740" s="631"/>
      <c r="D740" s="631"/>
      <c r="E740" s="631"/>
      <c r="F740" s="631"/>
      <c r="G740" s="631"/>
      <c r="H740" s="631"/>
      <c r="I740" s="520"/>
      <c r="J740" s="520"/>
      <c r="K740" s="455"/>
      <c r="L740" s="455"/>
      <c r="M740" s="543"/>
      <c r="N740" s="543"/>
      <c r="O740" s="543"/>
    </row>
    <row r="741" spans="2:21" ht="36" customHeight="1" x14ac:dyDescent="0.5">
      <c r="B741" s="457"/>
      <c r="C741" s="649"/>
      <c r="D741" s="649"/>
      <c r="E741" s="649"/>
      <c r="F741" s="649"/>
      <c r="G741" s="649"/>
      <c r="H741" s="649"/>
      <c r="I741" s="591"/>
      <c r="J741" s="591"/>
      <c r="K741" s="450"/>
      <c r="L741" s="450"/>
      <c r="M741" s="453"/>
      <c r="N741" s="453"/>
      <c r="O741" s="453"/>
      <c r="P741" s="464"/>
      <c r="Q741" s="457"/>
    </row>
    <row r="742" spans="2:21" ht="36" customHeight="1" x14ac:dyDescent="0.5">
      <c r="C742" s="631"/>
      <c r="D742" s="631"/>
      <c r="E742" s="631"/>
      <c r="F742" s="631"/>
      <c r="G742" s="631"/>
      <c r="H742" s="631"/>
      <c r="I742" s="520"/>
      <c r="J742" s="520"/>
      <c r="K742" s="450"/>
      <c r="L742" s="451"/>
      <c r="M742" s="448"/>
      <c r="N742" s="450"/>
      <c r="O742" s="453">
        <f>Criteria!E22</f>
        <v>2026</v>
      </c>
      <c r="P742" s="453"/>
    </row>
    <row r="743" spans="2:21" ht="36" customHeight="1" x14ac:dyDescent="0.5">
      <c r="C743" s="631"/>
      <c r="D743" s="631"/>
      <c r="E743" s="631"/>
      <c r="F743" s="631"/>
      <c r="G743" s="631"/>
      <c r="H743" s="631"/>
      <c r="I743" s="520"/>
      <c r="J743" s="520"/>
      <c r="K743" s="450"/>
      <c r="L743" s="451"/>
      <c r="M743" s="448"/>
      <c r="N743" s="450"/>
      <c r="O743" s="454"/>
      <c r="P743" s="454"/>
    </row>
    <row r="744" spans="2:21" ht="36" customHeight="1" x14ac:dyDescent="0.5">
      <c r="B744" s="450">
        <v>1</v>
      </c>
      <c r="C744" s="630" t="s">
        <v>593</v>
      </c>
      <c r="D744" s="631"/>
      <c r="E744" s="631"/>
      <c r="F744" s="631"/>
      <c r="G744" s="631"/>
      <c r="H744" s="631"/>
      <c r="I744" s="520"/>
      <c r="J744" s="520"/>
      <c r="L744" s="451"/>
      <c r="M744" s="448"/>
      <c r="N744" s="448"/>
      <c r="O744" s="470"/>
      <c r="P744" s="454"/>
    </row>
    <row r="745" spans="2:21" ht="36" customHeight="1" x14ac:dyDescent="0.5">
      <c r="B745" s="450"/>
      <c r="C745" s="631"/>
      <c r="D745" s="631"/>
      <c r="E745" s="631"/>
      <c r="F745" s="631"/>
      <c r="G745" s="631"/>
      <c r="H745" s="631"/>
      <c r="I745" s="520"/>
      <c r="J745" s="520"/>
      <c r="L745" s="451"/>
      <c r="M745" s="448"/>
      <c r="N745" s="448"/>
      <c r="O745" s="470"/>
      <c r="P745" s="454"/>
    </row>
    <row r="746" spans="2:21" ht="36" customHeight="1" x14ac:dyDescent="0.5">
      <c r="B746" s="450"/>
      <c r="C746" s="631" t="s">
        <v>531</v>
      </c>
      <c r="D746" s="648"/>
      <c r="E746" s="631"/>
      <c r="F746" s="631"/>
      <c r="G746" s="631"/>
      <c r="H746" s="631"/>
      <c r="I746" s="520"/>
      <c r="J746" s="520"/>
      <c r="L746" s="451"/>
      <c r="M746" s="448"/>
      <c r="N746" s="448"/>
      <c r="O746" s="471">
        <f>-TrialBalance!L170</f>
        <v>0</v>
      </c>
      <c r="P746" s="454"/>
    </row>
    <row r="747" spans="2:21" ht="36" customHeight="1" x14ac:dyDescent="0.5">
      <c r="B747" s="450"/>
      <c r="C747" s="631" t="s">
        <v>532</v>
      </c>
      <c r="D747" s="648"/>
      <c r="E747" s="631"/>
      <c r="F747" s="631"/>
      <c r="G747" s="631"/>
      <c r="H747" s="631"/>
      <c r="I747" s="520"/>
      <c r="J747" s="520"/>
      <c r="L747" s="451"/>
      <c r="M747" s="448"/>
      <c r="N747" s="448"/>
      <c r="O747" s="471">
        <f>-TrialBalance!L171</f>
        <v>0</v>
      </c>
      <c r="P747" s="454"/>
    </row>
    <row r="748" spans="2:21" ht="9" customHeight="1" x14ac:dyDescent="0.5">
      <c r="B748" s="450"/>
      <c r="C748" s="631"/>
      <c r="D748" s="648"/>
      <c r="E748" s="631"/>
      <c r="F748" s="631"/>
      <c r="G748" s="631"/>
      <c r="H748" s="631"/>
      <c r="I748" s="520"/>
      <c r="J748" s="520"/>
      <c r="L748" s="451"/>
      <c r="M748" s="448"/>
      <c r="N748" s="448"/>
      <c r="O748" s="472"/>
      <c r="P748" s="454"/>
    </row>
    <row r="749" spans="2:21" ht="9" customHeight="1" x14ac:dyDescent="0.5">
      <c r="B749" s="450"/>
      <c r="C749" s="631"/>
      <c r="D749" s="648"/>
      <c r="E749" s="631"/>
      <c r="F749" s="631"/>
      <c r="G749" s="631"/>
      <c r="H749" s="631"/>
      <c r="I749" s="520"/>
      <c r="J749" s="520"/>
      <c r="L749" s="451"/>
      <c r="M749" s="448"/>
      <c r="N749" s="448"/>
      <c r="O749" s="471"/>
      <c r="P749" s="454"/>
    </row>
    <row r="750" spans="2:21" ht="36.75" customHeight="1" x14ac:dyDescent="0.5">
      <c r="B750" s="450"/>
      <c r="C750" s="631" t="s">
        <v>533</v>
      </c>
      <c r="D750" s="648"/>
      <c r="E750" s="631"/>
      <c r="F750" s="631"/>
      <c r="G750" s="631"/>
      <c r="H750" s="631"/>
      <c r="I750" s="520"/>
      <c r="J750" s="520"/>
      <c r="L750" s="451"/>
      <c r="M750" s="448"/>
      <c r="N750" s="448"/>
      <c r="O750" s="458">
        <f>SUM(O746:O749)</f>
        <v>0</v>
      </c>
      <c r="P750" s="454"/>
      <c r="U750" s="491" t="b">
        <f>O750=O2220</f>
        <v>1</v>
      </c>
    </row>
    <row r="751" spans="2:21" ht="9" customHeight="1" thickBot="1" x14ac:dyDescent="0.55000000000000004">
      <c r="B751" s="450"/>
      <c r="C751" s="631"/>
      <c r="D751" s="631"/>
      <c r="E751" s="631"/>
      <c r="F751" s="631"/>
      <c r="G751" s="631"/>
      <c r="H751" s="631"/>
      <c r="I751" s="520"/>
      <c r="J751" s="520"/>
      <c r="L751" s="451"/>
      <c r="M751" s="448"/>
      <c r="N751" s="448"/>
      <c r="O751" s="473"/>
      <c r="P751" s="454"/>
    </row>
    <row r="752" spans="2:21" ht="9" customHeight="1" thickTop="1" x14ac:dyDescent="0.5">
      <c r="B752" s="450"/>
      <c r="C752" s="631"/>
      <c r="D752" s="631"/>
      <c r="E752" s="631"/>
      <c r="F752" s="631"/>
      <c r="G752" s="631"/>
      <c r="H752" s="631"/>
      <c r="I752" s="520"/>
      <c r="J752" s="520"/>
      <c r="L752" s="451"/>
      <c r="M752" s="448"/>
      <c r="N752" s="448"/>
      <c r="O752" s="474"/>
      <c r="P752" s="454"/>
    </row>
    <row r="753" spans="2:21" ht="36" customHeight="1" x14ac:dyDescent="0.5">
      <c r="B753" s="450"/>
      <c r="C753" s="631"/>
      <c r="D753" s="631"/>
      <c r="E753" s="631"/>
      <c r="F753" s="631"/>
      <c r="G753" s="631"/>
      <c r="H753" s="631"/>
      <c r="I753" s="520"/>
      <c r="J753" s="520"/>
      <c r="L753" s="451"/>
      <c r="M753" s="448"/>
      <c r="N753" s="448"/>
      <c r="O753" s="471"/>
      <c r="P753" s="454"/>
      <c r="R753" s="490" t="str">
        <f>R754</f>
        <v>DELETE</v>
      </c>
    </row>
    <row r="754" spans="2:21" ht="36" customHeight="1" x14ac:dyDescent="0.5">
      <c r="B754" s="450">
        <f>MAX(B$744:B753)+1</f>
        <v>2</v>
      </c>
      <c r="C754" s="630" t="s">
        <v>594</v>
      </c>
      <c r="D754" s="631"/>
      <c r="E754" s="631"/>
      <c r="F754" s="631"/>
      <c r="G754" s="631"/>
      <c r="H754" s="631"/>
      <c r="I754" s="520"/>
      <c r="J754" s="520"/>
      <c r="L754" s="451"/>
      <c r="M754" s="448"/>
      <c r="N754" s="448"/>
      <c r="O754" s="471"/>
      <c r="P754" s="454"/>
      <c r="R754" s="490" t="str">
        <f>R761</f>
        <v>DELETE</v>
      </c>
    </row>
    <row r="755" spans="2:21" ht="36" customHeight="1" x14ac:dyDescent="0.5">
      <c r="B755" s="450"/>
      <c r="C755" s="631"/>
      <c r="D755" s="631"/>
      <c r="E755" s="631"/>
      <c r="F755" s="631"/>
      <c r="G755" s="631"/>
      <c r="H755" s="631"/>
      <c r="I755" s="520"/>
      <c r="J755" s="520"/>
      <c r="L755" s="451"/>
      <c r="M755" s="448"/>
      <c r="N755" s="448"/>
      <c r="O755" s="471"/>
      <c r="P755" s="454"/>
      <c r="R755" s="490" t="str">
        <f>R761</f>
        <v>DELETE</v>
      </c>
    </row>
    <row r="756" spans="2:21" ht="36" customHeight="1" x14ac:dyDescent="0.5">
      <c r="B756" s="450"/>
      <c r="C756" s="631" t="s">
        <v>1471</v>
      </c>
      <c r="D756" s="648"/>
      <c r="E756" s="631"/>
      <c r="F756" s="631"/>
      <c r="G756" s="631"/>
      <c r="H756" s="631"/>
      <c r="I756" s="520"/>
      <c r="J756" s="520"/>
      <c r="L756" s="451"/>
      <c r="M756" s="448"/>
      <c r="N756" s="448"/>
      <c r="O756" s="471">
        <f>-TrialBalance!L173</f>
        <v>0</v>
      </c>
      <c r="P756" s="454"/>
      <c r="R756" s="490" t="str">
        <f>R761</f>
        <v>DELETE</v>
      </c>
    </row>
    <row r="757" spans="2:21" ht="36" customHeight="1" x14ac:dyDescent="0.5">
      <c r="B757" s="450"/>
      <c r="C757" s="631" t="s">
        <v>535</v>
      </c>
      <c r="D757" s="648"/>
      <c r="E757" s="631"/>
      <c r="F757" s="631"/>
      <c r="G757" s="631"/>
      <c r="H757" s="631"/>
      <c r="I757" s="520"/>
      <c r="J757" s="520"/>
      <c r="L757" s="451"/>
      <c r="M757" s="448"/>
      <c r="N757" s="448"/>
      <c r="O757" s="471">
        <f>-TrialBalance!L174</f>
        <v>0</v>
      </c>
      <c r="P757" s="454"/>
      <c r="R757" s="490" t="str">
        <f t="shared" ref="R757:R758" si="22">IF(O757=0,"DELETE"," ")</f>
        <v>DELETE</v>
      </c>
    </row>
    <row r="758" spans="2:21" ht="36" customHeight="1" x14ac:dyDescent="0.5">
      <c r="B758" s="450"/>
      <c r="C758" s="631" t="s">
        <v>536</v>
      </c>
      <c r="D758" s="648"/>
      <c r="E758" s="631"/>
      <c r="F758" s="631"/>
      <c r="G758" s="631"/>
      <c r="H758" s="631"/>
      <c r="I758" s="520"/>
      <c r="J758" s="520"/>
      <c r="L758" s="451"/>
      <c r="M758" s="448"/>
      <c r="N758" s="448"/>
      <c r="O758" s="471">
        <f>-TrialBalance!L175</f>
        <v>0</v>
      </c>
      <c r="P758" s="454"/>
      <c r="R758" s="490" t="str">
        <f t="shared" si="22"/>
        <v>DELETE</v>
      </c>
    </row>
    <row r="759" spans="2:21" ht="9" customHeight="1" x14ac:dyDescent="0.5">
      <c r="B759" s="450"/>
      <c r="C759" s="631"/>
      <c r="D759" s="648"/>
      <c r="E759" s="631"/>
      <c r="F759" s="631"/>
      <c r="G759" s="631"/>
      <c r="H759" s="631"/>
      <c r="I759" s="520"/>
      <c r="J759" s="520"/>
      <c r="L759" s="451"/>
      <c r="M759" s="448"/>
      <c r="N759" s="448"/>
      <c r="O759" s="472"/>
      <c r="P759" s="454"/>
      <c r="R759" s="490" t="str">
        <f>R761</f>
        <v>DELETE</v>
      </c>
    </row>
    <row r="760" spans="2:21" ht="9" customHeight="1" x14ac:dyDescent="0.5">
      <c r="B760" s="450"/>
      <c r="C760" s="631"/>
      <c r="D760" s="648"/>
      <c r="E760" s="631"/>
      <c r="F760" s="631"/>
      <c r="G760" s="631"/>
      <c r="H760" s="631"/>
      <c r="I760" s="520"/>
      <c r="J760" s="520"/>
      <c r="L760" s="451"/>
      <c r="M760" s="448"/>
      <c r="N760" s="448"/>
      <c r="O760" s="471"/>
      <c r="P760" s="454"/>
      <c r="R760" s="490" t="str">
        <f>R761</f>
        <v>DELETE</v>
      </c>
    </row>
    <row r="761" spans="2:21" ht="36.75" customHeight="1" x14ac:dyDescent="0.5">
      <c r="B761" s="450"/>
      <c r="C761" s="631" t="s">
        <v>537</v>
      </c>
      <c r="D761" s="648"/>
      <c r="E761" s="631"/>
      <c r="F761" s="631"/>
      <c r="G761" s="631"/>
      <c r="H761" s="631"/>
      <c r="I761" s="520"/>
      <c r="J761" s="520"/>
      <c r="L761" s="451"/>
      <c r="M761" s="448"/>
      <c r="N761" s="448"/>
      <c r="O761" s="458">
        <f>SUM(O756:O759)</f>
        <v>0</v>
      </c>
      <c r="P761" s="454"/>
      <c r="R761" s="490" t="str">
        <f>IF(COUNTIF(O756:O758,"&gt;0")&gt;0," ","DELETE")</f>
        <v>DELETE</v>
      </c>
      <c r="U761" s="491" t="b">
        <f>O761=O2243</f>
        <v>1</v>
      </c>
    </row>
    <row r="762" spans="2:21" ht="9" customHeight="1" thickBot="1" x14ac:dyDescent="0.55000000000000004">
      <c r="B762" s="450"/>
      <c r="C762" s="631"/>
      <c r="D762" s="631"/>
      <c r="E762" s="631"/>
      <c r="F762" s="631"/>
      <c r="G762" s="631"/>
      <c r="H762" s="631"/>
      <c r="I762" s="520"/>
      <c r="J762" s="520"/>
      <c r="L762" s="451"/>
      <c r="M762" s="448"/>
      <c r="N762" s="448"/>
      <c r="O762" s="473"/>
      <c r="P762" s="454"/>
      <c r="R762" s="490" t="str">
        <f>R761</f>
        <v>DELETE</v>
      </c>
    </row>
    <row r="763" spans="2:21" ht="9" customHeight="1" thickTop="1" x14ac:dyDescent="0.5">
      <c r="B763" s="450"/>
      <c r="C763" s="631"/>
      <c r="D763" s="631"/>
      <c r="E763" s="631"/>
      <c r="F763" s="631"/>
      <c r="G763" s="631"/>
      <c r="H763" s="631"/>
      <c r="I763" s="520"/>
      <c r="J763" s="520"/>
      <c r="L763" s="451"/>
      <c r="M763" s="448"/>
      <c r="N763" s="448"/>
      <c r="O763" s="474"/>
      <c r="P763" s="454"/>
      <c r="R763" s="490" t="str">
        <f>R762</f>
        <v>DELETE</v>
      </c>
    </row>
    <row r="764" spans="2:21" ht="36" customHeight="1" x14ac:dyDescent="0.5">
      <c r="B764" s="450"/>
      <c r="C764" s="631"/>
      <c r="D764" s="631"/>
      <c r="E764" s="631"/>
      <c r="F764" s="631"/>
      <c r="G764" s="631"/>
      <c r="H764" s="631"/>
      <c r="I764" s="520"/>
      <c r="J764" s="520"/>
      <c r="L764" s="451"/>
      <c r="M764" s="448"/>
      <c r="N764" s="448"/>
      <c r="O764" s="471"/>
      <c r="P764" s="454"/>
      <c r="R764" s="490" t="str">
        <f>R762</f>
        <v>DELETE</v>
      </c>
    </row>
    <row r="765" spans="2:21" ht="36" customHeight="1" x14ac:dyDescent="0.5">
      <c r="B765" s="450">
        <f>MAX(B$744:B764)+1</f>
        <v>3</v>
      </c>
      <c r="C765" s="630" t="s">
        <v>13</v>
      </c>
      <c r="D765" s="631"/>
      <c r="E765" s="631"/>
      <c r="F765" s="631"/>
      <c r="G765" s="631"/>
      <c r="H765" s="631"/>
      <c r="I765" s="520"/>
      <c r="J765" s="520"/>
      <c r="L765" s="451"/>
      <c r="M765" s="448"/>
      <c r="N765" s="448"/>
      <c r="O765" s="471"/>
      <c r="P765" s="454"/>
      <c r="R765" s="490" t="str">
        <f>R$772</f>
        <v>DELETE</v>
      </c>
    </row>
    <row r="766" spans="2:21" ht="36" customHeight="1" x14ac:dyDescent="0.5">
      <c r="B766" s="450"/>
      <c r="C766" s="631"/>
      <c r="D766" s="631"/>
      <c r="E766" s="631"/>
      <c r="F766" s="631"/>
      <c r="G766" s="631"/>
      <c r="H766" s="631"/>
      <c r="I766" s="520"/>
      <c r="J766" s="520"/>
      <c r="L766" s="451"/>
      <c r="M766" s="448"/>
      <c r="N766" s="448"/>
      <c r="O766" s="471"/>
      <c r="P766" s="454"/>
      <c r="R766" s="490" t="str">
        <f>R$772</f>
        <v>DELETE</v>
      </c>
    </row>
    <row r="767" spans="2:21" ht="36" customHeight="1" x14ac:dyDescent="0.5">
      <c r="B767" s="450"/>
      <c r="C767" s="631" t="s">
        <v>128</v>
      </c>
      <c r="D767" s="648"/>
      <c r="E767" s="631"/>
      <c r="F767" s="631"/>
      <c r="G767" s="631"/>
      <c r="H767" s="631"/>
      <c r="I767" s="520"/>
      <c r="J767" s="520"/>
      <c r="L767" s="451"/>
      <c r="M767" s="448"/>
      <c r="N767" s="448"/>
      <c r="O767" s="471">
        <f>-TrialBalance!L177-TrialBalance!L181</f>
        <v>0</v>
      </c>
      <c r="P767" s="454"/>
      <c r="R767" s="490" t="str">
        <f>R$772</f>
        <v>DELETE</v>
      </c>
    </row>
    <row r="768" spans="2:21" ht="36" customHeight="1" x14ac:dyDescent="0.5">
      <c r="B768" s="450"/>
      <c r="C768" s="631" t="s">
        <v>866</v>
      </c>
      <c r="D768" s="648"/>
      <c r="E768" s="631"/>
      <c r="F768" s="631"/>
      <c r="G768" s="631"/>
      <c r="H768" s="631"/>
      <c r="I768" s="520"/>
      <c r="J768" s="520"/>
      <c r="L768" s="451"/>
      <c r="M768" s="448"/>
      <c r="N768" s="448"/>
      <c r="O768" s="471">
        <f>-TrialBalance!L178-TrialBalance!L182</f>
        <v>0</v>
      </c>
      <c r="P768" s="454"/>
      <c r="R768" s="490" t="str">
        <f>IF(O768=0,"DELETE"," ")</f>
        <v>DELETE</v>
      </c>
    </row>
    <row r="769" spans="2:23" ht="36" customHeight="1" x14ac:dyDescent="0.5">
      <c r="B769" s="450"/>
      <c r="C769" s="631" t="s">
        <v>867</v>
      </c>
      <c r="D769" s="648"/>
      <c r="E769" s="631"/>
      <c r="F769" s="631"/>
      <c r="G769" s="631"/>
      <c r="H769" s="631"/>
      <c r="I769" s="520"/>
      <c r="J769" s="520"/>
      <c r="L769" s="451"/>
      <c r="M769" s="448"/>
      <c r="N769" s="448"/>
      <c r="O769" s="458">
        <f>-TrialBalance!L179-TrialBalance!L183</f>
        <v>0</v>
      </c>
      <c r="P769" s="454"/>
      <c r="R769" s="490" t="str">
        <f>IF(O769=0,"DELETE"," ")</f>
        <v>DELETE</v>
      </c>
    </row>
    <row r="770" spans="2:23" ht="9" customHeight="1" x14ac:dyDescent="0.5">
      <c r="B770" s="450"/>
      <c r="C770" s="631"/>
      <c r="D770" s="648"/>
      <c r="E770" s="631"/>
      <c r="F770" s="631"/>
      <c r="G770" s="631"/>
      <c r="H770" s="631"/>
      <c r="I770" s="520"/>
      <c r="J770" s="520"/>
      <c r="L770" s="451"/>
      <c r="M770" s="448"/>
      <c r="N770" s="448"/>
      <c r="O770" s="472"/>
      <c r="P770" s="454"/>
      <c r="R770" s="490" t="str">
        <f>R$772</f>
        <v>DELETE</v>
      </c>
    </row>
    <row r="771" spans="2:23" ht="9" customHeight="1" x14ac:dyDescent="0.5">
      <c r="B771" s="450"/>
      <c r="C771" s="631"/>
      <c r="D771" s="648"/>
      <c r="E771" s="631"/>
      <c r="F771" s="631"/>
      <c r="G771" s="631"/>
      <c r="H771" s="631"/>
      <c r="I771" s="520"/>
      <c r="J771" s="520"/>
      <c r="L771" s="451"/>
      <c r="M771" s="448"/>
      <c r="N771" s="448"/>
      <c r="O771" s="471"/>
      <c r="P771" s="454"/>
      <c r="R771" s="490" t="str">
        <f>R$772</f>
        <v>DELETE</v>
      </c>
    </row>
    <row r="772" spans="2:23" ht="36.75" customHeight="1" x14ac:dyDescent="0.5">
      <c r="B772" s="450"/>
      <c r="C772" s="631" t="s">
        <v>538</v>
      </c>
      <c r="D772" s="648"/>
      <c r="E772" s="631"/>
      <c r="F772" s="631"/>
      <c r="G772" s="631"/>
      <c r="H772" s="631"/>
      <c r="I772" s="520"/>
      <c r="J772" s="520"/>
      <c r="L772" s="451"/>
      <c r="M772" s="448"/>
      <c r="N772" s="448"/>
      <c r="O772" s="458">
        <f>SUM(O767:O770)</f>
        <v>0</v>
      </c>
      <c r="P772" s="454"/>
      <c r="R772" s="490" t="str">
        <f>IF(COUNTIF(O767:O769,"&gt;0")&gt;0," ","DELETE")</f>
        <v>DELETE</v>
      </c>
      <c r="U772" s="491" t="b">
        <f>O772=O2279</f>
        <v>1</v>
      </c>
    </row>
    <row r="773" spans="2:23" ht="9" customHeight="1" thickBot="1" x14ac:dyDescent="0.55000000000000004">
      <c r="B773" s="450"/>
      <c r="C773" s="631"/>
      <c r="D773" s="631"/>
      <c r="E773" s="631"/>
      <c r="F773" s="631"/>
      <c r="G773" s="631"/>
      <c r="H773" s="631"/>
      <c r="I773" s="520"/>
      <c r="J773" s="520"/>
      <c r="L773" s="451"/>
      <c r="M773" s="448"/>
      <c r="N773" s="448"/>
      <c r="O773" s="473"/>
      <c r="P773" s="454"/>
      <c r="R773" s="490" t="str">
        <f>R$772</f>
        <v>DELETE</v>
      </c>
    </row>
    <row r="774" spans="2:23" ht="9" customHeight="1" thickTop="1" x14ac:dyDescent="0.5">
      <c r="B774" s="450"/>
      <c r="C774" s="631"/>
      <c r="D774" s="631"/>
      <c r="E774" s="631"/>
      <c r="F774" s="631"/>
      <c r="G774" s="631"/>
      <c r="H774" s="631"/>
      <c r="I774" s="520"/>
      <c r="J774" s="520"/>
      <c r="L774" s="451"/>
      <c r="M774" s="448"/>
      <c r="N774" s="448"/>
      <c r="O774" s="471"/>
      <c r="P774" s="454"/>
      <c r="R774" s="490" t="str">
        <f>R$772</f>
        <v>DELETE</v>
      </c>
    </row>
    <row r="775" spans="2:23" ht="36" customHeight="1" x14ac:dyDescent="0.5">
      <c r="B775" s="450"/>
      <c r="C775" s="631"/>
      <c r="D775" s="631"/>
      <c r="E775" s="631"/>
      <c r="F775" s="631"/>
      <c r="G775" s="631"/>
      <c r="H775" s="631"/>
      <c r="I775" s="520"/>
      <c r="J775" s="520"/>
      <c r="L775" s="451"/>
      <c r="M775" s="448"/>
      <c r="N775" s="448"/>
      <c r="O775" s="471"/>
      <c r="P775" s="454"/>
    </row>
    <row r="776" spans="2:23" ht="36" customHeight="1" x14ac:dyDescent="0.5">
      <c r="B776" s="450">
        <f>MAX(B$744:B775)+1</f>
        <v>4</v>
      </c>
      <c r="C776" s="636" t="str">
        <f>IF(W776=2,"Retained income","Accumulated loss")</f>
        <v>Retained income</v>
      </c>
      <c r="D776" s="631"/>
      <c r="E776" s="631"/>
      <c r="F776" s="631"/>
      <c r="G776" s="631"/>
      <c r="H776" s="631"/>
      <c r="I776" s="520"/>
      <c r="J776" s="520"/>
      <c r="L776" s="451"/>
      <c r="M776" s="448"/>
      <c r="N776" s="448"/>
      <c r="O776" s="471"/>
      <c r="P776" s="454"/>
      <c r="W776" s="491">
        <f>IF(O776&lt;0,1,2)</f>
        <v>2</v>
      </c>
    </row>
    <row r="777" spans="2:23" ht="36" customHeight="1" x14ac:dyDescent="0.5">
      <c r="B777" s="450"/>
      <c r="C777" s="631"/>
      <c r="D777" s="631"/>
      <c r="E777" s="631"/>
      <c r="F777" s="631"/>
      <c r="G777" s="631"/>
      <c r="H777" s="631"/>
      <c r="I777" s="520"/>
      <c r="J777" s="520"/>
      <c r="L777" s="451"/>
      <c r="M777" s="448"/>
      <c r="N777" s="448"/>
      <c r="O777" s="471"/>
      <c r="P777" s="454"/>
    </row>
    <row r="778" spans="2:23" ht="36" customHeight="1" x14ac:dyDescent="0.5">
      <c r="B778" s="450"/>
      <c r="C778" s="631" t="s">
        <v>128</v>
      </c>
      <c r="D778" s="648"/>
      <c r="E778" s="631"/>
      <c r="F778" s="631"/>
      <c r="G778" s="631"/>
      <c r="H778" s="631"/>
      <c r="I778" s="520"/>
      <c r="J778" s="520"/>
      <c r="L778" s="451"/>
      <c r="M778" s="448"/>
      <c r="N778" s="448"/>
      <c r="O778" s="471">
        <f>-TrialBalance!L184</f>
        <v>0</v>
      </c>
      <c r="P778" s="454"/>
      <c r="S778" s="495"/>
      <c r="T778" s="495"/>
    </row>
    <row r="779" spans="2:23" ht="36" customHeight="1" x14ac:dyDescent="0.5">
      <c r="B779" s="450"/>
      <c r="C779" s="632" t="str">
        <f>IF(W779=2,"Net profit for the year after taxation","Net loss for the year after taxation")</f>
        <v>Net profit for the year after taxation</v>
      </c>
      <c r="D779" s="648"/>
      <c r="E779" s="631"/>
      <c r="F779" s="631"/>
      <c r="G779" s="631"/>
      <c r="H779" s="631"/>
      <c r="I779" s="520"/>
      <c r="J779" s="520"/>
      <c r="L779" s="451"/>
      <c r="M779" s="448"/>
      <c r="N779" s="448"/>
      <c r="O779" s="458">
        <f>O644</f>
        <v>0</v>
      </c>
      <c r="P779" s="454"/>
      <c r="S779" s="495"/>
      <c r="T779" s="495"/>
      <c r="W779" s="491">
        <f>IF(O779&lt;0,1,2)</f>
        <v>2</v>
      </c>
    </row>
    <row r="780" spans="2:23" ht="36" customHeight="1" x14ac:dyDescent="0.5">
      <c r="B780" s="450"/>
      <c r="C780" s="631" t="s">
        <v>781</v>
      </c>
      <c r="D780" s="648"/>
      <c r="E780" s="631"/>
      <c r="F780" s="631"/>
      <c r="G780" s="631"/>
      <c r="H780" s="631"/>
      <c r="I780" s="520"/>
      <c r="J780" s="520"/>
      <c r="L780" s="451"/>
      <c r="M780" s="448"/>
      <c r="N780" s="448"/>
      <c r="O780" s="458">
        <f>-SUM(TrialBalance!L164:L165)</f>
        <v>0</v>
      </c>
      <c r="P780" s="454"/>
      <c r="R780" s="490" t="str">
        <f t="shared" ref="R780" si="23">IF(O780=0,"DELETE"," ")</f>
        <v>DELETE</v>
      </c>
      <c r="S780" s="495"/>
      <c r="T780" s="495"/>
    </row>
    <row r="781" spans="2:23" ht="9" customHeight="1" x14ac:dyDescent="0.5">
      <c r="B781" s="450"/>
      <c r="C781" s="631"/>
      <c r="D781" s="648"/>
      <c r="E781" s="631"/>
      <c r="F781" s="631"/>
      <c r="G781" s="631"/>
      <c r="H781" s="631"/>
      <c r="I781" s="520"/>
      <c r="J781" s="520"/>
      <c r="L781" s="451"/>
      <c r="M781" s="448"/>
      <c r="N781" s="448"/>
      <c r="O781" s="472"/>
      <c r="P781" s="454"/>
    </row>
    <row r="782" spans="2:23" ht="9" customHeight="1" x14ac:dyDescent="0.5">
      <c r="B782" s="450"/>
      <c r="C782" s="631"/>
      <c r="D782" s="648"/>
      <c r="E782" s="631"/>
      <c r="F782" s="631"/>
      <c r="G782" s="631"/>
      <c r="H782" s="631"/>
      <c r="I782" s="520"/>
      <c r="J782" s="520"/>
      <c r="L782" s="451"/>
      <c r="M782" s="448"/>
      <c r="N782" s="448"/>
      <c r="O782" s="471"/>
      <c r="P782" s="454"/>
    </row>
    <row r="783" spans="2:23" ht="36.75" customHeight="1" x14ac:dyDescent="0.5">
      <c r="B783" s="450"/>
      <c r="C783" s="631" t="s">
        <v>538</v>
      </c>
      <c r="D783" s="648"/>
      <c r="E783" s="631"/>
      <c r="F783" s="631"/>
      <c r="G783" s="631"/>
      <c r="H783" s="631"/>
      <c r="I783" s="520"/>
      <c r="J783" s="520"/>
      <c r="L783" s="451"/>
      <c r="M783" s="448"/>
      <c r="N783" s="448"/>
      <c r="O783" s="458">
        <f>SUM(O778:O781)</f>
        <v>0</v>
      </c>
      <c r="P783" s="454"/>
    </row>
    <row r="784" spans="2:23" ht="9" customHeight="1" thickBot="1" x14ac:dyDescent="0.55000000000000004">
      <c r="B784" s="450"/>
      <c r="C784" s="631"/>
      <c r="D784" s="631"/>
      <c r="E784" s="631"/>
      <c r="F784" s="631"/>
      <c r="G784" s="631"/>
      <c r="H784" s="631"/>
      <c r="I784" s="520"/>
      <c r="J784" s="520"/>
      <c r="L784" s="451"/>
      <c r="M784" s="448"/>
      <c r="N784" s="448"/>
      <c r="O784" s="473"/>
      <c r="P784" s="454"/>
    </row>
    <row r="785" spans="2:18" ht="9" customHeight="1" thickTop="1" x14ac:dyDescent="0.5">
      <c r="B785" s="450"/>
      <c r="C785" s="631"/>
      <c r="D785" s="631"/>
      <c r="E785" s="631"/>
      <c r="F785" s="631"/>
      <c r="G785" s="631"/>
      <c r="H785" s="631"/>
      <c r="I785" s="520"/>
      <c r="J785" s="520"/>
      <c r="L785" s="451"/>
      <c r="M785" s="448"/>
      <c r="N785" s="448"/>
      <c r="O785" s="471"/>
      <c r="P785" s="454"/>
    </row>
    <row r="786" spans="2:18" ht="36" customHeight="1" x14ac:dyDescent="0.5">
      <c r="B786" s="450"/>
      <c r="C786" s="631"/>
      <c r="D786" s="631"/>
      <c r="E786" s="631"/>
      <c r="F786" s="631"/>
      <c r="G786" s="631"/>
      <c r="H786" s="631"/>
      <c r="I786" s="520"/>
      <c r="J786" s="520"/>
      <c r="L786" s="451"/>
      <c r="M786" s="448"/>
      <c r="N786" s="448"/>
      <c r="O786" s="471"/>
      <c r="P786" s="454"/>
    </row>
    <row r="787" spans="2:18" ht="36" customHeight="1" x14ac:dyDescent="0.5">
      <c r="B787" s="450"/>
      <c r="C787" s="631"/>
      <c r="D787" s="631"/>
      <c r="E787" s="631"/>
      <c r="F787" s="631"/>
      <c r="G787" s="631"/>
      <c r="H787" s="631"/>
      <c r="I787" s="520"/>
      <c r="J787" s="520"/>
      <c r="L787" s="451"/>
      <c r="M787" s="448"/>
      <c r="N787" s="448"/>
      <c r="O787" s="471"/>
      <c r="P787" s="454"/>
    </row>
    <row r="788" spans="2:18" ht="36" customHeight="1" x14ac:dyDescent="0.5">
      <c r="C788" s="631"/>
      <c r="D788" s="631"/>
      <c r="E788" s="631"/>
      <c r="F788" s="631"/>
      <c r="G788" s="631"/>
      <c r="H788" s="631"/>
      <c r="I788" s="520"/>
      <c r="J788" s="520"/>
      <c r="K788" s="450"/>
      <c r="L788" s="450"/>
      <c r="M788" s="521"/>
      <c r="N788" s="521"/>
      <c r="O788" s="521"/>
      <c r="P788" s="521"/>
    </row>
    <row r="789" spans="2:18" ht="36" customHeight="1" x14ac:dyDescent="0.5">
      <c r="C789" s="631"/>
      <c r="D789" s="631"/>
      <c r="E789" s="631"/>
      <c r="F789" s="631"/>
      <c r="G789" s="631"/>
      <c r="H789" s="631"/>
      <c r="I789" s="520"/>
      <c r="J789" s="520"/>
      <c r="M789" s="540"/>
      <c r="O789" s="540"/>
    </row>
    <row r="790" spans="2:18" ht="36" customHeight="1" x14ac:dyDescent="0.5">
      <c r="C790" s="520"/>
      <c r="D790" s="520"/>
      <c r="E790" s="520"/>
      <c r="F790" s="520"/>
      <c r="G790" s="520"/>
      <c r="H790" s="520"/>
      <c r="I790" s="520"/>
      <c r="J790" s="520"/>
      <c r="M790" s="540"/>
      <c r="O790" s="454" t="s">
        <v>112</v>
      </c>
      <c r="Q790" s="450">
        <f>MAX($Q$103:Q789)+1</f>
        <v>16</v>
      </c>
    </row>
    <row r="791" spans="2:18" ht="36" customHeight="1" x14ac:dyDescent="0.5">
      <c r="C791" s="520"/>
      <c r="D791" s="615" t="str">
        <f>Criteria!E9</f>
        <v>ABC COMPANY (PROPRIETARY) LIMITED</v>
      </c>
      <c r="E791" s="616"/>
      <c r="F791" s="616"/>
      <c r="G791" s="616"/>
      <c r="H791" s="520"/>
      <c r="I791" s="520"/>
      <c r="J791" s="520"/>
      <c r="M791" s="540"/>
      <c r="O791" s="540"/>
    </row>
    <row r="792" spans="2:18" ht="36" customHeight="1" x14ac:dyDescent="0.5">
      <c r="C792" s="520"/>
      <c r="D792" s="615" t="str">
        <f>Criteria!E10</f>
        <v>T/A SEAFRONT HOTEL, ABC RESTAURANT AND RENTAL PROPERTIES</v>
      </c>
      <c r="E792" s="616"/>
      <c r="F792" s="616"/>
      <c r="G792" s="616"/>
      <c r="H792" s="520"/>
      <c r="I792" s="520"/>
      <c r="J792" s="520"/>
      <c r="M792" s="540"/>
      <c r="O792" s="540"/>
      <c r="R792" s="490" t="str">
        <f>IF(D792=0,"DELETE"," ")</f>
        <v xml:space="preserve"> </v>
      </c>
    </row>
    <row r="793" spans="2:18" ht="36" customHeight="1" x14ac:dyDescent="0.5">
      <c r="C793" s="520"/>
      <c r="D793" s="616"/>
      <c r="E793" s="616"/>
      <c r="F793" s="616"/>
      <c r="G793" s="616"/>
      <c r="H793" s="520"/>
      <c r="I793" s="520"/>
      <c r="J793" s="520"/>
      <c r="M793" s="540"/>
      <c r="O793" s="540"/>
    </row>
    <row r="794" spans="2:18" ht="36" customHeight="1" x14ac:dyDescent="0.5">
      <c r="C794" s="520"/>
      <c r="D794" s="615" t="s">
        <v>1482</v>
      </c>
      <c r="E794" s="616"/>
      <c r="F794" s="616"/>
      <c r="G794" s="616"/>
      <c r="H794" s="520"/>
      <c r="I794" s="520"/>
      <c r="J794" s="520"/>
      <c r="M794" s="540"/>
      <c r="O794" s="540"/>
    </row>
    <row r="795" spans="2:18" ht="36" customHeight="1" x14ac:dyDescent="0.5">
      <c r="C795" s="520"/>
      <c r="D795" s="615" t="str">
        <f>Criteria!E20</f>
        <v>28 FEBRUARY 2026</v>
      </c>
      <c r="E795" s="616"/>
      <c r="F795" s="616"/>
      <c r="G795" s="616"/>
      <c r="H795" s="520"/>
      <c r="I795" s="520"/>
      <c r="J795" s="520"/>
      <c r="M795" s="540"/>
      <c r="O795" s="540"/>
    </row>
    <row r="796" spans="2:18" ht="36" customHeight="1" x14ac:dyDescent="0.5">
      <c r="C796" s="520"/>
      <c r="D796" s="623"/>
      <c r="E796" s="623"/>
      <c r="F796" s="623"/>
      <c r="G796" s="623"/>
      <c r="H796" s="577"/>
      <c r="I796" s="577"/>
      <c r="J796" s="577"/>
      <c r="K796" s="455"/>
      <c r="L796" s="455"/>
      <c r="M796" s="543"/>
      <c r="N796" s="543"/>
      <c r="O796" s="543"/>
      <c r="P796" s="543"/>
      <c r="Q796" s="455"/>
    </row>
    <row r="797" spans="2:18" ht="36" customHeight="1" x14ac:dyDescent="0.5">
      <c r="C797" s="520"/>
      <c r="D797" s="616"/>
      <c r="E797" s="616"/>
      <c r="F797" s="616"/>
      <c r="G797" s="616"/>
      <c r="H797" s="520"/>
      <c r="I797" s="520"/>
      <c r="J797" s="520"/>
      <c r="M797" s="540"/>
      <c r="O797" s="540"/>
      <c r="Q797" s="457"/>
    </row>
    <row r="798" spans="2:18" ht="36" customHeight="1" x14ac:dyDescent="0.5">
      <c r="C798" s="520"/>
      <c r="D798" s="616"/>
      <c r="E798" s="616"/>
      <c r="F798" s="616"/>
      <c r="G798" s="616"/>
      <c r="H798" s="520"/>
      <c r="I798" s="520"/>
      <c r="J798" s="520"/>
      <c r="K798" s="450" t="s">
        <v>1494</v>
      </c>
      <c r="L798" s="451"/>
      <c r="M798" s="448"/>
      <c r="N798" s="450"/>
      <c r="O798" s="453">
        <f>Criteria!E22</f>
        <v>2026</v>
      </c>
      <c r="P798" s="453"/>
    </row>
    <row r="799" spans="2:18" ht="36" customHeight="1" x14ac:dyDescent="0.5">
      <c r="C799" s="520"/>
      <c r="D799" s="616"/>
      <c r="E799" s="616"/>
      <c r="F799" s="616"/>
      <c r="G799" s="616"/>
      <c r="H799" s="520"/>
      <c r="I799" s="520"/>
      <c r="J799" s="520"/>
      <c r="K799" s="450"/>
      <c r="L799" s="451"/>
      <c r="M799" s="448"/>
      <c r="N799" s="450"/>
      <c r="O799" s="454"/>
      <c r="P799" s="454"/>
    </row>
    <row r="800" spans="2:18" ht="36" customHeight="1" x14ac:dyDescent="0.5">
      <c r="C800" s="451"/>
      <c r="D800" s="615" t="s">
        <v>1507</v>
      </c>
      <c r="E800" s="616"/>
      <c r="F800" s="616"/>
      <c r="G800" s="616"/>
      <c r="H800" s="520"/>
      <c r="I800" s="520"/>
      <c r="J800" s="520"/>
      <c r="K800" s="450"/>
      <c r="L800" s="451"/>
      <c r="M800" s="448"/>
      <c r="N800" s="450"/>
      <c r="O800" s="458">
        <f>SUM(S803:S825)</f>
        <v>0</v>
      </c>
      <c r="P800" s="454"/>
    </row>
    <row r="801" spans="3:23" ht="9" customHeight="1" x14ac:dyDescent="0.5">
      <c r="C801" s="575"/>
      <c r="D801" s="616"/>
      <c r="E801" s="616"/>
      <c r="F801" s="616"/>
      <c r="G801" s="616"/>
      <c r="H801" s="520"/>
      <c r="I801" s="520"/>
      <c r="J801" s="520"/>
      <c r="K801" s="450"/>
      <c r="L801" s="451"/>
      <c r="M801" s="448"/>
      <c r="N801" s="450"/>
      <c r="O801" s="458"/>
      <c r="P801" s="454"/>
    </row>
    <row r="802" spans="3:23" ht="9" customHeight="1" x14ac:dyDescent="0.5">
      <c r="C802" s="575"/>
      <c r="D802" s="616"/>
      <c r="E802" s="616"/>
      <c r="F802" s="616"/>
      <c r="G802" s="616"/>
      <c r="H802" s="520"/>
      <c r="I802" s="520"/>
      <c r="J802" s="520"/>
      <c r="K802" s="450"/>
      <c r="L802" s="451"/>
      <c r="M802" s="448"/>
      <c r="N802" s="476"/>
      <c r="O802" s="459"/>
      <c r="P802" s="477"/>
    </row>
    <row r="803" spans="3:23" ht="36" customHeight="1" x14ac:dyDescent="0.5">
      <c r="C803" s="575"/>
      <c r="D803" s="616" t="s">
        <v>850</v>
      </c>
      <c r="E803" s="616"/>
      <c r="F803" s="616"/>
      <c r="G803" s="616"/>
      <c r="H803" s="520"/>
      <c r="I803" s="520"/>
      <c r="J803" s="520"/>
      <c r="K803" s="450"/>
      <c r="L803" s="451"/>
      <c r="M803" s="448"/>
      <c r="N803" s="469"/>
      <c r="O803" s="458">
        <f>SUM(TrialBalance!N359:N365)-SUM(TrialBalance!L4:L11)-SUM(TrialBalance!L27:L32)-SUM(TrialBalance!L359:L365)-SUM(TrialBalanceA!I4:I11)-SUM(TrialBalanceA!I27:I32)-SUM(TrialBalanceB!I4:I11)-SUM(TrialBalanceB!I27:I32)-SUM(TrialBalanceC!I4:I11)-SUM(TrialBalanceC!I27:I32)</f>
        <v>0</v>
      </c>
      <c r="P803" s="478"/>
      <c r="R803" s="635"/>
      <c r="S803" s="496">
        <f>O803</f>
        <v>0</v>
      </c>
      <c r="T803" s="496"/>
      <c r="U803" s="496"/>
      <c r="V803" s="496"/>
    </row>
    <row r="804" spans="3:23" ht="36" customHeight="1" x14ac:dyDescent="0.5">
      <c r="C804" s="575"/>
      <c r="D804" s="616" t="s">
        <v>246</v>
      </c>
      <c r="E804" s="616"/>
      <c r="F804" s="616"/>
      <c r="G804" s="616"/>
      <c r="H804" s="520"/>
      <c r="I804" s="520"/>
      <c r="J804" s="520"/>
      <c r="K804" s="450"/>
      <c r="L804" s="451"/>
      <c r="M804" s="448"/>
      <c r="N804" s="469"/>
      <c r="O804" s="463">
        <f>-SUM(TrialBalance!N379:N384)-SUM(TrialBalance!N395:N399)+SUM(TrialBalance!L17:L22)+SUM(TrialBalance!L39:L42)+SUM(TrialBalance!L47:L82)+SUM(TrialBalance!L98:L108)+SUM(TrialBalance!L112:L139)+SUM(TrialBalance!L379:L384)+SUM(TrialBalance!L395:L399)+SUM(TrialBalanceA!I17:I22)+SUM(TrialBalanceA!I39:I42)+SUM(TrialBalanceA!I47:I82)+SUM(TrialBalanceA!I98:I108)+SUM(TrialBalanceA!I112:I139)+SUM(TrialBalanceB!I17:I22)+SUM(TrialBalanceB!I39:I42)+SUM(TrialBalanceB!I47:I82)+SUM(TrialBalanceB!I98:I108)+SUM(TrialBalanceB!I112:I139)+SUM(TrialBalanceC!I17:I22)+SUM(TrialBalanceC!I39:I42)+SUM(TrialBalanceC!I47:I82)+SUM(TrialBalanceC!I98:I108)+SUM(TrialBalanceC!I112:I139)</f>
        <v>0</v>
      </c>
      <c r="P804" s="478"/>
      <c r="R804" s="635"/>
      <c r="S804" s="496">
        <f>-O804</f>
        <v>0</v>
      </c>
      <c r="T804" s="496"/>
      <c r="U804" s="496"/>
      <c r="V804" s="496"/>
    </row>
    <row r="805" spans="3:23" ht="9" customHeight="1" x14ac:dyDescent="0.5">
      <c r="C805" s="575"/>
      <c r="D805" s="616"/>
      <c r="E805" s="616"/>
      <c r="F805" s="616"/>
      <c r="G805" s="616"/>
      <c r="H805" s="520"/>
      <c r="I805" s="520"/>
      <c r="J805" s="520"/>
      <c r="K805" s="450"/>
      <c r="L805" s="451"/>
      <c r="M805" s="448"/>
      <c r="N805" s="469"/>
      <c r="O805" s="461"/>
      <c r="P805" s="478"/>
    </row>
    <row r="806" spans="3:23" ht="9" customHeight="1" x14ac:dyDescent="0.5">
      <c r="C806" s="575"/>
      <c r="D806" s="616"/>
      <c r="E806" s="616"/>
      <c r="F806" s="616"/>
      <c r="G806" s="616"/>
      <c r="H806" s="520"/>
      <c r="I806" s="520"/>
      <c r="J806" s="520"/>
      <c r="K806" s="450"/>
      <c r="L806" s="451"/>
      <c r="M806" s="448"/>
      <c r="N806" s="469"/>
      <c r="O806" s="458"/>
      <c r="P806" s="478"/>
    </row>
    <row r="807" spans="3:23" ht="36" customHeight="1" x14ac:dyDescent="0.5">
      <c r="C807" s="575"/>
      <c r="D807" s="616" t="s">
        <v>247</v>
      </c>
      <c r="E807" s="616"/>
      <c r="F807" s="616"/>
      <c r="G807" s="616"/>
      <c r="H807" s="520"/>
      <c r="I807" s="520"/>
      <c r="J807" s="520"/>
      <c r="K807" s="450">
        <f>B2661</f>
        <v>33</v>
      </c>
      <c r="L807" s="451"/>
      <c r="M807" s="448"/>
      <c r="N807" s="469"/>
      <c r="O807" s="458">
        <f>O803-O804</f>
        <v>0</v>
      </c>
      <c r="P807" s="478"/>
      <c r="U807" s="496" t="b">
        <f>O807=O2688</f>
        <v>1</v>
      </c>
      <c r="V807" s="496"/>
      <c r="W807" s="496"/>
    </row>
    <row r="808" spans="3:23" ht="36" customHeight="1" x14ac:dyDescent="0.5">
      <c r="C808" s="575"/>
      <c r="D808" s="616" t="s">
        <v>248</v>
      </c>
      <c r="E808" s="616"/>
      <c r="F808" s="616"/>
      <c r="G808" s="616"/>
      <c r="H808" s="520"/>
      <c r="I808" s="520"/>
      <c r="J808" s="520"/>
      <c r="K808" s="450"/>
      <c r="L808" s="451"/>
      <c r="M808" s="448"/>
      <c r="N808" s="469"/>
      <c r="O808" s="458">
        <f>SUM(O811:O816)</f>
        <v>0</v>
      </c>
      <c r="P808" s="478"/>
      <c r="R808" s="490" t="str">
        <f t="shared" ref="R808" si="24">IF(O808=0,"DELETE"," ")</f>
        <v>DELETE</v>
      </c>
      <c r="U808" s="496">
        <f>O807-O2688</f>
        <v>0</v>
      </c>
      <c r="V808" s="496"/>
    </row>
    <row r="809" spans="3:23" ht="9" customHeight="1" x14ac:dyDescent="0.5">
      <c r="C809" s="575"/>
      <c r="D809" s="616"/>
      <c r="E809" s="616"/>
      <c r="F809" s="616"/>
      <c r="G809" s="616"/>
      <c r="H809" s="520"/>
      <c r="I809" s="520"/>
      <c r="J809" s="520"/>
      <c r="K809" s="450"/>
      <c r="L809" s="451"/>
      <c r="M809" s="448"/>
      <c r="N809" s="469"/>
      <c r="O809" s="458"/>
      <c r="P809" s="478"/>
      <c r="R809" s="490" t="str">
        <f>R808</f>
        <v>DELETE</v>
      </c>
    </row>
    <row r="810" spans="3:23" ht="9" customHeight="1" x14ac:dyDescent="0.5">
      <c r="C810" s="575"/>
      <c r="D810" s="616"/>
      <c r="E810" s="616"/>
      <c r="F810" s="616"/>
      <c r="G810" s="616"/>
      <c r="H810" s="520"/>
      <c r="I810" s="520"/>
      <c r="J810" s="520"/>
      <c r="K810" s="450"/>
      <c r="L810" s="451"/>
      <c r="M810" s="448"/>
      <c r="N810" s="469"/>
      <c r="O810" s="587"/>
      <c r="P810" s="478"/>
      <c r="R810" s="490" t="str">
        <f>R809</f>
        <v>DELETE</v>
      </c>
    </row>
    <row r="811" spans="3:23" ht="36" customHeight="1" x14ac:dyDescent="0.5">
      <c r="C811" s="575"/>
      <c r="D811" s="616" t="s">
        <v>567</v>
      </c>
      <c r="E811" s="616"/>
      <c r="F811" s="616"/>
      <c r="G811" s="616"/>
      <c r="H811" s="520"/>
      <c r="I811" s="520"/>
      <c r="J811" s="520"/>
      <c r="K811" s="450">
        <f>C1328</f>
        <v>5.0999999999999996</v>
      </c>
      <c r="L811" s="451"/>
      <c r="M811" s="448"/>
      <c r="N811" s="469"/>
      <c r="O811" s="588">
        <f>-SUM(TrialBalance!L90:L93)-SUM(TrialBalanceA!I90:I93)-SUM(TrialBalanceB!I90:I93)-SUM(TrialBalanceC!I90:I93)</f>
        <v>0</v>
      </c>
      <c r="P811" s="478"/>
      <c r="R811" s="490" t="str">
        <f t="shared" ref="R811:R815" si="25">IF(O811=0,"DELETE"," ")</f>
        <v>DELETE</v>
      </c>
      <c r="S811" s="496">
        <f>O811</f>
        <v>0</v>
      </c>
      <c r="T811" s="496"/>
      <c r="U811" s="496" t="b">
        <f>O811=O1328</f>
        <v>1</v>
      </c>
      <c r="V811" s="496"/>
    </row>
    <row r="812" spans="3:23" ht="36" customHeight="1" x14ac:dyDescent="0.5">
      <c r="C812" s="575"/>
      <c r="D812" s="616" t="s">
        <v>767</v>
      </c>
      <c r="E812" s="616"/>
      <c r="F812" s="616"/>
      <c r="G812" s="616"/>
      <c r="H812" s="520"/>
      <c r="I812" s="520"/>
      <c r="J812" s="520"/>
      <c r="K812" s="450">
        <f>C1336</f>
        <v>5.1999999999999993</v>
      </c>
      <c r="L812" s="451"/>
      <c r="M812" s="448"/>
      <c r="N812" s="469"/>
      <c r="O812" s="588">
        <f>-SUM(TrialBalance!L85:L89)-SUM(TrialBalanceA!I85:I89)-SUM(TrialBalanceB!I85:I89)-SUM(TrialBalanceC!I85:I89)</f>
        <v>0</v>
      </c>
      <c r="P812" s="478"/>
      <c r="R812" s="490" t="str">
        <f t="shared" si="25"/>
        <v>DELETE</v>
      </c>
      <c r="S812" s="496">
        <f>O812</f>
        <v>0</v>
      </c>
      <c r="T812" s="496"/>
      <c r="U812" s="496" t="b">
        <f>O812=O1336</f>
        <v>1</v>
      </c>
      <c r="V812" s="496"/>
    </row>
    <row r="813" spans="3:23" ht="36" customHeight="1" x14ac:dyDescent="0.5">
      <c r="C813" s="575"/>
      <c r="D813" s="616" t="s">
        <v>223</v>
      </c>
      <c r="E813" s="616"/>
      <c r="F813" s="616"/>
      <c r="G813" s="616"/>
      <c r="H813" s="520"/>
      <c r="I813" s="520"/>
      <c r="J813" s="520"/>
      <c r="K813" s="450"/>
      <c r="L813" s="451"/>
      <c r="M813" s="448"/>
      <c r="N813" s="469"/>
      <c r="O813" s="588">
        <f>-TrialBalance!L95-TrialBalanceA!I95-TrialBalanceB!I95-TrialBalanceC!I95</f>
        <v>0</v>
      </c>
      <c r="P813" s="478"/>
      <c r="R813" s="490" t="str">
        <f t="shared" si="25"/>
        <v>DELETE</v>
      </c>
      <c r="S813" s="496">
        <f>O813</f>
        <v>0</v>
      </c>
      <c r="T813" s="496"/>
      <c r="U813" s="496"/>
      <c r="V813" s="496"/>
    </row>
    <row r="814" spans="3:23" ht="36" customHeight="1" x14ac:dyDescent="0.5">
      <c r="C814" s="575"/>
      <c r="D814" s="616" t="s">
        <v>225</v>
      </c>
      <c r="E814" s="616"/>
      <c r="F814" s="616"/>
      <c r="G814" s="616"/>
      <c r="H814" s="520"/>
      <c r="I814" s="520"/>
      <c r="J814" s="520"/>
      <c r="K814" s="450"/>
      <c r="L814" s="451"/>
      <c r="M814" s="448"/>
      <c r="N814" s="469"/>
      <c r="O814" s="588">
        <f>-TrialBalance!L96-TrialBalanceA!I96-TrialBalanceB!I96-TrialBalanceC!I96</f>
        <v>0</v>
      </c>
      <c r="P814" s="478"/>
      <c r="R814" s="490" t="str">
        <f t="shared" si="25"/>
        <v>DELETE</v>
      </c>
      <c r="S814" s="496">
        <f>O814</f>
        <v>0</v>
      </c>
      <c r="T814" s="496"/>
      <c r="U814" s="496"/>
      <c r="V814" s="496"/>
    </row>
    <row r="815" spans="3:23" ht="36" customHeight="1" x14ac:dyDescent="0.5">
      <c r="C815" s="575"/>
      <c r="D815" s="616" t="s">
        <v>398</v>
      </c>
      <c r="E815" s="616"/>
      <c r="F815" s="616"/>
      <c r="G815" s="616"/>
      <c r="H815" s="520"/>
      <c r="I815" s="520"/>
      <c r="J815" s="520"/>
      <c r="K815" s="450"/>
      <c r="L815" s="451"/>
      <c r="M815" s="448"/>
      <c r="N815" s="469"/>
      <c r="O815" s="588">
        <f>-TrialBalance!L84-TrialBalanceA!I84-TrialBalanceB!I84-TrialBalanceC!I84</f>
        <v>0</v>
      </c>
      <c r="P815" s="478"/>
      <c r="R815" s="490" t="str">
        <f t="shared" si="25"/>
        <v>DELETE</v>
      </c>
      <c r="S815" s="496">
        <f>O815</f>
        <v>0</v>
      </c>
      <c r="T815" s="496"/>
      <c r="U815" s="496"/>
      <c r="V815" s="496"/>
    </row>
    <row r="816" spans="3:23" ht="9" customHeight="1" x14ac:dyDescent="0.5">
      <c r="C816" s="575"/>
      <c r="D816" s="616"/>
      <c r="E816" s="616"/>
      <c r="F816" s="616"/>
      <c r="G816" s="616"/>
      <c r="H816" s="520"/>
      <c r="I816" s="520"/>
      <c r="J816" s="520"/>
      <c r="K816" s="450"/>
      <c r="L816" s="451"/>
      <c r="M816" s="448"/>
      <c r="N816" s="469"/>
      <c r="O816" s="589"/>
      <c r="P816" s="478"/>
      <c r="R816" s="490" t="str">
        <f>R808</f>
        <v>DELETE</v>
      </c>
    </row>
    <row r="817" spans="3:23" ht="9" customHeight="1" x14ac:dyDescent="0.5">
      <c r="C817" s="575"/>
      <c r="D817" s="616"/>
      <c r="E817" s="616"/>
      <c r="F817" s="616"/>
      <c r="G817" s="616"/>
      <c r="H817" s="520"/>
      <c r="I817" s="520"/>
      <c r="J817" s="520"/>
      <c r="K817" s="450"/>
      <c r="L817" s="451"/>
      <c r="M817" s="448"/>
      <c r="N817" s="469"/>
      <c r="O817" s="479"/>
      <c r="P817" s="478"/>
      <c r="R817" s="490" t="str">
        <f>R808</f>
        <v>DELETE</v>
      </c>
    </row>
    <row r="818" spans="3:23" ht="9" customHeight="1" x14ac:dyDescent="0.5">
      <c r="C818" s="575"/>
      <c r="D818" s="616"/>
      <c r="E818" s="616"/>
      <c r="F818" s="616"/>
      <c r="G818" s="616"/>
      <c r="H818" s="520"/>
      <c r="I818" s="520"/>
      <c r="J818" s="520"/>
      <c r="K818" s="450"/>
      <c r="L818" s="451"/>
      <c r="M818" s="448"/>
      <c r="N818" s="469"/>
      <c r="O818" s="458"/>
      <c r="P818" s="478"/>
      <c r="R818" s="490" t="str">
        <f>R817</f>
        <v>DELETE</v>
      </c>
    </row>
    <row r="819" spans="3:23" ht="36" customHeight="1" x14ac:dyDescent="0.5">
      <c r="C819" s="575"/>
      <c r="D819" s="616"/>
      <c r="E819" s="616"/>
      <c r="F819" s="616"/>
      <c r="G819" s="616"/>
      <c r="H819" s="520"/>
      <c r="I819" s="520"/>
      <c r="J819" s="520"/>
      <c r="K819" s="450"/>
      <c r="L819" s="451"/>
      <c r="M819" s="448"/>
      <c r="N819" s="469"/>
      <c r="O819" s="458">
        <f>SUM(S803:S815)</f>
        <v>0</v>
      </c>
      <c r="P819" s="478"/>
      <c r="R819" s="490" t="str">
        <f>R818</f>
        <v>DELETE</v>
      </c>
    </row>
    <row r="820" spans="3:23" ht="36" customHeight="1" x14ac:dyDescent="0.5">
      <c r="C820" s="575"/>
      <c r="D820" s="616" t="s">
        <v>251</v>
      </c>
      <c r="E820" s="616"/>
      <c r="F820" s="616"/>
      <c r="G820" s="616"/>
      <c r="H820" s="520"/>
      <c r="I820" s="520"/>
      <c r="J820" s="520"/>
      <c r="K820" s="450"/>
      <c r="L820" s="451"/>
      <c r="M820" s="448"/>
      <c r="N820" s="469"/>
      <c r="O820" s="458">
        <f>SUM(O823:O825)</f>
        <v>0</v>
      </c>
      <c r="P820" s="478"/>
    </row>
    <row r="821" spans="3:23" ht="9" customHeight="1" x14ac:dyDescent="0.5">
      <c r="C821" s="575"/>
      <c r="D821" s="616"/>
      <c r="E821" s="616"/>
      <c r="F821" s="616"/>
      <c r="G821" s="616"/>
      <c r="H821" s="520"/>
      <c r="I821" s="520"/>
      <c r="J821" s="520"/>
      <c r="K821" s="450"/>
      <c r="L821" s="451"/>
      <c r="M821" s="448"/>
      <c r="N821" s="469"/>
      <c r="O821" s="458"/>
      <c r="P821" s="478"/>
    </row>
    <row r="822" spans="3:23" ht="9" customHeight="1" x14ac:dyDescent="0.5">
      <c r="C822" s="575"/>
      <c r="D822" s="616"/>
      <c r="E822" s="616"/>
      <c r="F822" s="616"/>
      <c r="G822" s="616"/>
      <c r="H822" s="520"/>
      <c r="I822" s="520"/>
      <c r="J822" s="520"/>
      <c r="K822" s="450"/>
      <c r="L822" s="451"/>
      <c r="M822" s="448"/>
      <c r="N822" s="469"/>
      <c r="O822" s="587"/>
      <c r="P822" s="478"/>
    </row>
    <row r="823" spans="3:23" ht="36" customHeight="1" x14ac:dyDescent="0.5">
      <c r="C823" s="575"/>
      <c r="D823" s="616" t="s">
        <v>1588</v>
      </c>
      <c r="E823" s="616"/>
      <c r="F823" s="616"/>
      <c r="G823" s="616"/>
      <c r="H823" s="520"/>
      <c r="I823" s="520"/>
      <c r="J823" s="520"/>
      <c r="K823" s="450"/>
      <c r="L823" s="451"/>
      <c r="M823" s="448"/>
      <c r="N823" s="469"/>
      <c r="O823" s="588">
        <f>-TrialBalance!N394+SUM(TrialBalance!L164:L165)+TrialBalance!L394+SUM(TrialBalanceA!I164:I165)+SUM(TrialBalanceB!I164:I165)+SUM(TrialBalanceC!I164:I165)-TrialBalance!N393+TrialBalance!L393</f>
        <v>0</v>
      </c>
      <c r="P823" s="478"/>
      <c r="R823" s="490" t="str">
        <f t="shared" ref="R823:R824" si="26">IF(O823=0,"DELETE"," ")</f>
        <v>DELETE</v>
      </c>
      <c r="S823" s="496">
        <f>-O823</f>
        <v>0</v>
      </c>
      <c r="T823" s="496"/>
      <c r="U823" s="496"/>
      <c r="V823" s="496"/>
    </row>
    <row r="824" spans="3:23" ht="36" customHeight="1" x14ac:dyDescent="0.5">
      <c r="C824" s="575"/>
      <c r="D824" s="616" t="s">
        <v>1493</v>
      </c>
      <c r="E824" s="616"/>
      <c r="F824" s="616"/>
      <c r="G824" s="616"/>
      <c r="H824" s="520"/>
      <c r="I824" s="520"/>
      <c r="J824" s="520"/>
      <c r="K824" s="450">
        <f>B1384</f>
        <v>6</v>
      </c>
      <c r="L824" s="451"/>
      <c r="M824" s="448"/>
      <c r="N824" s="469"/>
      <c r="O824" s="588">
        <f>SUM(TrialBalance!L143:L154)+SUM(TrialBalanceA!I143:I154)+SUM(TrialBalanceB!I143:I154)+SUM(TrialBalanceC!I143:I154)</f>
        <v>0</v>
      </c>
      <c r="P824" s="478"/>
      <c r="R824" s="490" t="str">
        <f t="shared" si="26"/>
        <v>DELETE</v>
      </c>
      <c r="S824" s="496">
        <f>-O824</f>
        <v>0</v>
      </c>
      <c r="T824" s="496"/>
      <c r="U824" s="496" t="b">
        <f>O824=O1432</f>
        <v>1</v>
      </c>
      <c r="V824" s="496"/>
    </row>
    <row r="825" spans="3:23" ht="36" customHeight="1" x14ac:dyDescent="0.5">
      <c r="C825" s="575"/>
      <c r="D825" s="628" t="str">
        <f>IF(W825=2,"Taxation paid","Taxation refund")</f>
        <v>Taxation paid</v>
      </c>
      <c r="E825" s="616"/>
      <c r="F825" s="616"/>
      <c r="G825" s="616"/>
      <c r="H825" s="520"/>
      <c r="I825" s="520"/>
      <c r="J825" s="520"/>
      <c r="K825" s="450">
        <f>C1510</f>
        <v>8.1999999999999993</v>
      </c>
      <c r="L825" s="451"/>
      <c r="M825" s="448"/>
      <c r="N825" s="469"/>
      <c r="O825" s="590">
        <f>SUM(TrialBalance!L389:L392)</f>
        <v>0</v>
      </c>
      <c r="P825" s="478"/>
      <c r="S825" s="496">
        <f>-O825</f>
        <v>0</v>
      </c>
      <c r="T825" s="496"/>
      <c r="U825" s="496" t="b">
        <f>O825=O1516</f>
        <v>1</v>
      </c>
      <c r="V825" s="496"/>
      <c r="W825" s="491">
        <f>IF(O825&lt;0,1,2)</f>
        <v>2</v>
      </c>
    </row>
    <row r="826" spans="3:23" ht="9" customHeight="1" x14ac:dyDescent="0.5">
      <c r="C826" s="575"/>
      <c r="D826" s="616"/>
      <c r="E826" s="616"/>
      <c r="F826" s="616"/>
      <c r="G826" s="616"/>
      <c r="H826" s="520"/>
      <c r="I826" s="520"/>
      <c r="J826" s="520"/>
      <c r="K826" s="450"/>
      <c r="L826" s="451"/>
      <c r="M826" s="448"/>
      <c r="N826" s="469"/>
      <c r="O826" s="589"/>
      <c r="P826" s="478"/>
    </row>
    <row r="827" spans="3:23" ht="9" customHeight="1" x14ac:dyDescent="0.5">
      <c r="C827" s="575"/>
      <c r="D827" s="616"/>
      <c r="E827" s="616"/>
      <c r="F827" s="616"/>
      <c r="G827" s="616"/>
      <c r="H827" s="520"/>
      <c r="I827" s="520"/>
      <c r="J827" s="520"/>
      <c r="K827" s="450"/>
      <c r="L827" s="451"/>
      <c r="M827" s="448"/>
      <c r="N827" s="480"/>
      <c r="O827" s="461"/>
      <c r="P827" s="481"/>
    </row>
    <row r="828" spans="3:23" ht="9" customHeight="1" x14ac:dyDescent="0.5">
      <c r="C828" s="575"/>
      <c r="D828" s="616"/>
      <c r="E828" s="616"/>
      <c r="F828" s="616"/>
      <c r="G828" s="616"/>
      <c r="H828" s="520"/>
      <c r="I828" s="520"/>
      <c r="J828" s="520"/>
      <c r="K828" s="450"/>
      <c r="L828" s="451"/>
      <c r="M828" s="448"/>
      <c r="N828" s="450"/>
      <c r="O828" s="458"/>
      <c r="P828" s="454"/>
    </row>
    <row r="829" spans="3:23" ht="36" customHeight="1" x14ac:dyDescent="0.5">
      <c r="C829" s="575"/>
      <c r="D829" s="616"/>
      <c r="E829" s="616"/>
      <c r="F829" s="616"/>
      <c r="G829" s="616"/>
      <c r="H829" s="520"/>
      <c r="I829" s="520"/>
      <c r="J829" s="520"/>
      <c r="K829" s="450"/>
      <c r="L829" s="451"/>
      <c r="M829" s="448"/>
      <c r="N829" s="450"/>
      <c r="O829" s="458"/>
      <c r="P829" s="454"/>
      <c r="R829" s="490" t="str">
        <f>R830</f>
        <v>DELETE</v>
      </c>
    </row>
    <row r="830" spans="3:23" ht="36" customHeight="1" x14ac:dyDescent="0.5">
      <c r="C830" s="451"/>
      <c r="D830" s="615" t="s">
        <v>1508</v>
      </c>
      <c r="E830" s="616"/>
      <c r="F830" s="616"/>
      <c r="G830" s="616"/>
      <c r="H830" s="520"/>
      <c r="I830" s="520"/>
      <c r="J830" s="520"/>
      <c r="K830" s="450"/>
      <c r="L830" s="451"/>
      <c r="M830" s="448"/>
      <c r="N830" s="450"/>
      <c r="O830" s="458">
        <f>SUM(S833:S837)</f>
        <v>0</v>
      </c>
      <c r="P830" s="454"/>
      <c r="R830" s="490" t="str">
        <f t="shared" ref="R830" si="27">IF(O830=0,"DELETE"," ")</f>
        <v>DELETE</v>
      </c>
    </row>
    <row r="831" spans="3:23" ht="9" customHeight="1" x14ac:dyDescent="0.5">
      <c r="C831" s="575"/>
      <c r="D831" s="616"/>
      <c r="E831" s="616"/>
      <c r="F831" s="616"/>
      <c r="G831" s="616"/>
      <c r="H831" s="520"/>
      <c r="I831" s="520"/>
      <c r="J831" s="520"/>
      <c r="K831" s="450"/>
      <c r="L831" s="451"/>
      <c r="M831" s="448"/>
      <c r="N831" s="450"/>
      <c r="O831" s="458"/>
      <c r="P831" s="454"/>
      <c r="R831" s="490" t="str">
        <f>R830</f>
        <v>DELETE</v>
      </c>
    </row>
    <row r="832" spans="3:23" ht="9" customHeight="1" x14ac:dyDescent="0.5">
      <c r="C832" s="575"/>
      <c r="D832" s="616"/>
      <c r="E832" s="616"/>
      <c r="F832" s="616"/>
      <c r="G832" s="616"/>
      <c r="H832" s="520"/>
      <c r="I832" s="520"/>
      <c r="J832" s="520"/>
      <c r="K832" s="450"/>
      <c r="L832" s="451"/>
      <c r="M832" s="448"/>
      <c r="N832" s="476"/>
      <c r="O832" s="459"/>
      <c r="P832" s="477"/>
      <c r="R832" s="490" t="str">
        <f>R831</f>
        <v>DELETE</v>
      </c>
    </row>
    <row r="833" spans="3:26" ht="36" customHeight="1" x14ac:dyDescent="0.5">
      <c r="C833" s="575"/>
      <c r="D833" s="616" t="str">
        <f>IF(TrialBalance!L231+TrialBalance!N231+TrialBalance!L242+TrialBalance!N242=0,"Purchases of plant and equipment",IF(SUM(TrialBalance!L251:L282)+SUM(TrialBalance!N252:N282)=0,"Purchases of property","Purchases of property, plant and equipment"))</f>
        <v>Purchases of plant and equipment</v>
      </c>
      <c r="E833" s="616"/>
      <c r="F833" s="616"/>
      <c r="G833" s="616"/>
      <c r="H833" s="520"/>
      <c r="I833" s="520"/>
      <c r="J833" s="520"/>
      <c r="K833" s="450"/>
      <c r="L833" s="451"/>
      <c r="M833" s="448"/>
      <c r="N833" s="469"/>
      <c r="O833" s="475">
        <f>-(+TrialBalance!L231+TrialBalance!L242+TrialBalance!L253+TrialBalance!L261+TrialBalance!L269+TrialBalance!L277)</f>
        <v>0</v>
      </c>
      <c r="P833" s="478"/>
      <c r="R833" s="490" t="str">
        <f t="shared" ref="R833:R837" si="28">IF(O833=0,"DELETE"," ")</f>
        <v>DELETE</v>
      </c>
      <c r="S833" s="496">
        <f>O833</f>
        <v>0</v>
      </c>
      <c r="T833" s="496"/>
      <c r="U833" s="496"/>
      <c r="V833" s="496"/>
    </row>
    <row r="834" spans="3:26" ht="36" customHeight="1" x14ac:dyDescent="0.5">
      <c r="C834" s="575"/>
      <c r="D834" s="628" t="str">
        <f>IF(W834=2,"Decrease in intangibles","Increase in intangibles")</f>
        <v>Decrease in intangibles</v>
      </c>
      <c r="E834" s="616"/>
      <c r="F834" s="616"/>
      <c r="G834" s="616"/>
      <c r="H834" s="520"/>
      <c r="I834" s="520"/>
      <c r="J834" s="520"/>
      <c r="K834" s="450"/>
      <c r="L834" s="451"/>
      <c r="M834" s="448"/>
      <c r="N834" s="469"/>
      <c r="O834" s="475">
        <f>-TrialBalance!L286-TrialBalance!L295</f>
        <v>0</v>
      </c>
      <c r="P834" s="478"/>
      <c r="R834" s="490" t="str">
        <f t="shared" si="28"/>
        <v>DELETE</v>
      </c>
      <c r="S834" s="496">
        <f>O834</f>
        <v>0</v>
      </c>
      <c r="T834" s="496"/>
      <c r="U834" s="496"/>
      <c r="V834" s="496"/>
      <c r="W834" s="491">
        <f>IF(O834&lt;0,1,2)</f>
        <v>2</v>
      </c>
    </row>
    <row r="835" spans="3:26" ht="36" customHeight="1" x14ac:dyDescent="0.5">
      <c r="C835" s="575"/>
      <c r="D835" s="628" t="str">
        <f>IF(W835=2,CONCATENATE("Decrease in ",Z835),CONCATENATE("Increase in ",Z835))</f>
        <v>Decrease in investment</v>
      </c>
      <c r="E835" s="616"/>
      <c r="F835" s="616"/>
      <c r="G835" s="616"/>
      <c r="H835" s="520"/>
      <c r="I835" s="520"/>
      <c r="J835" s="520"/>
      <c r="K835" s="450"/>
      <c r="L835" s="451"/>
      <c r="M835" s="448"/>
      <c r="N835" s="469"/>
      <c r="O835" s="475">
        <f>SUM(TrialBalance!N302:N318)-SUM(TrialBalance!L302:L318)</f>
        <v>0</v>
      </c>
      <c r="P835" s="478"/>
      <c r="R835" s="490" t="str">
        <f t="shared" si="28"/>
        <v>DELETE</v>
      </c>
      <c r="S835" s="496">
        <f>O835</f>
        <v>0</v>
      </c>
      <c r="T835" s="496"/>
      <c r="U835" s="496"/>
      <c r="V835" s="496"/>
      <c r="W835" s="491">
        <f>IF(O835&lt;0,1,2)</f>
        <v>2</v>
      </c>
      <c r="X835" s="491">
        <f>IF(COUNTIF(TrialBalance!L302:L318,"&gt;0")&gt;1,2,1)</f>
        <v>1</v>
      </c>
      <c r="Y835" s="491">
        <f>IF(COUNTIF(TrialBalance!N302:N318,"&gt;0")&gt;1,2,1)</f>
        <v>1</v>
      </c>
      <c r="Z835" s="498" t="str">
        <f>IF(X835=1,IF(Y835=1,"investment","investments"),"investments")</f>
        <v>investment</v>
      </c>
    </row>
    <row r="836" spans="3:26" ht="36" customHeight="1" x14ac:dyDescent="0.5">
      <c r="C836" s="575"/>
      <c r="D836" s="628" t="str">
        <f>IF(W836=2,CONCATENATE("Decrease in non - current ",Z836),CONCATENATE("Increase in non - current ",Z836))</f>
        <v>Decrease in non - current receivable</v>
      </c>
      <c r="E836" s="616"/>
      <c r="F836" s="616"/>
      <c r="G836" s="616"/>
      <c r="H836" s="520"/>
      <c r="I836" s="520"/>
      <c r="J836" s="520"/>
      <c r="K836" s="450"/>
      <c r="L836" s="451"/>
      <c r="M836" s="448"/>
      <c r="N836" s="469"/>
      <c r="O836" s="475">
        <f>SUM(TrialBalance!N319:N353)-SUM(TrialBalance!L319:L353)</f>
        <v>0</v>
      </c>
      <c r="P836" s="478"/>
      <c r="R836" s="490" t="str">
        <f t="shared" si="28"/>
        <v>DELETE</v>
      </c>
      <c r="S836" s="496">
        <f>O836</f>
        <v>0</v>
      </c>
      <c r="T836" s="496"/>
      <c r="U836" s="496"/>
      <c r="V836" s="496"/>
      <c r="W836" s="491">
        <f>IF(O836&lt;0,1,2)</f>
        <v>2</v>
      </c>
      <c r="X836" s="491">
        <f>IF(COUNTIF(TrialBalance!L319:L353,"&gt;0")&gt;1,2,1)</f>
        <v>1</v>
      </c>
      <c r="Y836" s="491">
        <f>IF(COUNTIF(TrialBalance!N319:N353,"&gt;0")&gt;1,2,1)</f>
        <v>1</v>
      </c>
      <c r="Z836" s="498" t="str">
        <f>IF(X836=1,IF(Y836=1,"receivable","receivables"),"receivables")</f>
        <v>receivable</v>
      </c>
    </row>
    <row r="837" spans="3:26" ht="36" customHeight="1" x14ac:dyDescent="0.5">
      <c r="C837" s="575"/>
      <c r="D837" s="616" t="str">
        <f>IF(TrialBalance!L232+TrialBalance!L243=0,"Proceeds on disposal of plant and equipment","Proceeds on disposal of property, plant and equipment")</f>
        <v>Proceeds on disposal of plant and equipment</v>
      </c>
      <c r="E837" s="616"/>
      <c r="F837" s="616"/>
      <c r="G837" s="616"/>
      <c r="H837" s="520"/>
      <c r="I837" s="520"/>
      <c r="J837" s="520"/>
      <c r="K837" s="450"/>
      <c r="L837" s="451"/>
      <c r="M837" s="448"/>
      <c r="N837" s="469"/>
      <c r="O837" s="475">
        <f>-(+TrialBalance!L232+TrialBalance!L238+TrialBalance!L243+TrialBalance!L249+TrialBalance!L254+TrialBalance!L258+TrialBalance!L262+TrialBalance!L266+TrialBalance!L270+TrialBalance!L274+TrialBalance!L278+TrialBalance!L282)-TrialBalance!L94-TrialBalanceA!I94-TrialBalanceB!I94-TrialBalanceC!I94</f>
        <v>0</v>
      </c>
      <c r="P837" s="478"/>
      <c r="R837" s="490" t="str">
        <f t="shared" si="28"/>
        <v>DELETE</v>
      </c>
      <c r="S837" s="496">
        <f>O837</f>
        <v>0</v>
      </c>
      <c r="T837" s="496"/>
      <c r="U837" s="496"/>
      <c r="V837" s="496"/>
    </row>
    <row r="838" spans="3:26" ht="9" customHeight="1" x14ac:dyDescent="0.5">
      <c r="C838" s="575"/>
      <c r="D838" s="616"/>
      <c r="E838" s="616"/>
      <c r="F838" s="616"/>
      <c r="G838" s="616"/>
      <c r="H838" s="520"/>
      <c r="I838" s="520"/>
      <c r="J838" s="520"/>
      <c r="K838" s="450"/>
      <c r="L838" s="451"/>
      <c r="M838" s="448"/>
      <c r="N838" s="480"/>
      <c r="O838" s="461"/>
      <c r="P838" s="481"/>
      <c r="R838" s="490" t="str">
        <f>R830</f>
        <v>DELETE</v>
      </c>
    </row>
    <row r="839" spans="3:26" ht="9" customHeight="1" x14ac:dyDescent="0.5">
      <c r="C839" s="575"/>
      <c r="D839" s="616"/>
      <c r="E839" s="616"/>
      <c r="F839" s="616"/>
      <c r="G839" s="616"/>
      <c r="H839" s="520"/>
      <c r="I839" s="520"/>
      <c r="J839" s="520"/>
      <c r="K839" s="450"/>
      <c r="L839" s="451"/>
      <c r="M839" s="448"/>
      <c r="N839" s="450"/>
      <c r="O839" s="458"/>
      <c r="P839" s="454"/>
      <c r="R839" s="490" t="str">
        <f>R838</f>
        <v>DELETE</v>
      </c>
    </row>
    <row r="840" spans="3:26" ht="36" customHeight="1" x14ac:dyDescent="0.5">
      <c r="C840" s="575"/>
      <c r="D840" s="616"/>
      <c r="E840" s="616"/>
      <c r="F840" s="616"/>
      <c r="G840" s="616"/>
      <c r="H840" s="520"/>
      <c r="I840" s="520"/>
      <c r="J840" s="520"/>
      <c r="K840" s="450"/>
      <c r="L840" s="451"/>
      <c r="M840" s="448"/>
      <c r="N840" s="450"/>
      <c r="O840" s="458"/>
      <c r="P840" s="454"/>
      <c r="R840" s="490" t="str">
        <f>R841</f>
        <v>DELETE</v>
      </c>
    </row>
    <row r="841" spans="3:26" ht="36" customHeight="1" x14ac:dyDescent="0.5">
      <c r="C841" s="451"/>
      <c r="D841" s="615" t="s">
        <v>1509</v>
      </c>
      <c r="E841" s="616"/>
      <c r="F841" s="616"/>
      <c r="G841" s="616"/>
      <c r="H841" s="520"/>
      <c r="I841" s="520"/>
      <c r="J841" s="520"/>
      <c r="K841" s="450"/>
      <c r="L841" s="451"/>
      <c r="M841" s="448"/>
      <c r="N841" s="450"/>
      <c r="O841" s="458">
        <f>SUM(O844:O848)</f>
        <v>0</v>
      </c>
      <c r="P841" s="454"/>
      <c r="R841" s="490" t="str">
        <f t="shared" ref="R841" si="29">IF(O841=0,"DELETE"," ")</f>
        <v>DELETE</v>
      </c>
    </row>
    <row r="842" spans="3:26" ht="9" customHeight="1" x14ac:dyDescent="0.5">
      <c r="C842" s="575"/>
      <c r="D842" s="616"/>
      <c r="E842" s="616"/>
      <c r="F842" s="616"/>
      <c r="G842" s="616"/>
      <c r="H842" s="520"/>
      <c r="I842" s="520"/>
      <c r="J842" s="520"/>
      <c r="K842" s="450"/>
      <c r="L842" s="451"/>
      <c r="M842" s="448"/>
      <c r="N842" s="450"/>
      <c r="O842" s="458"/>
      <c r="P842" s="454"/>
      <c r="R842" s="490" t="str">
        <f>R841</f>
        <v>DELETE</v>
      </c>
    </row>
    <row r="843" spans="3:26" ht="9" customHeight="1" x14ac:dyDescent="0.5">
      <c r="C843" s="575"/>
      <c r="D843" s="616"/>
      <c r="E843" s="616"/>
      <c r="F843" s="616"/>
      <c r="G843" s="616"/>
      <c r="H843" s="520"/>
      <c r="I843" s="520"/>
      <c r="J843" s="520"/>
      <c r="K843" s="450"/>
      <c r="L843" s="451"/>
      <c r="M843" s="448"/>
      <c r="N843" s="476"/>
      <c r="O843" s="459"/>
      <c r="P843" s="477"/>
      <c r="R843" s="490" t="str">
        <f>R842</f>
        <v>DELETE</v>
      </c>
    </row>
    <row r="844" spans="3:26" ht="36" customHeight="1" x14ac:dyDescent="0.5">
      <c r="C844" s="575"/>
      <c r="D844" s="616" t="s">
        <v>601</v>
      </c>
      <c r="E844" s="616"/>
      <c r="F844" s="616"/>
      <c r="G844" s="616"/>
      <c r="H844" s="520"/>
      <c r="I844" s="520"/>
      <c r="J844" s="520"/>
      <c r="K844" s="450"/>
      <c r="L844" s="451"/>
      <c r="M844" s="448"/>
      <c r="N844" s="469"/>
      <c r="O844" s="475">
        <f>-TrialBalance!L171</f>
        <v>0</v>
      </c>
      <c r="P844" s="478"/>
      <c r="R844" s="490" t="str">
        <f t="shared" ref="R844:R848" si="30">IF(O844=0,"DELETE"," ")</f>
        <v>DELETE</v>
      </c>
      <c r="S844" s="496">
        <f>O844</f>
        <v>0</v>
      </c>
      <c r="T844" s="496"/>
      <c r="U844" s="496"/>
      <c r="V844" s="496"/>
    </row>
    <row r="845" spans="3:26" ht="36" customHeight="1" x14ac:dyDescent="0.5">
      <c r="C845" s="575"/>
      <c r="D845" s="628" t="str">
        <f>IF(W845=2,CONCATENATE("Increase in share premium",Z845),CONCATENATE("Decrease in share premium",Z845))</f>
        <v>Increase in share premium</v>
      </c>
      <c r="E845" s="616"/>
      <c r="F845" s="616"/>
      <c r="G845" s="616"/>
      <c r="H845" s="520"/>
      <c r="I845" s="520"/>
      <c r="J845" s="520"/>
      <c r="K845" s="450"/>
      <c r="L845" s="451"/>
      <c r="M845" s="448"/>
      <c r="N845" s="469"/>
      <c r="O845" s="475">
        <f>-TrialBalance!L174-TrialBalance!L175</f>
        <v>0</v>
      </c>
      <c r="P845" s="478"/>
      <c r="R845" s="490" t="str">
        <f t="shared" si="30"/>
        <v>DELETE</v>
      </c>
      <c r="S845" s="496">
        <f>O845</f>
        <v>0</v>
      </c>
      <c r="T845" s="496"/>
      <c r="U845" s="496"/>
      <c r="V845" s="496"/>
      <c r="W845" s="491">
        <f>IF(O845&lt;0,1,2)</f>
        <v>2</v>
      </c>
    </row>
    <row r="846" spans="3:26" ht="36" customHeight="1" x14ac:dyDescent="0.5">
      <c r="C846" s="575"/>
      <c r="D846" s="628" t="str">
        <f>IF(W846=2,CONCATENATE("Increase in interest bearing ",Z846),CONCATENATE("Decrease in interest bearing ",Z846))</f>
        <v>Increase in interest bearing borrowing</v>
      </c>
      <c r="E846" s="616"/>
      <c r="F846" s="616"/>
      <c r="G846" s="616"/>
      <c r="H846" s="520"/>
      <c r="I846" s="520"/>
      <c r="J846" s="520"/>
      <c r="K846" s="450"/>
      <c r="L846" s="451"/>
      <c r="M846" s="448"/>
      <c r="N846" s="469"/>
      <c r="O846" s="475">
        <f>SUM(TrialBalance!N185:N201)-SUM(TrialBalance!L185:L201)</f>
        <v>0</v>
      </c>
      <c r="P846" s="478"/>
      <c r="R846" s="490" t="str">
        <f t="shared" si="30"/>
        <v>DELETE</v>
      </c>
      <c r="S846" s="496">
        <f>O846</f>
        <v>0</v>
      </c>
      <c r="T846" s="496"/>
      <c r="U846" s="496"/>
      <c r="V846" s="496"/>
      <c r="W846" s="491">
        <f t="shared" ref="W846:W848" si="31">IF(O846&lt;0,1,2)</f>
        <v>2</v>
      </c>
      <c r="X846" s="491">
        <f>IF(COUNTIF(TrialBalance!L186:L200,"&lt;0")&gt;1,2,1)</f>
        <v>1</v>
      </c>
      <c r="Y846" s="491">
        <f>IF(COUNTIF(TrialBalance!N186:N200,"&lt;0")&gt;1,2,1)</f>
        <v>1</v>
      </c>
      <c r="Z846" s="498" t="str">
        <f>IF(X846=1,IF(Y846=1,"borrowing","borrowings"),"borrowings")</f>
        <v>borrowing</v>
      </c>
    </row>
    <row r="847" spans="3:26" ht="36" customHeight="1" x14ac:dyDescent="0.5">
      <c r="C847" s="575"/>
      <c r="D847" s="628" t="str">
        <f>IF(W847=2,CONCATENATE("Increase in interest free ",Z847),CONCATENATE("Decrease in interest free ",Z847))</f>
        <v>Increase in interest free borrowing</v>
      </c>
      <c r="E847" s="616"/>
      <c r="F847" s="616"/>
      <c r="G847" s="616"/>
      <c r="H847" s="520"/>
      <c r="I847" s="520"/>
      <c r="J847" s="520"/>
      <c r="K847" s="450"/>
      <c r="L847" s="451"/>
      <c r="M847" s="448"/>
      <c r="N847" s="469"/>
      <c r="O847" s="475">
        <f>+SUM(TrialBalance!N202:N219)-SUM(TrialBalance!L202:L219)</f>
        <v>0</v>
      </c>
      <c r="P847" s="478"/>
      <c r="R847" s="490" t="str">
        <f t="shared" si="30"/>
        <v>DELETE</v>
      </c>
      <c r="S847" s="496">
        <f>O847</f>
        <v>0</v>
      </c>
      <c r="T847" s="496"/>
      <c r="U847" s="496"/>
      <c r="V847" s="496"/>
      <c r="W847" s="491">
        <f t="shared" si="31"/>
        <v>2</v>
      </c>
      <c r="X847" s="491">
        <f>IF(COUNTIF(TrialBalance!L203:L219,"&lt;0")&gt;1,2,1)</f>
        <v>1</v>
      </c>
      <c r="Y847" s="491">
        <f>IF(COUNTIF(TrialBalance!N203:N219,"&lt;0")&gt;1,2,1)</f>
        <v>1</v>
      </c>
      <c r="Z847" s="498" t="str">
        <f>IF(X847=1,IF(Y847=1,"borrowing","borrowings"),"borrowings")</f>
        <v>borrowing</v>
      </c>
    </row>
    <row r="848" spans="3:26" ht="36" customHeight="1" x14ac:dyDescent="0.5">
      <c r="C848" s="575"/>
      <c r="D848" s="628" t="str">
        <f>IF(W848=2,CONCATENATE("Increase in short term ",Z848),CONCATENATE("Decrease in short term ",Z848))</f>
        <v>Increase in short term loan</v>
      </c>
      <c r="E848" s="616"/>
      <c r="F848" s="616"/>
      <c r="G848" s="616"/>
      <c r="H848" s="520"/>
      <c r="I848" s="520"/>
      <c r="J848" s="520"/>
      <c r="K848" s="450"/>
      <c r="L848" s="451"/>
      <c r="M848" s="448"/>
      <c r="N848" s="469"/>
      <c r="O848" s="475">
        <f>SUM(TrialBalance!N374:N378)-SUM(TrialBalance!L374:L378)</f>
        <v>0</v>
      </c>
      <c r="P848" s="478"/>
      <c r="R848" s="490" t="str">
        <f t="shared" si="30"/>
        <v>DELETE</v>
      </c>
      <c r="S848" s="496">
        <f>O848</f>
        <v>0</v>
      </c>
      <c r="T848" s="496"/>
      <c r="U848" s="496"/>
      <c r="V848" s="496"/>
      <c r="W848" s="491">
        <f t="shared" si="31"/>
        <v>2</v>
      </c>
      <c r="X848" s="491">
        <f>IF(COUNTIF(TrialBalance!L375:L378,"&lt;0")&gt;1,2,1)</f>
        <v>1</v>
      </c>
      <c r="Y848" s="491">
        <f>IF(COUNTIF(TrialBalance!N375:N378,"&lt;0")&gt;1,2,1)</f>
        <v>1</v>
      </c>
      <c r="Z848" s="498" t="str">
        <f>IF(X848=1,IF(Y848=1,"loan","loans"),"loans")</f>
        <v>loan</v>
      </c>
    </row>
    <row r="849" spans="3:23" ht="9" customHeight="1" x14ac:dyDescent="0.5">
      <c r="C849" s="575"/>
      <c r="D849" s="616"/>
      <c r="E849" s="616"/>
      <c r="F849" s="616"/>
      <c r="G849" s="616"/>
      <c r="H849" s="520"/>
      <c r="I849" s="520"/>
      <c r="J849" s="520"/>
      <c r="K849" s="450"/>
      <c r="L849" s="451"/>
      <c r="M849" s="448"/>
      <c r="N849" s="480"/>
      <c r="O849" s="461"/>
      <c r="P849" s="481"/>
      <c r="R849" s="490" t="str">
        <f>R841</f>
        <v>DELETE</v>
      </c>
    </row>
    <row r="850" spans="3:23" ht="9" customHeight="1" x14ac:dyDescent="0.5">
      <c r="C850" s="575"/>
      <c r="D850" s="616"/>
      <c r="E850" s="616"/>
      <c r="F850" s="616"/>
      <c r="G850" s="616"/>
      <c r="H850" s="520"/>
      <c r="I850" s="520"/>
      <c r="J850" s="520"/>
      <c r="K850" s="450"/>
      <c r="L850" s="451"/>
      <c r="M850" s="448"/>
      <c r="N850" s="467"/>
      <c r="O850" s="461"/>
      <c r="P850" s="468"/>
    </row>
    <row r="851" spans="3:23" ht="9" customHeight="1" x14ac:dyDescent="0.5">
      <c r="C851" s="575"/>
      <c r="D851" s="616"/>
      <c r="E851" s="616"/>
      <c r="F851" s="616"/>
      <c r="G851" s="616"/>
      <c r="H851" s="520"/>
      <c r="I851" s="520"/>
      <c r="J851" s="520"/>
      <c r="K851" s="450"/>
      <c r="L851" s="451"/>
      <c r="M851" s="448"/>
      <c r="N851" s="450"/>
      <c r="O851" s="458"/>
      <c r="P851" s="454"/>
    </row>
    <row r="852" spans="3:23" ht="36" customHeight="1" x14ac:dyDescent="0.5">
      <c r="C852" s="451"/>
      <c r="D852" s="637" t="str">
        <f>IF(W852=2,"Net increase in cash and","Net decrease in cash and")</f>
        <v>Net increase in cash and</v>
      </c>
      <c r="E852" s="616"/>
      <c r="F852" s="616"/>
      <c r="G852" s="616"/>
      <c r="H852" s="520"/>
      <c r="I852" s="520"/>
      <c r="J852" s="520"/>
      <c r="K852" s="450"/>
      <c r="L852" s="451"/>
      <c r="M852" s="448"/>
      <c r="N852" s="450"/>
      <c r="O852" s="458"/>
      <c r="P852" s="454"/>
      <c r="W852" s="491">
        <f>IF(O853&lt;0,1,2)</f>
        <v>2</v>
      </c>
    </row>
    <row r="853" spans="3:23" ht="36" customHeight="1" x14ac:dyDescent="0.5">
      <c r="C853" s="451"/>
      <c r="D853" s="615" t="s">
        <v>1510</v>
      </c>
      <c r="E853" s="616"/>
      <c r="F853" s="616"/>
      <c r="G853" s="616"/>
      <c r="H853" s="520"/>
      <c r="I853" s="520"/>
      <c r="J853" s="520"/>
      <c r="K853" s="450"/>
      <c r="L853" s="451"/>
      <c r="M853" s="448"/>
      <c r="N853" s="450"/>
      <c r="O853" s="458">
        <f>SUM(S803:S849)</f>
        <v>0</v>
      </c>
      <c r="P853" s="454"/>
    </row>
    <row r="854" spans="3:23" ht="36" customHeight="1" x14ac:dyDescent="0.5">
      <c r="C854" s="575"/>
      <c r="D854" s="616"/>
      <c r="E854" s="616"/>
      <c r="F854" s="616"/>
      <c r="G854" s="616"/>
      <c r="H854" s="520"/>
      <c r="I854" s="520"/>
      <c r="J854" s="520"/>
      <c r="K854" s="450"/>
      <c r="L854" s="451"/>
      <c r="M854" s="448"/>
      <c r="N854" s="450"/>
      <c r="O854" s="458"/>
      <c r="P854" s="454"/>
    </row>
    <row r="855" spans="3:23" ht="36" customHeight="1" x14ac:dyDescent="0.5">
      <c r="C855" s="451"/>
      <c r="D855" s="615" t="s">
        <v>750</v>
      </c>
      <c r="E855" s="616"/>
      <c r="F855" s="616"/>
      <c r="G855" s="616"/>
      <c r="H855" s="520"/>
      <c r="I855" s="520"/>
      <c r="J855" s="520"/>
      <c r="K855" s="450"/>
      <c r="L855" s="451"/>
      <c r="M855" s="448"/>
      <c r="N855" s="450"/>
      <c r="O855" s="451"/>
      <c r="P855" s="454"/>
    </row>
    <row r="856" spans="3:23" ht="36" customHeight="1" x14ac:dyDescent="0.5">
      <c r="C856" s="575"/>
      <c r="D856" s="616" t="s">
        <v>186</v>
      </c>
      <c r="E856" s="616"/>
      <c r="F856" s="616"/>
      <c r="G856" s="616"/>
      <c r="H856" s="520"/>
      <c r="I856" s="520"/>
      <c r="J856" s="520"/>
      <c r="K856" s="450"/>
      <c r="L856" s="451"/>
      <c r="M856" s="448"/>
      <c r="N856" s="450"/>
      <c r="O856" s="458">
        <f>SUM(TrialBalance!N367:N373)</f>
        <v>0</v>
      </c>
      <c r="P856" s="454"/>
    </row>
    <row r="857" spans="3:23" ht="9" customHeight="1" x14ac:dyDescent="0.5">
      <c r="C857" s="575"/>
      <c r="D857" s="616"/>
      <c r="E857" s="616"/>
      <c r="F857" s="616"/>
      <c r="G857" s="616"/>
      <c r="H857" s="520"/>
      <c r="I857" s="520"/>
      <c r="J857" s="520"/>
      <c r="K857" s="450"/>
      <c r="L857" s="451"/>
      <c r="M857" s="448"/>
      <c r="N857" s="467"/>
      <c r="O857" s="461"/>
      <c r="P857" s="468"/>
    </row>
    <row r="858" spans="3:23" ht="9" customHeight="1" x14ac:dyDescent="0.5">
      <c r="C858" s="575"/>
      <c r="D858" s="616"/>
      <c r="E858" s="616"/>
      <c r="F858" s="616"/>
      <c r="G858" s="616"/>
      <c r="H858" s="520"/>
      <c r="I858" s="520"/>
      <c r="J858" s="520"/>
      <c r="K858" s="450"/>
      <c r="L858" s="451"/>
      <c r="M858" s="448"/>
      <c r="N858" s="450"/>
      <c r="O858" s="458"/>
      <c r="P858" s="454"/>
    </row>
    <row r="859" spans="3:23" ht="36" customHeight="1" x14ac:dyDescent="0.5">
      <c r="C859" s="451"/>
      <c r="D859" s="615" t="s">
        <v>750</v>
      </c>
      <c r="E859" s="616"/>
      <c r="F859" s="616"/>
      <c r="G859" s="616"/>
      <c r="H859" s="520"/>
      <c r="I859" s="520"/>
      <c r="J859" s="520"/>
      <c r="K859" s="450"/>
      <c r="L859" s="451"/>
      <c r="M859" s="448"/>
      <c r="N859" s="450"/>
      <c r="O859" s="458"/>
      <c r="P859" s="454"/>
    </row>
    <row r="860" spans="3:23" ht="36" customHeight="1" x14ac:dyDescent="0.5">
      <c r="C860" s="575"/>
      <c r="D860" s="616" t="s">
        <v>187</v>
      </c>
      <c r="E860" s="616"/>
      <c r="F860" s="616"/>
      <c r="G860" s="616"/>
      <c r="H860" s="520"/>
      <c r="I860" s="520"/>
      <c r="J860" s="520"/>
      <c r="K860" s="450">
        <f>B2156</f>
        <v>19</v>
      </c>
      <c r="L860" s="451"/>
      <c r="M860" s="448"/>
      <c r="N860" s="450"/>
      <c r="O860" s="458">
        <f>SUM(O853:O858)</f>
        <v>0</v>
      </c>
      <c r="P860" s="454"/>
      <c r="U860" s="39" t="b">
        <f>O860=SUM(TrialBalance!L367:L373)</f>
        <v>1</v>
      </c>
      <c r="V860" s="496"/>
    </row>
    <row r="861" spans="3:23" ht="9" customHeight="1" thickBot="1" x14ac:dyDescent="0.55000000000000004">
      <c r="C861" s="520"/>
      <c r="D861" s="616"/>
      <c r="E861" s="616"/>
      <c r="F861" s="616"/>
      <c r="G861" s="616"/>
      <c r="H861" s="520"/>
      <c r="I861" s="520"/>
      <c r="J861" s="520"/>
      <c r="L861" s="451"/>
      <c r="M861" s="448"/>
      <c r="N861" s="482"/>
      <c r="O861" s="552"/>
      <c r="P861" s="553"/>
      <c r="U861" s="496"/>
      <c r="V861" s="496"/>
    </row>
    <row r="862" spans="3:23" ht="9" customHeight="1" thickTop="1" x14ac:dyDescent="0.5">
      <c r="C862" s="520"/>
      <c r="D862" s="616"/>
      <c r="E862" s="616"/>
      <c r="F862" s="616"/>
      <c r="G862" s="616"/>
      <c r="H862" s="520"/>
      <c r="I862" s="520"/>
      <c r="J862" s="520"/>
      <c r="L862" s="451"/>
      <c r="M862" s="448"/>
      <c r="N862" s="448"/>
      <c r="O862" s="541"/>
    </row>
    <row r="863" spans="3:23" ht="36" customHeight="1" x14ac:dyDescent="0.5">
      <c r="C863" s="520"/>
      <c r="D863" s="616"/>
      <c r="E863" s="616"/>
      <c r="F863" s="616"/>
      <c r="G863" s="616"/>
      <c r="H863" s="520"/>
      <c r="I863" s="520"/>
      <c r="J863" s="520"/>
      <c r="L863" s="451"/>
      <c r="M863" s="448"/>
      <c r="N863" s="448"/>
      <c r="O863" s="541"/>
      <c r="R863" s="635"/>
      <c r="U863" s="496"/>
      <c r="V863" s="496"/>
    </row>
    <row r="864" spans="3:23" ht="36" customHeight="1" x14ac:dyDescent="0.5">
      <c r="C864" s="520"/>
      <c r="D864" s="616"/>
      <c r="E864" s="616"/>
      <c r="F864" s="616"/>
      <c r="G864" s="616"/>
      <c r="H864" s="520"/>
      <c r="I864" s="520"/>
      <c r="J864" s="520"/>
      <c r="M864" s="540"/>
      <c r="O864" s="540"/>
    </row>
    <row r="865" spans="2:18" ht="36" customHeight="1" x14ac:dyDescent="0.5">
      <c r="C865" s="631"/>
      <c r="D865" s="631"/>
      <c r="E865" s="631"/>
      <c r="F865" s="631"/>
      <c r="G865" s="631"/>
      <c r="H865" s="631"/>
      <c r="I865" s="631"/>
      <c r="J865" s="631"/>
      <c r="M865" s="540"/>
      <c r="O865" s="454" t="s">
        <v>112</v>
      </c>
      <c r="Q865" s="450">
        <f>MAX($Q$103:Q864)+1</f>
        <v>17</v>
      </c>
    </row>
    <row r="866" spans="2:18" ht="36" customHeight="1" x14ac:dyDescent="0.5">
      <c r="C866" s="631"/>
      <c r="D866" s="630" t="str">
        <f>Criteria!E9</f>
        <v>ABC COMPANY (PROPRIETARY) LIMITED</v>
      </c>
      <c r="E866" s="631"/>
      <c r="F866" s="631"/>
      <c r="G866" s="631"/>
      <c r="H866" s="631"/>
      <c r="I866" s="631"/>
      <c r="J866" s="631"/>
      <c r="M866" s="540"/>
      <c r="O866" s="540"/>
    </row>
    <row r="867" spans="2:18" ht="36" customHeight="1" x14ac:dyDescent="0.5">
      <c r="C867" s="631"/>
      <c r="D867" s="630" t="str">
        <f>Criteria!E10</f>
        <v>T/A SEAFRONT HOTEL, ABC RESTAURANT AND RENTAL PROPERTIES</v>
      </c>
      <c r="E867" s="631"/>
      <c r="F867" s="631"/>
      <c r="G867" s="631"/>
      <c r="H867" s="631"/>
      <c r="I867" s="631"/>
      <c r="J867" s="631"/>
      <c r="M867" s="540"/>
      <c r="O867" s="540"/>
      <c r="R867" s="490" t="str">
        <f>IF(D867=0,"DELETE"," ")</f>
        <v xml:space="preserve"> </v>
      </c>
    </row>
    <row r="868" spans="2:18" ht="36" customHeight="1" x14ac:dyDescent="0.5">
      <c r="C868" s="631"/>
      <c r="D868" s="631"/>
      <c r="E868" s="631"/>
      <c r="F868" s="631"/>
      <c r="G868" s="631"/>
      <c r="H868" s="631"/>
      <c r="I868" s="631"/>
      <c r="J868" s="631"/>
      <c r="M868" s="540"/>
      <c r="O868" s="540"/>
    </row>
    <row r="869" spans="2:18" ht="36" customHeight="1" x14ac:dyDescent="0.5">
      <c r="C869" s="631"/>
      <c r="D869" s="630" t="s">
        <v>415</v>
      </c>
      <c r="E869" s="631"/>
      <c r="F869" s="631"/>
      <c r="G869" s="631"/>
      <c r="H869" s="631"/>
      <c r="I869" s="631"/>
      <c r="J869" s="631"/>
      <c r="M869" s="540"/>
      <c r="O869" s="540"/>
    </row>
    <row r="870" spans="2:18" ht="36" customHeight="1" x14ac:dyDescent="0.5">
      <c r="C870" s="631"/>
      <c r="D870" s="630" t="str">
        <f>Criteria!E20</f>
        <v>28 FEBRUARY 2026</v>
      </c>
      <c r="E870" s="631"/>
      <c r="F870" s="631"/>
      <c r="G870" s="631"/>
      <c r="H870" s="631"/>
      <c r="I870" s="631"/>
      <c r="J870" s="631"/>
      <c r="M870" s="540"/>
      <c r="O870" s="540"/>
    </row>
    <row r="871" spans="2:18" ht="36" customHeight="1" x14ac:dyDescent="0.5">
      <c r="C871" s="631"/>
      <c r="D871" s="631"/>
      <c r="E871" s="631"/>
      <c r="F871" s="631"/>
      <c r="G871" s="631"/>
      <c r="H871" s="631"/>
      <c r="I871" s="631"/>
      <c r="J871" s="631"/>
      <c r="M871" s="540"/>
      <c r="O871" s="540"/>
    </row>
    <row r="872" spans="2:18" ht="36" customHeight="1" x14ac:dyDescent="0.5">
      <c r="B872" s="641"/>
      <c r="C872" s="649"/>
      <c r="D872" s="649"/>
      <c r="E872" s="649"/>
      <c r="F872" s="649"/>
      <c r="G872" s="649"/>
      <c r="H872" s="649"/>
      <c r="I872" s="649"/>
      <c r="J872" s="649"/>
      <c r="K872" s="457"/>
      <c r="L872" s="457"/>
      <c r="M872" s="551"/>
      <c r="N872" s="551"/>
      <c r="O872" s="551"/>
      <c r="P872" s="551"/>
      <c r="Q872" s="457"/>
    </row>
    <row r="873" spans="2:18" ht="36" customHeight="1" x14ac:dyDescent="0.5">
      <c r="B873" s="501">
        <v>1</v>
      </c>
      <c r="C873" s="630" t="s">
        <v>1512</v>
      </c>
      <c r="D873" s="631"/>
      <c r="E873" s="631"/>
      <c r="F873" s="631"/>
      <c r="G873" s="631"/>
      <c r="H873" s="631"/>
      <c r="I873" s="631"/>
      <c r="J873" s="631"/>
      <c r="M873" s="545"/>
      <c r="N873" s="545"/>
      <c r="O873" s="545"/>
      <c r="P873" s="545"/>
    </row>
    <row r="874" spans="2:18" ht="36" customHeight="1" x14ac:dyDescent="0.5">
      <c r="B874" s="501"/>
      <c r="C874" s="630"/>
      <c r="D874" s="631"/>
      <c r="E874" s="631"/>
      <c r="F874" s="631"/>
      <c r="G874" s="631"/>
      <c r="H874" s="631"/>
      <c r="I874" s="631"/>
      <c r="J874" s="631"/>
      <c r="M874" s="545"/>
      <c r="N874" s="545"/>
      <c r="O874" s="545"/>
      <c r="P874" s="545"/>
    </row>
    <row r="875" spans="2:18" ht="36" customHeight="1" x14ac:dyDescent="0.5">
      <c r="B875" s="502"/>
      <c r="C875" s="630"/>
      <c r="D875" s="631" t="s">
        <v>1548</v>
      </c>
      <c r="E875" s="631"/>
      <c r="F875" s="631"/>
      <c r="G875" s="631"/>
      <c r="H875" s="631"/>
      <c r="I875" s="631"/>
      <c r="J875" s="631"/>
      <c r="K875" s="520"/>
      <c r="M875" s="545"/>
      <c r="N875" s="545"/>
      <c r="O875" s="545"/>
      <c r="P875" s="545"/>
    </row>
    <row r="876" spans="2:18" ht="36" customHeight="1" x14ac:dyDescent="0.5">
      <c r="B876" s="502"/>
      <c r="C876" s="630"/>
      <c r="D876" s="631" t="s">
        <v>1550</v>
      </c>
      <c r="E876" s="631"/>
      <c r="F876" s="631"/>
      <c r="G876" s="631"/>
      <c r="H876" s="631"/>
      <c r="I876" s="631"/>
      <c r="J876" s="631"/>
      <c r="K876" s="520"/>
      <c r="M876" s="545"/>
      <c r="N876" s="545"/>
      <c r="O876" s="545"/>
      <c r="P876" s="545"/>
    </row>
    <row r="877" spans="2:18" ht="36" customHeight="1" x14ac:dyDescent="0.5">
      <c r="B877" s="502"/>
      <c r="C877" s="630"/>
      <c r="D877" s="631" t="s">
        <v>1549</v>
      </c>
      <c r="E877" s="631"/>
      <c r="F877" s="631"/>
      <c r="G877" s="631"/>
      <c r="H877" s="631"/>
      <c r="I877" s="631"/>
      <c r="J877" s="631"/>
      <c r="K877" s="520"/>
      <c r="M877" s="545"/>
      <c r="N877" s="545"/>
      <c r="O877" s="545"/>
      <c r="P877" s="545"/>
    </row>
    <row r="878" spans="2:18" ht="36" customHeight="1" x14ac:dyDescent="0.5">
      <c r="B878" s="502"/>
      <c r="C878" s="630"/>
      <c r="D878" s="631" t="s">
        <v>1552</v>
      </c>
      <c r="E878" s="631"/>
      <c r="F878" s="631"/>
      <c r="G878" s="631"/>
      <c r="H878" s="631"/>
      <c r="I878" s="631"/>
      <c r="J878" s="631"/>
      <c r="K878" s="520"/>
      <c r="M878" s="545"/>
      <c r="N878" s="545"/>
      <c r="O878" s="545"/>
      <c r="P878" s="545"/>
    </row>
    <row r="879" spans="2:18" ht="36" customHeight="1" x14ac:dyDescent="0.5">
      <c r="B879" s="502"/>
      <c r="C879" s="630"/>
      <c r="D879" s="631" t="s">
        <v>1551</v>
      </c>
      <c r="E879" s="631"/>
      <c r="F879" s="631"/>
      <c r="G879" s="631"/>
      <c r="H879" s="631"/>
      <c r="I879" s="631"/>
      <c r="J879" s="631"/>
      <c r="K879" s="520"/>
      <c r="M879" s="545"/>
      <c r="N879" s="545"/>
      <c r="O879" s="545"/>
      <c r="P879" s="545"/>
    </row>
    <row r="880" spans="2:18" ht="36" customHeight="1" x14ac:dyDescent="0.5">
      <c r="B880" s="502"/>
      <c r="C880" s="631"/>
      <c r="D880" s="631"/>
      <c r="E880" s="631"/>
      <c r="F880" s="631"/>
      <c r="G880" s="631"/>
      <c r="H880" s="631"/>
      <c r="I880" s="631"/>
      <c r="J880" s="631"/>
      <c r="K880" s="520"/>
      <c r="M880" s="545"/>
      <c r="N880" s="545"/>
      <c r="O880" s="545"/>
      <c r="P880" s="545"/>
    </row>
    <row r="881" spans="2:16" ht="36" customHeight="1" x14ac:dyDescent="0.5">
      <c r="B881" s="502"/>
      <c r="C881" s="448">
        <f>B873+0.1</f>
        <v>1.1000000000000001</v>
      </c>
      <c r="D881" s="630" t="s">
        <v>1513</v>
      </c>
      <c r="E881" s="631"/>
      <c r="F881" s="631"/>
      <c r="G881" s="631"/>
      <c r="H881" s="631"/>
      <c r="I881" s="631"/>
      <c r="J881" s="631"/>
      <c r="K881" s="616"/>
      <c r="L881" s="616"/>
      <c r="M881" s="545"/>
      <c r="N881" s="545"/>
      <c r="O881" s="545"/>
      <c r="P881" s="545"/>
    </row>
    <row r="882" spans="2:16" ht="36" customHeight="1" x14ac:dyDescent="0.5">
      <c r="B882" s="502"/>
      <c r="D882" s="630"/>
      <c r="E882" s="631"/>
      <c r="F882" s="631"/>
      <c r="G882" s="631"/>
      <c r="H882" s="631"/>
      <c r="I882" s="631"/>
      <c r="J882" s="631"/>
      <c r="K882" s="616"/>
      <c r="L882" s="616"/>
      <c r="M882" s="545"/>
      <c r="N882" s="545"/>
      <c r="O882" s="545"/>
      <c r="P882" s="545"/>
    </row>
    <row r="883" spans="2:16" ht="36" customHeight="1" x14ac:dyDescent="0.5">
      <c r="B883" s="502"/>
      <c r="D883" s="631" t="s">
        <v>1553</v>
      </c>
      <c r="E883" s="631"/>
      <c r="F883" s="631"/>
      <c r="G883" s="631"/>
      <c r="H883" s="631"/>
      <c r="I883" s="631"/>
      <c r="J883" s="631"/>
      <c r="K883" s="616"/>
      <c r="L883" s="616"/>
      <c r="M883" s="545"/>
      <c r="N883" s="545"/>
      <c r="O883" s="545"/>
      <c r="P883" s="545"/>
    </row>
    <row r="884" spans="2:16" ht="36" customHeight="1" x14ac:dyDescent="0.5">
      <c r="B884" s="502"/>
      <c r="D884" s="631" t="s">
        <v>1665</v>
      </c>
      <c r="E884" s="631"/>
      <c r="F884" s="631"/>
      <c r="G884" s="631"/>
      <c r="H884" s="631"/>
      <c r="I884" s="631"/>
      <c r="J884" s="631"/>
      <c r="K884" s="616"/>
      <c r="L884" s="616"/>
      <c r="M884" s="545"/>
      <c r="N884" s="545"/>
      <c r="O884" s="545"/>
      <c r="P884" s="545"/>
    </row>
    <row r="885" spans="2:16" ht="36" customHeight="1" x14ac:dyDescent="0.5">
      <c r="B885" s="502"/>
      <c r="D885" s="631" t="s">
        <v>1668</v>
      </c>
      <c r="E885" s="631"/>
      <c r="F885" s="631"/>
      <c r="G885" s="631"/>
      <c r="H885" s="631"/>
      <c r="I885" s="631"/>
      <c r="J885" s="631"/>
      <c r="K885" s="616"/>
      <c r="L885" s="616"/>
      <c r="M885" s="545"/>
      <c r="N885" s="545"/>
      <c r="O885" s="545"/>
      <c r="P885" s="545"/>
    </row>
    <row r="886" spans="2:16" ht="36" customHeight="1" x14ac:dyDescent="0.5">
      <c r="B886" s="502"/>
      <c r="D886" s="631" t="s">
        <v>1666</v>
      </c>
      <c r="E886" s="631"/>
      <c r="F886" s="631"/>
      <c r="G886" s="631"/>
      <c r="H886" s="631"/>
      <c r="I886" s="631"/>
      <c r="J886" s="631"/>
      <c r="K886" s="616"/>
      <c r="L886" s="616"/>
      <c r="M886" s="545"/>
      <c r="N886" s="545"/>
      <c r="O886" s="545"/>
      <c r="P886" s="545"/>
    </row>
    <row r="887" spans="2:16" ht="36" customHeight="1" x14ac:dyDescent="0.5">
      <c r="B887" s="502"/>
      <c r="D887" s="650" t="s">
        <v>1195</v>
      </c>
      <c r="E887" s="631"/>
      <c r="F887" s="631"/>
      <c r="G887" s="631"/>
      <c r="H887" s="631"/>
      <c r="I887" s="631"/>
      <c r="J887" s="631"/>
      <c r="K887" s="616"/>
      <c r="L887" s="616"/>
      <c r="M887" s="545"/>
      <c r="N887" s="545"/>
      <c r="O887" s="545"/>
      <c r="P887" s="545"/>
    </row>
    <row r="888" spans="2:16" ht="36" customHeight="1" x14ac:dyDescent="0.5">
      <c r="B888" s="502"/>
      <c r="D888" s="631" t="s">
        <v>1670</v>
      </c>
      <c r="E888" s="631"/>
      <c r="F888" s="631"/>
      <c r="G888" s="631"/>
      <c r="H888" s="631"/>
      <c r="I888" s="631"/>
      <c r="J888" s="631"/>
      <c r="K888" s="616"/>
      <c r="L888" s="616"/>
      <c r="M888" s="545"/>
      <c r="N888" s="545"/>
      <c r="O888" s="545"/>
      <c r="P888" s="545"/>
    </row>
    <row r="889" spans="2:16" ht="36" customHeight="1" x14ac:dyDescent="0.5">
      <c r="B889" s="502"/>
      <c r="D889" s="631" t="s">
        <v>1669</v>
      </c>
      <c r="E889" s="631"/>
      <c r="F889" s="631"/>
      <c r="G889" s="631"/>
      <c r="H889" s="631"/>
      <c r="I889" s="631"/>
      <c r="J889" s="631"/>
      <c r="K889" s="616"/>
      <c r="L889" s="616"/>
      <c r="M889" s="545"/>
      <c r="N889" s="545"/>
      <c r="O889" s="545"/>
      <c r="P889" s="545"/>
    </row>
    <row r="890" spans="2:16" ht="36" customHeight="1" x14ac:dyDescent="0.5">
      <c r="B890" s="502"/>
      <c r="D890" s="650" t="s">
        <v>1196</v>
      </c>
      <c r="E890" s="631"/>
      <c r="F890" s="631"/>
      <c r="G890" s="631"/>
      <c r="H890" s="631"/>
      <c r="I890" s="631"/>
      <c r="J890" s="631"/>
      <c r="K890" s="616"/>
      <c r="L890" s="616"/>
      <c r="M890" s="545"/>
      <c r="N890" s="545"/>
      <c r="O890" s="545"/>
      <c r="P890" s="545"/>
    </row>
    <row r="891" spans="2:16" ht="36" customHeight="1" x14ac:dyDescent="0.5">
      <c r="B891" s="502"/>
      <c r="D891" s="631" t="s">
        <v>1671</v>
      </c>
      <c r="E891" s="631"/>
      <c r="F891" s="631"/>
      <c r="G891" s="631"/>
      <c r="H891" s="631"/>
      <c r="I891" s="631"/>
      <c r="J891" s="631"/>
      <c r="K891" s="616"/>
      <c r="L891" s="616"/>
      <c r="M891" s="545"/>
      <c r="N891" s="545"/>
      <c r="O891" s="545"/>
      <c r="P891" s="545"/>
    </row>
    <row r="892" spans="2:16" ht="36" customHeight="1" x14ac:dyDescent="0.5">
      <c r="B892" s="502"/>
      <c r="D892" s="631" t="s">
        <v>1673</v>
      </c>
      <c r="E892" s="631"/>
      <c r="F892" s="631"/>
      <c r="G892" s="631"/>
      <c r="H892" s="631"/>
      <c r="I892" s="631"/>
      <c r="J892" s="631"/>
      <c r="K892" s="616"/>
      <c r="L892" s="616"/>
      <c r="M892" s="545"/>
      <c r="N892" s="545"/>
      <c r="O892" s="545"/>
      <c r="P892" s="545"/>
    </row>
    <row r="893" spans="2:16" ht="36" customHeight="1" x14ac:dyDescent="0.5">
      <c r="B893" s="502"/>
      <c r="D893" s="631" t="s">
        <v>1672</v>
      </c>
      <c r="E893" s="631"/>
      <c r="F893" s="631"/>
      <c r="G893" s="631"/>
      <c r="H893" s="631"/>
      <c r="I893" s="631"/>
      <c r="J893" s="631"/>
      <c r="K893" s="616"/>
      <c r="L893" s="616"/>
      <c r="M893" s="545"/>
      <c r="N893" s="545"/>
      <c r="O893" s="545"/>
      <c r="P893" s="545"/>
    </row>
    <row r="894" spans="2:16" ht="36" customHeight="1" x14ac:dyDescent="0.5">
      <c r="B894" s="502"/>
      <c r="D894" s="631"/>
      <c r="E894" s="631"/>
      <c r="F894" s="631"/>
      <c r="G894" s="631"/>
      <c r="H894" s="631"/>
      <c r="I894" s="631"/>
      <c r="J894" s="631"/>
      <c r="K894" s="616"/>
      <c r="L894" s="616"/>
      <c r="M894" s="545"/>
      <c r="N894" s="545"/>
      <c r="O894" s="545"/>
      <c r="P894" s="545"/>
    </row>
    <row r="895" spans="2:16" ht="36" customHeight="1" x14ac:dyDescent="0.5">
      <c r="B895" s="502"/>
      <c r="C895" s="448">
        <f>MAX(C$873:C894)+0.1</f>
        <v>1.2000000000000002</v>
      </c>
      <c r="D895" s="630" t="s">
        <v>978</v>
      </c>
      <c r="E895" s="631"/>
      <c r="F895" s="631"/>
      <c r="G895" s="631"/>
      <c r="H895" s="631"/>
      <c r="I895" s="631"/>
      <c r="J895" s="631"/>
      <c r="K895" s="616"/>
      <c r="L895" s="616"/>
      <c r="M895" s="545"/>
      <c r="N895" s="545"/>
      <c r="O895" s="545"/>
      <c r="P895" s="545"/>
    </row>
    <row r="896" spans="2:16" ht="36" customHeight="1" x14ac:dyDescent="0.5">
      <c r="B896" s="502"/>
      <c r="D896" s="630"/>
      <c r="E896" s="631"/>
      <c r="F896" s="631"/>
      <c r="G896" s="631"/>
      <c r="H896" s="631"/>
      <c r="I896" s="631"/>
      <c r="J896" s="631"/>
      <c r="K896" s="616"/>
      <c r="L896" s="616"/>
      <c r="M896" s="545"/>
      <c r="N896" s="545"/>
      <c r="O896" s="545"/>
      <c r="P896" s="545"/>
    </row>
    <row r="897" spans="2:16" ht="36" customHeight="1" x14ac:dyDescent="0.5">
      <c r="B897" s="502"/>
      <c r="D897" s="650" t="s">
        <v>1221</v>
      </c>
      <c r="E897" s="631"/>
      <c r="F897" s="631"/>
      <c r="G897" s="631"/>
      <c r="H897" s="631"/>
      <c r="I897" s="631"/>
      <c r="J897" s="631"/>
      <c r="K897" s="616"/>
      <c r="L897" s="616"/>
      <c r="M897" s="545"/>
      <c r="N897" s="545"/>
      <c r="O897" s="545"/>
      <c r="P897" s="545"/>
    </row>
    <row r="898" spans="2:16" ht="36" customHeight="1" x14ac:dyDescent="0.5">
      <c r="B898" s="502"/>
      <c r="D898" s="631" t="s">
        <v>1674</v>
      </c>
      <c r="E898" s="631"/>
      <c r="F898" s="631"/>
      <c r="G898" s="631"/>
      <c r="H898" s="631"/>
      <c r="I898" s="631"/>
      <c r="J898" s="631"/>
      <c r="K898" s="616"/>
      <c r="L898" s="616"/>
      <c r="M898" s="545"/>
      <c r="N898" s="545"/>
      <c r="O898" s="545"/>
      <c r="P898" s="545"/>
    </row>
    <row r="899" spans="2:16" ht="36" customHeight="1" x14ac:dyDescent="0.5">
      <c r="B899" s="502"/>
      <c r="D899" s="631" t="s">
        <v>1675</v>
      </c>
      <c r="E899" s="631"/>
      <c r="F899" s="631"/>
      <c r="G899" s="631"/>
      <c r="H899" s="631"/>
      <c r="I899" s="631"/>
      <c r="J899" s="631"/>
      <c r="K899" s="616"/>
      <c r="L899" s="616"/>
      <c r="M899" s="545"/>
      <c r="N899" s="545"/>
      <c r="O899" s="545"/>
      <c r="P899" s="545"/>
    </row>
    <row r="900" spans="2:16" ht="36" customHeight="1" x14ac:dyDescent="0.5">
      <c r="B900" s="502"/>
      <c r="D900" s="631" t="s">
        <v>1676</v>
      </c>
      <c r="E900" s="631"/>
      <c r="F900" s="631"/>
      <c r="G900" s="631"/>
      <c r="H900" s="631"/>
      <c r="I900" s="631"/>
      <c r="J900" s="631"/>
      <c r="K900" s="616"/>
      <c r="L900" s="616"/>
      <c r="M900" s="545"/>
      <c r="N900" s="545"/>
      <c r="O900" s="545"/>
      <c r="P900" s="545"/>
    </row>
    <row r="901" spans="2:16" ht="36" customHeight="1" x14ac:dyDescent="0.5">
      <c r="B901" s="502"/>
      <c r="D901" s="631" t="s">
        <v>1678</v>
      </c>
      <c r="E901" s="631"/>
      <c r="F901" s="631"/>
      <c r="G901" s="631"/>
      <c r="H901" s="631"/>
      <c r="I901" s="631"/>
      <c r="J901" s="631"/>
      <c r="K901" s="616"/>
      <c r="L901" s="616"/>
      <c r="M901" s="545"/>
      <c r="N901" s="545"/>
      <c r="O901" s="545"/>
      <c r="P901" s="545"/>
    </row>
    <row r="902" spans="2:16" ht="36" customHeight="1" x14ac:dyDescent="0.5">
      <c r="B902" s="502"/>
      <c r="D902" s="631" t="s">
        <v>1677</v>
      </c>
      <c r="E902" s="631"/>
      <c r="F902" s="631"/>
      <c r="G902" s="631"/>
      <c r="H902" s="631"/>
      <c r="I902" s="631"/>
      <c r="J902" s="631"/>
      <c r="K902" s="616"/>
      <c r="L902" s="616"/>
      <c r="M902" s="545"/>
      <c r="N902" s="545"/>
      <c r="O902" s="545"/>
      <c r="P902" s="545"/>
    </row>
    <row r="903" spans="2:16" ht="36" customHeight="1" x14ac:dyDescent="0.5">
      <c r="B903" s="502"/>
      <c r="D903" s="631"/>
      <c r="E903" s="631"/>
      <c r="F903" s="631"/>
      <c r="G903" s="631"/>
      <c r="H903" s="631"/>
      <c r="I903" s="631"/>
      <c r="J903" s="631"/>
      <c r="K903" s="616"/>
      <c r="L903" s="616"/>
      <c r="M903" s="545"/>
      <c r="N903" s="545"/>
      <c r="O903" s="545"/>
      <c r="P903" s="545"/>
    </row>
    <row r="904" spans="2:16" ht="36" customHeight="1" x14ac:dyDescent="0.5">
      <c r="B904" s="502"/>
      <c r="D904" s="650" t="s">
        <v>1222</v>
      </c>
      <c r="E904" s="631"/>
      <c r="F904" s="631"/>
      <c r="G904" s="631"/>
      <c r="H904" s="631"/>
      <c r="I904" s="631"/>
      <c r="J904" s="631"/>
      <c r="K904" s="616"/>
      <c r="L904" s="616"/>
      <c r="M904" s="545"/>
      <c r="N904" s="545"/>
      <c r="O904" s="545"/>
      <c r="P904" s="545"/>
    </row>
    <row r="905" spans="2:16" ht="36" customHeight="1" x14ac:dyDescent="0.5">
      <c r="B905" s="502"/>
      <c r="D905" s="631" t="s">
        <v>1554</v>
      </c>
      <c r="E905" s="631"/>
      <c r="F905" s="631"/>
      <c r="G905" s="631"/>
      <c r="H905" s="631"/>
      <c r="I905" s="631"/>
      <c r="J905" s="631"/>
      <c r="K905" s="616"/>
      <c r="L905" s="616"/>
      <c r="M905" s="545"/>
      <c r="N905" s="545"/>
      <c r="O905" s="545"/>
      <c r="P905" s="545"/>
    </row>
    <row r="906" spans="2:16" ht="36" customHeight="1" x14ac:dyDescent="0.5">
      <c r="B906" s="502"/>
      <c r="D906" s="631" t="s">
        <v>1556</v>
      </c>
      <c r="E906" s="631"/>
      <c r="F906" s="631"/>
      <c r="G906" s="631"/>
      <c r="H906" s="631"/>
      <c r="I906" s="631"/>
      <c r="J906" s="631"/>
      <c r="K906" s="616"/>
      <c r="L906" s="616"/>
      <c r="M906" s="545"/>
      <c r="N906" s="545"/>
      <c r="O906" s="545"/>
      <c r="P906" s="545"/>
    </row>
    <row r="907" spans="2:16" ht="36" customHeight="1" x14ac:dyDescent="0.5">
      <c r="B907" s="502"/>
      <c r="D907" s="631" t="s">
        <v>1679</v>
      </c>
      <c r="E907" s="631"/>
      <c r="F907" s="631"/>
      <c r="G907" s="631"/>
      <c r="H907" s="631"/>
      <c r="I907" s="631"/>
      <c r="J907" s="631"/>
      <c r="K907" s="616"/>
      <c r="L907" s="616"/>
      <c r="M907" s="545"/>
      <c r="N907" s="545"/>
      <c r="O907" s="545"/>
      <c r="P907" s="545"/>
    </row>
    <row r="908" spans="2:16" ht="36" customHeight="1" x14ac:dyDescent="0.5">
      <c r="B908" s="502"/>
      <c r="D908" s="631" t="s">
        <v>1680</v>
      </c>
      <c r="E908" s="631"/>
      <c r="F908" s="631"/>
      <c r="G908" s="631"/>
      <c r="H908" s="631"/>
      <c r="I908" s="631"/>
      <c r="J908" s="631"/>
      <c r="K908" s="616"/>
      <c r="L908" s="616"/>
      <c r="M908" s="545"/>
      <c r="N908" s="545"/>
      <c r="O908" s="545"/>
      <c r="P908" s="545"/>
    </row>
    <row r="909" spans="2:16" ht="36" customHeight="1" x14ac:dyDescent="0.5">
      <c r="B909" s="502"/>
      <c r="D909" s="631" t="s">
        <v>1681</v>
      </c>
      <c r="E909" s="631"/>
      <c r="F909" s="631"/>
      <c r="G909" s="631"/>
      <c r="H909" s="631"/>
      <c r="I909" s="631"/>
      <c r="J909" s="631"/>
      <c r="K909" s="616"/>
      <c r="L909" s="616"/>
      <c r="M909" s="545"/>
      <c r="N909" s="545"/>
      <c r="O909" s="545"/>
      <c r="P909" s="545"/>
    </row>
    <row r="910" spans="2:16" ht="36" customHeight="1" x14ac:dyDescent="0.5">
      <c r="B910" s="502"/>
      <c r="D910" s="631" t="s">
        <v>1683</v>
      </c>
      <c r="E910" s="631"/>
      <c r="F910" s="631"/>
      <c r="G910" s="631"/>
      <c r="H910" s="631"/>
      <c r="I910" s="631"/>
      <c r="J910" s="631"/>
      <c r="K910" s="616"/>
      <c r="L910" s="616"/>
      <c r="M910" s="545"/>
      <c r="N910" s="545"/>
      <c r="O910" s="545"/>
      <c r="P910" s="545"/>
    </row>
    <row r="911" spans="2:16" ht="36" customHeight="1" x14ac:dyDescent="0.5">
      <c r="B911" s="502"/>
      <c r="D911" s="631" t="s">
        <v>1682</v>
      </c>
      <c r="E911" s="631"/>
      <c r="F911" s="631"/>
      <c r="G911" s="631"/>
      <c r="H911" s="631"/>
      <c r="I911" s="631"/>
      <c r="J911" s="631"/>
      <c r="K911" s="616"/>
      <c r="L911" s="616"/>
      <c r="M911" s="545"/>
      <c r="N911" s="545"/>
      <c r="O911" s="545"/>
      <c r="P911" s="545"/>
    </row>
    <row r="912" spans="2:16" ht="36" customHeight="1" x14ac:dyDescent="0.5">
      <c r="B912" s="502"/>
      <c r="D912" s="631"/>
      <c r="E912" s="631"/>
      <c r="F912" s="631"/>
      <c r="G912" s="631"/>
      <c r="H912" s="631"/>
      <c r="I912" s="631"/>
      <c r="J912" s="631"/>
      <c r="K912" s="616"/>
      <c r="L912" s="616"/>
      <c r="M912" s="545"/>
      <c r="N912" s="545"/>
      <c r="O912" s="545"/>
      <c r="P912" s="545"/>
    </row>
    <row r="913" spans="2:18" ht="36" customHeight="1" x14ac:dyDescent="0.5">
      <c r="B913" s="502"/>
      <c r="D913" s="631"/>
      <c r="E913" s="631"/>
      <c r="F913" s="631"/>
      <c r="G913" s="631"/>
      <c r="H913" s="631"/>
      <c r="I913" s="631"/>
      <c r="J913" s="631"/>
      <c r="K913" s="616"/>
      <c r="L913" s="616"/>
      <c r="M913" s="545"/>
      <c r="N913" s="545"/>
      <c r="O913" s="545"/>
      <c r="P913" s="545"/>
    </row>
    <row r="914" spans="2:18" ht="36" customHeight="1" x14ac:dyDescent="0.5">
      <c r="B914" s="502"/>
      <c r="D914" s="631"/>
      <c r="E914" s="631"/>
      <c r="F914" s="631"/>
      <c r="G914" s="631"/>
      <c r="H914" s="631"/>
      <c r="I914" s="631"/>
      <c r="J914" s="631"/>
      <c r="K914" s="616"/>
      <c r="L914" s="616"/>
      <c r="M914" s="545"/>
      <c r="N914" s="545"/>
      <c r="O914" s="545"/>
      <c r="P914" s="545"/>
    </row>
    <row r="915" spans="2:18" ht="36" customHeight="1" x14ac:dyDescent="0.5">
      <c r="C915" s="616"/>
      <c r="D915" s="631"/>
      <c r="E915" s="631"/>
      <c r="F915" s="631"/>
      <c r="G915" s="631"/>
      <c r="H915" s="631"/>
      <c r="I915" s="631"/>
      <c r="J915" s="631"/>
      <c r="M915" s="540"/>
      <c r="O915" s="454" t="s">
        <v>112</v>
      </c>
      <c r="Q915" s="450">
        <f>MAX($Q$103:Q914)+1</f>
        <v>18</v>
      </c>
    </row>
    <row r="916" spans="2:18" ht="36" customHeight="1" x14ac:dyDescent="0.5">
      <c r="C916" s="616"/>
      <c r="D916" s="630" t="str">
        <f>Criteria!E9</f>
        <v>ABC COMPANY (PROPRIETARY) LIMITED</v>
      </c>
      <c r="E916" s="631"/>
      <c r="F916" s="631"/>
      <c r="G916" s="631"/>
      <c r="H916" s="631"/>
      <c r="I916" s="631"/>
      <c r="J916" s="631"/>
      <c r="M916" s="540"/>
      <c r="O916" s="540"/>
    </row>
    <row r="917" spans="2:18" ht="36" customHeight="1" x14ac:dyDescent="0.5">
      <c r="C917" s="616"/>
      <c r="D917" s="630" t="str">
        <f>Criteria!E10</f>
        <v>T/A SEAFRONT HOTEL, ABC RESTAURANT AND RENTAL PROPERTIES</v>
      </c>
      <c r="E917" s="631"/>
      <c r="F917" s="631"/>
      <c r="G917" s="631"/>
      <c r="H917" s="631"/>
      <c r="I917" s="631"/>
      <c r="J917" s="631"/>
      <c r="M917" s="540"/>
      <c r="O917" s="540"/>
      <c r="R917" s="490" t="str">
        <f>IF(D917=0,"DELETE"," ")</f>
        <v xml:space="preserve"> </v>
      </c>
    </row>
    <row r="918" spans="2:18" ht="36" customHeight="1" x14ac:dyDescent="0.5">
      <c r="C918" s="616"/>
      <c r="D918" s="631"/>
      <c r="E918" s="631"/>
      <c r="F918" s="631"/>
      <c r="G918" s="631"/>
      <c r="H918" s="631"/>
      <c r="I918" s="631"/>
      <c r="J918" s="631"/>
      <c r="M918" s="540"/>
      <c r="O918" s="540"/>
    </row>
    <row r="919" spans="2:18" ht="36" customHeight="1" x14ac:dyDescent="0.5">
      <c r="C919" s="616"/>
      <c r="D919" s="630" t="s">
        <v>415</v>
      </c>
      <c r="E919" s="631"/>
      <c r="F919" s="631"/>
      <c r="G919" s="631"/>
      <c r="H919" s="631"/>
      <c r="I919" s="631"/>
      <c r="J919" s="631"/>
      <c r="M919" s="540"/>
      <c r="O919" s="540"/>
    </row>
    <row r="920" spans="2:18" ht="36" customHeight="1" x14ac:dyDescent="0.5">
      <c r="C920" s="616"/>
      <c r="D920" s="630" t="str">
        <f>Criteria!E20</f>
        <v>28 FEBRUARY 2026</v>
      </c>
      <c r="E920" s="631"/>
      <c r="F920" s="631"/>
      <c r="G920" s="631"/>
      <c r="H920" s="631"/>
      <c r="I920" s="631"/>
      <c r="J920" s="631" t="s">
        <v>282</v>
      </c>
      <c r="M920" s="540"/>
      <c r="O920" s="540"/>
    </row>
    <row r="921" spans="2:18" ht="36" customHeight="1" x14ac:dyDescent="0.5">
      <c r="C921" s="616"/>
      <c r="D921" s="631"/>
      <c r="E921" s="631"/>
      <c r="F921" s="631"/>
      <c r="G921" s="631"/>
      <c r="H921" s="631"/>
      <c r="I921" s="631"/>
      <c r="J921" s="631"/>
      <c r="M921" s="540"/>
      <c r="O921" s="540"/>
    </row>
    <row r="922" spans="2:18" ht="36" customHeight="1" x14ac:dyDescent="0.5">
      <c r="B922" s="641"/>
      <c r="C922" s="634"/>
      <c r="D922" s="649"/>
      <c r="E922" s="649"/>
      <c r="F922" s="649"/>
      <c r="G922" s="649"/>
      <c r="H922" s="649"/>
      <c r="I922" s="649"/>
      <c r="J922" s="649"/>
      <c r="K922" s="457"/>
      <c r="L922" s="457"/>
      <c r="M922" s="551"/>
      <c r="N922" s="551"/>
      <c r="O922" s="551"/>
      <c r="P922" s="551"/>
      <c r="Q922" s="457"/>
    </row>
    <row r="923" spans="2:18" ht="36" customHeight="1" x14ac:dyDescent="0.5">
      <c r="B923" s="502"/>
      <c r="D923" s="650" t="s">
        <v>1223</v>
      </c>
      <c r="E923" s="631"/>
      <c r="F923" s="631"/>
      <c r="G923" s="631"/>
      <c r="H923" s="631"/>
      <c r="I923" s="631"/>
      <c r="J923" s="631"/>
      <c r="K923" s="616"/>
      <c r="L923" s="616"/>
      <c r="M923" s="545"/>
      <c r="N923" s="545"/>
      <c r="O923" s="545"/>
      <c r="P923" s="545"/>
    </row>
    <row r="924" spans="2:18" ht="36" customHeight="1" x14ac:dyDescent="0.5">
      <c r="B924" s="502"/>
      <c r="D924" s="631" t="s">
        <v>1557</v>
      </c>
      <c r="E924" s="631"/>
      <c r="F924" s="631"/>
      <c r="G924" s="631"/>
      <c r="H924" s="631"/>
      <c r="I924" s="631"/>
      <c r="J924" s="631"/>
      <c r="K924" s="616"/>
      <c r="L924" s="616"/>
      <c r="M924" s="545"/>
      <c r="N924" s="545"/>
      <c r="O924" s="545"/>
      <c r="P924" s="545"/>
    </row>
    <row r="925" spans="2:18" ht="36" customHeight="1" x14ac:dyDescent="0.5">
      <c r="B925" s="502"/>
      <c r="D925" s="631" t="s">
        <v>1685</v>
      </c>
      <c r="E925" s="631"/>
      <c r="F925" s="631"/>
      <c r="G925" s="631"/>
      <c r="H925" s="631"/>
      <c r="I925" s="631"/>
      <c r="J925" s="631"/>
      <c r="K925" s="616"/>
      <c r="L925" s="616"/>
      <c r="M925" s="545"/>
      <c r="N925" s="545"/>
      <c r="O925" s="545"/>
      <c r="P925" s="545"/>
    </row>
    <row r="926" spans="2:18" ht="36" customHeight="1" x14ac:dyDescent="0.5">
      <c r="B926" s="502"/>
      <c r="D926" s="631" t="s">
        <v>1684</v>
      </c>
      <c r="E926" s="631"/>
      <c r="F926" s="631"/>
      <c r="G926" s="631"/>
      <c r="H926" s="631"/>
      <c r="I926" s="631"/>
      <c r="J926" s="631"/>
      <c r="K926" s="616"/>
      <c r="L926" s="616"/>
      <c r="M926" s="545"/>
      <c r="N926" s="545"/>
      <c r="O926" s="545"/>
      <c r="P926" s="545"/>
    </row>
    <row r="927" spans="2:18" ht="36" customHeight="1" x14ac:dyDescent="0.5">
      <c r="B927" s="502"/>
      <c r="D927" s="631"/>
      <c r="E927" s="631"/>
      <c r="F927" s="631"/>
      <c r="G927" s="631"/>
      <c r="H927" s="631"/>
      <c r="I927" s="631"/>
      <c r="J927" s="631"/>
      <c r="K927" s="616"/>
      <c r="L927" s="616"/>
      <c r="M927" s="545"/>
      <c r="N927" s="545"/>
      <c r="O927" s="545"/>
      <c r="P927" s="545"/>
    </row>
    <row r="928" spans="2:18" ht="36" customHeight="1" x14ac:dyDescent="0.5">
      <c r="B928" s="502"/>
      <c r="C928" s="451"/>
      <c r="D928" s="648"/>
      <c r="E928" s="648"/>
      <c r="F928" s="648"/>
      <c r="G928" s="648"/>
      <c r="H928" s="648"/>
      <c r="I928" s="648"/>
      <c r="J928" s="648"/>
      <c r="K928" s="620"/>
      <c r="L928" s="620"/>
      <c r="M928" s="451"/>
      <c r="N928" s="451"/>
      <c r="O928" s="451"/>
      <c r="P928" s="451"/>
      <c r="Q928" s="451"/>
    </row>
    <row r="929" spans="2:18" ht="36" customHeight="1" x14ac:dyDescent="0.5">
      <c r="D929" s="631"/>
      <c r="E929" s="631"/>
      <c r="F929" s="631"/>
      <c r="G929" s="631"/>
      <c r="H929" s="631"/>
      <c r="I929" s="631"/>
      <c r="J929" s="631"/>
      <c r="K929" s="616"/>
      <c r="L929" s="616"/>
      <c r="M929" s="555"/>
      <c r="N929" s="555"/>
      <c r="O929" s="555"/>
      <c r="P929" s="545"/>
    </row>
    <row r="930" spans="2:18" ht="36" customHeight="1" x14ac:dyDescent="0.5">
      <c r="D930" s="631"/>
      <c r="E930" s="631"/>
      <c r="F930" s="631"/>
      <c r="G930" s="631"/>
      <c r="H930" s="631"/>
      <c r="I930" s="631"/>
      <c r="J930" s="631"/>
      <c r="K930" s="616"/>
      <c r="L930" s="616"/>
      <c r="M930" s="555"/>
      <c r="N930" s="555"/>
      <c r="O930" s="555"/>
      <c r="P930" s="545"/>
    </row>
    <row r="931" spans="2:18" ht="36" customHeight="1" x14ac:dyDescent="0.5">
      <c r="D931" s="631"/>
      <c r="E931" s="631"/>
      <c r="F931" s="631"/>
      <c r="G931" s="631"/>
      <c r="H931" s="631"/>
      <c r="I931" s="631"/>
      <c r="J931" s="631"/>
      <c r="K931" s="616"/>
      <c r="L931" s="616"/>
      <c r="M931" s="540"/>
      <c r="O931" s="454" t="s">
        <v>112</v>
      </c>
      <c r="Q931" s="450">
        <f>MAX($Q$103:Q930)+1</f>
        <v>19</v>
      </c>
    </row>
    <row r="932" spans="2:18" ht="36" customHeight="1" x14ac:dyDescent="0.5">
      <c r="D932" s="630" t="str">
        <f>Criteria!E9</f>
        <v>ABC COMPANY (PROPRIETARY) LIMITED</v>
      </c>
      <c r="E932" s="631"/>
      <c r="F932" s="631"/>
      <c r="G932" s="631"/>
      <c r="H932" s="631"/>
      <c r="I932" s="631"/>
      <c r="J932" s="631"/>
      <c r="K932" s="616"/>
      <c r="L932" s="616"/>
      <c r="M932" s="540"/>
      <c r="O932" s="540"/>
    </row>
    <row r="933" spans="2:18" ht="36" customHeight="1" x14ac:dyDescent="0.5">
      <c r="D933" s="630" t="str">
        <f>Criteria!E10</f>
        <v>T/A SEAFRONT HOTEL, ABC RESTAURANT AND RENTAL PROPERTIES</v>
      </c>
      <c r="E933" s="631"/>
      <c r="F933" s="631"/>
      <c r="G933" s="631"/>
      <c r="H933" s="631"/>
      <c r="I933" s="631"/>
      <c r="J933" s="631"/>
      <c r="K933" s="616"/>
      <c r="L933" s="616"/>
      <c r="M933" s="540"/>
      <c r="O933" s="540"/>
      <c r="R933" s="490" t="str">
        <f>IF(D933=0,"DELETE"," ")</f>
        <v xml:space="preserve"> </v>
      </c>
    </row>
    <row r="934" spans="2:18" ht="36" customHeight="1" x14ac:dyDescent="0.5">
      <c r="D934" s="631"/>
      <c r="E934" s="631"/>
      <c r="F934" s="631"/>
      <c r="G934" s="631"/>
      <c r="H934" s="631"/>
      <c r="I934" s="631"/>
      <c r="J934" s="631"/>
      <c r="K934" s="616"/>
      <c r="L934" s="616"/>
      <c r="M934" s="540"/>
      <c r="O934" s="540"/>
    </row>
    <row r="935" spans="2:18" ht="36" customHeight="1" x14ac:dyDescent="0.5">
      <c r="D935" s="630" t="s">
        <v>415</v>
      </c>
      <c r="E935" s="631"/>
      <c r="F935" s="631"/>
      <c r="G935" s="631"/>
      <c r="H935" s="631"/>
      <c r="I935" s="631"/>
      <c r="J935" s="631"/>
      <c r="K935" s="616"/>
      <c r="L935" s="616"/>
      <c r="M935" s="540"/>
      <c r="O935" s="540"/>
    </row>
    <row r="936" spans="2:18" ht="36" customHeight="1" x14ac:dyDescent="0.5">
      <c r="D936" s="630" t="str">
        <f>Criteria!E20</f>
        <v>28 FEBRUARY 2026</v>
      </c>
      <c r="E936" s="631"/>
      <c r="F936" s="631"/>
      <c r="G936" s="631"/>
      <c r="H936" s="631"/>
      <c r="I936" s="631"/>
      <c r="J936" s="631" t="s">
        <v>282</v>
      </c>
      <c r="K936" s="616"/>
      <c r="L936" s="616"/>
      <c r="M936" s="540"/>
      <c r="O936" s="540"/>
    </row>
    <row r="937" spans="2:18" ht="36" customHeight="1" x14ac:dyDescent="0.5">
      <c r="D937" s="631"/>
      <c r="E937" s="631"/>
      <c r="F937" s="631"/>
      <c r="G937" s="631"/>
      <c r="H937" s="631"/>
      <c r="I937" s="631"/>
      <c r="J937" s="631"/>
      <c r="K937" s="616"/>
      <c r="L937" s="616"/>
      <c r="M937" s="555"/>
      <c r="N937" s="555"/>
      <c r="O937" s="555"/>
      <c r="P937" s="545"/>
    </row>
    <row r="938" spans="2:18" ht="36" customHeight="1" x14ac:dyDescent="0.5">
      <c r="B938" s="457"/>
      <c r="C938" s="457"/>
      <c r="D938" s="649"/>
      <c r="E938" s="649"/>
      <c r="F938" s="649"/>
      <c r="G938" s="649"/>
      <c r="H938" s="649"/>
      <c r="I938" s="649"/>
      <c r="J938" s="649"/>
      <c r="K938" s="634"/>
      <c r="L938" s="634"/>
      <c r="M938" s="557"/>
      <c r="N938" s="557"/>
      <c r="O938" s="557"/>
      <c r="P938" s="551"/>
      <c r="Q938" s="457"/>
    </row>
    <row r="939" spans="2:18" ht="36" customHeight="1" x14ac:dyDescent="0.5">
      <c r="C939" s="448">
        <f>MAX(C$873:C938)+0.1</f>
        <v>1.3000000000000003</v>
      </c>
      <c r="D939" s="630" t="s">
        <v>1514</v>
      </c>
      <c r="E939" s="631"/>
      <c r="F939" s="631"/>
      <c r="G939" s="631"/>
      <c r="H939" s="631"/>
      <c r="I939" s="631"/>
      <c r="J939" s="631"/>
      <c r="K939" s="616"/>
      <c r="L939" s="616"/>
      <c r="M939" s="545"/>
      <c r="N939" s="545"/>
      <c r="O939" s="545"/>
      <c r="P939" s="545"/>
    </row>
    <row r="940" spans="2:18" ht="36" customHeight="1" x14ac:dyDescent="0.5">
      <c r="D940" s="630"/>
      <c r="E940" s="631"/>
      <c r="F940" s="631"/>
      <c r="G940" s="631"/>
      <c r="H940" s="631"/>
      <c r="I940" s="631"/>
      <c r="J940" s="631"/>
      <c r="K940" s="616"/>
      <c r="L940" s="616"/>
      <c r="M940" s="545"/>
      <c r="N940" s="545"/>
      <c r="O940" s="545"/>
      <c r="P940" s="545"/>
    </row>
    <row r="941" spans="2:18" ht="36" customHeight="1" x14ac:dyDescent="0.5">
      <c r="D941" s="631" t="s">
        <v>1686</v>
      </c>
      <c r="E941" s="631"/>
      <c r="F941" s="631"/>
      <c r="G941" s="631"/>
      <c r="H941" s="631"/>
      <c r="I941" s="631"/>
      <c r="J941" s="631"/>
      <c r="K941" s="616"/>
      <c r="L941" s="616"/>
      <c r="M941" s="545"/>
      <c r="N941" s="545"/>
      <c r="O941" s="545"/>
      <c r="P941" s="545"/>
    </row>
    <row r="942" spans="2:18" ht="36" customHeight="1" x14ac:dyDescent="0.5">
      <c r="D942" s="631" t="s">
        <v>1687</v>
      </c>
      <c r="E942" s="631"/>
      <c r="F942" s="631"/>
      <c r="G942" s="631"/>
      <c r="H942" s="631"/>
      <c r="I942" s="631"/>
      <c r="J942" s="631"/>
      <c r="K942" s="616"/>
      <c r="L942" s="616"/>
      <c r="M942" s="545"/>
      <c r="N942" s="545"/>
      <c r="O942" s="545"/>
      <c r="P942" s="545"/>
    </row>
    <row r="943" spans="2:18" ht="36" customHeight="1" x14ac:dyDescent="0.5">
      <c r="D943" s="631" t="s">
        <v>1688</v>
      </c>
      <c r="E943" s="631"/>
      <c r="F943" s="631"/>
      <c r="G943" s="631"/>
      <c r="H943" s="631"/>
      <c r="I943" s="631"/>
      <c r="J943" s="631"/>
      <c r="K943" s="616"/>
      <c r="L943" s="616"/>
      <c r="M943" s="545"/>
      <c r="N943" s="545"/>
      <c r="O943" s="545"/>
      <c r="P943" s="545"/>
    </row>
    <row r="944" spans="2:18" ht="36" customHeight="1" x14ac:dyDescent="0.5">
      <c r="D944" s="631" t="s">
        <v>1689</v>
      </c>
      <c r="E944" s="631"/>
      <c r="F944" s="631"/>
      <c r="G944" s="631"/>
      <c r="H944" s="631"/>
      <c r="I944" s="631"/>
      <c r="J944" s="631"/>
      <c r="K944" s="616"/>
      <c r="L944" s="616"/>
      <c r="M944" s="545"/>
      <c r="N944" s="545"/>
      <c r="O944" s="545"/>
      <c r="P944" s="545"/>
    </row>
    <row r="945" spans="2:18" ht="36" customHeight="1" x14ac:dyDescent="0.5">
      <c r="D945" s="631" t="s">
        <v>1690</v>
      </c>
      <c r="E945" s="631"/>
      <c r="F945" s="631"/>
      <c r="G945" s="631"/>
      <c r="H945" s="631"/>
      <c r="I945" s="631"/>
      <c r="J945" s="631"/>
      <c r="K945" s="616"/>
      <c r="L945" s="616"/>
      <c r="M945" s="545"/>
      <c r="N945" s="545"/>
      <c r="O945" s="545"/>
      <c r="P945" s="545"/>
    </row>
    <row r="946" spans="2:18" ht="36" customHeight="1" x14ac:dyDescent="0.5">
      <c r="D946" s="631" t="s">
        <v>1691</v>
      </c>
      <c r="E946" s="631"/>
      <c r="F946" s="631"/>
      <c r="G946" s="631"/>
      <c r="H946" s="631"/>
      <c r="I946" s="631"/>
      <c r="J946" s="631"/>
      <c r="K946" s="616"/>
      <c r="L946" s="616"/>
      <c r="M946" s="545"/>
      <c r="N946" s="545"/>
      <c r="O946" s="545"/>
      <c r="P946" s="545"/>
    </row>
    <row r="947" spans="2:18" ht="36" customHeight="1" x14ac:dyDescent="0.5">
      <c r="D947" s="631" t="s">
        <v>1693</v>
      </c>
      <c r="E947" s="631"/>
      <c r="F947" s="631"/>
      <c r="G947" s="631"/>
      <c r="H947" s="631"/>
      <c r="I947" s="631"/>
      <c r="J947" s="631"/>
      <c r="K947" s="616"/>
      <c r="L947" s="616"/>
      <c r="M947" s="545"/>
      <c r="N947" s="545"/>
      <c r="O947" s="545"/>
      <c r="P947" s="545"/>
    </row>
    <row r="948" spans="2:18" ht="36" customHeight="1" x14ac:dyDescent="0.5">
      <c r="D948" s="631" t="s">
        <v>1692</v>
      </c>
      <c r="E948" s="631"/>
      <c r="F948" s="631"/>
      <c r="G948" s="631"/>
      <c r="H948" s="631"/>
      <c r="I948" s="631"/>
      <c r="J948" s="631"/>
      <c r="K948" s="616"/>
      <c r="L948" s="616"/>
      <c r="M948" s="555"/>
      <c r="N948" s="555"/>
      <c r="O948" s="555"/>
      <c r="P948" s="545"/>
    </row>
    <row r="949" spans="2:18" ht="36" customHeight="1" x14ac:dyDescent="0.5">
      <c r="D949" s="631"/>
      <c r="E949" s="631"/>
      <c r="F949" s="631"/>
      <c r="G949" s="631"/>
      <c r="H949" s="631"/>
      <c r="I949" s="631"/>
      <c r="J949" s="631"/>
      <c r="K949" s="616"/>
      <c r="L949" s="616"/>
      <c r="M949" s="555"/>
      <c r="N949" s="555"/>
      <c r="O949" s="555"/>
      <c r="P949" s="545"/>
    </row>
    <row r="950" spans="2:18" ht="36" customHeight="1" x14ac:dyDescent="0.5">
      <c r="D950" s="631"/>
      <c r="E950" s="631"/>
      <c r="F950" s="631"/>
      <c r="G950" s="631"/>
      <c r="H950" s="631"/>
      <c r="I950" s="631"/>
      <c r="J950" s="631"/>
      <c r="K950" s="616"/>
      <c r="L950" s="616"/>
      <c r="M950" s="555"/>
      <c r="N950" s="555"/>
      <c r="O950" s="555"/>
      <c r="P950" s="545"/>
    </row>
    <row r="951" spans="2:18" ht="36" customHeight="1" x14ac:dyDescent="0.5">
      <c r="D951" s="631"/>
      <c r="E951" s="631"/>
      <c r="F951" s="631"/>
      <c r="G951" s="631"/>
      <c r="H951" s="631"/>
      <c r="I951" s="631"/>
      <c r="J951" s="631"/>
      <c r="K951" s="616"/>
      <c r="L951" s="616"/>
      <c r="M951" s="540"/>
      <c r="O951" s="540"/>
    </row>
    <row r="952" spans="2:18" ht="36" customHeight="1" x14ac:dyDescent="0.5">
      <c r="D952" s="631"/>
      <c r="E952" s="631"/>
      <c r="F952" s="631"/>
      <c r="G952" s="631"/>
      <c r="H952" s="631"/>
      <c r="I952" s="631"/>
      <c r="J952" s="631"/>
      <c r="K952" s="616"/>
      <c r="L952" s="616"/>
      <c r="M952" s="540"/>
      <c r="O952" s="454" t="s">
        <v>112</v>
      </c>
      <c r="Q952" s="450">
        <f>MAX($Q$103:Q951)+1</f>
        <v>20</v>
      </c>
    </row>
    <row r="953" spans="2:18" ht="36" customHeight="1" x14ac:dyDescent="0.5">
      <c r="D953" s="630" t="str">
        <f>Criteria!E9</f>
        <v>ABC COMPANY (PROPRIETARY) LIMITED</v>
      </c>
      <c r="E953" s="631"/>
      <c r="F953" s="631"/>
      <c r="G953" s="631"/>
      <c r="H953" s="631"/>
      <c r="I953" s="631"/>
      <c r="J953" s="631"/>
      <c r="K953" s="616"/>
      <c r="L953" s="616"/>
      <c r="M953" s="540"/>
      <c r="O953" s="540"/>
    </row>
    <row r="954" spans="2:18" ht="36" customHeight="1" x14ac:dyDescent="0.5">
      <c r="D954" s="630" t="str">
        <f>Criteria!E10</f>
        <v>T/A SEAFRONT HOTEL, ABC RESTAURANT AND RENTAL PROPERTIES</v>
      </c>
      <c r="E954" s="631"/>
      <c r="F954" s="631"/>
      <c r="G954" s="631"/>
      <c r="H954" s="631"/>
      <c r="I954" s="631"/>
      <c r="J954" s="631"/>
      <c r="K954" s="616"/>
      <c r="L954" s="616"/>
      <c r="M954" s="540"/>
      <c r="O954" s="540"/>
      <c r="R954" s="490" t="str">
        <f>IF(D954=0,"DELETE"," ")</f>
        <v xml:space="preserve"> </v>
      </c>
    </row>
    <row r="955" spans="2:18" ht="36" customHeight="1" x14ac:dyDescent="0.5">
      <c r="D955" s="631"/>
      <c r="E955" s="631"/>
      <c r="F955" s="631"/>
      <c r="G955" s="631"/>
      <c r="H955" s="631"/>
      <c r="I955" s="631"/>
      <c r="J955" s="631"/>
      <c r="K955" s="616"/>
      <c r="L955" s="616"/>
      <c r="M955" s="540"/>
      <c r="O955" s="540"/>
    </row>
    <row r="956" spans="2:18" ht="36" customHeight="1" x14ac:dyDescent="0.5">
      <c r="D956" s="630" t="s">
        <v>415</v>
      </c>
      <c r="E956" s="631"/>
      <c r="F956" s="631"/>
      <c r="G956" s="631"/>
      <c r="H956" s="631"/>
      <c r="I956" s="631"/>
      <c r="J956" s="631"/>
      <c r="K956" s="616"/>
      <c r="L956" s="616"/>
      <c r="M956" s="540"/>
      <c r="O956" s="540"/>
    </row>
    <row r="957" spans="2:18" ht="36" customHeight="1" x14ac:dyDescent="0.5">
      <c r="D957" s="630" t="str">
        <f>Criteria!E20</f>
        <v>28 FEBRUARY 2026</v>
      </c>
      <c r="E957" s="631"/>
      <c r="F957" s="631"/>
      <c r="G957" s="631"/>
      <c r="H957" s="631"/>
      <c r="I957" s="631"/>
      <c r="J957" s="631" t="s">
        <v>282</v>
      </c>
      <c r="K957" s="616"/>
      <c r="L957" s="616"/>
      <c r="M957" s="540"/>
      <c r="O957" s="540"/>
    </row>
    <row r="958" spans="2:18" ht="36" customHeight="1" x14ac:dyDescent="0.5">
      <c r="D958" s="631"/>
      <c r="E958" s="631"/>
      <c r="F958" s="631"/>
      <c r="G958" s="631"/>
      <c r="H958" s="631"/>
      <c r="I958" s="631"/>
      <c r="J958" s="631"/>
      <c r="K958" s="616"/>
      <c r="L958" s="616"/>
      <c r="M958" s="540"/>
      <c r="O958" s="540"/>
    </row>
    <row r="959" spans="2:18" ht="36" customHeight="1" x14ac:dyDescent="0.5">
      <c r="B959" s="641"/>
      <c r="C959" s="457"/>
      <c r="D959" s="649"/>
      <c r="E959" s="649"/>
      <c r="F959" s="649"/>
      <c r="G959" s="649"/>
      <c r="H959" s="649"/>
      <c r="I959" s="649"/>
      <c r="J959" s="649"/>
      <c r="K959" s="634"/>
      <c r="L959" s="634"/>
      <c r="M959" s="551"/>
      <c r="N959" s="551"/>
      <c r="O959" s="551"/>
      <c r="P959" s="551"/>
      <c r="Q959" s="457"/>
    </row>
    <row r="960" spans="2:18" ht="36" customHeight="1" x14ac:dyDescent="0.5">
      <c r="B960" s="502"/>
      <c r="D960" s="631" t="s">
        <v>1694</v>
      </c>
      <c r="E960" s="631"/>
      <c r="F960" s="631"/>
      <c r="G960" s="631"/>
      <c r="H960" s="631"/>
      <c r="I960" s="631"/>
      <c r="J960" s="631"/>
      <c r="K960" s="616"/>
      <c r="L960" s="616"/>
      <c r="M960" s="545"/>
      <c r="N960" s="545"/>
      <c r="O960" s="545"/>
      <c r="P960" s="545"/>
    </row>
    <row r="961" spans="2:16" ht="36" customHeight="1" x14ac:dyDescent="0.5">
      <c r="B961" s="502"/>
      <c r="D961" s="631" t="s">
        <v>1696</v>
      </c>
      <c r="E961" s="631"/>
      <c r="F961" s="631"/>
      <c r="G961" s="631"/>
      <c r="H961" s="631"/>
      <c r="I961" s="631"/>
      <c r="J961" s="631"/>
      <c r="K961" s="616"/>
      <c r="L961" s="616"/>
      <c r="M961" s="545"/>
      <c r="N961" s="545"/>
      <c r="O961" s="545"/>
      <c r="P961" s="545"/>
    </row>
    <row r="962" spans="2:16" ht="36" customHeight="1" x14ac:dyDescent="0.5">
      <c r="B962" s="502"/>
      <c r="D962" s="631" t="s">
        <v>1695</v>
      </c>
      <c r="E962" s="631"/>
      <c r="F962" s="631"/>
      <c r="G962" s="631"/>
      <c r="H962" s="631"/>
      <c r="I962" s="631"/>
      <c r="J962" s="631"/>
      <c r="K962" s="616"/>
      <c r="L962" s="616"/>
      <c r="M962" s="545"/>
      <c r="N962" s="545"/>
      <c r="O962" s="545"/>
      <c r="P962" s="545"/>
    </row>
    <row r="963" spans="2:16" ht="36" customHeight="1" x14ac:dyDescent="0.5">
      <c r="B963" s="502"/>
      <c r="D963" s="631" t="str">
        <f>CONCATENATE("- ",Criteria!F223)</f>
        <v>- Property</v>
      </c>
      <c r="E963" s="631"/>
      <c r="F963" s="631"/>
      <c r="G963" s="631"/>
      <c r="H963" s="631"/>
      <c r="I963" s="631"/>
      <c r="J963" s="651">
        <f>Criteria!F224</f>
        <v>0.02</v>
      </c>
      <c r="K963" s="616" t="str">
        <f>Criteria!F225</f>
        <v>Straight line</v>
      </c>
      <c r="L963" s="616"/>
      <c r="M963" s="545"/>
      <c r="N963" s="545"/>
      <c r="O963" s="545"/>
      <c r="P963" s="545"/>
    </row>
    <row r="964" spans="2:16" ht="36" customHeight="1" x14ac:dyDescent="0.5">
      <c r="B964" s="502"/>
      <c r="D964" s="631" t="str">
        <f>CONCATENATE("- ",Criteria!G222," ",Criteria!G223)</f>
        <v>- Plant and equipment</v>
      </c>
      <c r="E964" s="631"/>
      <c r="F964" s="631"/>
      <c r="G964" s="631"/>
      <c r="H964" s="631"/>
      <c r="I964" s="631"/>
      <c r="J964" s="651">
        <f>Criteria!G224</f>
        <v>0.2</v>
      </c>
      <c r="K964" s="638" t="str">
        <f>Criteria!G225</f>
        <v>Straight line</v>
      </c>
      <c r="L964" s="616"/>
      <c r="M964" s="545"/>
      <c r="N964" s="545"/>
      <c r="O964" s="545"/>
      <c r="P964" s="545"/>
    </row>
    <row r="965" spans="2:16" ht="36" customHeight="1" x14ac:dyDescent="0.5">
      <c r="B965" s="502"/>
      <c r="D965" s="631" t="str">
        <f>CONCATENATE("- ",Criteria!H222," ",Criteria!H223)</f>
        <v>- Motor vehicles</v>
      </c>
      <c r="E965" s="631"/>
      <c r="F965" s="631"/>
      <c r="G965" s="631"/>
      <c r="H965" s="631"/>
      <c r="I965" s="631"/>
      <c r="J965" s="651">
        <f>Criteria!H224</f>
        <v>0.2</v>
      </c>
      <c r="K965" s="638" t="str">
        <f>Criteria!H225</f>
        <v>Straight line</v>
      </c>
      <c r="L965" s="616"/>
      <c r="M965" s="545"/>
      <c r="N965" s="545"/>
      <c r="O965" s="545"/>
      <c r="P965" s="545"/>
    </row>
    <row r="966" spans="2:16" ht="36" customHeight="1" x14ac:dyDescent="0.5">
      <c r="B966" s="501"/>
      <c r="C966" s="449"/>
      <c r="D966" s="631" t="str">
        <f>CONCATENATE("- ",Criteria!I222," ",Criteria!I223)</f>
        <v>- Electronic equipment</v>
      </c>
      <c r="E966" s="631"/>
      <c r="F966" s="631"/>
      <c r="G966" s="631"/>
      <c r="H966" s="631"/>
      <c r="I966" s="631"/>
      <c r="J966" s="651">
        <f>Criteria!I224</f>
        <v>0.33339999999999997</v>
      </c>
      <c r="K966" s="638" t="str">
        <f>Criteria!I225</f>
        <v>Straight line</v>
      </c>
      <c r="L966" s="616"/>
      <c r="M966" s="540"/>
      <c r="O966" s="540"/>
    </row>
    <row r="967" spans="2:16" ht="36" customHeight="1" x14ac:dyDescent="0.5">
      <c r="B967" s="501"/>
      <c r="C967" s="449"/>
      <c r="D967" s="631" t="str">
        <f>CONCATENATE("- ",Criteria!J222," ",Criteria!J223)</f>
        <v>- Furniture and fittings</v>
      </c>
      <c r="E967" s="631"/>
      <c r="F967" s="631"/>
      <c r="G967" s="631"/>
      <c r="H967" s="631"/>
      <c r="I967" s="631"/>
      <c r="J967" s="651">
        <f>Criteria!J224</f>
        <v>0.2</v>
      </c>
      <c r="K967" s="638" t="str">
        <f>Criteria!J225</f>
        <v>Straight line</v>
      </c>
      <c r="L967" s="616"/>
      <c r="M967" s="540"/>
      <c r="O967" s="540"/>
    </row>
    <row r="968" spans="2:16" ht="36" customHeight="1" x14ac:dyDescent="0.5">
      <c r="B968" s="501"/>
      <c r="C968" s="449"/>
      <c r="D968" s="631"/>
      <c r="E968" s="631"/>
      <c r="F968" s="631"/>
      <c r="G968" s="631"/>
      <c r="H968" s="631"/>
      <c r="I968" s="631"/>
      <c r="J968" s="657"/>
      <c r="K968" s="638"/>
      <c r="L968" s="616"/>
      <c r="M968" s="540"/>
      <c r="O968" s="540"/>
    </row>
    <row r="969" spans="2:16" ht="36" customHeight="1" x14ac:dyDescent="0.5">
      <c r="B969" s="501"/>
      <c r="C969" s="449"/>
      <c r="D969" s="631" t="s">
        <v>1697</v>
      </c>
      <c r="E969" s="631"/>
      <c r="F969" s="631"/>
      <c r="G969" s="631"/>
      <c r="H969" s="631"/>
      <c r="I969" s="631"/>
      <c r="J969" s="657"/>
      <c r="K969" s="638"/>
      <c r="L969" s="616"/>
      <c r="M969" s="540"/>
      <c r="O969" s="540"/>
    </row>
    <row r="970" spans="2:16" ht="36" customHeight="1" x14ac:dyDescent="0.5">
      <c r="B970" s="501"/>
      <c r="C970" s="449"/>
      <c r="D970" s="631" t="s">
        <v>1699</v>
      </c>
      <c r="E970" s="631"/>
      <c r="F970" s="631"/>
      <c r="G970" s="631"/>
      <c r="H970" s="631"/>
      <c r="I970" s="631"/>
      <c r="J970" s="657"/>
      <c r="K970" s="638"/>
      <c r="L970" s="616"/>
      <c r="M970" s="540"/>
      <c r="O970" s="540"/>
    </row>
    <row r="971" spans="2:16" ht="36" customHeight="1" x14ac:dyDescent="0.5">
      <c r="B971" s="501"/>
      <c r="C971" s="449"/>
      <c r="D971" s="631" t="s">
        <v>1698</v>
      </c>
      <c r="E971" s="631"/>
      <c r="F971" s="631"/>
      <c r="G971" s="631"/>
      <c r="H971" s="631"/>
      <c r="I971" s="631"/>
      <c r="J971" s="657"/>
      <c r="K971" s="638"/>
      <c r="L971" s="616"/>
      <c r="M971" s="540"/>
      <c r="O971" s="540"/>
    </row>
    <row r="972" spans="2:16" ht="36" customHeight="1" x14ac:dyDescent="0.5">
      <c r="B972" s="501"/>
      <c r="C972" s="449"/>
      <c r="D972" s="631"/>
      <c r="E972" s="631"/>
      <c r="F972" s="631"/>
      <c r="G972" s="631"/>
      <c r="H972" s="631"/>
      <c r="I972" s="631"/>
      <c r="J972" s="657"/>
      <c r="K972" s="638"/>
      <c r="L972" s="616"/>
      <c r="M972" s="540"/>
      <c r="O972" s="540"/>
    </row>
    <row r="973" spans="2:16" ht="36" customHeight="1" x14ac:dyDescent="0.5">
      <c r="B973" s="501"/>
      <c r="C973" s="449"/>
      <c r="D973" s="631" t="s">
        <v>1576</v>
      </c>
      <c r="E973" s="631"/>
      <c r="F973" s="631"/>
      <c r="G973" s="631"/>
      <c r="H973" s="631"/>
      <c r="I973" s="631"/>
      <c r="J973" s="631"/>
      <c r="K973" s="616"/>
      <c r="L973" s="616"/>
      <c r="M973" s="540"/>
      <c r="O973" s="540"/>
    </row>
    <row r="974" spans="2:16" ht="36" customHeight="1" x14ac:dyDescent="0.5">
      <c r="B974" s="501"/>
      <c r="C974" s="449"/>
      <c r="D974" s="631" t="s">
        <v>1558</v>
      </c>
      <c r="E974" s="631"/>
      <c r="F974" s="631"/>
      <c r="G974" s="631"/>
      <c r="H974" s="631"/>
      <c r="I974" s="631"/>
      <c r="J974" s="631"/>
      <c r="K974" s="616"/>
      <c r="L974" s="616"/>
      <c r="M974" s="540"/>
      <c r="O974" s="540"/>
    </row>
    <row r="975" spans="2:16" ht="36" customHeight="1" x14ac:dyDescent="0.5">
      <c r="B975" s="501"/>
      <c r="C975" s="449"/>
      <c r="D975" s="631"/>
      <c r="E975" s="631"/>
      <c r="F975" s="631"/>
      <c r="G975" s="631"/>
      <c r="H975" s="631"/>
      <c r="I975" s="631"/>
      <c r="J975" s="631"/>
      <c r="K975" s="616"/>
      <c r="L975" s="616"/>
      <c r="M975" s="540"/>
      <c r="O975" s="540"/>
    </row>
    <row r="976" spans="2:16" ht="36" customHeight="1" x14ac:dyDescent="0.5">
      <c r="D976" s="631"/>
      <c r="E976" s="631"/>
      <c r="F976" s="631"/>
      <c r="G976" s="631"/>
      <c r="H976" s="631"/>
      <c r="I976" s="631"/>
      <c r="J976" s="631"/>
      <c r="K976" s="616"/>
      <c r="L976" s="616"/>
      <c r="M976" s="555"/>
      <c r="N976" s="555"/>
      <c r="O976" s="555"/>
      <c r="P976" s="545"/>
    </row>
    <row r="977" spans="2:18" ht="36" customHeight="1" x14ac:dyDescent="0.5">
      <c r="D977" s="631"/>
      <c r="E977" s="631"/>
      <c r="F977" s="631"/>
      <c r="G977" s="631"/>
      <c r="H977" s="631"/>
      <c r="I977" s="631"/>
      <c r="J977" s="631"/>
      <c r="K977" s="616"/>
      <c r="L977" s="616"/>
      <c r="M977" s="540"/>
      <c r="O977" s="540"/>
    </row>
    <row r="978" spans="2:18" ht="36" customHeight="1" x14ac:dyDescent="0.5">
      <c r="D978" s="631"/>
      <c r="E978" s="631"/>
      <c r="F978" s="631"/>
      <c r="G978" s="631"/>
      <c r="H978" s="631"/>
      <c r="I978" s="631"/>
      <c r="J978" s="631"/>
      <c r="K978" s="616"/>
      <c r="L978" s="616"/>
      <c r="M978" s="540"/>
      <c r="O978" s="454" t="s">
        <v>112</v>
      </c>
      <c r="Q978" s="450">
        <f>MAX($Q$103:Q977)+1</f>
        <v>21</v>
      </c>
    </row>
    <row r="979" spans="2:18" ht="36" customHeight="1" x14ac:dyDescent="0.5">
      <c r="D979" s="630" t="str">
        <f>Criteria!E9</f>
        <v>ABC COMPANY (PROPRIETARY) LIMITED</v>
      </c>
      <c r="E979" s="631"/>
      <c r="F979" s="631"/>
      <c r="G979" s="631"/>
      <c r="H979" s="631"/>
      <c r="I979" s="631"/>
      <c r="J979" s="631"/>
      <c r="K979" s="616"/>
      <c r="L979" s="616"/>
      <c r="M979" s="540"/>
      <c r="O979" s="540"/>
    </row>
    <row r="980" spans="2:18" ht="36" customHeight="1" x14ac:dyDescent="0.5">
      <c r="D980" s="630" t="str">
        <f>Criteria!E10</f>
        <v>T/A SEAFRONT HOTEL, ABC RESTAURANT AND RENTAL PROPERTIES</v>
      </c>
      <c r="E980" s="631"/>
      <c r="F980" s="631"/>
      <c r="G980" s="631"/>
      <c r="H980" s="631"/>
      <c r="I980" s="631"/>
      <c r="J980" s="631"/>
      <c r="K980" s="616"/>
      <c r="L980" s="616"/>
      <c r="M980" s="540"/>
      <c r="O980" s="540"/>
      <c r="R980" s="490" t="str">
        <f>IF(D980=0,"DELETE"," ")</f>
        <v xml:space="preserve"> </v>
      </c>
    </row>
    <row r="981" spans="2:18" ht="36" customHeight="1" x14ac:dyDescent="0.5">
      <c r="D981" s="631"/>
      <c r="E981" s="631"/>
      <c r="F981" s="631"/>
      <c r="G981" s="631"/>
      <c r="H981" s="631"/>
      <c r="I981" s="631"/>
      <c r="J981" s="631"/>
      <c r="K981" s="616"/>
      <c r="L981" s="616"/>
      <c r="M981" s="540"/>
      <c r="O981" s="540"/>
    </row>
    <row r="982" spans="2:18" ht="36" customHeight="1" x14ac:dyDescent="0.5">
      <c r="D982" s="630" t="s">
        <v>415</v>
      </c>
      <c r="E982" s="631"/>
      <c r="F982" s="631"/>
      <c r="G982" s="631"/>
      <c r="H982" s="631"/>
      <c r="I982" s="631"/>
      <c r="J982" s="631"/>
      <c r="K982" s="616"/>
      <c r="L982" s="616"/>
      <c r="M982" s="540"/>
      <c r="O982" s="540"/>
    </row>
    <row r="983" spans="2:18" ht="36" customHeight="1" x14ac:dyDescent="0.5">
      <c r="D983" s="630" t="str">
        <f>Criteria!E20</f>
        <v>28 FEBRUARY 2026</v>
      </c>
      <c r="E983" s="631"/>
      <c r="F983" s="631"/>
      <c r="G983" s="631"/>
      <c r="H983" s="631"/>
      <c r="I983" s="631"/>
      <c r="J983" s="631" t="s">
        <v>282</v>
      </c>
      <c r="K983" s="616"/>
      <c r="L983" s="616"/>
      <c r="M983" s="540"/>
      <c r="O983" s="540"/>
    </row>
    <row r="984" spans="2:18" ht="36" customHeight="1" x14ac:dyDescent="0.5">
      <c r="D984" s="631"/>
      <c r="E984" s="631"/>
      <c r="F984" s="631"/>
      <c r="G984" s="631"/>
      <c r="H984" s="631"/>
      <c r="I984" s="631"/>
      <c r="J984" s="631"/>
      <c r="K984" s="616"/>
      <c r="L984" s="616"/>
      <c r="M984" s="540"/>
      <c r="O984" s="540"/>
    </row>
    <row r="985" spans="2:18" ht="36" customHeight="1" x14ac:dyDescent="0.5">
      <c r="B985" s="641"/>
      <c r="C985" s="457"/>
      <c r="D985" s="649"/>
      <c r="E985" s="649"/>
      <c r="F985" s="649"/>
      <c r="G985" s="649"/>
      <c r="H985" s="649"/>
      <c r="I985" s="649"/>
      <c r="J985" s="649"/>
      <c r="K985" s="634"/>
      <c r="L985" s="634"/>
      <c r="M985" s="551"/>
      <c r="N985" s="551"/>
      <c r="O985" s="551"/>
      <c r="P985" s="551"/>
      <c r="Q985" s="457"/>
    </row>
    <row r="986" spans="2:18" ht="36" customHeight="1" x14ac:dyDescent="0.5">
      <c r="B986" s="501"/>
      <c r="C986" s="448">
        <f>MAX(C$873:C985)+0.1</f>
        <v>1.4000000000000004</v>
      </c>
      <c r="D986" s="630" t="s">
        <v>1515</v>
      </c>
      <c r="E986" s="631"/>
      <c r="F986" s="631"/>
      <c r="G986" s="631"/>
      <c r="H986" s="631"/>
      <c r="I986" s="631"/>
      <c r="J986" s="631"/>
      <c r="K986" s="616"/>
      <c r="L986" s="616"/>
      <c r="M986" s="540"/>
      <c r="O986" s="540"/>
    </row>
    <row r="987" spans="2:18" ht="36" customHeight="1" x14ac:dyDescent="0.5">
      <c r="B987" s="501"/>
      <c r="D987" s="630"/>
      <c r="E987" s="631"/>
      <c r="F987" s="631"/>
      <c r="G987" s="631"/>
      <c r="H987" s="631"/>
      <c r="I987" s="631"/>
      <c r="J987" s="631"/>
      <c r="K987" s="616"/>
      <c r="L987" s="616"/>
      <c r="M987" s="540"/>
      <c r="O987" s="540"/>
    </row>
    <row r="988" spans="2:18" ht="36" customHeight="1" x14ac:dyDescent="0.5">
      <c r="B988" s="501"/>
      <c r="C988" s="449"/>
      <c r="D988" s="631" t="s">
        <v>1700</v>
      </c>
      <c r="E988" s="631"/>
      <c r="F988" s="631"/>
      <c r="G988" s="631"/>
      <c r="H988" s="631"/>
      <c r="I988" s="631"/>
      <c r="J988" s="631"/>
      <c r="K988" s="616"/>
      <c r="L988" s="616"/>
      <c r="M988" s="540"/>
      <c r="O988" s="540"/>
    </row>
    <row r="989" spans="2:18" ht="36" customHeight="1" x14ac:dyDescent="0.5">
      <c r="B989" s="501"/>
      <c r="C989" s="449"/>
      <c r="D989" s="631" t="s">
        <v>1701</v>
      </c>
      <c r="E989" s="631"/>
      <c r="F989" s="631"/>
      <c r="G989" s="631"/>
      <c r="H989" s="631"/>
      <c r="I989" s="631"/>
      <c r="J989" s="631"/>
      <c r="K989" s="616"/>
      <c r="L989" s="616"/>
      <c r="M989" s="540"/>
      <c r="O989" s="540"/>
    </row>
    <row r="990" spans="2:18" ht="36" customHeight="1" x14ac:dyDescent="0.5">
      <c r="B990" s="501"/>
      <c r="C990" s="449"/>
      <c r="D990" s="631" t="s">
        <v>1703</v>
      </c>
      <c r="E990" s="631"/>
      <c r="F990" s="631"/>
      <c r="G990" s="631"/>
      <c r="H990" s="631"/>
      <c r="I990" s="631"/>
      <c r="J990" s="631"/>
      <c r="K990" s="616"/>
      <c r="L990" s="616"/>
      <c r="M990" s="540"/>
      <c r="O990" s="540"/>
    </row>
    <row r="991" spans="2:18" ht="36" customHeight="1" x14ac:dyDescent="0.5">
      <c r="B991" s="501"/>
      <c r="C991" s="449"/>
      <c r="D991" s="631" t="s">
        <v>1702</v>
      </c>
      <c r="E991" s="631"/>
      <c r="F991" s="631"/>
      <c r="G991" s="631"/>
      <c r="H991" s="631"/>
      <c r="I991" s="631"/>
      <c r="J991" s="631"/>
      <c r="K991" s="616"/>
      <c r="L991" s="616"/>
      <c r="M991" s="540"/>
      <c r="O991" s="540"/>
    </row>
    <row r="992" spans="2:18" ht="36" customHeight="1" x14ac:dyDescent="0.5">
      <c r="B992" s="501"/>
      <c r="C992" s="449"/>
      <c r="D992" s="631"/>
      <c r="E992" s="631"/>
      <c r="F992" s="631"/>
      <c r="G992" s="631"/>
      <c r="H992" s="631"/>
      <c r="I992" s="631"/>
      <c r="J992" s="631"/>
      <c r="K992" s="616"/>
      <c r="L992" s="616"/>
      <c r="M992" s="540"/>
      <c r="O992" s="540"/>
    </row>
    <row r="993" spans="2:18" ht="36" customHeight="1" x14ac:dyDescent="0.5">
      <c r="B993" s="501"/>
      <c r="C993" s="449"/>
      <c r="D993" s="631"/>
      <c r="E993" s="631"/>
      <c r="F993" s="631"/>
      <c r="G993" s="631"/>
      <c r="H993" s="631"/>
      <c r="I993" s="631"/>
      <c r="J993" s="631"/>
      <c r="K993" s="616"/>
      <c r="L993" s="616"/>
      <c r="M993" s="540"/>
      <c r="O993" s="540"/>
    </row>
    <row r="994" spans="2:18" ht="36" customHeight="1" x14ac:dyDescent="0.5">
      <c r="D994" s="631"/>
      <c r="E994" s="631"/>
      <c r="F994" s="631"/>
      <c r="G994" s="631"/>
      <c r="H994" s="631"/>
      <c r="I994" s="631"/>
      <c r="J994" s="631"/>
      <c r="K994" s="616"/>
      <c r="L994" s="616"/>
      <c r="M994" s="555"/>
      <c r="N994" s="555"/>
      <c r="O994" s="555"/>
      <c r="P994" s="545"/>
    </row>
    <row r="995" spans="2:18" ht="36" customHeight="1" x14ac:dyDescent="0.5">
      <c r="D995" s="631"/>
      <c r="E995" s="631"/>
      <c r="F995" s="631"/>
      <c r="G995" s="631"/>
      <c r="H995" s="631"/>
      <c r="I995" s="631"/>
      <c r="J995" s="631"/>
      <c r="K995" s="616"/>
      <c r="L995" s="616"/>
      <c r="M995" s="540"/>
      <c r="O995" s="540"/>
    </row>
    <row r="996" spans="2:18" ht="36" customHeight="1" x14ac:dyDescent="0.5">
      <c r="D996" s="631"/>
      <c r="E996" s="631"/>
      <c r="F996" s="631"/>
      <c r="G996" s="631"/>
      <c r="H996" s="631"/>
      <c r="I996" s="631"/>
      <c r="J996" s="631"/>
      <c r="K996" s="616"/>
      <c r="L996" s="616"/>
      <c r="M996" s="540"/>
      <c r="O996" s="454" t="s">
        <v>112</v>
      </c>
      <c r="Q996" s="450">
        <f>MAX($Q$103:Q995)+1</f>
        <v>22</v>
      </c>
    </row>
    <row r="997" spans="2:18" ht="36" customHeight="1" x14ac:dyDescent="0.5">
      <c r="D997" s="630" t="str">
        <f>Criteria!E9</f>
        <v>ABC COMPANY (PROPRIETARY) LIMITED</v>
      </c>
      <c r="E997" s="631"/>
      <c r="F997" s="631"/>
      <c r="G997" s="631"/>
      <c r="H997" s="631"/>
      <c r="I997" s="631"/>
      <c r="J997" s="631"/>
      <c r="K997" s="616"/>
      <c r="L997" s="616"/>
      <c r="M997" s="540"/>
      <c r="O997" s="540"/>
    </row>
    <row r="998" spans="2:18" ht="36" customHeight="1" x14ac:dyDescent="0.5">
      <c r="D998" s="630" t="str">
        <f>Criteria!E10</f>
        <v>T/A SEAFRONT HOTEL, ABC RESTAURANT AND RENTAL PROPERTIES</v>
      </c>
      <c r="E998" s="631"/>
      <c r="F998" s="631"/>
      <c r="G998" s="631"/>
      <c r="H998" s="631"/>
      <c r="I998" s="631"/>
      <c r="J998" s="631"/>
      <c r="K998" s="616"/>
      <c r="L998" s="616"/>
      <c r="M998" s="540"/>
      <c r="O998" s="540"/>
      <c r="R998" s="490" t="str">
        <f>IF(D998=0,"DELETE"," ")</f>
        <v xml:space="preserve"> </v>
      </c>
    </row>
    <row r="999" spans="2:18" ht="36" customHeight="1" x14ac:dyDescent="0.5">
      <c r="D999" s="631"/>
      <c r="E999" s="631"/>
      <c r="F999" s="631"/>
      <c r="G999" s="631"/>
      <c r="H999" s="631"/>
      <c r="I999" s="631"/>
      <c r="J999" s="631"/>
      <c r="K999" s="616"/>
      <c r="L999" s="616"/>
      <c r="M999" s="540"/>
      <c r="O999" s="540"/>
    </row>
    <row r="1000" spans="2:18" ht="36" customHeight="1" x14ac:dyDescent="0.5">
      <c r="D1000" s="630" t="s">
        <v>415</v>
      </c>
      <c r="E1000" s="631"/>
      <c r="F1000" s="631"/>
      <c r="G1000" s="631"/>
      <c r="H1000" s="631"/>
      <c r="I1000" s="631"/>
      <c r="J1000" s="631"/>
      <c r="K1000" s="616"/>
      <c r="L1000" s="616"/>
      <c r="M1000" s="540"/>
      <c r="O1000" s="540"/>
    </row>
    <row r="1001" spans="2:18" ht="36" customHeight="1" x14ac:dyDescent="0.5">
      <c r="D1001" s="630" t="str">
        <f>Criteria!E20</f>
        <v>28 FEBRUARY 2026</v>
      </c>
      <c r="E1001" s="631"/>
      <c r="F1001" s="631"/>
      <c r="G1001" s="631"/>
      <c r="H1001" s="631"/>
      <c r="I1001" s="631"/>
      <c r="J1001" s="631" t="s">
        <v>282</v>
      </c>
      <c r="K1001" s="616"/>
      <c r="L1001" s="616"/>
      <c r="M1001" s="540"/>
      <c r="O1001" s="540"/>
    </row>
    <row r="1002" spans="2:18" ht="36" customHeight="1" x14ac:dyDescent="0.5">
      <c r="D1002" s="631"/>
      <c r="E1002" s="631"/>
      <c r="F1002" s="631"/>
      <c r="G1002" s="631"/>
      <c r="H1002" s="631"/>
      <c r="I1002" s="631"/>
      <c r="J1002" s="631"/>
      <c r="K1002" s="616"/>
      <c r="L1002" s="616"/>
      <c r="M1002" s="540"/>
      <c r="O1002" s="540"/>
    </row>
    <row r="1003" spans="2:18" ht="36" customHeight="1" x14ac:dyDescent="0.5">
      <c r="B1003" s="641"/>
      <c r="C1003" s="457"/>
      <c r="D1003" s="649"/>
      <c r="E1003" s="649"/>
      <c r="F1003" s="649"/>
      <c r="G1003" s="649"/>
      <c r="H1003" s="649"/>
      <c r="I1003" s="649"/>
      <c r="J1003" s="649"/>
      <c r="K1003" s="634"/>
      <c r="L1003" s="634"/>
      <c r="M1003" s="551"/>
      <c r="N1003" s="551"/>
      <c r="O1003" s="551"/>
      <c r="P1003" s="551"/>
      <c r="Q1003" s="457"/>
    </row>
    <row r="1004" spans="2:18" ht="36" customHeight="1" x14ac:dyDescent="0.5">
      <c r="B1004" s="501"/>
      <c r="C1004" s="448">
        <f>MAX(C$873:C1003)+0.1</f>
        <v>1.5000000000000004</v>
      </c>
      <c r="D1004" s="630" t="s">
        <v>1296</v>
      </c>
      <c r="E1004" s="631"/>
      <c r="F1004" s="631"/>
      <c r="G1004" s="631"/>
      <c r="H1004" s="631"/>
      <c r="I1004" s="631"/>
      <c r="J1004" s="631"/>
      <c r="K1004" s="616"/>
      <c r="L1004" s="616"/>
      <c r="M1004" s="540"/>
      <c r="O1004" s="540"/>
    </row>
    <row r="1005" spans="2:18" ht="36" customHeight="1" x14ac:dyDescent="0.5">
      <c r="B1005" s="501"/>
      <c r="D1005" s="630"/>
      <c r="E1005" s="631"/>
      <c r="F1005" s="631"/>
      <c r="G1005" s="631"/>
      <c r="H1005" s="631"/>
      <c r="I1005" s="631"/>
      <c r="J1005" s="631"/>
      <c r="K1005" s="616"/>
      <c r="L1005" s="616"/>
      <c r="M1005" s="540"/>
      <c r="O1005" s="540"/>
    </row>
    <row r="1006" spans="2:18" ht="36" customHeight="1" x14ac:dyDescent="0.5">
      <c r="B1006" s="501"/>
      <c r="C1006" s="449"/>
      <c r="D1006" s="631" t="s">
        <v>1229</v>
      </c>
      <c r="E1006" s="631"/>
      <c r="F1006" s="631"/>
      <c r="G1006" s="631"/>
      <c r="H1006" s="631"/>
      <c r="I1006" s="631"/>
      <c r="J1006" s="631"/>
      <c r="K1006" s="616"/>
      <c r="L1006" s="616"/>
      <c r="M1006" s="540"/>
      <c r="O1006" s="540"/>
    </row>
    <row r="1007" spans="2:18" ht="36" customHeight="1" x14ac:dyDescent="0.5">
      <c r="B1007" s="501"/>
      <c r="C1007" s="449"/>
      <c r="D1007" s="650" t="s">
        <v>1230</v>
      </c>
      <c r="E1007" s="631"/>
      <c r="F1007" s="631"/>
      <c r="G1007" s="631"/>
      <c r="H1007" s="631"/>
      <c r="I1007" s="631"/>
      <c r="J1007" s="631"/>
      <c r="K1007" s="616"/>
      <c r="L1007" s="616"/>
      <c r="M1007" s="540"/>
      <c r="O1007" s="540"/>
    </row>
    <row r="1008" spans="2:18" ht="36" customHeight="1" x14ac:dyDescent="0.5">
      <c r="B1008" s="501"/>
      <c r="C1008" s="449"/>
      <c r="D1008" s="631" t="s">
        <v>1704</v>
      </c>
      <c r="E1008" s="631"/>
      <c r="F1008" s="631"/>
      <c r="G1008" s="631"/>
      <c r="H1008" s="631"/>
      <c r="I1008" s="631"/>
      <c r="J1008" s="631"/>
      <c r="K1008" s="616"/>
      <c r="L1008" s="616"/>
      <c r="M1008" s="540"/>
      <c r="O1008" s="540"/>
    </row>
    <row r="1009" spans="2:18" ht="36" customHeight="1" x14ac:dyDescent="0.5">
      <c r="B1009" s="501"/>
      <c r="C1009" s="449"/>
      <c r="D1009" s="631" t="s">
        <v>1706</v>
      </c>
      <c r="E1009" s="631"/>
      <c r="F1009" s="631"/>
      <c r="G1009" s="631"/>
      <c r="H1009" s="631"/>
      <c r="I1009" s="631"/>
      <c r="J1009" s="631"/>
      <c r="K1009" s="616"/>
      <c r="L1009" s="616"/>
      <c r="M1009" s="540"/>
      <c r="O1009" s="540"/>
    </row>
    <row r="1010" spans="2:18" ht="36" customHeight="1" x14ac:dyDescent="0.5">
      <c r="B1010" s="501"/>
      <c r="C1010" s="449"/>
      <c r="D1010" s="631" t="s">
        <v>1705</v>
      </c>
      <c r="E1010" s="631"/>
      <c r="F1010" s="631"/>
      <c r="G1010" s="631"/>
      <c r="H1010" s="631"/>
      <c r="I1010" s="631"/>
      <c r="J1010" s="631"/>
      <c r="K1010" s="616"/>
      <c r="L1010" s="616"/>
      <c r="M1010" s="540"/>
      <c r="O1010" s="540"/>
    </row>
    <row r="1011" spans="2:18" ht="36" customHeight="1" x14ac:dyDescent="0.5">
      <c r="B1011" s="501"/>
      <c r="C1011" s="449"/>
      <c r="D1011" s="631"/>
      <c r="E1011" s="631"/>
      <c r="F1011" s="631"/>
      <c r="G1011" s="631"/>
      <c r="H1011" s="631"/>
      <c r="I1011" s="631"/>
      <c r="J1011" s="631"/>
      <c r="K1011" s="616"/>
      <c r="L1011" s="616"/>
      <c r="M1011" s="540"/>
      <c r="O1011" s="540"/>
    </row>
    <row r="1012" spans="2:18" ht="36" customHeight="1" x14ac:dyDescent="0.5">
      <c r="B1012" s="501"/>
      <c r="C1012" s="449"/>
      <c r="D1012" s="631"/>
      <c r="E1012" s="631"/>
      <c r="F1012" s="631"/>
      <c r="G1012" s="631"/>
      <c r="H1012" s="631"/>
      <c r="I1012" s="631"/>
      <c r="J1012" s="631"/>
      <c r="K1012" s="616"/>
      <c r="L1012" s="616"/>
      <c r="M1012" s="540"/>
      <c r="O1012" s="540"/>
    </row>
    <row r="1013" spans="2:18" ht="36" customHeight="1" x14ac:dyDescent="0.5">
      <c r="D1013" s="631"/>
      <c r="E1013" s="631"/>
      <c r="F1013" s="631"/>
      <c r="G1013" s="631"/>
      <c r="H1013" s="631"/>
      <c r="I1013" s="631"/>
      <c r="J1013" s="631"/>
      <c r="K1013" s="616"/>
      <c r="L1013" s="616"/>
      <c r="M1013" s="555"/>
      <c r="N1013" s="555"/>
      <c r="O1013" s="555"/>
      <c r="P1013" s="545"/>
    </row>
    <row r="1014" spans="2:18" ht="36" customHeight="1" x14ac:dyDescent="0.5">
      <c r="D1014" s="631"/>
      <c r="E1014" s="631"/>
      <c r="F1014" s="631"/>
      <c r="G1014" s="631"/>
      <c r="H1014" s="631"/>
      <c r="I1014" s="631"/>
      <c r="J1014" s="631"/>
      <c r="K1014" s="616"/>
      <c r="L1014" s="616"/>
      <c r="M1014" s="540"/>
      <c r="O1014" s="540"/>
    </row>
    <row r="1015" spans="2:18" ht="36" customHeight="1" x14ac:dyDescent="0.5">
      <c r="D1015" s="631"/>
      <c r="E1015" s="631"/>
      <c r="F1015" s="631"/>
      <c r="G1015" s="631"/>
      <c r="H1015" s="631"/>
      <c r="I1015" s="631"/>
      <c r="J1015" s="631"/>
      <c r="K1015" s="616"/>
      <c r="L1015" s="616"/>
      <c r="M1015" s="540"/>
      <c r="O1015" s="454" t="s">
        <v>112</v>
      </c>
      <c r="Q1015" s="450">
        <f>MAX($Q$103:Q1014)+1</f>
        <v>23</v>
      </c>
    </row>
    <row r="1016" spans="2:18" ht="36" customHeight="1" x14ac:dyDescent="0.5">
      <c r="D1016" s="630" t="str">
        <f>Criteria!E9</f>
        <v>ABC COMPANY (PROPRIETARY) LIMITED</v>
      </c>
      <c r="E1016" s="631"/>
      <c r="F1016" s="631"/>
      <c r="G1016" s="631"/>
      <c r="H1016" s="631"/>
      <c r="I1016" s="631"/>
      <c r="J1016" s="631"/>
      <c r="K1016" s="616"/>
      <c r="L1016" s="616"/>
      <c r="M1016" s="540"/>
      <c r="O1016" s="540"/>
    </row>
    <row r="1017" spans="2:18" ht="36" customHeight="1" x14ac:dyDescent="0.5">
      <c r="D1017" s="630" t="str">
        <f>Criteria!E10</f>
        <v>T/A SEAFRONT HOTEL, ABC RESTAURANT AND RENTAL PROPERTIES</v>
      </c>
      <c r="E1017" s="631"/>
      <c r="F1017" s="631"/>
      <c r="G1017" s="631"/>
      <c r="H1017" s="631"/>
      <c r="I1017" s="631"/>
      <c r="J1017" s="631"/>
      <c r="K1017" s="616"/>
      <c r="L1017" s="616"/>
      <c r="M1017" s="540"/>
      <c r="O1017" s="540"/>
      <c r="R1017" s="490" t="str">
        <f>IF(D1017=0,"DELETE"," ")</f>
        <v xml:space="preserve"> </v>
      </c>
    </row>
    <row r="1018" spans="2:18" ht="36" customHeight="1" x14ac:dyDescent="0.5">
      <c r="D1018" s="631"/>
      <c r="E1018" s="631"/>
      <c r="F1018" s="631"/>
      <c r="G1018" s="631"/>
      <c r="H1018" s="631"/>
      <c r="I1018" s="631"/>
      <c r="J1018" s="631"/>
      <c r="K1018" s="616"/>
      <c r="L1018" s="616"/>
      <c r="M1018" s="540"/>
      <c r="O1018" s="540"/>
    </row>
    <row r="1019" spans="2:18" ht="36" customHeight="1" x14ac:dyDescent="0.5">
      <c r="D1019" s="630" t="s">
        <v>415</v>
      </c>
      <c r="E1019" s="631"/>
      <c r="F1019" s="631"/>
      <c r="G1019" s="631"/>
      <c r="H1019" s="631"/>
      <c r="I1019" s="631"/>
      <c r="J1019" s="631"/>
      <c r="K1019" s="616"/>
      <c r="L1019" s="616"/>
      <c r="M1019" s="540"/>
      <c r="O1019" s="540"/>
    </row>
    <row r="1020" spans="2:18" ht="36" customHeight="1" x14ac:dyDescent="0.5">
      <c r="D1020" s="630" t="str">
        <f>Criteria!E20</f>
        <v>28 FEBRUARY 2026</v>
      </c>
      <c r="E1020" s="631"/>
      <c r="F1020" s="631"/>
      <c r="G1020" s="631"/>
      <c r="H1020" s="631"/>
      <c r="I1020" s="631"/>
      <c r="J1020" s="631" t="s">
        <v>282</v>
      </c>
      <c r="K1020" s="616"/>
      <c r="L1020" s="616"/>
      <c r="M1020" s="540"/>
      <c r="O1020" s="540"/>
    </row>
    <row r="1021" spans="2:18" ht="36" customHeight="1" x14ac:dyDescent="0.5">
      <c r="D1021" s="631"/>
      <c r="E1021" s="631"/>
      <c r="F1021" s="631"/>
      <c r="G1021" s="631"/>
      <c r="H1021" s="631"/>
      <c r="I1021" s="631"/>
      <c r="J1021" s="631"/>
      <c r="K1021" s="616"/>
      <c r="L1021" s="616"/>
      <c r="M1021" s="540"/>
      <c r="O1021" s="540"/>
    </row>
    <row r="1022" spans="2:18" ht="36" customHeight="1" x14ac:dyDescent="0.5">
      <c r="B1022" s="641"/>
      <c r="C1022" s="457"/>
      <c r="D1022" s="649"/>
      <c r="E1022" s="649"/>
      <c r="F1022" s="649"/>
      <c r="G1022" s="649"/>
      <c r="H1022" s="649"/>
      <c r="I1022" s="649"/>
      <c r="J1022" s="649"/>
      <c r="K1022" s="634"/>
      <c r="L1022" s="634"/>
      <c r="M1022" s="551"/>
      <c r="N1022" s="551"/>
      <c r="O1022" s="551"/>
      <c r="P1022" s="551"/>
      <c r="Q1022" s="457"/>
    </row>
    <row r="1023" spans="2:18" ht="36" customHeight="1" x14ac:dyDescent="0.5">
      <c r="B1023" s="501"/>
      <c r="C1023" s="449"/>
      <c r="D1023" s="650" t="s">
        <v>1226</v>
      </c>
      <c r="E1023" s="631"/>
      <c r="F1023" s="631"/>
      <c r="G1023" s="631"/>
      <c r="H1023" s="631"/>
      <c r="I1023" s="631"/>
      <c r="J1023" s="631"/>
      <c r="K1023" s="616"/>
      <c r="L1023" s="616"/>
      <c r="M1023" s="540"/>
      <c r="O1023" s="540"/>
    </row>
    <row r="1024" spans="2:18" ht="36" customHeight="1" x14ac:dyDescent="0.5">
      <c r="B1024" s="501"/>
      <c r="C1024" s="449"/>
      <c r="D1024" s="631" t="s">
        <v>1559</v>
      </c>
      <c r="E1024" s="631"/>
      <c r="F1024" s="631"/>
      <c r="G1024" s="631"/>
      <c r="H1024" s="631"/>
      <c r="I1024" s="631"/>
      <c r="J1024" s="631"/>
      <c r="K1024" s="616"/>
      <c r="L1024" s="616"/>
      <c r="M1024" s="540"/>
      <c r="O1024" s="540"/>
    </row>
    <row r="1025" spans="2:18" ht="36" customHeight="1" x14ac:dyDescent="0.5">
      <c r="B1025" s="501"/>
      <c r="C1025" s="449"/>
      <c r="D1025" s="631" t="s">
        <v>1561</v>
      </c>
      <c r="E1025" s="631"/>
      <c r="F1025" s="631"/>
      <c r="G1025" s="631"/>
      <c r="H1025" s="631"/>
      <c r="I1025" s="631"/>
      <c r="J1025" s="631"/>
      <c r="K1025" s="616"/>
      <c r="L1025" s="616"/>
      <c r="M1025" s="540"/>
      <c r="O1025" s="540"/>
    </row>
    <row r="1026" spans="2:18" ht="36" customHeight="1" x14ac:dyDescent="0.5">
      <c r="B1026" s="501"/>
      <c r="C1026" s="449"/>
      <c r="D1026" s="631" t="s">
        <v>1560</v>
      </c>
      <c r="E1026" s="631"/>
      <c r="F1026" s="631"/>
      <c r="G1026" s="631"/>
      <c r="H1026" s="631"/>
      <c r="I1026" s="631"/>
      <c r="J1026" s="631"/>
      <c r="K1026" s="616"/>
      <c r="L1026" s="616"/>
      <c r="M1026" s="540"/>
      <c r="O1026" s="540"/>
    </row>
    <row r="1027" spans="2:18" ht="36" customHeight="1" x14ac:dyDescent="0.5">
      <c r="B1027" s="501"/>
      <c r="C1027" s="449"/>
      <c r="D1027" s="631" t="s">
        <v>1708</v>
      </c>
      <c r="E1027" s="631"/>
      <c r="F1027" s="631"/>
      <c r="G1027" s="631"/>
      <c r="H1027" s="631"/>
      <c r="I1027" s="631"/>
      <c r="J1027" s="631"/>
      <c r="K1027" s="616"/>
      <c r="L1027" s="616"/>
      <c r="M1027" s="540"/>
      <c r="O1027" s="540"/>
    </row>
    <row r="1028" spans="2:18" ht="36" customHeight="1" x14ac:dyDescent="0.5">
      <c r="B1028" s="501"/>
      <c r="C1028" s="449"/>
      <c r="D1028" s="631" t="s">
        <v>1707</v>
      </c>
      <c r="E1028" s="631"/>
      <c r="F1028" s="631"/>
      <c r="G1028" s="631"/>
      <c r="H1028" s="631"/>
      <c r="I1028" s="631"/>
      <c r="J1028" s="631"/>
      <c r="K1028" s="616"/>
      <c r="L1028" s="616"/>
      <c r="M1028" s="540"/>
      <c r="O1028" s="540"/>
    </row>
    <row r="1029" spans="2:18" ht="36" customHeight="1" x14ac:dyDescent="0.5">
      <c r="B1029" s="501"/>
      <c r="C1029" s="449"/>
      <c r="D1029" s="631" t="str">
        <f>CONCATENATE("- ",Criteria!F245," years")</f>
        <v>- 10 years</v>
      </c>
      <c r="E1029" s="631"/>
      <c r="F1029" s="631"/>
      <c r="G1029" s="631"/>
      <c r="H1029" s="631"/>
      <c r="I1029" s="631"/>
      <c r="J1029" s="631"/>
      <c r="K1029" s="616"/>
      <c r="L1029" s="616"/>
      <c r="M1029" s="540"/>
      <c r="O1029" s="540"/>
    </row>
    <row r="1030" spans="2:18" ht="36" customHeight="1" x14ac:dyDescent="0.5">
      <c r="B1030" s="501"/>
      <c r="C1030" s="449"/>
      <c r="D1030" s="631"/>
      <c r="E1030" s="631"/>
      <c r="F1030" s="631"/>
      <c r="G1030" s="631"/>
      <c r="H1030" s="631"/>
      <c r="I1030" s="631"/>
      <c r="J1030" s="631"/>
      <c r="K1030" s="616"/>
      <c r="L1030" s="616"/>
      <c r="M1030" s="540"/>
      <c r="O1030" s="540"/>
    </row>
    <row r="1031" spans="2:18" ht="36" customHeight="1" x14ac:dyDescent="0.5">
      <c r="B1031" s="501"/>
      <c r="C1031" s="449"/>
      <c r="D1031" s="631"/>
      <c r="E1031" s="631"/>
      <c r="F1031" s="631"/>
      <c r="G1031" s="631"/>
      <c r="H1031" s="631"/>
      <c r="I1031" s="631"/>
      <c r="J1031" s="631"/>
      <c r="K1031" s="616"/>
      <c r="L1031" s="616"/>
      <c r="M1031" s="540"/>
      <c r="O1031" s="540"/>
    </row>
    <row r="1032" spans="2:18" ht="36" customHeight="1" x14ac:dyDescent="0.5">
      <c r="D1032" s="631"/>
      <c r="E1032" s="631"/>
      <c r="F1032" s="631"/>
      <c r="G1032" s="631"/>
      <c r="H1032" s="631"/>
      <c r="I1032" s="631"/>
      <c r="J1032" s="631"/>
      <c r="K1032" s="616"/>
      <c r="L1032" s="616"/>
      <c r="M1032" s="555"/>
      <c r="N1032" s="555"/>
      <c r="O1032" s="555"/>
      <c r="P1032" s="545"/>
    </row>
    <row r="1033" spans="2:18" ht="36" customHeight="1" x14ac:dyDescent="0.5">
      <c r="D1033" s="631"/>
      <c r="E1033" s="631"/>
      <c r="F1033" s="631"/>
      <c r="G1033" s="631"/>
      <c r="H1033" s="631"/>
      <c r="I1033" s="631"/>
      <c r="J1033" s="631"/>
      <c r="K1033" s="616"/>
      <c r="L1033" s="616"/>
      <c r="M1033" s="540"/>
      <c r="O1033" s="540"/>
    </row>
    <row r="1034" spans="2:18" ht="36" customHeight="1" x14ac:dyDescent="0.5">
      <c r="D1034" s="631"/>
      <c r="E1034" s="631"/>
      <c r="F1034" s="631"/>
      <c r="G1034" s="631"/>
      <c r="H1034" s="631"/>
      <c r="I1034" s="631"/>
      <c r="J1034" s="631"/>
      <c r="K1034" s="616"/>
      <c r="L1034" s="616"/>
      <c r="M1034" s="540"/>
      <c r="O1034" s="454" t="s">
        <v>112</v>
      </c>
      <c r="Q1034" s="450">
        <f>MAX($Q$103:Q1033)+1</f>
        <v>24</v>
      </c>
    </row>
    <row r="1035" spans="2:18" ht="36" customHeight="1" x14ac:dyDescent="0.5">
      <c r="D1035" s="630" t="str">
        <f>Criteria!E9</f>
        <v>ABC COMPANY (PROPRIETARY) LIMITED</v>
      </c>
      <c r="E1035" s="631"/>
      <c r="F1035" s="631"/>
      <c r="G1035" s="631"/>
      <c r="H1035" s="631"/>
      <c r="I1035" s="631"/>
      <c r="J1035" s="631"/>
      <c r="K1035" s="616"/>
      <c r="L1035" s="616"/>
      <c r="M1035" s="540"/>
      <c r="O1035" s="540"/>
    </row>
    <row r="1036" spans="2:18" ht="36" customHeight="1" x14ac:dyDescent="0.5">
      <c r="D1036" s="630" t="str">
        <f>Criteria!E10</f>
        <v>T/A SEAFRONT HOTEL, ABC RESTAURANT AND RENTAL PROPERTIES</v>
      </c>
      <c r="E1036" s="631"/>
      <c r="F1036" s="631"/>
      <c r="G1036" s="631"/>
      <c r="H1036" s="631"/>
      <c r="I1036" s="631"/>
      <c r="J1036" s="631"/>
      <c r="K1036" s="616"/>
      <c r="L1036" s="616"/>
      <c r="M1036" s="540"/>
      <c r="O1036" s="540"/>
      <c r="R1036" s="490" t="str">
        <f>IF(D1036=0,"DELETE"," ")</f>
        <v xml:space="preserve"> </v>
      </c>
    </row>
    <row r="1037" spans="2:18" ht="36" customHeight="1" x14ac:dyDescent="0.5">
      <c r="D1037" s="631"/>
      <c r="E1037" s="631"/>
      <c r="F1037" s="631"/>
      <c r="G1037" s="631"/>
      <c r="H1037" s="631"/>
      <c r="I1037" s="631"/>
      <c r="J1037" s="631"/>
      <c r="K1037" s="616"/>
      <c r="L1037" s="616"/>
      <c r="M1037" s="540"/>
      <c r="O1037" s="540"/>
    </row>
    <row r="1038" spans="2:18" ht="36" customHeight="1" x14ac:dyDescent="0.5">
      <c r="D1038" s="630" t="s">
        <v>415</v>
      </c>
      <c r="E1038" s="631"/>
      <c r="F1038" s="631"/>
      <c r="G1038" s="631"/>
      <c r="H1038" s="631"/>
      <c r="I1038" s="631"/>
      <c r="J1038" s="631"/>
      <c r="K1038" s="616"/>
      <c r="L1038" s="616"/>
      <c r="M1038" s="540"/>
      <c r="O1038" s="540"/>
    </row>
    <row r="1039" spans="2:18" ht="36" customHeight="1" x14ac:dyDescent="0.5">
      <c r="D1039" s="630" t="str">
        <f>Criteria!E20</f>
        <v>28 FEBRUARY 2026</v>
      </c>
      <c r="E1039" s="631"/>
      <c r="F1039" s="631"/>
      <c r="G1039" s="631"/>
      <c r="H1039" s="631"/>
      <c r="I1039" s="631"/>
      <c r="J1039" s="631" t="s">
        <v>282</v>
      </c>
      <c r="K1039" s="616"/>
      <c r="L1039" s="616"/>
      <c r="M1039" s="540"/>
      <c r="O1039" s="540"/>
    </row>
    <row r="1040" spans="2:18" ht="36" customHeight="1" x14ac:dyDescent="0.5">
      <c r="D1040" s="631"/>
      <c r="E1040" s="631"/>
      <c r="F1040" s="631"/>
      <c r="G1040" s="631"/>
      <c r="H1040" s="631"/>
      <c r="I1040" s="631"/>
      <c r="J1040" s="631"/>
      <c r="K1040" s="616"/>
      <c r="L1040" s="616"/>
      <c r="M1040" s="540"/>
      <c r="O1040" s="540"/>
    </row>
    <row r="1041" spans="2:17" ht="36" customHeight="1" x14ac:dyDescent="0.5">
      <c r="B1041" s="641"/>
      <c r="C1041" s="457"/>
      <c r="D1041" s="649"/>
      <c r="E1041" s="649"/>
      <c r="F1041" s="649"/>
      <c r="G1041" s="649"/>
      <c r="H1041" s="649"/>
      <c r="I1041" s="649"/>
      <c r="J1041" s="649"/>
      <c r="K1041" s="634"/>
      <c r="L1041" s="634"/>
      <c r="M1041" s="551"/>
      <c r="N1041" s="551"/>
      <c r="O1041" s="551"/>
      <c r="P1041" s="551"/>
      <c r="Q1041" s="457"/>
    </row>
    <row r="1042" spans="2:17" ht="36" customHeight="1" x14ac:dyDescent="0.5">
      <c r="B1042" s="501"/>
      <c r="C1042" s="448">
        <f>MAX(C$873:C1041)+0.1</f>
        <v>1.6000000000000005</v>
      </c>
      <c r="D1042" s="630" t="s">
        <v>1516</v>
      </c>
      <c r="E1042" s="631"/>
      <c r="F1042" s="631"/>
      <c r="G1042" s="631"/>
      <c r="H1042" s="631"/>
      <c r="I1042" s="631"/>
      <c r="J1042" s="631"/>
      <c r="K1042" s="616"/>
      <c r="L1042" s="616"/>
      <c r="M1042" s="540"/>
      <c r="O1042" s="540"/>
    </row>
    <row r="1043" spans="2:17" ht="36" customHeight="1" x14ac:dyDescent="0.5">
      <c r="B1043" s="501"/>
      <c r="D1043" s="630"/>
      <c r="E1043" s="631"/>
      <c r="F1043" s="631"/>
      <c r="G1043" s="631"/>
      <c r="H1043" s="631"/>
      <c r="I1043" s="631"/>
      <c r="J1043" s="631"/>
      <c r="K1043" s="616"/>
      <c r="L1043" s="616"/>
      <c r="M1043" s="540"/>
      <c r="O1043" s="540"/>
    </row>
    <row r="1044" spans="2:17" ht="36" customHeight="1" x14ac:dyDescent="0.5">
      <c r="B1044" s="501"/>
      <c r="C1044" s="449"/>
      <c r="D1044" s="631" t="s">
        <v>1709</v>
      </c>
      <c r="E1044" s="631"/>
      <c r="F1044" s="631"/>
      <c r="G1044" s="631"/>
      <c r="H1044" s="631"/>
      <c r="I1044" s="631"/>
      <c r="J1044" s="631"/>
      <c r="K1044" s="616"/>
      <c r="L1044" s="616"/>
      <c r="M1044" s="540"/>
      <c r="O1044" s="540"/>
    </row>
    <row r="1045" spans="2:17" ht="36" customHeight="1" x14ac:dyDescent="0.5">
      <c r="B1045" s="501"/>
      <c r="C1045" s="449"/>
      <c r="D1045" s="631" t="s">
        <v>1711</v>
      </c>
      <c r="E1045" s="631"/>
      <c r="F1045" s="631"/>
      <c r="G1045" s="631"/>
      <c r="H1045" s="631"/>
      <c r="I1045" s="631"/>
      <c r="J1045" s="631"/>
      <c r="K1045" s="616"/>
      <c r="L1045" s="616"/>
      <c r="M1045" s="540"/>
      <c r="O1045" s="540"/>
    </row>
    <row r="1046" spans="2:17" ht="36" customHeight="1" x14ac:dyDescent="0.5">
      <c r="B1046" s="501"/>
      <c r="C1046" s="449"/>
      <c r="D1046" s="631" t="s">
        <v>1710</v>
      </c>
      <c r="E1046" s="631"/>
      <c r="F1046" s="631"/>
      <c r="G1046" s="631"/>
      <c r="H1046" s="631"/>
      <c r="I1046" s="631"/>
      <c r="J1046" s="631"/>
      <c r="K1046" s="616"/>
      <c r="L1046" s="616"/>
      <c r="M1046" s="540"/>
      <c r="O1046" s="540"/>
    </row>
    <row r="1047" spans="2:17" ht="36" customHeight="1" x14ac:dyDescent="0.5">
      <c r="B1047" s="501"/>
      <c r="C1047" s="449"/>
      <c r="D1047" s="650" t="s">
        <v>1231</v>
      </c>
      <c r="E1047" s="631"/>
      <c r="F1047" s="631"/>
      <c r="G1047" s="631"/>
      <c r="H1047" s="631"/>
      <c r="I1047" s="631"/>
      <c r="J1047" s="631"/>
      <c r="K1047" s="616"/>
      <c r="L1047" s="616"/>
      <c r="M1047" s="540"/>
      <c r="O1047" s="540"/>
    </row>
    <row r="1048" spans="2:17" ht="36" customHeight="1" x14ac:dyDescent="0.5">
      <c r="B1048" s="501"/>
      <c r="C1048" s="449"/>
      <c r="D1048" s="631" t="s">
        <v>1713</v>
      </c>
      <c r="E1048" s="631"/>
      <c r="F1048" s="631"/>
      <c r="G1048" s="631"/>
      <c r="H1048" s="631"/>
      <c r="I1048" s="631"/>
      <c r="J1048" s="631"/>
      <c r="K1048" s="616"/>
      <c r="L1048" s="616"/>
      <c r="M1048" s="540"/>
      <c r="O1048" s="540"/>
    </row>
    <row r="1049" spans="2:17" ht="36" customHeight="1" x14ac:dyDescent="0.5">
      <c r="B1049" s="501"/>
      <c r="C1049" s="449"/>
      <c r="D1049" s="631" t="s">
        <v>1712</v>
      </c>
      <c r="E1049" s="631"/>
      <c r="F1049" s="631"/>
      <c r="G1049" s="631"/>
      <c r="H1049" s="631"/>
      <c r="I1049" s="631"/>
      <c r="J1049" s="631"/>
      <c r="K1049" s="616"/>
      <c r="L1049" s="616"/>
      <c r="M1049" s="540"/>
      <c r="O1049" s="540"/>
    </row>
    <row r="1050" spans="2:17" ht="36" customHeight="1" x14ac:dyDescent="0.5">
      <c r="B1050" s="501"/>
      <c r="C1050" s="449"/>
      <c r="D1050" s="650" t="s">
        <v>1232</v>
      </c>
      <c r="E1050" s="631"/>
      <c r="F1050" s="631"/>
      <c r="G1050" s="631"/>
      <c r="H1050" s="631"/>
      <c r="I1050" s="631"/>
      <c r="J1050" s="631"/>
      <c r="K1050" s="616"/>
      <c r="L1050" s="616"/>
      <c r="M1050" s="540"/>
      <c r="O1050" s="540"/>
    </row>
    <row r="1051" spans="2:17" ht="36" customHeight="1" x14ac:dyDescent="0.5">
      <c r="B1051" s="501"/>
      <c r="C1051" s="449"/>
      <c r="D1051" s="631" t="s">
        <v>1715</v>
      </c>
      <c r="E1051" s="631"/>
      <c r="F1051" s="631"/>
      <c r="G1051" s="631"/>
      <c r="H1051" s="631"/>
      <c r="I1051" s="631"/>
      <c r="J1051" s="631"/>
      <c r="K1051" s="616"/>
      <c r="L1051" s="616"/>
      <c r="M1051" s="540"/>
      <c r="O1051" s="540"/>
    </row>
    <row r="1052" spans="2:17" ht="36" customHeight="1" x14ac:dyDescent="0.5">
      <c r="B1052" s="501"/>
      <c r="C1052" s="449"/>
      <c r="D1052" s="631" t="s">
        <v>1714</v>
      </c>
      <c r="E1052" s="631"/>
      <c r="F1052" s="631"/>
      <c r="G1052" s="631"/>
      <c r="H1052" s="631"/>
      <c r="I1052" s="631"/>
      <c r="J1052" s="631"/>
      <c r="K1052" s="616"/>
      <c r="L1052" s="616"/>
      <c r="M1052" s="540"/>
      <c r="O1052" s="540"/>
    </row>
    <row r="1053" spans="2:17" ht="36" customHeight="1" x14ac:dyDescent="0.5">
      <c r="B1053" s="501"/>
      <c r="C1053" s="449"/>
      <c r="D1053" s="631"/>
      <c r="E1053" s="631"/>
      <c r="F1053" s="631"/>
      <c r="G1053" s="631"/>
      <c r="H1053" s="631"/>
      <c r="I1053" s="631"/>
      <c r="J1053" s="631"/>
      <c r="K1053" s="616"/>
      <c r="L1053" s="616"/>
      <c r="M1053" s="540"/>
      <c r="O1053" s="540"/>
    </row>
    <row r="1054" spans="2:17" ht="36" customHeight="1" x14ac:dyDescent="0.5">
      <c r="B1054" s="501"/>
      <c r="C1054" s="449"/>
      <c r="D1054" s="631"/>
      <c r="E1054" s="631"/>
      <c r="F1054" s="631"/>
      <c r="G1054" s="631"/>
      <c r="H1054" s="631"/>
      <c r="I1054" s="631"/>
      <c r="J1054" s="631"/>
      <c r="K1054" s="616"/>
      <c r="L1054" s="616"/>
      <c r="M1054" s="540"/>
      <c r="O1054" s="540"/>
    </row>
    <row r="1055" spans="2:17" ht="36" customHeight="1" x14ac:dyDescent="0.5">
      <c r="D1055" s="631"/>
      <c r="E1055" s="631"/>
      <c r="F1055" s="631"/>
      <c r="G1055" s="631"/>
      <c r="H1055" s="631"/>
      <c r="I1055" s="631"/>
      <c r="J1055" s="631"/>
      <c r="K1055" s="616"/>
      <c r="L1055" s="616"/>
      <c r="M1055" s="555"/>
      <c r="N1055" s="555"/>
      <c r="O1055" s="555"/>
      <c r="P1055" s="545"/>
    </row>
    <row r="1056" spans="2:17" ht="36" customHeight="1" x14ac:dyDescent="0.5">
      <c r="D1056" s="631"/>
      <c r="E1056" s="631"/>
      <c r="F1056" s="631"/>
      <c r="G1056" s="631"/>
      <c r="H1056" s="631"/>
      <c r="I1056" s="631"/>
      <c r="J1056" s="631"/>
      <c r="K1056" s="616"/>
      <c r="L1056" s="616"/>
      <c r="M1056" s="540"/>
      <c r="O1056" s="540"/>
    </row>
    <row r="1057" spans="2:18" ht="36" customHeight="1" x14ac:dyDescent="0.5">
      <c r="D1057" s="631"/>
      <c r="E1057" s="631"/>
      <c r="F1057" s="631"/>
      <c r="G1057" s="631"/>
      <c r="H1057" s="631"/>
      <c r="I1057" s="631"/>
      <c r="J1057" s="631"/>
      <c r="K1057" s="616"/>
      <c r="L1057" s="616"/>
      <c r="M1057" s="540"/>
      <c r="O1057" s="454" t="s">
        <v>112</v>
      </c>
      <c r="Q1057" s="450">
        <f>MAX($Q$103:Q1056)+1</f>
        <v>25</v>
      </c>
    </row>
    <row r="1058" spans="2:18" ht="36" customHeight="1" x14ac:dyDescent="0.5">
      <c r="D1058" s="630" t="str">
        <f>Criteria!E9</f>
        <v>ABC COMPANY (PROPRIETARY) LIMITED</v>
      </c>
      <c r="E1058" s="631"/>
      <c r="F1058" s="631"/>
      <c r="G1058" s="631"/>
      <c r="H1058" s="631"/>
      <c r="I1058" s="631"/>
      <c r="J1058" s="631"/>
      <c r="K1058" s="616"/>
      <c r="L1058" s="616"/>
      <c r="M1058" s="540"/>
      <c r="O1058" s="540"/>
    </row>
    <row r="1059" spans="2:18" ht="36" customHeight="1" x14ac:dyDescent="0.5">
      <c r="D1059" s="630" t="str">
        <f>Criteria!E10</f>
        <v>T/A SEAFRONT HOTEL, ABC RESTAURANT AND RENTAL PROPERTIES</v>
      </c>
      <c r="E1059" s="631"/>
      <c r="F1059" s="631"/>
      <c r="G1059" s="631"/>
      <c r="H1059" s="631"/>
      <c r="I1059" s="631"/>
      <c r="J1059" s="631"/>
      <c r="K1059" s="616"/>
      <c r="L1059" s="616"/>
      <c r="M1059" s="540"/>
      <c r="O1059" s="540"/>
      <c r="R1059" s="490" t="str">
        <f>IF(D1059=0,"DELETE"," ")</f>
        <v xml:space="preserve"> </v>
      </c>
    </row>
    <row r="1060" spans="2:18" ht="36" customHeight="1" x14ac:dyDescent="0.5">
      <c r="D1060" s="631"/>
      <c r="E1060" s="631"/>
      <c r="F1060" s="631"/>
      <c r="G1060" s="631"/>
      <c r="H1060" s="631"/>
      <c r="I1060" s="631"/>
      <c r="J1060" s="631"/>
      <c r="K1060" s="616"/>
      <c r="L1060" s="616"/>
      <c r="M1060" s="540"/>
      <c r="O1060" s="540"/>
    </row>
    <row r="1061" spans="2:18" ht="36" customHeight="1" x14ac:dyDescent="0.5">
      <c r="D1061" s="630" t="s">
        <v>415</v>
      </c>
      <c r="E1061" s="631"/>
      <c r="F1061" s="631"/>
      <c r="G1061" s="631"/>
      <c r="H1061" s="631"/>
      <c r="I1061" s="631"/>
      <c r="J1061" s="631"/>
      <c r="K1061" s="616"/>
      <c r="L1061" s="616"/>
      <c r="M1061" s="540"/>
      <c r="O1061" s="540"/>
    </row>
    <row r="1062" spans="2:18" ht="36" customHeight="1" x14ac:dyDescent="0.5">
      <c r="D1062" s="630" t="str">
        <f>Criteria!E20</f>
        <v>28 FEBRUARY 2026</v>
      </c>
      <c r="E1062" s="631"/>
      <c r="F1062" s="631"/>
      <c r="G1062" s="631"/>
      <c r="H1062" s="631"/>
      <c r="I1062" s="631"/>
      <c r="J1062" s="631" t="s">
        <v>282</v>
      </c>
      <c r="K1062" s="616"/>
      <c r="L1062" s="616"/>
      <c r="M1062" s="540"/>
      <c r="O1062" s="540"/>
    </row>
    <row r="1063" spans="2:18" ht="36" customHeight="1" x14ac:dyDescent="0.5">
      <c r="D1063" s="631"/>
      <c r="E1063" s="631"/>
      <c r="F1063" s="631"/>
      <c r="G1063" s="631"/>
      <c r="H1063" s="631"/>
      <c r="I1063" s="631"/>
      <c r="J1063" s="631"/>
      <c r="K1063" s="616"/>
      <c r="L1063" s="616"/>
      <c r="M1063" s="540"/>
      <c r="O1063" s="540"/>
    </row>
    <row r="1064" spans="2:18" ht="36" customHeight="1" x14ac:dyDescent="0.5">
      <c r="B1064" s="641"/>
      <c r="C1064" s="457"/>
      <c r="D1064" s="649"/>
      <c r="E1064" s="649"/>
      <c r="F1064" s="649"/>
      <c r="G1064" s="649"/>
      <c r="H1064" s="649"/>
      <c r="I1064" s="649"/>
      <c r="J1064" s="649"/>
      <c r="K1064" s="634"/>
      <c r="L1064" s="634"/>
      <c r="M1064" s="551"/>
      <c r="N1064" s="551"/>
      <c r="O1064" s="551"/>
      <c r="P1064" s="551"/>
      <c r="Q1064" s="457"/>
    </row>
    <row r="1065" spans="2:18" ht="36" customHeight="1" x14ac:dyDescent="0.5">
      <c r="B1065" s="501"/>
      <c r="C1065" s="448">
        <f>MAX(C$873:C1064)+0.1</f>
        <v>1.7000000000000006</v>
      </c>
      <c r="D1065" s="630" t="s">
        <v>1517</v>
      </c>
      <c r="E1065" s="631"/>
      <c r="F1065" s="631"/>
      <c r="G1065" s="631"/>
      <c r="H1065" s="631"/>
      <c r="I1065" s="631"/>
      <c r="J1065" s="631"/>
      <c r="K1065" s="616"/>
      <c r="L1065" s="616"/>
      <c r="M1065" s="540"/>
      <c r="O1065" s="540"/>
    </row>
    <row r="1066" spans="2:18" ht="36" customHeight="1" x14ac:dyDescent="0.5">
      <c r="B1066" s="501"/>
      <c r="D1066" s="630"/>
      <c r="E1066" s="631"/>
      <c r="F1066" s="631"/>
      <c r="G1066" s="631"/>
      <c r="H1066" s="631"/>
      <c r="I1066" s="631"/>
      <c r="J1066" s="631"/>
      <c r="K1066" s="616"/>
      <c r="L1066" s="616"/>
      <c r="M1066" s="540"/>
      <c r="O1066" s="540"/>
    </row>
    <row r="1067" spans="2:18" ht="36" customHeight="1" x14ac:dyDescent="0.5">
      <c r="B1067" s="501"/>
      <c r="C1067" s="449"/>
      <c r="D1067" s="631" t="s">
        <v>1717</v>
      </c>
      <c r="E1067" s="631"/>
      <c r="F1067" s="631"/>
      <c r="G1067" s="631"/>
      <c r="H1067" s="631"/>
      <c r="I1067" s="631"/>
      <c r="J1067" s="631"/>
      <c r="K1067" s="616"/>
      <c r="L1067" s="616"/>
      <c r="M1067" s="540"/>
      <c r="O1067" s="540"/>
    </row>
    <row r="1068" spans="2:18" ht="36" customHeight="1" x14ac:dyDescent="0.5">
      <c r="B1068" s="501"/>
      <c r="C1068" s="449"/>
      <c r="D1068" s="631" t="s">
        <v>1716</v>
      </c>
      <c r="E1068" s="631"/>
      <c r="F1068" s="631"/>
      <c r="G1068" s="631"/>
      <c r="H1068" s="631"/>
      <c r="I1068" s="631"/>
      <c r="J1068" s="631"/>
      <c r="K1068" s="616"/>
      <c r="L1068" s="616"/>
      <c r="M1068" s="540"/>
      <c r="O1068" s="540"/>
    </row>
    <row r="1069" spans="2:18" ht="36" customHeight="1" x14ac:dyDescent="0.5">
      <c r="B1069" s="501"/>
      <c r="C1069" s="449"/>
      <c r="D1069" s="631"/>
      <c r="E1069" s="631"/>
      <c r="F1069" s="631"/>
      <c r="G1069" s="631"/>
      <c r="H1069" s="631"/>
      <c r="I1069" s="631"/>
      <c r="J1069" s="631"/>
      <c r="K1069" s="616"/>
      <c r="L1069" s="616"/>
      <c r="M1069" s="540"/>
      <c r="O1069" s="540"/>
    </row>
    <row r="1070" spans="2:18" ht="36" customHeight="1" x14ac:dyDescent="0.5">
      <c r="B1070" s="501"/>
      <c r="C1070" s="449"/>
      <c r="D1070" s="631"/>
      <c r="E1070" s="631"/>
      <c r="F1070" s="631"/>
      <c r="G1070" s="631"/>
      <c r="H1070" s="631"/>
      <c r="I1070" s="631"/>
      <c r="J1070" s="631"/>
      <c r="K1070" s="616"/>
      <c r="L1070" s="616"/>
      <c r="M1070" s="540"/>
      <c r="O1070" s="540"/>
    </row>
    <row r="1071" spans="2:18" ht="36" customHeight="1" x14ac:dyDescent="0.5">
      <c r="D1071" s="631"/>
      <c r="E1071" s="631"/>
      <c r="F1071" s="631"/>
      <c r="G1071" s="631"/>
      <c r="H1071" s="631"/>
      <c r="I1071" s="631"/>
      <c r="J1071" s="631"/>
      <c r="K1071" s="616"/>
      <c r="L1071" s="616"/>
      <c r="M1071" s="555"/>
      <c r="N1071" s="555"/>
      <c r="O1071" s="555"/>
      <c r="P1071" s="545"/>
    </row>
    <row r="1072" spans="2:18" ht="36" customHeight="1" x14ac:dyDescent="0.5">
      <c r="D1072" s="631"/>
      <c r="E1072" s="631"/>
      <c r="F1072" s="631"/>
      <c r="G1072" s="631"/>
      <c r="H1072" s="631"/>
      <c r="I1072" s="631"/>
      <c r="J1072" s="631"/>
      <c r="K1072" s="616"/>
      <c r="L1072" s="616"/>
      <c r="M1072" s="540"/>
      <c r="O1072" s="540"/>
    </row>
    <row r="1073" spans="2:18" ht="36" customHeight="1" x14ac:dyDescent="0.5">
      <c r="D1073" s="631"/>
      <c r="E1073" s="631"/>
      <c r="F1073" s="631"/>
      <c r="G1073" s="631"/>
      <c r="H1073" s="631"/>
      <c r="I1073" s="631"/>
      <c r="J1073" s="631"/>
      <c r="K1073" s="616"/>
      <c r="L1073" s="616"/>
      <c r="M1073" s="540"/>
      <c r="O1073" s="454" t="s">
        <v>112</v>
      </c>
      <c r="Q1073" s="450">
        <f>MAX($Q$103:Q1072)+1</f>
        <v>26</v>
      </c>
    </row>
    <row r="1074" spans="2:18" ht="36" customHeight="1" x14ac:dyDescent="0.5">
      <c r="D1074" s="630" t="str">
        <f>Criteria!E9</f>
        <v>ABC COMPANY (PROPRIETARY) LIMITED</v>
      </c>
      <c r="E1074" s="631"/>
      <c r="F1074" s="631"/>
      <c r="G1074" s="631"/>
      <c r="H1074" s="631"/>
      <c r="I1074" s="631"/>
      <c r="J1074" s="631"/>
      <c r="K1074" s="616"/>
      <c r="L1074" s="616"/>
      <c r="M1074" s="540"/>
      <c r="O1074" s="540"/>
    </row>
    <row r="1075" spans="2:18" ht="36" customHeight="1" x14ac:dyDescent="0.5">
      <c r="D1075" s="630" t="str">
        <f>Criteria!E10</f>
        <v>T/A SEAFRONT HOTEL, ABC RESTAURANT AND RENTAL PROPERTIES</v>
      </c>
      <c r="E1075" s="631"/>
      <c r="F1075" s="631"/>
      <c r="G1075" s="631"/>
      <c r="H1075" s="631"/>
      <c r="I1075" s="631"/>
      <c r="J1075" s="631"/>
      <c r="K1075" s="616"/>
      <c r="L1075" s="616"/>
      <c r="M1075" s="540"/>
      <c r="O1075" s="540"/>
      <c r="R1075" s="490" t="str">
        <f>IF(D1075=0,"DELETE"," ")</f>
        <v xml:space="preserve"> </v>
      </c>
    </row>
    <row r="1076" spans="2:18" ht="36" customHeight="1" x14ac:dyDescent="0.5">
      <c r="D1076" s="631"/>
      <c r="E1076" s="631"/>
      <c r="F1076" s="631"/>
      <c r="G1076" s="631"/>
      <c r="H1076" s="631"/>
      <c r="I1076" s="631"/>
      <c r="J1076" s="631"/>
      <c r="K1076" s="616"/>
      <c r="L1076" s="616"/>
      <c r="M1076" s="540"/>
      <c r="O1076" s="540"/>
    </row>
    <row r="1077" spans="2:18" ht="36" customHeight="1" x14ac:dyDescent="0.5">
      <c r="D1077" s="630" t="s">
        <v>415</v>
      </c>
      <c r="E1077" s="631"/>
      <c r="F1077" s="631"/>
      <c r="G1077" s="631"/>
      <c r="H1077" s="631"/>
      <c r="I1077" s="631"/>
      <c r="J1077" s="631"/>
      <c r="K1077" s="616"/>
      <c r="L1077" s="616"/>
      <c r="M1077" s="540"/>
      <c r="O1077" s="540"/>
    </row>
    <row r="1078" spans="2:18" ht="36" customHeight="1" x14ac:dyDescent="0.5">
      <c r="D1078" s="630" t="str">
        <f>Criteria!E20</f>
        <v>28 FEBRUARY 2026</v>
      </c>
      <c r="E1078" s="631"/>
      <c r="F1078" s="631"/>
      <c r="G1078" s="631"/>
      <c r="H1078" s="631"/>
      <c r="I1078" s="631"/>
      <c r="J1078" s="631" t="s">
        <v>282</v>
      </c>
      <c r="K1078" s="616"/>
      <c r="L1078" s="616"/>
      <c r="M1078" s="540"/>
      <c r="O1078" s="540"/>
    </row>
    <row r="1079" spans="2:18" ht="36" customHeight="1" x14ac:dyDescent="0.5">
      <c r="D1079" s="631"/>
      <c r="E1079" s="631"/>
      <c r="F1079" s="631"/>
      <c r="G1079" s="631"/>
      <c r="H1079" s="631"/>
      <c r="I1079" s="631"/>
      <c r="J1079" s="631"/>
      <c r="K1079" s="616"/>
      <c r="L1079" s="616"/>
      <c r="M1079" s="540"/>
      <c r="O1079" s="540"/>
    </row>
    <row r="1080" spans="2:18" ht="36" customHeight="1" x14ac:dyDescent="0.5">
      <c r="B1080" s="641"/>
      <c r="C1080" s="457"/>
      <c r="D1080" s="649"/>
      <c r="E1080" s="649"/>
      <c r="F1080" s="649"/>
      <c r="G1080" s="649"/>
      <c r="H1080" s="649"/>
      <c r="I1080" s="649"/>
      <c r="J1080" s="649"/>
      <c r="K1080" s="634"/>
      <c r="L1080" s="634"/>
      <c r="M1080" s="551"/>
      <c r="N1080" s="551"/>
      <c r="O1080" s="551"/>
      <c r="P1080" s="551"/>
      <c r="Q1080" s="457"/>
    </row>
    <row r="1081" spans="2:18" ht="36" customHeight="1" x14ac:dyDescent="0.5">
      <c r="B1081" s="501"/>
      <c r="C1081" s="448">
        <f>MAX(C$873:C1080)+0.1</f>
        <v>1.8000000000000007</v>
      </c>
      <c r="D1081" s="630" t="s">
        <v>1518</v>
      </c>
      <c r="E1081" s="631"/>
      <c r="F1081" s="631"/>
      <c r="G1081" s="631"/>
      <c r="H1081" s="631"/>
      <c r="I1081" s="631"/>
      <c r="J1081" s="631"/>
      <c r="K1081" s="616"/>
      <c r="L1081" s="616"/>
      <c r="M1081" s="540"/>
      <c r="O1081" s="540"/>
    </row>
    <row r="1082" spans="2:18" ht="36" customHeight="1" x14ac:dyDescent="0.5">
      <c r="B1082" s="501"/>
      <c r="D1082" s="630"/>
      <c r="E1082" s="631"/>
      <c r="F1082" s="631"/>
      <c r="G1082" s="631"/>
      <c r="H1082" s="631"/>
      <c r="I1082" s="631"/>
      <c r="J1082" s="631"/>
      <c r="K1082" s="616"/>
      <c r="L1082" s="616"/>
      <c r="M1082" s="540"/>
      <c r="O1082" s="540"/>
    </row>
    <row r="1083" spans="2:18" ht="36" customHeight="1" x14ac:dyDescent="0.5">
      <c r="B1083" s="501"/>
      <c r="C1083" s="449"/>
      <c r="D1083" s="650" t="s">
        <v>980</v>
      </c>
      <c r="E1083" s="631"/>
      <c r="F1083" s="631"/>
      <c r="G1083" s="631"/>
      <c r="H1083" s="631"/>
      <c r="I1083" s="631"/>
      <c r="J1083" s="631"/>
      <c r="K1083" s="616"/>
      <c r="L1083" s="616"/>
      <c r="M1083" s="540"/>
      <c r="O1083" s="540"/>
    </row>
    <row r="1084" spans="2:18" ht="36" customHeight="1" x14ac:dyDescent="0.5">
      <c r="B1084" s="501"/>
      <c r="C1084" s="449"/>
      <c r="D1084" s="631" t="s">
        <v>1718</v>
      </c>
      <c r="E1084" s="631"/>
      <c r="F1084" s="631"/>
      <c r="G1084" s="631"/>
      <c r="H1084" s="631"/>
      <c r="I1084" s="631"/>
      <c r="J1084" s="631"/>
      <c r="K1084" s="616"/>
      <c r="L1084" s="616"/>
      <c r="M1084" s="540"/>
      <c r="O1084" s="540"/>
    </row>
    <row r="1085" spans="2:18" ht="36" customHeight="1" x14ac:dyDescent="0.5">
      <c r="B1085" s="501"/>
      <c r="C1085" s="449"/>
      <c r="D1085" s="631" t="s">
        <v>1719</v>
      </c>
      <c r="E1085" s="631"/>
      <c r="F1085" s="631"/>
      <c r="G1085" s="631"/>
      <c r="H1085" s="631"/>
      <c r="I1085" s="631"/>
      <c r="J1085" s="631"/>
      <c r="K1085" s="616"/>
      <c r="L1085" s="616"/>
      <c r="M1085" s="540"/>
      <c r="O1085" s="540"/>
    </row>
    <row r="1086" spans="2:18" ht="36" customHeight="1" x14ac:dyDescent="0.5">
      <c r="B1086" s="501"/>
      <c r="C1086" s="449"/>
      <c r="D1086" s="631" t="s">
        <v>1720</v>
      </c>
      <c r="E1086" s="631"/>
      <c r="F1086" s="631"/>
      <c r="G1086" s="631"/>
      <c r="H1086" s="631"/>
      <c r="I1086" s="631"/>
      <c r="J1086" s="631"/>
      <c r="K1086" s="616"/>
      <c r="L1086" s="616"/>
      <c r="M1086" s="540"/>
      <c r="O1086" s="540"/>
    </row>
    <row r="1087" spans="2:18" ht="36" customHeight="1" x14ac:dyDescent="0.5">
      <c r="B1087" s="501"/>
      <c r="C1087" s="449"/>
      <c r="D1087" s="631" t="s">
        <v>1721</v>
      </c>
      <c r="E1087" s="631"/>
      <c r="F1087" s="631"/>
      <c r="G1087" s="631"/>
      <c r="H1087" s="631"/>
      <c r="I1087" s="631"/>
      <c r="J1087" s="631"/>
      <c r="K1087" s="616"/>
      <c r="L1087" s="616"/>
      <c r="M1087" s="540"/>
      <c r="O1087" s="540"/>
    </row>
    <row r="1088" spans="2:18" ht="36" customHeight="1" x14ac:dyDescent="0.5">
      <c r="B1088" s="501"/>
      <c r="C1088" s="449"/>
      <c r="D1088" s="631" t="s">
        <v>1723</v>
      </c>
      <c r="E1088" s="631"/>
      <c r="F1088" s="631"/>
      <c r="G1088" s="631"/>
      <c r="H1088" s="631"/>
      <c r="I1088" s="631"/>
      <c r="J1088" s="631"/>
      <c r="K1088" s="616"/>
      <c r="L1088" s="616"/>
      <c r="M1088" s="540"/>
      <c r="O1088" s="540"/>
    </row>
    <row r="1089" spans="2:18" ht="36" customHeight="1" x14ac:dyDescent="0.5">
      <c r="B1089" s="501"/>
      <c r="C1089" s="449"/>
      <c r="D1089" s="631" t="s">
        <v>1722</v>
      </c>
      <c r="E1089" s="631"/>
      <c r="F1089" s="631"/>
      <c r="G1089" s="631"/>
      <c r="H1089" s="631"/>
      <c r="I1089" s="631"/>
      <c r="J1089" s="631"/>
      <c r="K1089" s="616"/>
      <c r="L1089" s="616"/>
      <c r="M1089" s="540"/>
      <c r="O1089" s="540"/>
    </row>
    <row r="1090" spans="2:18" ht="36" customHeight="1" x14ac:dyDescent="0.5">
      <c r="B1090" s="501"/>
      <c r="C1090" s="449"/>
      <c r="D1090" s="631"/>
      <c r="E1090" s="631"/>
      <c r="F1090" s="631"/>
      <c r="G1090" s="631"/>
      <c r="H1090" s="631"/>
      <c r="I1090" s="631"/>
      <c r="J1090" s="631"/>
      <c r="K1090" s="616"/>
      <c r="L1090" s="616"/>
      <c r="M1090" s="540"/>
      <c r="O1090" s="540"/>
    </row>
    <row r="1091" spans="2:18" ht="36" customHeight="1" x14ac:dyDescent="0.5">
      <c r="D1091" s="631"/>
      <c r="E1091" s="631"/>
      <c r="F1091" s="631"/>
      <c r="G1091" s="631"/>
      <c r="H1091" s="631"/>
      <c r="I1091" s="631"/>
      <c r="J1091" s="631"/>
      <c r="K1091" s="616"/>
      <c r="L1091" s="616"/>
      <c r="M1091" s="555"/>
      <c r="N1091" s="555"/>
      <c r="O1091" s="555"/>
      <c r="P1091" s="545"/>
    </row>
    <row r="1092" spans="2:18" ht="36" customHeight="1" x14ac:dyDescent="0.5">
      <c r="D1092" s="631"/>
      <c r="E1092" s="631"/>
      <c r="F1092" s="631"/>
      <c r="G1092" s="631"/>
      <c r="H1092" s="631"/>
      <c r="I1092" s="631"/>
      <c r="J1092" s="631"/>
      <c r="K1092" s="616"/>
      <c r="L1092" s="616"/>
      <c r="M1092" s="540"/>
      <c r="O1092" s="540"/>
    </row>
    <row r="1093" spans="2:18" ht="36" customHeight="1" x14ac:dyDescent="0.5">
      <c r="D1093" s="631"/>
      <c r="E1093" s="631"/>
      <c r="F1093" s="631"/>
      <c r="G1093" s="631"/>
      <c r="H1093" s="631"/>
      <c r="I1093" s="631"/>
      <c r="J1093" s="631"/>
      <c r="K1093" s="616"/>
      <c r="L1093" s="616"/>
      <c r="M1093" s="540"/>
      <c r="O1093" s="454" t="s">
        <v>112</v>
      </c>
      <c r="Q1093" s="450">
        <f>MAX($Q$103:Q1092)+1</f>
        <v>27</v>
      </c>
    </row>
    <row r="1094" spans="2:18" ht="36" customHeight="1" x14ac:dyDescent="0.5">
      <c r="D1094" s="630" t="str">
        <f>Criteria!E9</f>
        <v>ABC COMPANY (PROPRIETARY) LIMITED</v>
      </c>
      <c r="E1094" s="631"/>
      <c r="F1094" s="631"/>
      <c r="G1094" s="631"/>
      <c r="H1094" s="631"/>
      <c r="I1094" s="631"/>
      <c r="J1094" s="631"/>
      <c r="K1094" s="616"/>
      <c r="L1094" s="616"/>
      <c r="M1094" s="540"/>
      <c r="O1094" s="540"/>
    </row>
    <row r="1095" spans="2:18" ht="36" customHeight="1" x14ac:dyDescent="0.5">
      <c r="D1095" s="630" t="str">
        <f>Criteria!E10</f>
        <v>T/A SEAFRONT HOTEL, ABC RESTAURANT AND RENTAL PROPERTIES</v>
      </c>
      <c r="E1095" s="631"/>
      <c r="F1095" s="631"/>
      <c r="G1095" s="631"/>
      <c r="H1095" s="631"/>
      <c r="I1095" s="631"/>
      <c r="J1095" s="631"/>
      <c r="K1095" s="616"/>
      <c r="L1095" s="616"/>
      <c r="M1095" s="540"/>
      <c r="O1095" s="540"/>
      <c r="R1095" s="490" t="str">
        <f>IF(D1095=0,"DELETE"," ")</f>
        <v xml:space="preserve"> </v>
      </c>
    </row>
    <row r="1096" spans="2:18" ht="36" customHeight="1" x14ac:dyDescent="0.5">
      <c r="D1096" s="631"/>
      <c r="E1096" s="631"/>
      <c r="F1096" s="631"/>
      <c r="G1096" s="631"/>
      <c r="H1096" s="631"/>
      <c r="I1096" s="631"/>
      <c r="J1096" s="631"/>
      <c r="K1096" s="616"/>
      <c r="L1096" s="616"/>
      <c r="M1096" s="540"/>
      <c r="O1096" s="540"/>
    </row>
    <row r="1097" spans="2:18" ht="36" customHeight="1" x14ac:dyDescent="0.5">
      <c r="D1097" s="630" t="s">
        <v>415</v>
      </c>
      <c r="E1097" s="631"/>
      <c r="F1097" s="631"/>
      <c r="G1097" s="631"/>
      <c r="H1097" s="631"/>
      <c r="I1097" s="631"/>
      <c r="J1097" s="631"/>
      <c r="K1097" s="616"/>
      <c r="L1097" s="616"/>
      <c r="M1097" s="540"/>
      <c r="O1097" s="540"/>
    </row>
    <row r="1098" spans="2:18" ht="36" customHeight="1" x14ac:dyDescent="0.5">
      <c r="D1098" s="630" t="str">
        <f>Criteria!E20</f>
        <v>28 FEBRUARY 2026</v>
      </c>
      <c r="E1098" s="631"/>
      <c r="F1098" s="631"/>
      <c r="G1098" s="631"/>
      <c r="H1098" s="631"/>
      <c r="I1098" s="631"/>
      <c r="J1098" s="631" t="s">
        <v>282</v>
      </c>
      <c r="K1098" s="616"/>
      <c r="L1098" s="616"/>
      <c r="M1098" s="540"/>
      <c r="O1098" s="540"/>
    </row>
    <row r="1099" spans="2:18" ht="36" customHeight="1" x14ac:dyDescent="0.5">
      <c r="D1099" s="631"/>
      <c r="E1099" s="631"/>
      <c r="F1099" s="631"/>
      <c r="G1099" s="631"/>
      <c r="H1099" s="631"/>
      <c r="I1099" s="631"/>
      <c r="J1099" s="631"/>
      <c r="K1099" s="616"/>
      <c r="L1099" s="616"/>
      <c r="M1099" s="540"/>
      <c r="O1099" s="540"/>
    </row>
    <row r="1100" spans="2:18" ht="36" customHeight="1" x14ac:dyDescent="0.5">
      <c r="B1100" s="641"/>
      <c r="C1100" s="457"/>
      <c r="D1100" s="649"/>
      <c r="E1100" s="649"/>
      <c r="F1100" s="649"/>
      <c r="G1100" s="649"/>
      <c r="H1100" s="649"/>
      <c r="I1100" s="649"/>
      <c r="J1100" s="649"/>
      <c r="K1100" s="634"/>
      <c r="L1100" s="634"/>
      <c r="M1100" s="551"/>
      <c r="N1100" s="551"/>
      <c r="O1100" s="551"/>
      <c r="P1100" s="551"/>
      <c r="Q1100" s="457"/>
    </row>
    <row r="1101" spans="2:18" ht="36" customHeight="1" x14ac:dyDescent="0.5">
      <c r="B1101" s="501"/>
      <c r="C1101" s="449"/>
      <c r="D1101" s="650" t="s">
        <v>1240</v>
      </c>
      <c r="E1101" s="631"/>
      <c r="F1101" s="631"/>
      <c r="G1101" s="631"/>
      <c r="H1101" s="631"/>
      <c r="I1101" s="631"/>
      <c r="J1101" s="631"/>
      <c r="K1101" s="616"/>
      <c r="L1101" s="616"/>
      <c r="M1101" s="540"/>
      <c r="O1101" s="540"/>
    </row>
    <row r="1102" spans="2:18" ht="36" customHeight="1" x14ac:dyDescent="0.5">
      <c r="B1102" s="501"/>
      <c r="C1102" s="449"/>
      <c r="D1102" s="631" t="s">
        <v>1562</v>
      </c>
      <c r="E1102" s="631"/>
      <c r="F1102" s="631"/>
      <c r="G1102" s="631"/>
      <c r="H1102" s="631"/>
      <c r="I1102" s="631"/>
      <c r="J1102" s="631"/>
      <c r="K1102" s="616"/>
      <c r="L1102" s="616"/>
      <c r="M1102" s="540"/>
      <c r="O1102" s="540"/>
    </row>
    <row r="1103" spans="2:18" ht="36" customHeight="1" x14ac:dyDescent="0.5">
      <c r="B1103" s="501"/>
      <c r="C1103" s="449"/>
      <c r="D1103" s="631" t="s">
        <v>1724</v>
      </c>
      <c r="E1103" s="631"/>
      <c r="F1103" s="631"/>
      <c r="G1103" s="631"/>
      <c r="H1103" s="631"/>
      <c r="I1103" s="631"/>
      <c r="J1103" s="631"/>
      <c r="K1103" s="616"/>
      <c r="L1103" s="616"/>
      <c r="M1103" s="540"/>
      <c r="O1103" s="540"/>
    </row>
    <row r="1104" spans="2:18" ht="36" customHeight="1" x14ac:dyDescent="0.5">
      <c r="B1104" s="501"/>
      <c r="C1104" s="449"/>
      <c r="D1104" s="631" t="s">
        <v>1725</v>
      </c>
      <c r="E1104" s="631"/>
      <c r="F1104" s="631"/>
      <c r="G1104" s="631"/>
      <c r="H1104" s="631"/>
      <c r="I1104" s="631"/>
      <c r="J1104" s="631"/>
      <c r="K1104" s="616"/>
      <c r="L1104" s="616"/>
      <c r="M1104" s="540"/>
      <c r="O1104" s="540"/>
    </row>
    <row r="1105" spans="2:18" ht="36" customHeight="1" x14ac:dyDescent="0.5">
      <c r="B1105" s="501"/>
      <c r="C1105" s="449"/>
      <c r="D1105" s="631" t="s">
        <v>1726</v>
      </c>
      <c r="E1105" s="631"/>
      <c r="F1105" s="631"/>
      <c r="G1105" s="631"/>
      <c r="H1105" s="631"/>
      <c r="I1105" s="631"/>
      <c r="J1105" s="631"/>
      <c r="K1105" s="616"/>
      <c r="L1105" s="616"/>
      <c r="M1105" s="540"/>
      <c r="O1105" s="540"/>
    </row>
    <row r="1106" spans="2:18" ht="36" customHeight="1" x14ac:dyDescent="0.5">
      <c r="B1106" s="501"/>
      <c r="C1106" s="449"/>
      <c r="D1106" s="631" t="s">
        <v>1727</v>
      </c>
      <c r="E1106" s="631"/>
      <c r="F1106" s="631"/>
      <c r="G1106" s="631"/>
      <c r="H1106" s="631"/>
      <c r="I1106" s="631"/>
      <c r="J1106" s="631"/>
      <c r="K1106" s="616"/>
      <c r="L1106" s="616"/>
      <c r="M1106" s="540"/>
      <c r="O1106" s="540"/>
    </row>
    <row r="1107" spans="2:18" ht="36" customHeight="1" x14ac:dyDescent="0.5">
      <c r="B1107" s="501"/>
      <c r="C1107" s="449"/>
      <c r="D1107" s="631" t="s">
        <v>1728</v>
      </c>
      <c r="E1107" s="631"/>
      <c r="F1107" s="631"/>
      <c r="G1107" s="631"/>
      <c r="H1107" s="631"/>
      <c r="I1107" s="631"/>
      <c r="J1107" s="631"/>
      <c r="K1107" s="616"/>
      <c r="L1107" s="616"/>
      <c r="M1107" s="540"/>
      <c r="O1107" s="540"/>
    </row>
    <row r="1108" spans="2:18" ht="36" customHeight="1" x14ac:dyDescent="0.5">
      <c r="B1108" s="501"/>
      <c r="C1108" s="449"/>
      <c r="D1108" s="631" t="s">
        <v>1729</v>
      </c>
      <c r="E1108" s="631"/>
      <c r="F1108" s="631"/>
      <c r="G1108" s="631"/>
      <c r="H1108" s="631"/>
      <c r="I1108" s="631"/>
      <c r="J1108" s="631"/>
      <c r="K1108" s="616"/>
      <c r="L1108" s="616"/>
      <c r="M1108" s="540"/>
      <c r="O1108" s="540"/>
    </row>
    <row r="1109" spans="2:18" ht="36" customHeight="1" x14ac:dyDescent="0.5">
      <c r="B1109" s="501"/>
      <c r="C1109" s="449"/>
      <c r="D1109" s="631" t="s">
        <v>1731</v>
      </c>
      <c r="E1109" s="631"/>
      <c r="F1109" s="631"/>
      <c r="G1109" s="631"/>
      <c r="H1109" s="631"/>
      <c r="I1109" s="631"/>
      <c r="J1109" s="631"/>
      <c r="K1109" s="616"/>
      <c r="L1109" s="616"/>
      <c r="M1109" s="540"/>
      <c r="O1109" s="540"/>
    </row>
    <row r="1110" spans="2:18" ht="36" customHeight="1" x14ac:dyDescent="0.5">
      <c r="B1110" s="501"/>
      <c r="C1110" s="449"/>
      <c r="D1110" s="631" t="s">
        <v>1730</v>
      </c>
      <c r="E1110" s="631"/>
      <c r="F1110" s="631"/>
      <c r="G1110" s="631"/>
      <c r="H1110" s="631"/>
      <c r="I1110" s="631"/>
      <c r="J1110" s="631"/>
      <c r="K1110" s="616"/>
      <c r="L1110" s="616"/>
      <c r="M1110" s="540"/>
      <c r="O1110" s="540"/>
    </row>
    <row r="1111" spans="2:18" ht="36" customHeight="1" x14ac:dyDescent="0.5">
      <c r="B1111" s="501"/>
      <c r="C1111" s="449"/>
      <c r="D1111" s="631"/>
      <c r="E1111" s="631"/>
      <c r="F1111" s="631"/>
      <c r="G1111" s="631"/>
      <c r="H1111" s="631"/>
      <c r="I1111" s="631"/>
      <c r="J1111" s="631"/>
      <c r="K1111" s="616"/>
      <c r="L1111" s="616"/>
      <c r="M1111" s="540"/>
      <c r="O1111" s="540"/>
    </row>
    <row r="1112" spans="2:18" ht="36" customHeight="1" x14ac:dyDescent="0.5">
      <c r="D1112" s="631"/>
      <c r="E1112" s="631"/>
      <c r="F1112" s="631"/>
      <c r="G1112" s="631"/>
      <c r="H1112" s="631"/>
      <c r="I1112" s="631"/>
      <c r="J1112" s="631"/>
      <c r="K1112" s="616"/>
      <c r="L1112" s="616"/>
      <c r="M1112" s="555"/>
      <c r="N1112" s="555"/>
      <c r="O1112" s="555"/>
      <c r="P1112" s="545"/>
    </row>
    <row r="1113" spans="2:18" ht="36" customHeight="1" x14ac:dyDescent="0.5">
      <c r="D1113" s="631"/>
      <c r="E1113" s="631"/>
      <c r="F1113" s="631"/>
      <c r="G1113" s="631"/>
      <c r="H1113" s="631"/>
      <c r="I1113" s="631"/>
      <c r="J1113" s="631"/>
      <c r="K1113" s="616"/>
      <c r="L1113" s="616"/>
      <c r="M1113" s="540"/>
      <c r="O1113" s="540"/>
    </row>
    <row r="1114" spans="2:18" ht="36" customHeight="1" x14ac:dyDescent="0.5">
      <c r="D1114" s="631"/>
      <c r="E1114" s="631"/>
      <c r="F1114" s="631"/>
      <c r="G1114" s="631"/>
      <c r="H1114" s="631"/>
      <c r="I1114" s="631"/>
      <c r="J1114" s="631"/>
      <c r="K1114" s="616"/>
      <c r="L1114" s="616"/>
      <c r="M1114" s="540"/>
      <c r="O1114" s="454" t="s">
        <v>112</v>
      </c>
      <c r="Q1114" s="450">
        <f>MAX($Q$103:Q1113)+1</f>
        <v>28</v>
      </c>
    </row>
    <row r="1115" spans="2:18" ht="36" customHeight="1" x14ac:dyDescent="0.5">
      <c r="D1115" s="630" t="str">
        <f>Criteria!E9</f>
        <v>ABC COMPANY (PROPRIETARY) LIMITED</v>
      </c>
      <c r="E1115" s="631"/>
      <c r="F1115" s="631"/>
      <c r="G1115" s="631"/>
      <c r="H1115" s="631"/>
      <c r="I1115" s="631"/>
      <c r="J1115" s="631"/>
      <c r="K1115" s="616"/>
      <c r="L1115" s="616"/>
      <c r="M1115" s="540"/>
      <c r="O1115" s="540"/>
    </row>
    <row r="1116" spans="2:18" ht="36" customHeight="1" x14ac:dyDescent="0.5">
      <c r="D1116" s="630" t="str">
        <f>Criteria!E10</f>
        <v>T/A SEAFRONT HOTEL, ABC RESTAURANT AND RENTAL PROPERTIES</v>
      </c>
      <c r="E1116" s="631"/>
      <c r="F1116" s="631"/>
      <c r="G1116" s="631"/>
      <c r="H1116" s="631"/>
      <c r="I1116" s="631"/>
      <c r="J1116" s="631"/>
      <c r="K1116" s="616"/>
      <c r="L1116" s="616"/>
      <c r="M1116" s="540"/>
      <c r="O1116" s="540"/>
      <c r="R1116" s="490" t="str">
        <f>IF(D1116=0,"DELETE"," ")</f>
        <v xml:space="preserve"> </v>
      </c>
    </row>
    <row r="1117" spans="2:18" ht="36" customHeight="1" x14ac:dyDescent="0.5">
      <c r="D1117" s="631"/>
      <c r="E1117" s="631"/>
      <c r="F1117" s="631"/>
      <c r="G1117" s="631"/>
      <c r="H1117" s="631"/>
      <c r="I1117" s="631"/>
      <c r="J1117" s="631"/>
      <c r="K1117" s="616"/>
      <c r="L1117" s="616"/>
      <c r="M1117" s="540"/>
      <c r="O1117" s="540"/>
    </row>
    <row r="1118" spans="2:18" ht="36" customHeight="1" x14ac:dyDescent="0.5">
      <c r="D1118" s="630" t="s">
        <v>415</v>
      </c>
      <c r="E1118" s="631"/>
      <c r="F1118" s="631"/>
      <c r="G1118" s="631"/>
      <c r="H1118" s="631"/>
      <c r="I1118" s="631"/>
      <c r="J1118" s="631"/>
      <c r="K1118" s="616"/>
      <c r="L1118" s="616"/>
      <c r="M1118" s="540"/>
      <c r="O1118" s="540"/>
    </row>
    <row r="1119" spans="2:18" ht="36" customHeight="1" x14ac:dyDescent="0.5">
      <c r="D1119" s="630" t="str">
        <f>Criteria!E20</f>
        <v>28 FEBRUARY 2026</v>
      </c>
      <c r="E1119" s="631"/>
      <c r="F1119" s="631"/>
      <c r="G1119" s="631"/>
      <c r="H1119" s="631"/>
      <c r="I1119" s="631"/>
      <c r="J1119" s="631" t="s">
        <v>282</v>
      </c>
      <c r="K1119" s="616"/>
      <c r="L1119" s="616"/>
      <c r="M1119" s="540"/>
      <c r="O1119" s="540"/>
    </row>
    <row r="1120" spans="2:18" ht="36" customHeight="1" x14ac:dyDescent="0.5">
      <c r="D1120" s="631"/>
      <c r="E1120" s="631"/>
      <c r="F1120" s="631"/>
      <c r="G1120" s="631"/>
      <c r="H1120" s="631"/>
      <c r="I1120" s="631"/>
      <c r="J1120" s="631"/>
      <c r="K1120" s="616"/>
      <c r="L1120" s="616"/>
      <c r="M1120" s="540"/>
      <c r="O1120" s="540"/>
    </row>
    <row r="1121" spans="2:18" ht="36" customHeight="1" x14ac:dyDescent="0.5">
      <c r="B1121" s="641"/>
      <c r="C1121" s="457"/>
      <c r="D1121" s="649"/>
      <c r="E1121" s="649"/>
      <c r="F1121" s="649"/>
      <c r="G1121" s="649"/>
      <c r="H1121" s="649"/>
      <c r="I1121" s="649"/>
      <c r="J1121" s="649"/>
      <c r="K1121" s="634"/>
      <c r="L1121" s="634"/>
      <c r="M1121" s="551"/>
      <c r="N1121" s="551"/>
      <c r="O1121" s="551"/>
      <c r="P1121" s="551"/>
      <c r="Q1121" s="457"/>
    </row>
    <row r="1122" spans="2:18" ht="36" customHeight="1" x14ac:dyDescent="0.5">
      <c r="B1122" s="501"/>
      <c r="C1122" s="448">
        <f>MAX(C$873:C1121)+0.1</f>
        <v>1.9000000000000008</v>
      </c>
      <c r="D1122" s="630" t="s">
        <v>1519</v>
      </c>
      <c r="E1122" s="631"/>
      <c r="F1122" s="631"/>
      <c r="G1122" s="631"/>
      <c r="H1122" s="631"/>
      <c r="I1122" s="631"/>
      <c r="J1122" s="631"/>
      <c r="K1122" s="616"/>
      <c r="L1122" s="616"/>
      <c r="M1122" s="540"/>
      <c r="O1122" s="540"/>
    </row>
    <row r="1123" spans="2:18" ht="36" customHeight="1" x14ac:dyDescent="0.5">
      <c r="B1123" s="501"/>
      <c r="D1123" s="630"/>
      <c r="E1123" s="631"/>
      <c r="F1123" s="631"/>
      <c r="G1123" s="631"/>
      <c r="H1123" s="631"/>
      <c r="I1123" s="631"/>
      <c r="J1123" s="631"/>
      <c r="K1123" s="616"/>
      <c r="L1123" s="616"/>
      <c r="M1123" s="540"/>
      <c r="O1123" s="540"/>
    </row>
    <row r="1124" spans="2:18" ht="36" customHeight="1" x14ac:dyDescent="0.5">
      <c r="B1124" s="501"/>
      <c r="C1124" s="449"/>
      <c r="D1124" s="631" t="s">
        <v>1733</v>
      </c>
      <c r="E1124" s="631"/>
      <c r="F1124" s="631"/>
      <c r="G1124" s="631"/>
      <c r="H1124" s="631"/>
      <c r="I1124" s="631"/>
      <c r="J1124" s="631"/>
      <c r="K1124" s="616"/>
      <c r="L1124" s="616"/>
      <c r="M1124" s="540"/>
      <c r="O1124" s="540"/>
    </row>
    <row r="1125" spans="2:18" ht="36" customHeight="1" x14ac:dyDescent="0.5">
      <c r="B1125" s="501"/>
      <c r="C1125" s="449"/>
      <c r="D1125" s="631" t="s">
        <v>1732</v>
      </c>
      <c r="E1125" s="631"/>
      <c r="F1125" s="631"/>
      <c r="G1125" s="631"/>
      <c r="H1125" s="631"/>
      <c r="I1125" s="631"/>
      <c r="J1125" s="631"/>
      <c r="K1125" s="616"/>
      <c r="L1125" s="616"/>
      <c r="M1125" s="540"/>
      <c r="O1125" s="540"/>
    </row>
    <row r="1126" spans="2:18" ht="36" customHeight="1" x14ac:dyDescent="0.5">
      <c r="B1126" s="501"/>
      <c r="C1126" s="449"/>
      <c r="D1126" s="631"/>
      <c r="E1126" s="631"/>
      <c r="F1126" s="631"/>
      <c r="G1126" s="631"/>
      <c r="H1126" s="631"/>
      <c r="I1126" s="631"/>
      <c r="J1126" s="631"/>
      <c r="K1126" s="616"/>
      <c r="L1126" s="616"/>
      <c r="M1126" s="540"/>
      <c r="O1126" s="540"/>
    </row>
    <row r="1127" spans="2:18" ht="36" customHeight="1" x14ac:dyDescent="0.5">
      <c r="B1127" s="502"/>
      <c r="C1127" s="449"/>
      <c r="D1127" s="631"/>
      <c r="E1127" s="631"/>
      <c r="F1127" s="631"/>
      <c r="G1127" s="631"/>
      <c r="H1127" s="631"/>
      <c r="I1127" s="631"/>
      <c r="J1127" s="631"/>
      <c r="K1127" s="616"/>
      <c r="L1127" s="616"/>
      <c r="M1127" s="545"/>
      <c r="N1127" s="545"/>
      <c r="O1127" s="545"/>
      <c r="P1127" s="545"/>
    </row>
    <row r="1128" spans="2:18" ht="36" customHeight="1" x14ac:dyDescent="0.5">
      <c r="C1128" s="449"/>
      <c r="D1128" s="631"/>
      <c r="E1128" s="631"/>
      <c r="F1128" s="631"/>
      <c r="G1128" s="631"/>
      <c r="H1128" s="631"/>
      <c r="I1128" s="631"/>
      <c r="J1128" s="631"/>
      <c r="K1128" s="616"/>
      <c r="L1128" s="616"/>
      <c r="M1128" s="540"/>
      <c r="O1128" s="540"/>
    </row>
    <row r="1129" spans="2:18" ht="36" customHeight="1" x14ac:dyDescent="0.5">
      <c r="D1129" s="631"/>
      <c r="E1129" s="631"/>
      <c r="F1129" s="631"/>
      <c r="G1129" s="631"/>
      <c r="H1129" s="631"/>
      <c r="I1129" s="631"/>
      <c r="J1129" s="631"/>
      <c r="K1129" s="616"/>
      <c r="L1129" s="616"/>
      <c r="M1129" s="540"/>
      <c r="O1129" s="454" t="s">
        <v>112</v>
      </c>
      <c r="Q1129" s="450">
        <f>MAX($Q$103:Q1128)+1</f>
        <v>29</v>
      </c>
    </row>
    <row r="1130" spans="2:18" ht="36" customHeight="1" x14ac:dyDescent="0.5">
      <c r="C1130" s="520"/>
      <c r="D1130" s="630" t="str">
        <f>Criteria!E9</f>
        <v>ABC COMPANY (PROPRIETARY) LIMITED</v>
      </c>
      <c r="E1130" s="631"/>
      <c r="F1130" s="631"/>
      <c r="G1130" s="631"/>
      <c r="H1130" s="631"/>
      <c r="I1130" s="631"/>
      <c r="J1130" s="631"/>
      <c r="K1130" s="616"/>
      <c r="L1130" s="616"/>
      <c r="M1130" s="540"/>
      <c r="O1130" s="540"/>
    </row>
    <row r="1131" spans="2:18" ht="36" customHeight="1" x14ac:dyDescent="0.5">
      <c r="C1131" s="520"/>
      <c r="D1131" s="630" t="str">
        <f>Criteria!E10</f>
        <v>T/A SEAFRONT HOTEL, ABC RESTAURANT AND RENTAL PROPERTIES</v>
      </c>
      <c r="E1131" s="631"/>
      <c r="F1131" s="631"/>
      <c r="G1131" s="631"/>
      <c r="H1131" s="631"/>
      <c r="I1131" s="631"/>
      <c r="J1131" s="631"/>
      <c r="K1131" s="616"/>
      <c r="L1131" s="616"/>
      <c r="M1131" s="540"/>
      <c r="O1131" s="540"/>
      <c r="R1131" s="490" t="str">
        <f>IF(D1131=0,"DELETE"," ")</f>
        <v xml:space="preserve"> </v>
      </c>
    </row>
    <row r="1132" spans="2:18" ht="36" customHeight="1" x14ac:dyDescent="0.5">
      <c r="C1132" s="520"/>
      <c r="D1132" s="631"/>
      <c r="E1132" s="631"/>
      <c r="F1132" s="631"/>
      <c r="G1132" s="631"/>
      <c r="H1132" s="631"/>
      <c r="I1132" s="631"/>
      <c r="J1132" s="631"/>
      <c r="K1132" s="616"/>
      <c r="L1132" s="616"/>
      <c r="M1132" s="540"/>
      <c r="O1132" s="540"/>
    </row>
    <row r="1133" spans="2:18" ht="36" customHeight="1" x14ac:dyDescent="0.5">
      <c r="C1133" s="520"/>
      <c r="D1133" s="630" t="s">
        <v>415</v>
      </c>
      <c r="E1133" s="631"/>
      <c r="F1133" s="631"/>
      <c r="G1133" s="631"/>
      <c r="H1133" s="631"/>
      <c r="I1133" s="631"/>
      <c r="J1133" s="631"/>
      <c r="K1133" s="616"/>
      <c r="L1133" s="616"/>
      <c r="M1133" s="540"/>
      <c r="O1133" s="540"/>
    </row>
    <row r="1134" spans="2:18" ht="36" customHeight="1" x14ac:dyDescent="0.5">
      <c r="C1134" s="520"/>
      <c r="D1134" s="630" t="str">
        <f>Criteria!E20</f>
        <v>28 FEBRUARY 2026</v>
      </c>
      <c r="E1134" s="631"/>
      <c r="F1134" s="631"/>
      <c r="G1134" s="631"/>
      <c r="H1134" s="631"/>
      <c r="I1134" s="631"/>
      <c r="J1134" s="631" t="s">
        <v>282</v>
      </c>
      <c r="K1134" s="616"/>
      <c r="L1134" s="616"/>
      <c r="M1134" s="540"/>
      <c r="O1134" s="540"/>
    </row>
    <row r="1135" spans="2:18" ht="36" customHeight="1" x14ac:dyDescent="0.5">
      <c r="C1135" s="520"/>
      <c r="D1135" s="630"/>
      <c r="E1135" s="631"/>
      <c r="F1135" s="631"/>
      <c r="G1135" s="631"/>
      <c r="H1135" s="631"/>
      <c r="I1135" s="631"/>
      <c r="J1135" s="631"/>
      <c r="K1135" s="616"/>
      <c r="L1135" s="616"/>
      <c r="M1135" s="540"/>
      <c r="O1135" s="540"/>
    </row>
    <row r="1136" spans="2:18" ht="36" customHeight="1" x14ac:dyDescent="0.5">
      <c r="B1136" s="457"/>
      <c r="C1136" s="591"/>
      <c r="D1136" s="652"/>
      <c r="E1136" s="649"/>
      <c r="F1136" s="649"/>
      <c r="G1136" s="649"/>
      <c r="H1136" s="649"/>
      <c r="I1136" s="649"/>
      <c r="J1136" s="649"/>
      <c r="K1136" s="634"/>
      <c r="L1136" s="634"/>
      <c r="M1136" s="551"/>
      <c r="N1136" s="551"/>
      <c r="O1136" s="551"/>
      <c r="P1136" s="551"/>
      <c r="Q1136" s="457"/>
    </row>
    <row r="1137" spans="2:18" ht="36" customHeight="1" x14ac:dyDescent="0.5">
      <c r="C1137" s="520"/>
      <c r="D1137" s="630"/>
      <c r="E1137" s="631"/>
      <c r="F1137" s="631"/>
      <c r="G1137" s="631"/>
      <c r="H1137" s="631"/>
      <c r="I1137" s="631"/>
      <c r="J1137" s="631"/>
      <c r="K1137" s="616"/>
      <c r="L1137" s="616"/>
      <c r="M1137" s="545"/>
      <c r="N1137" s="545"/>
      <c r="O1137" s="488">
        <f>Criteria!E22</f>
        <v>2026</v>
      </c>
      <c r="P1137" s="545"/>
    </row>
    <row r="1138" spans="2:18" ht="36" customHeight="1" x14ac:dyDescent="0.5">
      <c r="C1138" s="520"/>
      <c r="D1138" s="630"/>
      <c r="E1138" s="631"/>
      <c r="F1138" s="631"/>
      <c r="G1138" s="631"/>
      <c r="H1138" s="631"/>
      <c r="I1138" s="631"/>
      <c r="J1138" s="631"/>
      <c r="K1138" s="616"/>
      <c r="L1138" s="616"/>
      <c r="M1138" s="545"/>
      <c r="N1138" s="545"/>
      <c r="O1138" s="545"/>
      <c r="P1138" s="545"/>
    </row>
    <row r="1139" spans="2:18" ht="36" customHeight="1" x14ac:dyDescent="0.5">
      <c r="B1139" s="501">
        <f>MAX($B$873:B1138)+1</f>
        <v>2</v>
      </c>
      <c r="C1139" s="630" t="s">
        <v>1194</v>
      </c>
      <c r="D1139" s="630"/>
      <c r="E1139" s="631"/>
      <c r="F1139" s="631"/>
      <c r="G1139" s="631"/>
      <c r="H1139" s="631"/>
      <c r="I1139" s="631"/>
      <c r="J1139" s="631"/>
      <c r="M1139" s="545"/>
      <c r="N1139" s="545"/>
      <c r="O1139" s="545"/>
      <c r="P1139" s="545"/>
    </row>
    <row r="1140" spans="2:18" ht="36" customHeight="1" x14ac:dyDescent="0.5">
      <c r="B1140" s="501"/>
      <c r="C1140" s="630"/>
      <c r="D1140" s="630"/>
      <c r="E1140" s="631"/>
      <c r="F1140" s="631"/>
      <c r="G1140" s="631"/>
      <c r="H1140" s="631"/>
      <c r="I1140" s="631"/>
      <c r="J1140" s="631"/>
      <c r="M1140" s="545"/>
      <c r="N1140" s="545"/>
      <c r="O1140" s="545"/>
      <c r="P1140" s="545"/>
    </row>
    <row r="1141" spans="2:18" ht="36" customHeight="1" x14ac:dyDescent="0.5">
      <c r="C1141" s="631" t="str">
        <f>TrialBalance!C5</f>
        <v>Sale of goods</v>
      </c>
      <c r="D1141" s="648"/>
      <c r="E1141" s="631"/>
      <c r="F1141" s="631"/>
      <c r="G1141" s="631"/>
      <c r="H1141" s="631"/>
      <c r="I1141" s="631"/>
      <c r="J1141" s="631"/>
      <c r="M1141" s="545"/>
      <c r="N1141" s="545"/>
      <c r="O1141" s="555">
        <f>-TrialBalance!L5-TrialBalanceA!I5-TrialBalanceB!I5-TrialBalanceC!I5</f>
        <v>0</v>
      </c>
      <c r="P1141" s="545"/>
      <c r="R1141" s="490" t="str">
        <f>IF(O1141=0,IF(SUM(O1142:O1147)&gt;0,"DELETE"," ")," ")</f>
        <v xml:space="preserve"> </v>
      </c>
    </row>
    <row r="1142" spans="2:18" ht="36" customHeight="1" x14ac:dyDescent="0.5">
      <c r="C1142" s="631" t="str">
        <f>TrialBalance!C6</f>
        <v>Rendering of services</v>
      </c>
      <c r="D1142" s="648"/>
      <c r="E1142" s="631"/>
      <c r="F1142" s="631"/>
      <c r="G1142" s="631"/>
      <c r="H1142" s="631"/>
      <c r="I1142" s="631"/>
      <c r="J1142" s="631"/>
      <c r="M1142" s="545"/>
      <c r="N1142" s="545"/>
      <c r="O1142" s="555">
        <f>-TrialBalance!L6-TrialBalanceA!I6-TrialBalanceB!I6-TrialBalanceC!I6</f>
        <v>0</v>
      </c>
      <c r="P1142" s="545"/>
      <c r="R1142" s="490" t="str">
        <f>IF(O1142=0,"DELETE"," ")</f>
        <v>DELETE</v>
      </c>
    </row>
    <row r="1143" spans="2:18" ht="36" customHeight="1" x14ac:dyDescent="0.5">
      <c r="C1143" s="631" t="str">
        <f>TrialBalance!C7</f>
        <v>Commissions received</v>
      </c>
      <c r="D1143" s="648"/>
      <c r="E1143" s="631"/>
      <c r="F1143" s="631"/>
      <c r="G1143" s="631"/>
      <c r="H1143" s="631"/>
      <c r="I1143" s="631"/>
      <c r="J1143" s="631"/>
      <c r="M1143" s="545"/>
      <c r="N1143" s="545"/>
      <c r="O1143" s="555">
        <f>-TrialBalance!L7-TrialBalanceA!I7-TrialBalanceB!I7-TrialBalanceC!I7</f>
        <v>0</v>
      </c>
      <c r="P1143" s="545"/>
      <c r="R1143" s="490" t="str">
        <f t="shared" ref="R1143:R1144" si="32">IF(O1143=0,"DELETE"," ")</f>
        <v>DELETE</v>
      </c>
    </row>
    <row r="1144" spans="2:18" ht="36" customHeight="1" x14ac:dyDescent="0.5">
      <c r="C1144" s="631">
        <f>TrialBalance!C8</f>
        <v>0</v>
      </c>
      <c r="D1144" s="648"/>
      <c r="E1144" s="631"/>
      <c r="F1144" s="631"/>
      <c r="G1144" s="631"/>
      <c r="H1144" s="631"/>
      <c r="I1144" s="631"/>
      <c r="J1144" s="631"/>
      <c r="M1144" s="545"/>
      <c r="N1144" s="545"/>
      <c r="O1144" s="555">
        <f>-TrialBalance!L8-TrialBalanceA!I8-TrialBalanceB!I8-TrialBalanceC!I8</f>
        <v>0</v>
      </c>
      <c r="P1144" s="545"/>
      <c r="R1144" s="490" t="str">
        <f t="shared" si="32"/>
        <v>DELETE</v>
      </c>
    </row>
    <row r="1145" spans="2:18" ht="36" customHeight="1" x14ac:dyDescent="0.5">
      <c r="C1145" s="631">
        <f>TrialBalance!C9</f>
        <v>0</v>
      </c>
      <c r="D1145" s="648"/>
      <c r="E1145" s="631"/>
      <c r="F1145" s="631"/>
      <c r="G1145" s="631"/>
      <c r="H1145" s="631"/>
      <c r="I1145" s="631"/>
      <c r="J1145" s="631"/>
      <c r="M1145" s="545"/>
      <c r="N1145" s="545"/>
      <c r="O1145" s="555">
        <f>-TrialBalance!L9-TrialBalanceA!I9-TrialBalanceB!I9-TrialBalanceC!I9</f>
        <v>0</v>
      </c>
      <c r="P1145" s="545"/>
      <c r="R1145" s="490" t="str">
        <f>IF(O1145=0,"DELETE"," ")</f>
        <v>DELETE</v>
      </c>
    </row>
    <row r="1146" spans="2:18" ht="36" customHeight="1" x14ac:dyDescent="0.5">
      <c r="C1146" s="631">
        <f>TrialBalance!C10</f>
        <v>0</v>
      </c>
      <c r="D1146" s="648"/>
      <c r="E1146" s="631"/>
      <c r="F1146" s="631"/>
      <c r="G1146" s="631"/>
      <c r="H1146" s="631"/>
      <c r="I1146" s="631"/>
      <c r="J1146" s="631"/>
      <c r="M1146" s="545"/>
      <c r="N1146" s="545"/>
      <c r="O1146" s="555">
        <f>-TrialBalance!L10-TrialBalanceA!I10-TrialBalanceB!I10-TrialBalanceC!I10</f>
        <v>0</v>
      </c>
      <c r="P1146" s="545"/>
      <c r="R1146" s="490" t="str">
        <f>IF(O1146=0,"DELETE"," ")</f>
        <v>DELETE</v>
      </c>
    </row>
    <row r="1147" spans="2:18" ht="36" customHeight="1" x14ac:dyDescent="0.5">
      <c r="C1147" s="631" t="str">
        <f>TrialBalance!C11</f>
        <v>Rent received</v>
      </c>
      <c r="D1147" s="648"/>
      <c r="E1147" s="631"/>
      <c r="F1147" s="631"/>
      <c r="G1147" s="631"/>
      <c r="H1147" s="631"/>
      <c r="I1147" s="631"/>
      <c r="J1147" s="631"/>
      <c r="M1147" s="545"/>
      <c r="N1147" s="545"/>
      <c r="O1147" s="555">
        <f>-TrialBalance!L11-TrialBalanceA!I11-TrialBalanceB!I11-TrialBalanceC!I11</f>
        <v>0</v>
      </c>
      <c r="P1147" s="545"/>
      <c r="R1147" s="490" t="str">
        <f>IF(O1147=0,"DELETE"," ")</f>
        <v>DELETE</v>
      </c>
    </row>
    <row r="1148" spans="2:18" ht="9" customHeight="1" x14ac:dyDescent="0.5">
      <c r="C1148" s="631"/>
      <c r="D1148" s="631"/>
      <c r="E1148" s="631"/>
      <c r="F1148" s="631"/>
      <c r="G1148" s="631"/>
      <c r="H1148" s="631"/>
      <c r="I1148" s="631"/>
      <c r="J1148" s="631"/>
      <c r="M1148" s="545"/>
      <c r="N1148" s="545"/>
      <c r="O1148" s="554"/>
      <c r="P1148" s="545"/>
    </row>
    <row r="1149" spans="2:18" ht="9" customHeight="1" x14ac:dyDescent="0.5">
      <c r="C1149" s="631"/>
      <c r="D1149" s="630"/>
      <c r="E1149" s="631"/>
      <c r="F1149" s="631"/>
      <c r="G1149" s="631"/>
      <c r="H1149" s="631"/>
      <c r="I1149" s="631"/>
      <c r="J1149" s="631"/>
      <c r="M1149" s="545"/>
      <c r="N1149" s="545"/>
      <c r="O1149" s="555"/>
      <c r="P1149" s="545"/>
    </row>
    <row r="1150" spans="2:18" ht="36.75" customHeight="1" x14ac:dyDescent="0.5">
      <c r="C1150" s="631"/>
      <c r="D1150" s="630"/>
      <c r="E1150" s="631"/>
      <c r="F1150" s="631"/>
      <c r="G1150" s="631"/>
      <c r="H1150" s="631"/>
      <c r="I1150" s="631"/>
      <c r="J1150" s="631"/>
      <c r="M1150" s="545"/>
      <c r="N1150" s="545"/>
      <c r="O1150" s="555">
        <f>SUM(O1141:O1149)</f>
        <v>0</v>
      </c>
      <c r="P1150" s="545"/>
    </row>
    <row r="1151" spans="2:18" ht="9" customHeight="1" thickBot="1" x14ac:dyDescent="0.55000000000000004">
      <c r="C1151" s="631"/>
      <c r="D1151" s="630"/>
      <c r="E1151" s="631"/>
      <c r="F1151" s="631"/>
      <c r="G1151" s="631"/>
      <c r="H1151" s="631"/>
      <c r="I1151" s="631"/>
      <c r="J1151" s="631"/>
      <c r="M1151" s="545"/>
      <c r="N1151" s="545"/>
      <c r="O1151" s="552"/>
      <c r="P1151" s="545"/>
    </row>
    <row r="1152" spans="2:18" ht="9" customHeight="1" thickTop="1" x14ac:dyDescent="0.5">
      <c r="C1152" s="631"/>
      <c r="D1152" s="630"/>
      <c r="E1152" s="631"/>
      <c r="F1152" s="631"/>
      <c r="G1152" s="631"/>
      <c r="H1152" s="631"/>
      <c r="I1152" s="631"/>
      <c r="J1152" s="631"/>
      <c r="M1152" s="545"/>
      <c r="N1152" s="545"/>
      <c r="O1152" s="555"/>
      <c r="P1152" s="545"/>
    </row>
    <row r="1153" spans="2:18" ht="36" customHeight="1" x14ac:dyDescent="0.5">
      <c r="C1153" s="631"/>
      <c r="D1153" s="630"/>
      <c r="E1153" s="631"/>
      <c r="F1153" s="631"/>
      <c r="G1153" s="631"/>
      <c r="H1153" s="631"/>
      <c r="I1153" s="631"/>
      <c r="J1153" s="631"/>
      <c r="M1153" s="545"/>
      <c r="N1153" s="545"/>
      <c r="O1153" s="545"/>
      <c r="P1153" s="545"/>
    </row>
    <row r="1154" spans="2:18" ht="36" customHeight="1" x14ac:dyDescent="0.5">
      <c r="C1154" s="631"/>
      <c r="D1154" s="630"/>
      <c r="E1154" s="631"/>
      <c r="F1154" s="631"/>
      <c r="G1154" s="631"/>
      <c r="H1154" s="631"/>
      <c r="I1154" s="631"/>
      <c r="J1154" s="631"/>
      <c r="M1154" s="545"/>
      <c r="N1154" s="545"/>
      <c r="O1154" s="545"/>
      <c r="P1154" s="545"/>
    </row>
    <row r="1155" spans="2:18" ht="36" customHeight="1" x14ac:dyDescent="0.5">
      <c r="B1155" s="502"/>
      <c r="C1155" s="630"/>
      <c r="D1155" s="631"/>
      <c r="E1155" s="631"/>
      <c r="F1155" s="631"/>
      <c r="G1155" s="631"/>
      <c r="H1155" s="631"/>
      <c r="I1155" s="631"/>
      <c r="J1155" s="631"/>
      <c r="M1155" s="545"/>
      <c r="N1155" s="545"/>
      <c r="O1155" s="545"/>
      <c r="P1155" s="545"/>
    </row>
    <row r="1156" spans="2:18" ht="36" customHeight="1" x14ac:dyDescent="0.5">
      <c r="C1156" s="630"/>
      <c r="D1156" s="631"/>
      <c r="E1156" s="631"/>
      <c r="F1156" s="631"/>
      <c r="G1156" s="631"/>
      <c r="H1156" s="631"/>
      <c r="I1156" s="631"/>
      <c r="J1156" s="631"/>
      <c r="M1156" s="540"/>
      <c r="O1156" s="540"/>
    </row>
    <row r="1157" spans="2:18" ht="36" customHeight="1" x14ac:dyDescent="0.5">
      <c r="C1157" s="631"/>
      <c r="D1157" s="631"/>
      <c r="E1157" s="631"/>
      <c r="F1157" s="631"/>
      <c r="G1157" s="631"/>
      <c r="H1157" s="631"/>
      <c r="I1157" s="631"/>
      <c r="J1157" s="631"/>
      <c r="M1157" s="540"/>
      <c r="O1157" s="454" t="s">
        <v>112</v>
      </c>
      <c r="P1157" s="539"/>
      <c r="Q1157" s="501">
        <f>MAX($Q$103:Q1156)+1</f>
        <v>30</v>
      </c>
      <c r="R1157" s="490" t="str">
        <f t="shared" ref="R1157:R1158" si="33">R$1195</f>
        <v>DELETE</v>
      </c>
    </row>
    <row r="1158" spans="2:18" ht="36" customHeight="1" x14ac:dyDescent="0.5">
      <c r="C1158" s="631"/>
      <c r="D1158" s="630" t="str">
        <f>Criteria!E9</f>
        <v>ABC COMPANY (PROPRIETARY) LIMITED</v>
      </c>
      <c r="E1158" s="631"/>
      <c r="F1158" s="631"/>
      <c r="G1158" s="631"/>
      <c r="H1158" s="631"/>
      <c r="I1158" s="631"/>
      <c r="J1158" s="631"/>
      <c r="M1158" s="540"/>
      <c r="O1158" s="540"/>
      <c r="R1158" s="490" t="str">
        <f t="shared" si="33"/>
        <v>DELETE</v>
      </c>
    </row>
    <row r="1159" spans="2:18" ht="36" customHeight="1" x14ac:dyDescent="0.5">
      <c r="C1159" s="631"/>
      <c r="D1159" s="630" t="str">
        <f>Criteria!E10</f>
        <v>T/A SEAFRONT HOTEL, ABC RESTAURANT AND RENTAL PROPERTIES</v>
      </c>
      <c r="E1159" s="631"/>
      <c r="F1159" s="631"/>
      <c r="G1159" s="631"/>
      <c r="H1159" s="631"/>
      <c r="I1159" s="631"/>
      <c r="J1159" s="631"/>
      <c r="M1159" s="540"/>
      <c r="O1159" s="540"/>
      <c r="R1159" s="490" t="str">
        <f>IF(R$1195="DELETE","DELETE",IF(D1159=0,"DELETE"," "))</f>
        <v>DELETE</v>
      </c>
    </row>
    <row r="1160" spans="2:18" ht="36" customHeight="1" x14ac:dyDescent="0.5">
      <c r="C1160" s="631"/>
      <c r="D1160" s="631"/>
      <c r="E1160" s="631"/>
      <c r="F1160" s="631"/>
      <c r="G1160" s="631"/>
      <c r="H1160" s="631"/>
      <c r="I1160" s="631"/>
      <c r="J1160" s="631"/>
      <c r="M1160" s="540"/>
      <c r="O1160" s="540"/>
      <c r="R1160" s="490" t="str">
        <f t="shared" ref="R1160:R1166" si="34">R$1195</f>
        <v>DELETE</v>
      </c>
    </row>
    <row r="1161" spans="2:18" ht="36" customHeight="1" x14ac:dyDescent="0.5">
      <c r="C1161" s="631"/>
      <c r="D1161" s="630" t="s">
        <v>415</v>
      </c>
      <c r="E1161" s="631"/>
      <c r="F1161" s="631"/>
      <c r="G1161" s="631"/>
      <c r="H1161" s="631"/>
      <c r="I1161" s="631"/>
      <c r="J1161" s="631"/>
      <c r="M1161" s="540"/>
      <c r="O1161" s="540"/>
      <c r="R1161" s="490" t="str">
        <f t="shared" si="34"/>
        <v>DELETE</v>
      </c>
    </row>
    <row r="1162" spans="2:18" ht="36" customHeight="1" x14ac:dyDescent="0.5">
      <c r="C1162" s="631"/>
      <c r="D1162" s="630" t="str">
        <f>Criteria!E20</f>
        <v>28 FEBRUARY 2026</v>
      </c>
      <c r="E1162" s="631"/>
      <c r="F1162" s="631"/>
      <c r="G1162" s="631"/>
      <c r="H1162" s="631"/>
      <c r="I1162" s="631"/>
      <c r="J1162" s="631" t="s">
        <v>282</v>
      </c>
      <c r="M1162" s="540"/>
      <c r="O1162" s="540"/>
      <c r="R1162" s="490" t="str">
        <f t="shared" si="34"/>
        <v>DELETE</v>
      </c>
    </row>
    <row r="1163" spans="2:18" ht="36" customHeight="1" x14ac:dyDescent="0.5">
      <c r="C1163" s="631"/>
      <c r="D1163" s="630"/>
      <c r="E1163" s="631"/>
      <c r="F1163" s="631"/>
      <c r="G1163" s="631"/>
      <c r="H1163" s="631"/>
      <c r="I1163" s="631"/>
      <c r="J1163" s="631"/>
      <c r="M1163" s="540"/>
      <c r="O1163" s="540"/>
      <c r="R1163" s="490" t="str">
        <f t="shared" si="34"/>
        <v>DELETE</v>
      </c>
    </row>
    <row r="1164" spans="2:18" ht="36" customHeight="1" x14ac:dyDescent="0.5">
      <c r="B1164" s="457"/>
      <c r="C1164" s="649"/>
      <c r="D1164" s="652"/>
      <c r="E1164" s="649"/>
      <c r="F1164" s="649"/>
      <c r="G1164" s="649"/>
      <c r="H1164" s="649"/>
      <c r="I1164" s="649"/>
      <c r="J1164" s="649"/>
      <c r="K1164" s="457"/>
      <c r="L1164" s="457"/>
      <c r="M1164" s="551"/>
      <c r="N1164" s="551"/>
      <c r="O1164" s="551"/>
      <c r="P1164" s="551"/>
      <c r="Q1164" s="457"/>
      <c r="R1164" s="490" t="str">
        <f t="shared" si="34"/>
        <v>DELETE</v>
      </c>
    </row>
    <row r="1165" spans="2:18" ht="36" customHeight="1" x14ac:dyDescent="0.5">
      <c r="C1165" s="631"/>
      <c r="D1165" s="630"/>
      <c r="E1165" s="631"/>
      <c r="F1165" s="631"/>
      <c r="G1165" s="631"/>
      <c r="H1165" s="631"/>
      <c r="I1165" s="631"/>
      <c r="J1165" s="631"/>
      <c r="M1165" s="545"/>
      <c r="N1165" s="545"/>
      <c r="O1165" s="488">
        <f>Criteria!E22</f>
        <v>2026</v>
      </c>
      <c r="P1165" s="545"/>
      <c r="R1165" s="490" t="str">
        <f t="shared" si="34"/>
        <v>DELETE</v>
      </c>
    </row>
    <row r="1166" spans="2:18" ht="36" customHeight="1" x14ac:dyDescent="0.5">
      <c r="C1166" s="631"/>
      <c r="D1166" s="630"/>
      <c r="E1166" s="631"/>
      <c r="F1166" s="631"/>
      <c r="G1166" s="631"/>
      <c r="H1166" s="631"/>
      <c r="I1166" s="631"/>
      <c r="J1166" s="631"/>
      <c r="M1166" s="545"/>
      <c r="N1166" s="545"/>
      <c r="O1166" s="545"/>
      <c r="P1166" s="545"/>
      <c r="R1166" s="490" t="str">
        <f t="shared" si="34"/>
        <v>DELETE</v>
      </c>
    </row>
    <row r="1167" spans="2:18" ht="36" customHeight="1" x14ac:dyDescent="0.5">
      <c r="B1167" s="501">
        <f>MAX($B$873:B1166)+1</f>
        <v>3</v>
      </c>
      <c r="C1167" s="630" t="s">
        <v>1491</v>
      </c>
      <c r="D1167" s="631"/>
      <c r="E1167" s="631"/>
      <c r="F1167" s="631"/>
      <c r="G1167" s="631"/>
      <c r="H1167" s="631"/>
      <c r="I1167" s="631"/>
      <c r="J1167" s="631"/>
      <c r="L1167" s="451"/>
      <c r="M1167" s="448"/>
      <c r="N1167" s="448"/>
      <c r="O1167" s="475"/>
      <c r="P1167" s="545"/>
      <c r="R1167" s="490" t="str">
        <f>R$1195</f>
        <v>DELETE</v>
      </c>
    </row>
    <row r="1168" spans="2:18" ht="36" customHeight="1" x14ac:dyDescent="0.5">
      <c r="B1168" s="501"/>
      <c r="C1168" s="630"/>
      <c r="D1168" s="631"/>
      <c r="E1168" s="631"/>
      <c r="F1168" s="631"/>
      <c r="G1168" s="631"/>
      <c r="H1168" s="631"/>
      <c r="I1168" s="631"/>
      <c r="J1168" s="631"/>
      <c r="L1168" s="451"/>
      <c r="M1168" s="448"/>
      <c r="N1168" s="448"/>
      <c r="O1168" s="475"/>
      <c r="P1168" s="545"/>
      <c r="R1168" s="490" t="str">
        <f>R$1195</f>
        <v>DELETE</v>
      </c>
    </row>
    <row r="1169" spans="2:18" ht="36" customHeight="1" x14ac:dyDescent="0.5">
      <c r="B1169" s="501"/>
      <c r="C1169" s="631" t="str">
        <f>TrialBalance!C28</f>
        <v>Insurance claims - Seafront Hotel</v>
      </c>
      <c r="D1169" s="631"/>
      <c r="E1169" s="631"/>
      <c r="F1169" s="631"/>
      <c r="G1169" s="631"/>
      <c r="H1169" s="648"/>
      <c r="I1169" s="631"/>
      <c r="J1169" s="631"/>
      <c r="L1169" s="451"/>
      <c r="M1169" s="448"/>
      <c r="N1169" s="448"/>
      <c r="O1169" s="475">
        <f>-TrialBalance!L28</f>
        <v>0</v>
      </c>
      <c r="P1169" s="545"/>
      <c r="R1169" s="490" t="str">
        <f t="shared" ref="R1169:R1191" si="35">IF(O1169=0,"DELETE"," ")</f>
        <v>DELETE</v>
      </c>
    </row>
    <row r="1170" spans="2:18" ht="36" customHeight="1" x14ac:dyDescent="0.5">
      <c r="B1170" s="501"/>
      <c r="C1170" s="631" t="str">
        <f>TrialBalance!C29</f>
        <v>Government grants received</v>
      </c>
      <c r="D1170" s="631"/>
      <c r="E1170" s="631"/>
      <c r="F1170" s="631"/>
      <c r="G1170" s="631"/>
      <c r="H1170" s="648"/>
      <c r="I1170" s="631"/>
      <c r="J1170" s="631"/>
      <c r="L1170" s="451"/>
      <c r="M1170" s="448"/>
      <c r="N1170" s="448"/>
      <c r="O1170" s="475">
        <f>-TrialBalance!L29</f>
        <v>0</v>
      </c>
      <c r="P1170" s="545"/>
      <c r="R1170" s="490" t="str">
        <f t="shared" si="35"/>
        <v>DELETE</v>
      </c>
    </row>
    <row r="1171" spans="2:18" ht="36" customHeight="1" x14ac:dyDescent="0.5">
      <c r="B1171" s="501"/>
      <c r="C1171" s="631">
        <f>TrialBalance!C30</f>
        <v>0</v>
      </c>
      <c r="D1171" s="631"/>
      <c r="E1171" s="631"/>
      <c r="F1171" s="631"/>
      <c r="G1171" s="631"/>
      <c r="H1171" s="648"/>
      <c r="I1171" s="631"/>
      <c r="J1171" s="631"/>
      <c r="L1171" s="451"/>
      <c r="M1171" s="448"/>
      <c r="N1171" s="448"/>
      <c r="O1171" s="475">
        <f>-TrialBalance!L30</f>
        <v>0</v>
      </c>
      <c r="P1171" s="545"/>
      <c r="R1171" s="490" t="str">
        <f t="shared" si="35"/>
        <v>DELETE</v>
      </c>
    </row>
    <row r="1172" spans="2:18" ht="36" customHeight="1" x14ac:dyDescent="0.5">
      <c r="B1172" s="501"/>
      <c r="C1172" s="631">
        <f>TrialBalance!C31</f>
        <v>0</v>
      </c>
      <c r="D1172" s="631"/>
      <c r="E1172" s="631"/>
      <c r="F1172" s="631"/>
      <c r="G1172" s="631"/>
      <c r="H1172" s="648"/>
      <c r="I1172" s="631"/>
      <c r="J1172" s="631"/>
      <c r="L1172" s="451"/>
      <c r="M1172" s="448"/>
      <c r="N1172" s="448"/>
      <c r="O1172" s="475">
        <f>-TrialBalance!L31</f>
        <v>0</v>
      </c>
      <c r="P1172" s="545"/>
      <c r="R1172" s="490" t="str">
        <f t="shared" si="35"/>
        <v>DELETE</v>
      </c>
    </row>
    <row r="1173" spans="2:18" ht="36" customHeight="1" x14ac:dyDescent="0.5">
      <c r="B1173" s="501"/>
      <c r="C1173" s="631">
        <f>TrialBalance!C32</f>
        <v>0</v>
      </c>
      <c r="D1173" s="631"/>
      <c r="E1173" s="631"/>
      <c r="F1173" s="631"/>
      <c r="G1173" s="631"/>
      <c r="H1173" s="648"/>
      <c r="I1173" s="631"/>
      <c r="J1173" s="631"/>
      <c r="L1173" s="451"/>
      <c r="M1173" s="448"/>
      <c r="N1173" s="448"/>
      <c r="O1173" s="475">
        <f>-TrialBalance!L32</f>
        <v>0</v>
      </c>
      <c r="P1173" s="545"/>
      <c r="R1173" s="490" t="str">
        <f t="shared" si="35"/>
        <v>DELETE</v>
      </c>
    </row>
    <row r="1174" spans="2:18" ht="36" customHeight="1" x14ac:dyDescent="0.5">
      <c r="B1174" s="501"/>
      <c r="C1174" s="631" t="str">
        <f>TrialBalance!C33</f>
        <v>Recoupment of depreciation</v>
      </c>
      <c r="D1174" s="631"/>
      <c r="E1174" s="631"/>
      <c r="F1174" s="631"/>
      <c r="G1174" s="631"/>
      <c r="H1174" s="648"/>
      <c r="I1174" s="631"/>
      <c r="J1174" s="631"/>
      <c r="L1174" s="451"/>
      <c r="M1174" s="448"/>
      <c r="N1174" s="448"/>
      <c r="O1174" s="475">
        <f>-TrialBalance!L33</f>
        <v>0</v>
      </c>
      <c r="P1174" s="545"/>
      <c r="R1174" s="490" t="str">
        <f t="shared" ref="R1174" si="36">IF(O1174=0,"DELETE"," ")</f>
        <v>DELETE</v>
      </c>
    </row>
    <row r="1175" spans="2:18" ht="36" customHeight="1" x14ac:dyDescent="0.5">
      <c r="B1175" s="501"/>
      <c r="C1175" s="631" t="str">
        <f>TrialBalanceA!C28</f>
        <v>Insurance claims - ABC Restaurant</v>
      </c>
      <c r="D1175" s="631"/>
      <c r="E1175" s="631"/>
      <c r="F1175" s="631"/>
      <c r="G1175" s="631"/>
      <c r="H1175" s="648"/>
      <c r="I1175" s="631"/>
      <c r="J1175" s="631"/>
      <c r="L1175" s="451"/>
      <c r="M1175" s="448"/>
      <c r="N1175" s="448"/>
      <c r="O1175" s="475">
        <f>-TrialBalanceA!I28</f>
        <v>0</v>
      </c>
      <c r="P1175" s="545"/>
      <c r="R1175" s="490" t="str">
        <f t="shared" si="35"/>
        <v>DELETE</v>
      </c>
    </row>
    <row r="1176" spans="2:18" ht="36" customHeight="1" x14ac:dyDescent="0.5">
      <c r="B1176" s="501"/>
      <c r="C1176" s="631" t="str">
        <f>TrialBalanceA!C29</f>
        <v>Government grants received</v>
      </c>
      <c r="D1176" s="631"/>
      <c r="E1176" s="631"/>
      <c r="F1176" s="631"/>
      <c r="G1176" s="631"/>
      <c r="H1176" s="648"/>
      <c r="I1176" s="631"/>
      <c r="J1176" s="631"/>
      <c r="L1176" s="451"/>
      <c r="M1176" s="448"/>
      <c r="N1176" s="448"/>
      <c r="O1176" s="475">
        <f>-TrialBalanceA!I29</f>
        <v>0</v>
      </c>
      <c r="P1176" s="545"/>
      <c r="R1176" s="490" t="str">
        <f t="shared" si="35"/>
        <v>DELETE</v>
      </c>
    </row>
    <row r="1177" spans="2:18" ht="36" customHeight="1" x14ac:dyDescent="0.5">
      <c r="B1177" s="501"/>
      <c r="C1177" s="631">
        <f>TrialBalanceA!C30</f>
        <v>0</v>
      </c>
      <c r="D1177" s="631"/>
      <c r="E1177" s="631"/>
      <c r="F1177" s="631"/>
      <c r="G1177" s="631"/>
      <c r="H1177" s="648"/>
      <c r="I1177" s="631"/>
      <c r="J1177" s="631"/>
      <c r="L1177" s="451"/>
      <c r="M1177" s="448"/>
      <c r="N1177" s="448"/>
      <c r="O1177" s="475">
        <f>-TrialBalanceA!I30</f>
        <v>0</v>
      </c>
      <c r="P1177" s="545"/>
      <c r="R1177" s="490" t="str">
        <f t="shared" si="35"/>
        <v>DELETE</v>
      </c>
    </row>
    <row r="1178" spans="2:18" ht="36" customHeight="1" x14ac:dyDescent="0.5">
      <c r="B1178" s="501"/>
      <c r="C1178" s="631">
        <f>TrialBalanceA!C31</f>
        <v>0</v>
      </c>
      <c r="D1178" s="631"/>
      <c r="E1178" s="631"/>
      <c r="F1178" s="631"/>
      <c r="G1178" s="631"/>
      <c r="H1178" s="648"/>
      <c r="I1178" s="631"/>
      <c r="J1178" s="631"/>
      <c r="L1178" s="451"/>
      <c r="M1178" s="448"/>
      <c r="N1178" s="448"/>
      <c r="O1178" s="475">
        <f>-TrialBalanceA!I31</f>
        <v>0</v>
      </c>
      <c r="P1178" s="545"/>
      <c r="R1178" s="490" t="str">
        <f t="shared" si="35"/>
        <v>DELETE</v>
      </c>
    </row>
    <row r="1179" spans="2:18" ht="36" customHeight="1" x14ac:dyDescent="0.5">
      <c r="B1179" s="501"/>
      <c r="C1179" s="631">
        <f>TrialBalanceA!C32</f>
        <v>0</v>
      </c>
      <c r="D1179" s="631"/>
      <c r="E1179" s="631"/>
      <c r="F1179" s="631"/>
      <c r="G1179" s="631"/>
      <c r="H1179" s="648"/>
      <c r="I1179" s="631"/>
      <c r="J1179" s="631"/>
      <c r="L1179" s="451"/>
      <c r="M1179" s="448"/>
      <c r="N1179" s="448"/>
      <c r="O1179" s="475">
        <f>-TrialBalanceA!I32</f>
        <v>0</v>
      </c>
      <c r="P1179" s="545"/>
      <c r="R1179" s="490" t="str">
        <f t="shared" si="35"/>
        <v>DELETE</v>
      </c>
    </row>
    <row r="1180" spans="2:18" ht="36" customHeight="1" x14ac:dyDescent="0.5">
      <c r="B1180" s="501"/>
      <c r="C1180" s="631" t="str">
        <f>TrialBalanceA!C33</f>
        <v>Recoupment of depreciation</v>
      </c>
      <c r="D1180" s="631"/>
      <c r="E1180" s="631"/>
      <c r="F1180" s="631"/>
      <c r="G1180" s="631"/>
      <c r="H1180" s="648"/>
      <c r="I1180" s="631"/>
      <c r="J1180" s="631"/>
      <c r="L1180" s="451"/>
      <c r="M1180" s="448"/>
      <c r="N1180" s="448"/>
      <c r="O1180" s="475">
        <f>-TrialBalanceA!I33</f>
        <v>0</v>
      </c>
      <c r="P1180" s="545"/>
      <c r="R1180" s="490" t="str">
        <f t="shared" ref="R1180" si="37">IF(O1180=0,"DELETE"," ")</f>
        <v>DELETE</v>
      </c>
    </row>
    <row r="1181" spans="2:18" ht="36" customHeight="1" x14ac:dyDescent="0.5">
      <c r="B1181" s="501"/>
      <c r="C1181" s="631" t="str">
        <f>TrialBalanceB!C28</f>
        <v>Insurance claims - Rental Properties</v>
      </c>
      <c r="D1181" s="631"/>
      <c r="E1181" s="631"/>
      <c r="F1181" s="631"/>
      <c r="G1181" s="631"/>
      <c r="H1181" s="648"/>
      <c r="I1181" s="631"/>
      <c r="J1181" s="631"/>
      <c r="L1181" s="451"/>
      <c r="M1181" s="448"/>
      <c r="N1181" s="448"/>
      <c r="O1181" s="475">
        <f>-TrialBalanceB!I28</f>
        <v>0</v>
      </c>
      <c r="P1181" s="545"/>
      <c r="R1181" s="490" t="str">
        <f t="shared" si="35"/>
        <v>DELETE</v>
      </c>
    </row>
    <row r="1182" spans="2:18" ht="36" customHeight="1" x14ac:dyDescent="0.5">
      <c r="B1182" s="501"/>
      <c r="C1182" s="631" t="str">
        <f>TrialBalanceB!C29</f>
        <v>Government grants received</v>
      </c>
      <c r="D1182" s="631"/>
      <c r="E1182" s="631"/>
      <c r="F1182" s="631"/>
      <c r="G1182" s="631"/>
      <c r="H1182" s="648"/>
      <c r="I1182" s="631"/>
      <c r="J1182" s="631"/>
      <c r="L1182" s="451"/>
      <c r="M1182" s="448"/>
      <c r="N1182" s="448"/>
      <c r="O1182" s="475">
        <f>-TrialBalanceB!I29</f>
        <v>0</v>
      </c>
      <c r="P1182" s="545"/>
      <c r="R1182" s="490" t="str">
        <f t="shared" si="35"/>
        <v>DELETE</v>
      </c>
    </row>
    <row r="1183" spans="2:18" ht="36" customHeight="1" x14ac:dyDescent="0.5">
      <c r="B1183" s="501"/>
      <c r="C1183" s="631">
        <f>TrialBalanceB!C30</f>
        <v>0</v>
      </c>
      <c r="D1183" s="631"/>
      <c r="E1183" s="631"/>
      <c r="F1183" s="631"/>
      <c r="G1183" s="631"/>
      <c r="H1183" s="648"/>
      <c r="I1183" s="631"/>
      <c r="J1183" s="631"/>
      <c r="L1183" s="451"/>
      <c r="M1183" s="448"/>
      <c r="N1183" s="448"/>
      <c r="O1183" s="475">
        <f>-TrialBalanceB!I30</f>
        <v>0</v>
      </c>
      <c r="P1183" s="545"/>
      <c r="R1183" s="490" t="str">
        <f t="shared" si="35"/>
        <v>DELETE</v>
      </c>
    </row>
    <row r="1184" spans="2:18" ht="36" customHeight="1" x14ac:dyDescent="0.5">
      <c r="B1184" s="501"/>
      <c r="C1184" s="631">
        <f>TrialBalanceB!C31</f>
        <v>0</v>
      </c>
      <c r="D1184" s="631"/>
      <c r="E1184" s="631"/>
      <c r="F1184" s="631"/>
      <c r="G1184" s="631"/>
      <c r="H1184" s="648"/>
      <c r="I1184" s="631"/>
      <c r="J1184" s="631"/>
      <c r="L1184" s="451"/>
      <c r="M1184" s="448"/>
      <c r="N1184" s="448"/>
      <c r="O1184" s="475">
        <f>-TrialBalanceB!I31</f>
        <v>0</v>
      </c>
      <c r="P1184" s="545"/>
      <c r="R1184" s="490" t="str">
        <f t="shared" si="35"/>
        <v>DELETE</v>
      </c>
    </row>
    <row r="1185" spans="2:18" ht="36" customHeight="1" x14ac:dyDescent="0.5">
      <c r="B1185" s="501"/>
      <c r="C1185" s="631">
        <f>TrialBalanceB!C32</f>
        <v>0</v>
      </c>
      <c r="D1185" s="631"/>
      <c r="E1185" s="631"/>
      <c r="F1185" s="631"/>
      <c r="G1185" s="631"/>
      <c r="H1185" s="648"/>
      <c r="I1185" s="631"/>
      <c r="J1185" s="631"/>
      <c r="L1185" s="451"/>
      <c r="M1185" s="448"/>
      <c r="N1185" s="448"/>
      <c r="O1185" s="475">
        <f>-TrialBalanceB!I32</f>
        <v>0</v>
      </c>
      <c r="P1185" s="545"/>
      <c r="R1185" s="490" t="str">
        <f t="shared" si="35"/>
        <v>DELETE</v>
      </c>
    </row>
    <row r="1186" spans="2:18" ht="36" customHeight="1" x14ac:dyDescent="0.5">
      <c r="B1186" s="501"/>
      <c r="C1186" s="631" t="str">
        <f>TrialBalanceB!C33</f>
        <v>Recoupment of depreciation</v>
      </c>
      <c r="D1186" s="631"/>
      <c r="E1186" s="631"/>
      <c r="F1186" s="631"/>
      <c r="G1186" s="631"/>
      <c r="H1186" s="648"/>
      <c r="I1186" s="631"/>
      <c r="J1186" s="631"/>
      <c r="L1186" s="451"/>
      <c r="M1186" s="448"/>
      <c r="N1186" s="448"/>
      <c r="O1186" s="475">
        <f>-TrialBalanceB!I33</f>
        <v>0</v>
      </c>
      <c r="P1186" s="545"/>
      <c r="R1186" s="490" t="str">
        <f t="shared" ref="R1186" si="38">IF(O1186=0,"DELETE"," ")</f>
        <v>DELETE</v>
      </c>
    </row>
    <row r="1187" spans="2:18" ht="36" customHeight="1" x14ac:dyDescent="0.5">
      <c r="B1187" s="501"/>
      <c r="C1187" s="631" t="str">
        <f>TrialBalanceC!C28</f>
        <v xml:space="preserve">Insurance claims - </v>
      </c>
      <c r="D1187" s="631"/>
      <c r="E1187" s="631"/>
      <c r="F1187" s="631"/>
      <c r="G1187" s="631"/>
      <c r="H1187" s="648"/>
      <c r="I1187" s="631"/>
      <c r="J1187" s="631"/>
      <c r="L1187" s="451"/>
      <c r="M1187" s="448"/>
      <c r="N1187" s="448"/>
      <c r="O1187" s="475">
        <f>-TrialBalanceC!I28</f>
        <v>0</v>
      </c>
      <c r="P1187" s="545"/>
      <c r="R1187" s="490" t="str">
        <f t="shared" si="35"/>
        <v>DELETE</v>
      </c>
    </row>
    <row r="1188" spans="2:18" ht="36" customHeight="1" x14ac:dyDescent="0.5">
      <c r="B1188" s="501"/>
      <c r="C1188" s="631" t="str">
        <f>TrialBalanceC!C29</f>
        <v>Government grants received</v>
      </c>
      <c r="D1188" s="631"/>
      <c r="E1188" s="631"/>
      <c r="F1188" s="631"/>
      <c r="G1188" s="631"/>
      <c r="H1188" s="648"/>
      <c r="I1188" s="631"/>
      <c r="J1188" s="631"/>
      <c r="L1188" s="451"/>
      <c r="M1188" s="448"/>
      <c r="N1188" s="448"/>
      <c r="O1188" s="475">
        <f>-TrialBalanceC!I29</f>
        <v>0</v>
      </c>
      <c r="P1188" s="545"/>
      <c r="R1188" s="490" t="str">
        <f t="shared" si="35"/>
        <v>DELETE</v>
      </c>
    </row>
    <row r="1189" spans="2:18" ht="36" customHeight="1" x14ac:dyDescent="0.5">
      <c r="B1189" s="501"/>
      <c r="C1189" s="631">
        <f>TrialBalanceC!C30</f>
        <v>0</v>
      </c>
      <c r="D1189" s="631"/>
      <c r="E1189" s="631"/>
      <c r="F1189" s="631"/>
      <c r="G1189" s="631"/>
      <c r="H1189" s="648"/>
      <c r="I1189" s="631"/>
      <c r="J1189" s="631"/>
      <c r="L1189" s="451"/>
      <c r="M1189" s="448"/>
      <c r="N1189" s="448"/>
      <c r="O1189" s="475">
        <f>-TrialBalanceC!I30</f>
        <v>0</v>
      </c>
      <c r="P1189" s="545"/>
      <c r="R1189" s="490" t="str">
        <f t="shared" si="35"/>
        <v>DELETE</v>
      </c>
    </row>
    <row r="1190" spans="2:18" ht="36" customHeight="1" x14ac:dyDescent="0.5">
      <c r="B1190" s="501"/>
      <c r="C1190" s="631">
        <f>TrialBalanceC!C31</f>
        <v>0</v>
      </c>
      <c r="D1190" s="631"/>
      <c r="E1190" s="631"/>
      <c r="F1190" s="631"/>
      <c r="G1190" s="631"/>
      <c r="H1190" s="648"/>
      <c r="I1190" s="631"/>
      <c r="J1190" s="631"/>
      <c r="L1190" s="451"/>
      <c r="M1190" s="448"/>
      <c r="N1190" s="448"/>
      <c r="O1190" s="475">
        <f>-TrialBalanceC!I31</f>
        <v>0</v>
      </c>
      <c r="P1190" s="545"/>
      <c r="R1190" s="490" t="str">
        <f t="shared" si="35"/>
        <v>DELETE</v>
      </c>
    </row>
    <row r="1191" spans="2:18" ht="36" customHeight="1" x14ac:dyDescent="0.5">
      <c r="B1191" s="501"/>
      <c r="C1191" s="631">
        <f>TrialBalanceC!C32</f>
        <v>0</v>
      </c>
      <c r="D1191" s="631"/>
      <c r="E1191" s="631"/>
      <c r="F1191" s="631"/>
      <c r="G1191" s="631"/>
      <c r="H1191" s="648"/>
      <c r="I1191" s="631"/>
      <c r="J1191" s="631"/>
      <c r="L1191" s="451"/>
      <c r="M1191" s="448"/>
      <c r="N1191" s="448"/>
      <c r="O1191" s="475">
        <f>-TrialBalanceC!I32</f>
        <v>0</v>
      </c>
      <c r="P1191" s="545"/>
      <c r="R1191" s="490" t="str">
        <f t="shared" si="35"/>
        <v>DELETE</v>
      </c>
    </row>
    <row r="1192" spans="2:18" ht="36" customHeight="1" x14ac:dyDescent="0.5">
      <c r="B1192" s="501"/>
      <c r="C1192" s="631" t="str">
        <f>TrialBalanceC!C33</f>
        <v>Recoupment of depreciation</v>
      </c>
      <c r="D1192" s="631"/>
      <c r="E1192" s="631"/>
      <c r="F1192" s="631"/>
      <c r="G1192" s="631"/>
      <c r="H1192" s="648"/>
      <c r="I1192" s="631"/>
      <c r="J1192" s="631"/>
      <c r="L1192" s="451"/>
      <c r="M1192" s="448"/>
      <c r="N1192" s="448"/>
      <c r="O1192" s="475">
        <f>-TrialBalanceC!I33</f>
        <v>0</v>
      </c>
      <c r="P1192" s="545"/>
      <c r="R1192" s="490" t="str">
        <f t="shared" ref="R1192" si="39">IF(O1192=0,"DELETE"," ")</f>
        <v>DELETE</v>
      </c>
    </row>
    <row r="1193" spans="2:18" ht="9" customHeight="1" x14ac:dyDescent="0.5">
      <c r="B1193" s="501"/>
      <c r="C1193" s="630"/>
      <c r="D1193" s="631"/>
      <c r="E1193" s="631"/>
      <c r="F1193" s="631"/>
      <c r="G1193" s="631"/>
      <c r="H1193" s="631"/>
      <c r="I1193" s="631"/>
      <c r="J1193" s="631"/>
      <c r="L1193" s="451"/>
      <c r="M1193" s="448"/>
      <c r="N1193" s="448"/>
      <c r="O1193" s="461"/>
      <c r="P1193" s="545"/>
      <c r="R1193" s="490" t="str">
        <f>R$1195</f>
        <v>DELETE</v>
      </c>
    </row>
    <row r="1194" spans="2:18" ht="9" customHeight="1" x14ac:dyDescent="0.5">
      <c r="B1194" s="501"/>
      <c r="C1194" s="630"/>
      <c r="D1194" s="631"/>
      <c r="E1194" s="631"/>
      <c r="F1194" s="631"/>
      <c r="G1194" s="631"/>
      <c r="H1194" s="631"/>
      <c r="I1194" s="631"/>
      <c r="J1194" s="631"/>
      <c r="L1194" s="451"/>
      <c r="M1194" s="448"/>
      <c r="N1194" s="448"/>
      <c r="O1194" s="475"/>
      <c r="P1194" s="545"/>
      <c r="R1194" s="490" t="str">
        <f>R$1195</f>
        <v>DELETE</v>
      </c>
    </row>
    <row r="1195" spans="2:18" ht="36.75" customHeight="1" x14ac:dyDescent="0.5">
      <c r="B1195" s="501"/>
      <c r="C1195" s="630"/>
      <c r="D1195" s="631"/>
      <c r="E1195" s="631"/>
      <c r="F1195" s="631"/>
      <c r="G1195" s="631"/>
      <c r="H1195" s="631"/>
      <c r="I1195" s="631"/>
      <c r="J1195" s="631"/>
      <c r="L1195" s="451"/>
      <c r="M1195" s="448"/>
      <c r="N1195" s="448"/>
      <c r="O1195" s="475">
        <f>SUM(O1169:O1194)</f>
        <v>0</v>
      </c>
      <c r="P1195" s="545"/>
      <c r="R1195" s="490" t="str">
        <f t="shared" ref="R1195" si="40">IF(O1195=0,"DELETE"," ")</f>
        <v>DELETE</v>
      </c>
    </row>
    <row r="1196" spans="2:18" ht="9" customHeight="1" thickBot="1" x14ac:dyDescent="0.55000000000000004">
      <c r="B1196" s="501"/>
      <c r="C1196" s="630"/>
      <c r="D1196" s="631"/>
      <c r="E1196" s="631"/>
      <c r="F1196" s="631"/>
      <c r="G1196" s="631"/>
      <c r="H1196" s="631"/>
      <c r="I1196" s="631"/>
      <c r="J1196" s="631"/>
      <c r="L1196" s="451"/>
      <c r="M1196" s="448"/>
      <c r="N1196" s="448"/>
      <c r="O1196" s="462"/>
      <c r="P1196" s="545"/>
      <c r="R1196" s="490" t="str">
        <f>R$1195</f>
        <v>DELETE</v>
      </c>
    </row>
    <row r="1197" spans="2:18" ht="9" customHeight="1" thickTop="1" x14ac:dyDescent="0.5">
      <c r="B1197" s="501"/>
      <c r="C1197" s="630"/>
      <c r="D1197" s="631"/>
      <c r="E1197" s="631"/>
      <c r="F1197" s="631"/>
      <c r="G1197" s="631"/>
      <c r="H1197" s="631"/>
      <c r="I1197" s="631"/>
      <c r="J1197" s="631"/>
      <c r="L1197" s="451"/>
      <c r="M1197" s="448"/>
      <c r="N1197" s="448"/>
      <c r="O1197" s="475"/>
      <c r="P1197" s="545"/>
      <c r="R1197" s="490" t="str">
        <f>R$1195</f>
        <v>DELETE</v>
      </c>
    </row>
    <row r="1198" spans="2:18" ht="36" customHeight="1" x14ac:dyDescent="0.5">
      <c r="B1198" s="501"/>
      <c r="C1198" s="630"/>
      <c r="D1198" s="631"/>
      <c r="E1198" s="631"/>
      <c r="F1198" s="631"/>
      <c r="G1198" s="631"/>
      <c r="H1198" s="631"/>
      <c r="I1198" s="631"/>
      <c r="J1198" s="631"/>
      <c r="L1198" s="451"/>
      <c r="M1198" s="448"/>
      <c r="N1198" s="448"/>
      <c r="O1198" s="475"/>
      <c r="P1198" s="545"/>
      <c r="R1198" s="490" t="str">
        <f>R$1195</f>
        <v>DELETE</v>
      </c>
    </row>
    <row r="1199" spans="2:18" ht="36" customHeight="1" x14ac:dyDescent="0.5">
      <c r="B1199" s="501"/>
      <c r="C1199" s="630"/>
      <c r="D1199" s="631"/>
      <c r="E1199" s="631"/>
      <c r="F1199" s="631"/>
      <c r="G1199" s="631"/>
      <c r="H1199" s="631"/>
      <c r="I1199" s="631"/>
      <c r="J1199" s="631"/>
      <c r="L1199" s="451"/>
      <c r="M1199" s="448"/>
      <c r="N1199" s="448"/>
      <c r="O1199" s="475"/>
      <c r="P1199" s="545"/>
      <c r="R1199" s="490" t="str">
        <f t="shared" ref="R1199:R1201" si="41">R$1195</f>
        <v>DELETE</v>
      </c>
    </row>
    <row r="1200" spans="2:18" ht="36" customHeight="1" x14ac:dyDescent="0.5">
      <c r="B1200" s="502"/>
      <c r="C1200" s="630"/>
      <c r="D1200" s="631"/>
      <c r="E1200" s="631"/>
      <c r="F1200" s="631"/>
      <c r="G1200" s="631"/>
      <c r="H1200" s="631"/>
      <c r="I1200" s="631"/>
      <c r="J1200" s="631"/>
      <c r="M1200" s="545"/>
      <c r="N1200" s="545"/>
      <c r="O1200" s="545"/>
      <c r="P1200" s="545"/>
      <c r="R1200" s="490" t="str">
        <f t="shared" si="41"/>
        <v>DELETE</v>
      </c>
    </row>
    <row r="1201" spans="2:23" ht="36" customHeight="1" x14ac:dyDescent="0.5">
      <c r="C1201" s="630"/>
      <c r="D1201" s="631"/>
      <c r="E1201" s="631"/>
      <c r="F1201" s="631"/>
      <c r="G1201" s="631"/>
      <c r="H1201" s="631"/>
      <c r="I1201" s="631"/>
      <c r="J1201" s="631"/>
      <c r="M1201" s="540"/>
      <c r="O1201" s="540"/>
      <c r="R1201" s="490" t="str">
        <f t="shared" si="41"/>
        <v>DELETE</v>
      </c>
    </row>
    <row r="1202" spans="2:23" ht="36" customHeight="1" x14ac:dyDescent="0.5">
      <c r="C1202" s="631"/>
      <c r="D1202" s="631"/>
      <c r="E1202" s="631"/>
      <c r="F1202" s="631"/>
      <c r="G1202" s="631"/>
      <c r="H1202" s="631"/>
      <c r="I1202" s="631"/>
      <c r="J1202" s="631"/>
      <c r="M1202" s="540"/>
      <c r="O1202" s="454" t="s">
        <v>112</v>
      </c>
      <c r="Q1202" s="450">
        <f>MAX($Q$103:Q1201)+1</f>
        <v>31</v>
      </c>
    </row>
    <row r="1203" spans="2:23" ht="36" customHeight="1" x14ac:dyDescent="0.5">
      <c r="C1203" s="631"/>
      <c r="D1203" s="630" t="str">
        <f>Criteria!E9</f>
        <v>ABC COMPANY (PROPRIETARY) LIMITED</v>
      </c>
      <c r="E1203" s="631"/>
      <c r="F1203" s="631"/>
      <c r="G1203" s="631"/>
      <c r="H1203" s="631"/>
      <c r="I1203" s="631"/>
      <c r="J1203" s="631"/>
      <c r="M1203" s="540"/>
      <c r="O1203" s="540"/>
    </row>
    <row r="1204" spans="2:23" ht="36" customHeight="1" x14ac:dyDescent="0.5">
      <c r="C1204" s="631"/>
      <c r="D1204" s="630" t="str">
        <f>Criteria!E10</f>
        <v>T/A SEAFRONT HOTEL, ABC RESTAURANT AND RENTAL PROPERTIES</v>
      </c>
      <c r="E1204" s="631"/>
      <c r="F1204" s="631"/>
      <c r="G1204" s="631"/>
      <c r="H1204" s="631"/>
      <c r="I1204" s="631"/>
      <c r="J1204" s="631"/>
      <c r="M1204" s="540"/>
      <c r="O1204" s="540"/>
      <c r="R1204" s="490" t="str">
        <f>IF(D1204=0,"DELETE"," ")</f>
        <v xml:space="preserve"> </v>
      </c>
    </row>
    <row r="1205" spans="2:23" ht="36" customHeight="1" x14ac:dyDescent="0.5">
      <c r="C1205" s="631"/>
      <c r="D1205" s="631"/>
      <c r="E1205" s="631"/>
      <c r="F1205" s="631"/>
      <c r="G1205" s="631"/>
      <c r="H1205" s="631"/>
      <c r="I1205" s="631"/>
      <c r="J1205" s="631"/>
      <c r="M1205" s="540"/>
      <c r="O1205" s="540"/>
    </row>
    <row r="1206" spans="2:23" ht="36" customHeight="1" x14ac:dyDescent="0.5">
      <c r="C1206" s="631"/>
      <c r="D1206" s="630" t="s">
        <v>415</v>
      </c>
      <c r="E1206" s="631"/>
      <c r="F1206" s="631"/>
      <c r="G1206" s="631"/>
      <c r="H1206" s="631"/>
      <c r="I1206" s="631"/>
      <c r="J1206" s="631"/>
      <c r="M1206" s="540"/>
      <c r="O1206" s="540"/>
    </row>
    <row r="1207" spans="2:23" ht="36" customHeight="1" x14ac:dyDescent="0.5">
      <c r="C1207" s="631"/>
      <c r="D1207" s="630" t="str">
        <f>Criteria!E20</f>
        <v>28 FEBRUARY 2026</v>
      </c>
      <c r="E1207" s="631"/>
      <c r="F1207" s="631"/>
      <c r="G1207" s="631"/>
      <c r="H1207" s="631"/>
      <c r="I1207" s="631"/>
      <c r="J1207" s="631" t="s">
        <v>282</v>
      </c>
      <c r="M1207" s="540"/>
      <c r="O1207" s="540"/>
    </row>
    <row r="1208" spans="2:23" ht="36" customHeight="1" x14ac:dyDescent="0.5">
      <c r="C1208" s="631"/>
      <c r="D1208" s="630"/>
      <c r="E1208" s="631"/>
      <c r="F1208" s="631"/>
      <c r="G1208" s="631"/>
      <c r="H1208" s="631"/>
      <c r="I1208" s="631"/>
      <c r="J1208" s="631"/>
      <c r="M1208" s="540"/>
      <c r="O1208" s="540"/>
    </row>
    <row r="1209" spans="2:23" ht="36" customHeight="1" x14ac:dyDescent="0.5">
      <c r="B1209" s="457"/>
      <c r="C1209" s="649"/>
      <c r="D1209" s="652"/>
      <c r="E1209" s="649"/>
      <c r="F1209" s="649"/>
      <c r="G1209" s="649"/>
      <c r="H1209" s="649"/>
      <c r="I1209" s="649"/>
      <c r="J1209" s="649"/>
      <c r="K1209" s="457"/>
      <c r="L1209" s="457"/>
      <c r="M1209" s="551"/>
      <c r="N1209" s="551"/>
      <c r="O1209" s="551"/>
      <c r="P1209" s="551"/>
      <c r="Q1209" s="457"/>
    </row>
    <row r="1210" spans="2:23" ht="36" customHeight="1" x14ac:dyDescent="0.5">
      <c r="C1210" s="631"/>
      <c r="D1210" s="630"/>
      <c r="E1210" s="631"/>
      <c r="F1210" s="631"/>
      <c r="G1210" s="631"/>
      <c r="H1210" s="631"/>
      <c r="I1210" s="631"/>
      <c r="J1210" s="631"/>
      <c r="M1210" s="545"/>
      <c r="N1210" s="545"/>
      <c r="O1210" s="488">
        <f>Criteria!E22</f>
        <v>2026</v>
      </c>
      <c r="P1210" s="545"/>
    </row>
    <row r="1211" spans="2:23" ht="36" customHeight="1" x14ac:dyDescent="0.5">
      <c r="B1211" s="501"/>
      <c r="C1211" s="630"/>
      <c r="D1211" s="631"/>
      <c r="E1211" s="631"/>
      <c r="F1211" s="631"/>
      <c r="G1211" s="631"/>
      <c r="H1211" s="631"/>
      <c r="I1211" s="631"/>
      <c r="J1211" s="631"/>
      <c r="L1211" s="451"/>
      <c r="M1211" s="448"/>
      <c r="N1211" s="448"/>
      <c r="O1211" s="475"/>
      <c r="P1211" s="545"/>
    </row>
    <row r="1212" spans="2:23" ht="36" customHeight="1" x14ac:dyDescent="0.5">
      <c r="B1212" s="501">
        <f>MAX($B$873:B1211)+1</f>
        <v>4</v>
      </c>
      <c r="C1212" s="653" t="str">
        <f>IF(W1212=2,"Operating profit","Operating loss")</f>
        <v>Operating profit</v>
      </c>
      <c r="D1212" s="631"/>
      <c r="E1212" s="631"/>
      <c r="F1212" s="631"/>
      <c r="G1212" s="631"/>
      <c r="H1212" s="631"/>
      <c r="I1212" s="631"/>
      <c r="J1212" s="631"/>
      <c r="L1212" s="451"/>
      <c r="M1212" s="448"/>
      <c r="N1212" s="448"/>
      <c r="O1212" s="475"/>
      <c r="P1212" s="545"/>
      <c r="W1212" s="491">
        <f>IF(SUM(S611:S625)&lt;0,1,2)</f>
        <v>2</v>
      </c>
    </row>
    <row r="1213" spans="2:23" ht="36" customHeight="1" x14ac:dyDescent="0.5">
      <c r="B1213" s="501"/>
      <c r="C1213" s="653"/>
      <c r="D1213" s="631"/>
      <c r="E1213" s="631"/>
      <c r="F1213" s="631"/>
      <c r="G1213" s="631"/>
      <c r="H1213" s="631"/>
      <c r="I1213" s="631"/>
      <c r="J1213" s="631"/>
      <c r="L1213" s="451"/>
      <c r="M1213" s="448"/>
      <c r="N1213" s="448"/>
      <c r="O1213" s="475"/>
      <c r="P1213" s="545"/>
    </row>
    <row r="1214" spans="2:23" ht="36" customHeight="1" x14ac:dyDescent="0.5">
      <c r="B1214" s="501"/>
      <c r="C1214" s="654" t="str">
        <f>IF(W1214=2,"The following items have been recognised as expenses in determining operating profit:","The following items have been recognised as expenses in determining operating loss:")</f>
        <v>The following items have been recognised as expenses in determining operating profit:</v>
      </c>
      <c r="D1214" s="648"/>
      <c r="E1214" s="631"/>
      <c r="F1214" s="631"/>
      <c r="G1214" s="631"/>
      <c r="H1214" s="631"/>
      <c r="I1214" s="631"/>
      <c r="J1214" s="631"/>
      <c r="L1214" s="451"/>
      <c r="M1214" s="448"/>
      <c r="N1214" s="448"/>
      <c r="O1214" s="475"/>
      <c r="P1214" s="545"/>
      <c r="W1214" s="491">
        <f>IF(SUM(S611:S625)&lt;0,1,2)</f>
        <v>2</v>
      </c>
    </row>
    <row r="1215" spans="2:23" ht="36" customHeight="1" x14ac:dyDescent="0.5">
      <c r="B1215" s="501"/>
      <c r="C1215" s="654"/>
      <c r="D1215" s="648"/>
      <c r="E1215" s="631"/>
      <c r="F1215" s="631"/>
      <c r="G1215" s="631"/>
      <c r="H1215" s="631"/>
      <c r="I1215" s="631"/>
      <c r="J1215" s="631"/>
      <c r="L1215" s="451"/>
      <c r="M1215" s="448"/>
      <c r="N1215" s="448"/>
      <c r="O1215" s="475"/>
      <c r="P1215" s="545"/>
    </row>
    <row r="1216" spans="2:23" ht="36" customHeight="1" x14ac:dyDescent="0.5">
      <c r="B1216" s="501"/>
      <c r="C1216" s="631" t="s">
        <v>1762</v>
      </c>
      <c r="D1216" s="451"/>
      <c r="E1216" s="631"/>
      <c r="F1216" s="631"/>
      <c r="G1216" s="631"/>
      <c r="H1216" s="631"/>
      <c r="I1216" s="631"/>
      <c r="J1216" s="631"/>
      <c r="L1216" s="451"/>
      <c r="M1216" s="448"/>
      <c r="N1216" s="448"/>
      <c r="O1216" s="475">
        <f>SUM(TrialBalance!L12:L26)+SUM(TrialBalanceA!I12:I26)+SUM(TrialBalanceB!I12:I26)+SUM(TrialBalanceC!I12:I26)</f>
        <v>0</v>
      </c>
      <c r="P1216" s="545"/>
      <c r="R1216" s="490" t="str">
        <f>IF(O1216=0,"DELETE"," ")</f>
        <v>DELETE</v>
      </c>
      <c r="U1216" s="491" t="b">
        <f>O1216=-O613</f>
        <v>1</v>
      </c>
    </row>
    <row r="1217" spans="2:18" ht="36" customHeight="1" x14ac:dyDescent="0.5">
      <c r="B1217" s="501"/>
      <c r="C1217" s="631"/>
      <c r="D1217" s="451"/>
      <c r="E1217" s="631"/>
      <c r="F1217" s="631"/>
      <c r="G1217" s="631"/>
      <c r="H1217" s="631"/>
      <c r="I1217" s="631"/>
      <c r="J1217" s="631"/>
      <c r="L1217" s="451"/>
      <c r="M1217" s="448"/>
      <c r="N1217" s="448"/>
      <c r="O1217" s="475"/>
      <c r="P1217" s="545"/>
      <c r="R1217" s="490" t="str">
        <f>R1216</f>
        <v>DELETE</v>
      </c>
    </row>
    <row r="1218" spans="2:18" ht="36" customHeight="1" x14ac:dyDescent="0.5">
      <c r="B1218" s="501"/>
      <c r="C1218" s="631" t="s">
        <v>1756</v>
      </c>
      <c r="D1218" s="451"/>
      <c r="E1218" s="631"/>
      <c r="F1218" s="631"/>
      <c r="G1218" s="631"/>
      <c r="H1218" s="631"/>
      <c r="I1218" s="631"/>
      <c r="J1218" s="631"/>
      <c r="L1218" s="451"/>
      <c r="M1218" s="448"/>
      <c r="N1218" s="448"/>
      <c r="O1218" s="475">
        <f>TrialBalance!L65+TrialBalanceA!I65+TrialBalanceB!I65+TrialBalanceC!I65</f>
        <v>0</v>
      </c>
      <c r="P1218" s="545"/>
      <c r="R1218" s="490" t="str">
        <f>IF(O1218=0,"DELETE"," ")</f>
        <v>DELETE</v>
      </c>
    </row>
    <row r="1219" spans="2:18" ht="36" customHeight="1" x14ac:dyDescent="0.5">
      <c r="B1219" s="501"/>
      <c r="C1219" s="631"/>
      <c r="D1219" s="451"/>
      <c r="E1219" s="631"/>
      <c r="F1219" s="631"/>
      <c r="G1219" s="631"/>
      <c r="H1219" s="631"/>
      <c r="I1219" s="631"/>
      <c r="J1219" s="631"/>
      <c r="L1219" s="451"/>
      <c r="M1219" s="448"/>
      <c r="N1219" s="448"/>
      <c r="O1219" s="475"/>
      <c r="P1219" s="545"/>
      <c r="R1219" s="490" t="str">
        <f>R1218</f>
        <v>DELETE</v>
      </c>
    </row>
    <row r="1220" spans="2:18" ht="36" customHeight="1" x14ac:dyDescent="0.5">
      <c r="B1220" s="501"/>
      <c r="C1220" s="631" t="s">
        <v>1256</v>
      </c>
      <c r="D1220" s="451"/>
      <c r="E1220" s="631"/>
      <c r="F1220" s="631"/>
      <c r="G1220" s="631"/>
      <c r="H1220" s="631"/>
      <c r="I1220" s="631"/>
      <c r="J1220" s="631"/>
      <c r="L1220" s="451"/>
      <c r="M1220" s="448"/>
      <c r="N1220" s="448"/>
      <c r="O1220" s="475">
        <f>TrialBalance!L156+TrialBalanceA!I156+TrialBalanceB!I156+TrialBalanceC!I156</f>
        <v>0</v>
      </c>
      <c r="P1220" s="545"/>
      <c r="R1220" s="490" t="str">
        <f>IF(O1220=0,"DELETE"," ")</f>
        <v>DELETE</v>
      </c>
    </row>
    <row r="1221" spans="2:18" ht="36" customHeight="1" x14ac:dyDescent="0.5">
      <c r="B1221" s="501"/>
      <c r="C1221" s="631"/>
      <c r="D1221" s="451"/>
      <c r="E1221" s="631"/>
      <c r="F1221" s="631"/>
      <c r="G1221" s="631"/>
      <c r="H1221" s="631"/>
      <c r="I1221" s="631"/>
      <c r="J1221" s="631"/>
      <c r="L1221" s="451"/>
      <c r="M1221" s="448"/>
      <c r="N1221" s="448"/>
      <c r="O1221" s="475"/>
      <c r="P1221" s="545"/>
      <c r="R1221" s="490" t="str">
        <f>R1220</f>
        <v>DELETE</v>
      </c>
    </row>
    <row r="1222" spans="2:18" ht="36" customHeight="1" x14ac:dyDescent="0.5">
      <c r="B1222" s="501"/>
      <c r="C1222" s="631" t="s">
        <v>1763</v>
      </c>
      <c r="D1222" s="451"/>
      <c r="E1222" s="631"/>
      <c r="F1222" s="631"/>
      <c r="G1222" s="631"/>
      <c r="H1222" s="631"/>
      <c r="I1222" s="631"/>
      <c r="J1222" s="631"/>
      <c r="L1222" s="451"/>
      <c r="M1222" s="448"/>
      <c r="N1222" s="448"/>
      <c r="O1222" s="475">
        <f>SUM(TrialBalance!L140:L141)+SUM(TrialBalanceA!I140:I141)+SUM(TrialBalanceB!I140:I141)+SUM(TrialBalanceC!I140:I141)</f>
        <v>0</v>
      </c>
      <c r="P1222" s="545"/>
      <c r="R1222" s="490" t="str">
        <f>IF(O1222=0,"DELETE"," ")</f>
        <v>DELETE</v>
      </c>
    </row>
    <row r="1223" spans="2:18" ht="36" customHeight="1" x14ac:dyDescent="0.5">
      <c r="B1223" s="501"/>
      <c r="C1223" s="631"/>
      <c r="D1223" s="451"/>
      <c r="E1223" s="631"/>
      <c r="F1223" s="631"/>
      <c r="G1223" s="631"/>
      <c r="H1223" s="631"/>
      <c r="I1223" s="631"/>
      <c r="J1223" s="631"/>
      <c r="L1223" s="451"/>
      <c r="M1223" s="448"/>
      <c r="N1223" s="448"/>
      <c r="O1223" s="475"/>
      <c r="P1223" s="545"/>
      <c r="R1223" s="490" t="str">
        <f>R1222</f>
        <v>DELETE</v>
      </c>
    </row>
    <row r="1224" spans="2:18" ht="36" customHeight="1" x14ac:dyDescent="0.5">
      <c r="B1224" s="501"/>
      <c r="C1224" s="631" t="s">
        <v>1759</v>
      </c>
      <c r="D1224" s="451"/>
      <c r="E1224" s="631"/>
      <c r="F1224" s="631"/>
      <c r="G1224" s="631"/>
      <c r="H1224" s="631"/>
      <c r="I1224" s="631"/>
      <c r="J1224" s="631"/>
      <c r="L1224" s="451"/>
      <c r="M1224" s="448"/>
      <c r="N1224" s="448"/>
      <c r="O1224" s="475">
        <f>TrialBalance!L108+TrialBalanceA!I108+TrialBalanceB!I108+TrialBalanceC!I108</f>
        <v>0</v>
      </c>
      <c r="P1224" s="545"/>
      <c r="R1224" s="490" t="str">
        <f>IF(O1224=0,"DELETE"," ")</f>
        <v>DELETE</v>
      </c>
    </row>
    <row r="1225" spans="2:18" ht="36" customHeight="1" x14ac:dyDescent="0.5">
      <c r="B1225" s="501"/>
      <c r="C1225" s="654"/>
      <c r="D1225" s="648"/>
      <c r="E1225" s="631"/>
      <c r="F1225" s="631"/>
      <c r="G1225" s="631"/>
      <c r="H1225" s="631"/>
      <c r="I1225" s="631"/>
      <c r="J1225" s="631"/>
      <c r="L1225" s="451"/>
      <c r="M1225" s="448"/>
      <c r="N1225" s="448"/>
      <c r="O1225" s="475"/>
      <c r="P1225" s="545"/>
      <c r="R1225" s="490" t="str">
        <f>R1224</f>
        <v>DELETE</v>
      </c>
    </row>
    <row r="1226" spans="2:18" ht="36" customHeight="1" x14ac:dyDescent="0.5">
      <c r="B1226" s="501"/>
      <c r="C1226" s="654"/>
      <c r="D1226" s="648"/>
      <c r="E1226" s="631"/>
      <c r="F1226" s="631"/>
      <c r="G1226" s="631"/>
      <c r="H1226" s="631"/>
      <c r="I1226" s="631"/>
      <c r="J1226" s="631"/>
      <c r="L1226" s="451"/>
      <c r="M1226" s="448"/>
      <c r="N1226" s="448"/>
      <c r="O1226" s="475"/>
      <c r="P1226" s="545"/>
      <c r="R1226" s="490" t="str">
        <f>R$1228</f>
        <v>DELETE</v>
      </c>
    </row>
    <row r="1227" spans="2:18" ht="36" customHeight="1" x14ac:dyDescent="0.5">
      <c r="B1227" s="501"/>
      <c r="C1227" s="654"/>
      <c r="D1227" s="648"/>
      <c r="E1227" s="631"/>
      <c r="F1227" s="631"/>
      <c r="G1227" s="631"/>
      <c r="H1227" s="631"/>
      <c r="I1227" s="631"/>
      <c r="J1227" s="631"/>
      <c r="L1227" s="451"/>
      <c r="M1227" s="448"/>
      <c r="N1227" s="448"/>
      <c r="O1227" s="475"/>
      <c r="P1227" s="545"/>
      <c r="R1227" s="490" t="str">
        <f>R$1228</f>
        <v>DELETE</v>
      </c>
    </row>
    <row r="1228" spans="2:18" ht="36" customHeight="1" x14ac:dyDescent="0.5">
      <c r="C1228" s="631"/>
      <c r="D1228" s="631"/>
      <c r="E1228" s="631"/>
      <c r="F1228" s="631"/>
      <c r="G1228" s="631"/>
      <c r="H1228" s="631"/>
      <c r="I1228" s="631"/>
      <c r="J1228" s="631"/>
      <c r="M1228" s="540"/>
      <c r="O1228" s="454" t="s">
        <v>112</v>
      </c>
      <c r="Q1228" s="450">
        <f>MAX($Q$103:Q1227)+1</f>
        <v>32</v>
      </c>
      <c r="R1228" s="490" t="str">
        <f>IF(SUM(O1216:O1224)=0,"DELETE"," ")</f>
        <v>DELETE</v>
      </c>
    </row>
    <row r="1229" spans="2:18" ht="36" customHeight="1" x14ac:dyDescent="0.5">
      <c r="C1229" s="631"/>
      <c r="D1229" s="630" t="str">
        <f>Criteria!E9</f>
        <v>ABC COMPANY (PROPRIETARY) LIMITED</v>
      </c>
      <c r="E1229" s="631"/>
      <c r="F1229" s="631"/>
      <c r="G1229" s="631"/>
      <c r="H1229" s="631"/>
      <c r="I1229" s="631"/>
      <c r="J1229" s="631"/>
      <c r="M1229" s="540"/>
      <c r="O1229" s="540"/>
      <c r="R1229" s="490" t="str">
        <f t="shared" ref="R1229:R1237" si="42">R$1228</f>
        <v>DELETE</v>
      </c>
    </row>
    <row r="1230" spans="2:18" ht="36" customHeight="1" x14ac:dyDescent="0.5">
      <c r="C1230" s="631"/>
      <c r="D1230" s="630" t="str">
        <f>Criteria!E10</f>
        <v>T/A SEAFRONT HOTEL, ABC RESTAURANT AND RENTAL PROPERTIES</v>
      </c>
      <c r="E1230" s="631"/>
      <c r="F1230" s="631"/>
      <c r="G1230" s="631"/>
      <c r="H1230" s="631"/>
      <c r="I1230" s="631"/>
      <c r="J1230" s="631"/>
      <c r="M1230" s="540"/>
      <c r="O1230" s="540"/>
      <c r="R1230" s="490" t="str">
        <f>IF(R$1228="DELETE","DELETE",IF(D1230=0,"DELETE"," "))</f>
        <v>DELETE</v>
      </c>
    </row>
    <row r="1231" spans="2:18" ht="36" customHeight="1" x14ac:dyDescent="0.5">
      <c r="C1231" s="631"/>
      <c r="D1231" s="631"/>
      <c r="E1231" s="631"/>
      <c r="F1231" s="631"/>
      <c r="G1231" s="631"/>
      <c r="H1231" s="631"/>
      <c r="I1231" s="631"/>
      <c r="J1231" s="631"/>
      <c r="M1231" s="540"/>
      <c r="O1231" s="540"/>
      <c r="R1231" s="490" t="str">
        <f t="shared" si="42"/>
        <v>DELETE</v>
      </c>
    </row>
    <row r="1232" spans="2:18" ht="36" customHeight="1" x14ac:dyDescent="0.5">
      <c r="C1232" s="631"/>
      <c r="D1232" s="630" t="s">
        <v>415</v>
      </c>
      <c r="E1232" s="631"/>
      <c r="F1232" s="631"/>
      <c r="G1232" s="631"/>
      <c r="H1232" s="631"/>
      <c r="I1232" s="631"/>
      <c r="J1232" s="631"/>
      <c r="M1232" s="540"/>
      <c r="O1232" s="540"/>
      <c r="R1232" s="490" t="str">
        <f t="shared" si="42"/>
        <v>DELETE</v>
      </c>
    </row>
    <row r="1233" spans="2:21" ht="36" customHeight="1" x14ac:dyDescent="0.5">
      <c r="C1233" s="631"/>
      <c r="D1233" s="630" t="str">
        <f>Criteria!E20</f>
        <v>28 FEBRUARY 2026</v>
      </c>
      <c r="E1233" s="631"/>
      <c r="F1233" s="631"/>
      <c r="G1233" s="631"/>
      <c r="H1233" s="631"/>
      <c r="I1233" s="631"/>
      <c r="J1233" s="631" t="s">
        <v>282</v>
      </c>
      <c r="M1233" s="540"/>
      <c r="O1233" s="540"/>
      <c r="R1233" s="490" t="str">
        <f t="shared" si="42"/>
        <v>DELETE</v>
      </c>
    </row>
    <row r="1234" spans="2:21" ht="36" customHeight="1" x14ac:dyDescent="0.5">
      <c r="C1234" s="631"/>
      <c r="D1234" s="630"/>
      <c r="E1234" s="631"/>
      <c r="F1234" s="631"/>
      <c r="G1234" s="631"/>
      <c r="H1234" s="631"/>
      <c r="I1234" s="631"/>
      <c r="J1234" s="631"/>
      <c r="M1234" s="540"/>
      <c r="O1234" s="540"/>
      <c r="R1234" s="490" t="str">
        <f t="shared" si="42"/>
        <v>DELETE</v>
      </c>
    </row>
    <row r="1235" spans="2:21" ht="36" customHeight="1" x14ac:dyDescent="0.5">
      <c r="B1235" s="457"/>
      <c r="C1235" s="649"/>
      <c r="D1235" s="652"/>
      <c r="E1235" s="649"/>
      <c r="F1235" s="649"/>
      <c r="G1235" s="649"/>
      <c r="H1235" s="649"/>
      <c r="I1235" s="649"/>
      <c r="J1235" s="649"/>
      <c r="K1235" s="457"/>
      <c r="L1235" s="457"/>
      <c r="M1235" s="551"/>
      <c r="N1235" s="551"/>
      <c r="O1235" s="551"/>
      <c r="P1235" s="551"/>
      <c r="Q1235" s="457"/>
      <c r="R1235" s="490" t="str">
        <f t="shared" si="42"/>
        <v>DELETE</v>
      </c>
    </row>
    <row r="1236" spans="2:21" ht="36" customHeight="1" x14ac:dyDescent="0.5">
      <c r="C1236" s="631"/>
      <c r="D1236" s="630"/>
      <c r="E1236" s="631"/>
      <c r="F1236" s="631"/>
      <c r="G1236" s="631"/>
      <c r="H1236" s="631"/>
      <c r="I1236" s="631"/>
      <c r="J1236" s="631"/>
      <c r="M1236" s="545"/>
      <c r="N1236" s="545"/>
      <c r="O1236" s="488">
        <f>Criteria!E22</f>
        <v>2026</v>
      </c>
      <c r="P1236" s="545"/>
      <c r="R1236" s="490" t="str">
        <f t="shared" si="42"/>
        <v>DELETE</v>
      </c>
    </row>
    <row r="1237" spans="2:21" ht="36" customHeight="1" x14ac:dyDescent="0.5">
      <c r="B1237" s="501"/>
      <c r="C1237" s="630"/>
      <c r="D1237" s="631"/>
      <c r="E1237" s="631"/>
      <c r="F1237" s="631"/>
      <c r="G1237" s="631"/>
      <c r="H1237" s="631"/>
      <c r="I1237" s="631"/>
      <c r="J1237" s="631"/>
      <c r="L1237" s="451"/>
      <c r="M1237" s="448"/>
      <c r="N1237" s="448"/>
      <c r="O1237" s="475"/>
      <c r="P1237" s="545"/>
      <c r="R1237" s="490" t="str">
        <f t="shared" si="42"/>
        <v>DELETE</v>
      </c>
    </row>
    <row r="1238" spans="2:21" ht="36" customHeight="1" x14ac:dyDescent="0.5">
      <c r="B1238" s="501"/>
      <c r="C1238" s="630" t="str">
        <f>IF(MAX(Criteria!I41:I45)&gt;1,"Directors' remuneration","Director's remuneration")</f>
        <v>Directors' remuneration</v>
      </c>
      <c r="D1238" s="451"/>
      <c r="E1238" s="631"/>
      <c r="F1238" s="631"/>
      <c r="G1238" s="631"/>
      <c r="H1238" s="631"/>
      <c r="I1238" s="631"/>
      <c r="J1238" s="631"/>
      <c r="L1238" s="451"/>
      <c r="M1238" s="448"/>
      <c r="N1238" s="448"/>
      <c r="O1238" s="475"/>
      <c r="P1238" s="545"/>
    </row>
    <row r="1239" spans="2:21" ht="36" customHeight="1" x14ac:dyDescent="0.5">
      <c r="B1239" s="501"/>
      <c r="C1239" s="630"/>
      <c r="D1239" s="451"/>
      <c r="E1239" s="631"/>
      <c r="F1239" s="631"/>
      <c r="G1239" s="631"/>
      <c r="H1239" s="631"/>
      <c r="I1239" s="631"/>
      <c r="J1239" s="631"/>
      <c r="L1239" s="451"/>
      <c r="M1239" s="448"/>
      <c r="N1239" s="448"/>
      <c r="O1239" s="475"/>
      <c r="P1239" s="545"/>
    </row>
    <row r="1240" spans="2:21" ht="36" customHeight="1" x14ac:dyDescent="0.5">
      <c r="B1240" s="501"/>
      <c r="C1240" s="655" t="str">
        <f>TrialBalance!C113</f>
        <v>A Director</v>
      </c>
      <c r="D1240" s="451"/>
      <c r="E1240" s="631"/>
      <c r="F1240" s="631"/>
      <c r="G1240" s="631"/>
      <c r="H1240" s="631"/>
      <c r="I1240" s="631"/>
      <c r="J1240" s="631"/>
      <c r="L1240" s="451"/>
      <c r="M1240" s="448"/>
      <c r="N1240" s="448"/>
      <c r="O1240" s="475">
        <f>TrialBalance!L113+TrialBalanceA!I113+TrialBalanceB!I113+TrialBalanceC!I113</f>
        <v>0</v>
      </c>
      <c r="P1240" s="545"/>
      <c r="R1240" s="490" t="str">
        <f>IF(O1240=0,"DELETE"," ")</f>
        <v>DELETE</v>
      </c>
    </row>
    <row r="1241" spans="2:21" ht="36" customHeight="1" x14ac:dyDescent="0.5">
      <c r="B1241" s="501"/>
      <c r="C1241" s="655" t="str">
        <f>TrialBalance!C114</f>
        <v>B Director</v>
      </c>
      <c r="D1241" s="451"/>
      <c r="E1241" s="631"/>
      <c r="F1241" s="631"/>
      <c r="G1241" s="631"/>
      <c r="H1241" s="631"/>
      <c r="I1241" s="631"/>
      <c r="J1241" s="631"/>
      <c r="L1241" s="451"/>
      <c r="M1241" s="448"/>
      <c r="N1241" s="448"/>
      <c r="O1241" s="475">
        <f>TrialBalance!L114+TrialBalanceA!I114+TrialBalanceB!I114+TrialBalanceC!I114</f>
        <v>0</v>
      </c>
      <c r="P1241" s="545"/>
      <c r="R1241" s="490" t="str">
        <f>IF(O1241=0,"DELETE"," ")</f>
        <v>DELETE</v>
      </c>
    </row>
    <row r="1242" spans="2:21" ht="36" customHeight="1" x14ac:dyDescent="0.5">
      <c r="B1242" s="501"/>
      <c r="C1242" s="655">
        <f>TrialBalance!C115</f>
        <v>0</v>
      </c>
      <c r="D1242" s="451"/>
      <c r="E1242" s="631"/>
      <c r="F1242" s="631"/>
      <c r="G1242" s="631"/>
      <c r="H1242" s="631"/>
      <c r="I1242" s="631"/>
      <c r="J1242" s="631"/>
      <c r="L1242" s="451"/>
      <c r="M1242" s="448"/>
      <c r="N1242" s="448"/>
      <c r="O1242" s="475">
        <f>TrialBalance!L115+TrialBalanceA!I115+TrialBalanceB!I115+TrialBalanceC!I115</f>
        <v>0</v>
      </c>
      <c r="P1242" s="545"/>
      <c r="R1242" s="490" t="str">
        <f>IF(O1242=0,"DELETE"," ")</f>
        <v>DELETE</v>
      </c>
    </row>
    <row r="1243" spans="2:21" ht="36" customHeight="1" x14ac:dyDescent="0.5">
      <c r="B1243" s="501"/>
      <c r="C1243" s="655">
        <f>TrialBalance!C116</f>
        <v>0</v>
      </c>
      <c r="D1243" s="451"/>
      <c r="E1243" s="631"/>
      <c r="F1243" s="631"/>
      <c r="G1243" s="631"/>
      <c r="H1243" s="631"/>
      <c r="I1243" s="631"/>
      <c r="J1243" s="631"/>
      <c r="L1243" s="451"/>
      <c r="M1243" s="448"/>
      <c r="N1243" s="448"/>
      <c r="O1243" s="475">
        <f>TrialBalance!L116+TrialBalanceA!I116+TrialBalanceB!I116+TrialBalanceC!I116</f>
        <v>0</v>
      </c>
      <c r="P1243" s="545"/>
      <c r="R1243" s="490" t="str">
        <f>IF(O1243=0,"DELETE"," ")</f>
        <v>DELETE</v>
      </c>
    </row>
    <row r="1244" spans="2:21" ht="36" customHeight="1" x14ac:dyDescent="0.5">
      <c r="B1244" s="501"/>
      <c r="C1244" s="655">
        <f>TrialBalance!C117</f>
        <v>0</v>
      </c>
      <c r="D1244" s="451"/>
      <c r="E1244" s="631"/>
      <c r="F1244" s="631"/>
      <c r="G1244" s="631"/>
      <c r="H1244" s="631"/>
      <c r="I1244" s="631"/>
      <c r="J1244" s="631"/>
      <c r="L1244" s="451"/>
      <c r="M1244" s="448"/>
      <c r="N1244" s="448"/>
      <c r="O1244" s="475">
        <f>TrialBalance!L117+TrialBalanceA!I117+TrialBalanceB!I117+TrialBalanceC!I117</f>
        <v>0</v>
      </c>
      <c r="P1244" s="545"/>
      <c r="R1244" s="490" t="str">
        <f>IF(O1244=0,"DELETE"," ")</f>
        <v>DELETE</v>
      </c>
    </row>
    <row r="1245" spans="2:21" ht="9" customHeight="1" x14ac:dyDescent="0.5">
      <c r="B1245" s="501"/>
      <c r="C1245" s="516"/>
      <c r="D1245" s="631"/>
      <c r="E1245" s="631"/>
      <c r="F1245" s="631"/>
      <c r="G1245" s="631"/>
      <c r="H1245" s="631"/>
      <c r="I1245" s="631"/>
      <c r="J1245" s="631"/>
      <c r="L1245" s="451"/>
      <c r="M1245" s="448"/>
      <c r="N1245" s="448"/>
      <c r="O1245" s="461"/>
      <c r="P1245" s="545"/>
      <c r="R1245" s="490" t="str">
        <f>R1247</f>
        <v>DELETE</v>
      </c>
    </row>
    <row r="1246" spans="2:21" ht="9" customHeight="1" x14ac:dyDescent="0.5">
      <c r="B1246" s="501"/>
      <c r="C1246" s="516"/>
      <c r="D1246" s="631"/>
      <c r="E1246" s="631"/>
      <c r="F1246" s="631"/>
      <c r="G1246" s="631"/>
      <c r="H1246" s="631"/>
      <c r="I1246" s="631"/>
      <c r="J1246" s="631"/>
      <c r="L1246" s="451"/>
      <c r="M1246" s="448"/>
      <c r="N1246" s="448"/>
      <c r="O1246" s="475"/>
      <c r="P1246" s="545"/>
      <c r="R1246" s="490" t="str">
        <f>R1247</f>
        <v>DELETE</v>
      </c>
    </row>
    <row r="1247" spans="2:21" ht="36.75" customHeight="1" x14ac:dyDescent="0.5">
      <c r="B1247" s="501"/>
      <c r="C1247" s="516"/>
      <c r="D1247" s="631"/>
      <c r="E1247" s="631"/>
      <c r="F1247" s="631"/>
      <c r="G1247" s="631"/>
      <c r="H1247" s="631"/>
      <c r="I1247" s="631"/>
      <c r="J1247" s="631"/>
      <c r="L1247" s="451"/>
      <c r="M1247" s="448"/>
      <c r="N1247" s="448"/>
      <c r="O1247" s="475">
        <f>SUM(O1240:O1246)</f>
        <v>0</v>
      </c>
      <c r="P1247" s="545"/>
      <c r="R1247" s="490" t="str">
        <f>IF(O1247=0,"DELETE"," ")</f>
        <v>DELETE</v>
      </c>
      <c r="U1247" s="491" t="b">
        <f>O1247=SUM(TrialBalance!L113:L117)+SUM(TrialBalanceA!I113:I117)+SUM(TrialBalanceB!I113:I117)+SUM(TrialBalanceC!I113:I117)</f>
        <v>1</v>
      </c>
    </row>
    <row r="1248" spans="2:21" ht="9" customHeight="1" thickBot="1" x14ac:dyDescent="0.55000000000000004">
      <c r="B1248" s="501"/>
      <c r="C1248" s="516"/>
      <c r="D1248" s="631"/>
      <c r="E1248" s="631"/>
      <c r="F1248" s="631"/>
      <c r="G1248" s="631"/>
      <c r="H1248" s="631"/>
      <c r="I1248" s="631"/>
      <c r="J1248" s="631"/>
      <c r="L1248" s="451"/>
      <c r="M1248" s="448"/>
      <c r="N1248" s="448"/>
      <c r="O1248" s="462"/>
      <c r="P1248" s="545"/>
      <c r="R1248" s="490" t="str">
        <f>R1247</f>
        <v>DELETE</v>
      </c>
    </row>
    <row r="1249" spans="2:18" ht="9" customHeight="1" thickTop="1" x14ac:dyDescent="0.5">
      <c r="B1249" s="501"/>
      <c r="C1249" s="516"/>
      <c r="D1249" s="631"/>
      <c r="E1249" s="631"/>
      <c r="F1249" s="631"/>
      <c r="G1249" s="631"/>
      <c r="H1249" s="631"/>
      <c r="I1249" s="631"/>
      <c r="J1249" s="631"/>
      <c r="L1249" s="451"/>
      <c r="M1249" s="448"/>
      <c r="N1249" s="448"/>
      <c r="O1249" s="475"/>
      <c r="P1249" s="545"/>
      <c r="R1249" s="490" t="str">
        <f>R1248</f>
        <v>DELETE</v>
      </c>
    </row>
    <row r="1250" spans="2:18" ht="36" customHeight="1" x14ac:dyDescent="0.5">
      <c r="B1250" s="501"/>
      <c r="C1250" s="516"/>
      <c r="D1250" s="631"/>
      <c r="E1250" s="631"/>
      <c r="F1250" s="631"/>
      <c r="G1250" s="631"/>
      <c r="H1250" s="631"/>
      <c r="I1250" s="631"/>
      <c r="J1250" s="631"/>
      <c r="L1250" s="451"/>
      <c r="M1250" s="448"/>
      <c r="N1250" s="448"/>
      <c r="O1250" s="475"/>
      <c r="P1250" s="545"/>
      <c r="R1250" s="490" t="str">
        <f>R1247</f>
        <v>DELETE</v>
      </c>
    </row>
    <row r="1251" spans="2:18" ht="36" customHeight="1" x14ac:dyDescent="0.5">
      <c r="B1251" s="501"/>
      <c r="C1251" s="631" t="str">
        <f>IF(SUM(TrialBalance!L113:L117)+SUM(TrialBalance!N113:N117)+SUM(TrialBalanceA!I113:I117)+SUM(TrialBalanceA!K113:K117)+SUM(TrialBalanceB!I113:I117)+SUM(TrialBalanceB!K113:K117)+SUM(TrialBalanceC!I113:I117)+SUM(TrialBalanceC!K113:K117)&gt;0," ",IF(MAX(Criteria!I41:I45)&gt;1,"No remuneration was paid to the directors during the period under review.","No remuneration was paid to the director during the period under review."))</f>
        <v>No remuneration was paid to the directors during the period under review.</v>
      </c>
      <c r="D1251" s="451"/>
      <c r="E1251" s="631"/>
      <c r="F1251" s="631"/>
      <c r="G1251" s="631"/>
      <c r="H1251" s="631"/>
      <c r="I1251" s="631"/>
      <c r="J1251" s="631"/>
      <c r="M1251" s="475"/>
      <c r="N1251" s="475"/>
      <c r="O1251" s="475"/>
      <c r="P1251" s="545"/>
      <c r="R1251" s="490" t="str">
        <f>IF(C1251=" ","DELETE"," ")</f>
        <v xml:space="preserve"> </v>
      </c>
    </row>
    <row r="1252" spans="2:18" ht="36" customHeight="1" x14ac:dyDescent="0.5">
      <c r="B1252" s="501"/>
      <c r="C1252" s="516"/>
      <c r="D1252" s="631"/>
      <c r="E1252" s="631"/>
      <c r="F1252" s="631"/>
      <c r="G1252" s="631"/>
      <c r="H1252" s="631"/>
      <c r="I1252" s="631"/>
      <c r="J1252" s="631"/>
      <c r="M1252" s="475"/>
      <c r="N1252" s="475"/>
      <c r="O1252" s="475"/>
      <c r="P1252" s="545"/>
    </row>
    <row r="1253" spans="2:18" ht="36" customHeight="1" x14ac:dyDescent="0.5">
      <c r="D1253" s="630"/>
      <c r="E1253" s="631"/>
      <c r="F1253" s="631"/>
      <c r="G1253" s="631"/>
      <c r="H1253" s="631"/>
      <c r="I1253" s="631"/>
      <c r="J1253" s="631"/>
      <c r="M1253" s="545"/>
      <c r="N1253" s="545"/>
      <c r="O1253" s="545"/>
      <c r="P1253" s="545"/>
    </row>
    <row r="1254" spans="2:18" ht="36" customHeight="1" x14ac:dyDescent="0.5">
      <c r="D1254" s="630"/>
      <c r="E1254" s="631"/>
      <c r="F1254" s="631"/>
      <c r="G1254" s="631"/>
      <c r="H1254" s="631"/>
      <c r="I1254" s="631"/>
      <c r="J1254" s="631"/>
      <c r="M1254" s="545"/>
      <c r="N1254" s="545"/>
      <c r="O1254" s="545"/>
      <c r="P1254" s="545"/>
    </row>
    <row r="1255" spans="2:18" ht="36" customHeight="1" x14ac:dyDescent="0.5">
      <c r="D1255" s="630"/>
      <c r="E1255" s="631"/>
      <c r="F1255" s="631"/>
      <c r="G1255" s="631"/>
      <c r="H1255" s="631"/>
      <c r="I1255" s="631"/>
      <c r="J1255" s="631"/>
      <c r="M1255" s="540"/>
      <c r="O1255" s="540"/>
    </row>
    <row r="1256" spans="2:18" ht="36" customHeight="1" x14ac:dyDescent="0.5">
      <c r="B1256" s="501"/>
      <c r="C1256" s="516"/>
      <c r="D1256" s="631"/>
      <c r="E1256" s="631"/>
      <c r="F1256" s="631"/>
      <c r="G1256" s="631"/>
      <c r="H1256" s="631"/>
      <c r="I1256" s="631"/>
      <c r="J1256" s="631"/>
      <c r="M1256" s="458"/>
      <c r="N1256" s="458"/>
      <c r="O1256" s="458" t="s">
        <v>112</v>
      </c>
      <c r="P1256" s="539"/>
      <c r="Q1256" s="501">
        <f>MAX($Q$103:Q1255)+1</f>
        <v>33</v>
      </c>
      <c r="R1256" s="490" t="str">
        <f>R$1282</f>
        <v>DELETE</v>
      </c>
    </row>
    <row r="1257" spans="2:18" ht="36" customHeight="1" x14ac:dyDescent="0.5">
      <c r="B1257" s="502"/>
      <c r="C1257" s="515"/>
      <c r="D1257" s="630" t="str">
        <f>Criteria!E9</f>
        <v>ABC COMPANY (PROPRIETARY) LIMITED</v>
      </c>
      <c r="E1257" s="631"/>
      <c r="F1257" s="631"/>
      <c r="G1257" s="631"/>
      <c r="H1257" s="631"/>
      <c r="I1257" s="631"/>
      <c r="J1257" s="631"/>
      <c r="M1257" s="541"/>
      <c r="N1257" s="541"/>
      <c r="O1257" s="540"/>
      <c r="R1257" s="490" t="str">
        <f>R$1282</f>
        <v>DELETE</v>
      </c>
    </row>
    <row r="1258" spans="2:18" ht="36" customHeight="1" x14ac:dyDescent="0.5">
      <c r="B1258" s="502"/>
      <c r="C1258" s="515"/>
      <c r="D1258" s="630" t="str">
        <f>Criteria!E10</f>
        <v>T/A SEAFRONT HOTEL, ABC RESTAURANT AND RENTAL PROPERTIES</v>
      </c>
      <c r="E1258" s="631"/>
      <c r="F1258" s="631"/>
      <c r="G1258" s="631"/>
      <c r="H1258" s="631"/>
      <c r="I1258" s="631"/>
      <c r="J1258" s="631"/>
      <c r="M1258" s="541"/>
      <c r="N1258" s="541"/>
      <c r="O1258" s="541"/>
      <c r="R1258" s="490" t="str">
        <f>IF(R$1282="DELETE","DELETE",IF(D1258=0,"DELETE"," "))</f>
        <v>DELETE</v>
      </c>
    </row>
    <row r="1259" spans="2:18" ht="36" customHeight="1" x14ac:dyDescent="0.5">
      <c r="B1259" s="502"/>
      <c r="C1259" s="515"/>
      <c r="D1259" s="631"/>
      <c r="E1259" s="631"/>
      <c r="F1259" s="631"/>
      <c r="G1259" s="631"/>
      <c r="H1259" s="631"/>
      <c r="I1259" s="631"/>
      <c r="J1259" s="631"/>
      <c r="M1259" s="541"/>
      <c r="N1259" s="541"/>
      <c r="O1259" s="541"/>
      <c r="R1259" s="490" t="str">
        <f t="shared" ref="R1259:R1267" si="43">R$1282</f>
        <v>DELETE</v>
      </c>
    </row>
    <row r="1260" spans="2:18" ht="36" customHeight="1" x14ac:dyDescent="0.5">
      <c r="B1260" s="502"/>
      <c r="C1260" s="515"/>
      <c r="D1260" s="630" t="s">
        <v>415</v>
      </c>
      <c r="E1260" s="631"/>
      <c r="F1260" s="631"/>
      <c r="G1260" s="631"/>
      <c r="H1260" s="631"/>
      <c r="I1260" s="631"/>
      <c r="J1260" s="631"/>
      <c r="M1260" s="541"/>
      <c r="N1260" s="541"/>
      <c r="O1260" s="541"/>
      <c r="R1260" s="490" t="str">
        <f t="shared" si="43"/>
        <v>DELETE</v>
      </c>
    </row>
    <row r="1261" spans="2:18" ht="36" customHeight="1" x14ac:dyDescent="0.5">
      <c r="B1261" s="502"/>
      <c r="C1261" s="515"/>
      <c r="D1261" s="630" t="str">
        <f>Criteria!E20</f>
        <v>28 FEBRUARY 2026</v>
      </c>
      <c r="E1261" s="631"/>
      <c r="F1261" s="631"/>
      <c r="G1261" s="631"/>
      <c r="H1261" s="631"/>
      <c r="I1261" s="631"/>
      <c r="J1261" s="631" t="s">
        <v>282</v>
      </c>
      <c r="M1261" s="541"/>
      <c r="N1261" s="541"/>
      <c r="O1261" s="541"/>
      <c r="R1261" s="490" t="str">
        <f t="shared" si="43"/>
        <v>DELETE</v>
      </c>
    </row>
    <row r="1262" spans="2:18" ht="36" customHeight="1" x14ac:dyDescent="0.5">
      <c r="B1262" s="502"/>
      <c r="C1262" s="515"/>
      <c r="D1262" s="630"/>
      <c r="E1262" s="631"/>
      <c r="F1262" s="631"/>
      <c r="G1262" s="631"/>
      <c r="H1262" s="631"/>
      <c r="I1262" s="631"/>
      <c r="J1262" s="631"/>
      <c r="M1262" s="541"/>
      <c r="N1262" s="541"/>
      <c r="O1262" s="541"/>
      <c r="R1262" s="490" t="str">
        <f t="shared" si="43"/>
        <v>DELETE</v>
      </c>
    </row>
    <row r="1263" spans="2:18" ht="36" customHeight="1" x14ac:dyDescent="0.5">
      <c r="B1263" s="640"/>
      <c r="C1263" s="517"/>
      <c r="D1263" s="649"/>
      <c r="E1263" s="649"/>
      <c r="F1263" s="649"/>
      <c r="G1263" s="649"/>
      <c r="H1263" s="649"/>
      <c r="I1263" s="649"/>
      <c r="J1263" s="649"/>
      <c r="K1263" s="457"/>
      <c r="L1263" s="457"/>
      <c r="M1263" s="459"/>
      <c r="N1263" s="459"/>
      <c r="O1263" s="459"/>
      <c r="P1263" s="551"/>
      <c r="Q1263" s="457"/>
      <c r="R1263" s="490" t="str">
        <f t="shared" si="43"/>
        <v>DELETE</v>
      </c>
    </row>
    <row r="1264" spans="2:18" ht="36" customHeight="1" x14ac:dyDescent="0.5">
      <c r="B1264" s="501"/>
      <c r="C1264" s="516"/>
      <c r="D1264" s="631"/>
      <c r="E1264" s="631"/>
      <c r="F1264" s="631"/>
      <c r="G1264" s="631"/>
      <c r="H1264" s="631"/>
      <c r="I1264" s="631"/>
      <c r="J1264" s="631"/>
      <c r="L1264" s="451"/>
      <c r="M1264" s="448"/>
      <c r="N1264" s="448"/>
      <c r="O1264" s="453">
        <f>Criteria!E22</f>
        <v>2026</v>
      </c>
      <c r="R1264" s="490" t="str">
        <f t="shared" si="43"/>
        <v>DELETE</v>
      </c>
    </row>
    <row r="1265" spans="2:18" ht="36" customHeight="1" x14ac:dyDescent="0.5">
      <c r="B1265" s="501"/>
      <c r="C1265" s="516"/>
      <c r="D1265" s="631"/>
      <c r="E1265" s="631"/>
      <c r="F1265" s="631"/>
      <c r="G1265" s="631"/>
      <c r="H1265" s="631"/>
      <c r="I1265" s="631"/>
      <c r="J1265" s="631"/>
      <c r="L1265" s="451"/>
      <c r="M1265" s="448"/>
      <c r="N1265" s="448"/>
      <c r="O1265" s="458"/>
      <c r="R1265" s="490" t="str">
        <f t="shared" si="43"/>
        <v>DELETE</v>
      </c>
    </row>
    <row r="1266" spans="2:18" ht="36" customHeight="1" x14ac:dyDescent="0.5">
      <c r="B1266" s="501"/>
      <c r="C1266" s="630" t="s">
        <v>547</v>
      </c>
      <c r="D1266" s="451"/>
      <c r="E1266" s="631"/>
      <c r="F1266" s="631"/>
      <c r="G1266" s="631"/>
      <c r="H1266" s="631"/>
      <c r="I1266" s="631"/>
      <c r="J1266" s="631"/>
      <c r="L1266" s="451"/>
      <c r="M1266" s="448"/>
      <c r="N1266" s="448"/>
      <c r="O1266" s="458"/>
      <c r="R1266" s="490" t="str">
        <f t="shared" si="43"/>
        <v>DELETE</v>
      </c>
    </row>
    <row r="1267" spans="2:18" ht="36" customHeight="1" x14ac:dyDescent="0.5">
      <c r="B1267" s="501"/>
      <c r="C1267" s="630"/>
      <c r="D1267" s="451"/>
      <c r="E1267" s="631"/>
      <c r="F1267" s="631"/>
      <c r="G1267" s="631"/>
      <c r="H1267" s="631"/>
      <c r="I1267" s="631"/>
      <c r="J1267" s="631"/>
      <c r="L1267" s="451"/>
      <c r="M1267" s="448"/>
      <c r="N1267" s="448"/>
      <c r="O1267" s="458"/>
      <c r="R1267" s="490" t="str">
        <f t="shared" si="43"/>
        <v>DELETE</v>
      </c>
    </row>
    <row r="1268" spans="2:18" ht="36" customHeight="1" x14ac:dyDescent="0.5">
      <c r="B1268" s="501"/>
      <c r="C1268" s="631" t="str">
        <f>TrialBalance!C61</f>
        <v>Premises</v>
      </c>
      <c r="D1268" s="451"/>
      <c r="E1268" s="631"/>
      <c r="F1268" s="631"/>
      <c r="G1268" s="631"/>
      <c r="H1268" s="631"/>
      <c r="I1268" s="631"/>
      <c r="J1268" s="631"/>
      <c r="L1268" s="451"/>
      <c r="M1268" s="448"/>
      <c r="N1268" s="448"/>
      <c r="O1268" s="458">
        <f>TrialBalance!L61</f>
        <v>0</v>
      </c>
      <c r="R1268" s="490" t="str">
        <f t="shared" ref="R1268:R1279" si="44">IF(O1268=0,"DELETE"," ")</f>
        <v>DELETE</v>
      </c>
    </row>
    <row r="1269" spans="2:18" ht="36" customHeight="1" x14ac:dyDescent="0.5">
      <c r="B1269" s="501"/>
      <c r="C1269" s="631">
        <f>TrialBalance!C62</f>
        <v>0</v>
      </c>
      <c r="D1269" s="451"/>
      <c r="E1269" s="631"/>
      <c r="F1269" s="631"/>
      <c r="G1269" s="631"/>
      <c r="H1269" s="631"/>
      <c r="I1269" s="631"/>
      <c r="J1269" s="631"/>
      <c r="L1269" s="451"/>
      <c r="M1269" s="448"/>
      <c r="N1269" s="448"/>
      <c r="O1269" s="458">
        <f>TrialBalance!L62</f>
        <v>0</v>
      </c>
      <c r="R1269" s="490" t="str">
        <f t="shared" si="44"/>
        <v>DELETE</v>
      </c>
    </row>
    <row r="1270" spans="2:18" ht="36" customHeight="1" x14ac:dyDescent="0.5">
      <c r="B1270" s="501"/>
      <c r="C1270" s="631">
        <f>TrialBalance!C63</f>
        <v>0</v>
      </c>
      <c r="D1270" s="451"/>
      <c r="E1270" s="631"/>
      <c r="F1270" s="631"/>
      <c r="G1270" s="631"/>
      <c r="H1270" s="631"/>
      <c r="I1270" s="631"/>
      <c r="J1270" s="631"/>
      <c r="L1270" s="451"/>
      <c r="M1270" s="448"/>
      <c r="N1270" s="448"/>
      <c r="O1270" s="458">
        <f>TrialBalance!L63</f>
        <v>0</v>
      </c>
      <c r="R1270" s="490" t="str">
        <f t="shared" si="44"/>
        <v>DELETE</v>
      </c>
    </row>
    <row r="1271" spans="2:18" ht="36" customHeight="1" x14ac:dyDescent="0.5">
      <c r="B1271" s="501"/>
      <c r="C1271" s="631">
        <f>TrialBalanceA!C61</f>
        <v>0</v>
      </c>
      <c r="D1271" s="451"/>
      <c r="E1271" s="631"/>
      <c r="F1271" s="631"/>
      <c r="G1271" s="631"/>
      <c r="H1271" s="631"/>
      <c r="I1271" s="631"/>
      <c r="J1271" s="631"/>
      <c r="L1271" s="451"/>
      <c r="M1271" s="448"/>
      <c r="N1271" s="448"/>
      <c r="O1271" s="458">
        <f>TrialBalanceA!I61</f>
        <v>0</v>
      </c>
      <c r="R1271" s="490" t="str">
        <f t="shared" si="44"/>
        <v>DELETE</v>
      </c>
    </row>
    <row r="1272" spans="2:18" ht="36" customHeight="1" x14ac:dyDescent="0.5">
      <c r="B1272" s="501"/>
      <c r="C1272" s="631">
        <f>TrialBalanceA!C62</f>
        <v>0</v>
      </c>
      <c r="D1272" s="451"/>
      <c r="E1272" s="631"/>
      <c r="F1272" s="631"/>
      <c r="G1272" s="631"/>
      <c r="H1272" s="631"/>
      <c r="I1272" s="631"/>
      <c r="J1272" s="631"/>
      <c r="L1272" s="451"/>
      <c r="M1272" s="448"/>
      <c r="N1272" s="448"/>
      <c r="O1272" s="458">
        <f>TrialBalanceA!I62</f>
        <v>0</v>
      </c>
      <c r="R1272" s="490" t="str">
        <f t="shared" si="44"/>
        <v>DELETE</v>
      </c>
    </row>
    <row r="1273" spans="2:18" ht="36" customHeight="1" x14ac:dyDescent="0.5">
      <c r="B1273" s="501"/>
      <c r="C1273" s="631">
        <f>TrialBalanceA!C63</f>
        <v>0</v>
      </c>
      <c r="D1273" s="451"/>
      <c r="E1273" s="631"/>
      <c r="F1273" s="631"/>
      <c r="G1273" s="631"/>
      <c r="H1273" s="631"/>
      <c r="I1273" s="631"/>
      <c r="J1273" s="631"/>
      <c r="L1273" s="451"/>
      <c r="M1273" s="448"/>
      <c r="N1273" s="448"/>
      <c r="O1273" s="458">
        <f>TrialBalanceA!I63</f>
        <v>0</v>
      </c>
      <c r="R1273" s="490" t="str">
        <f t="shared" si="44"/>
        <v>DELETE</v>
      </c>
    </row>
    <row r="1274" spans="2:18" ht="36" customHeight="1" x14ac:dyDescent="0.5">
      <c r="B1274" s="501"/>
      <c r="C1274" s="631">
        <f>TrialBalanceB!C61</f>
        <v>0</v>
      </c>
      <c r="D1274" s="451"/>
      <c r="E1274" s="631"/>
      <c r="F1274" s="631"/>
      <c r="G1274" s="631"/>
      <c r="H1274" s="631"/>
      <c r="I1274" s="631"/>
      <c r="J1274" s="631"/>
      <c r="L1274" s="451"/>
      <c r="M1274" s="448"/>
      <c r="N1274" s="448"/>
      <c r="O1274" s="458">
        <f>TrialBalanceB!I61</f>
        <v>0</v>
      </c>
      <c r="R1274" s="490" t="str">
        <f t="shared" si="44"/>
        <v>DELETE</v>
      </c>
    </row>
    <row r="1275" spans="2:18" ht="36" customHeight="1" x14ac:dyDescent="0.5">
      <c r="B1275" s="501"/>
      <c r="C1275" s="631">
        <f>TrialBalanceB!C62</f>
        <v>0</v>
      </c>
      <c r="D1275" s="451"/>
      <c r="E1275" s="631"/>
      <c r="F1275" s="631"/>
      <c r="G1275" s="631"/>
      <c r="H1275" s="631"/>
      <c r="I1275" s="631"/>
      <c r="J1275" s="631"/>
      <c r="L1275" s="451"/>
      <c r="M1275" s="448"/>
      <c r="N1275" s="448"/>
      <c r="O1275" s="458">
        <f>TrialBalanceB!I62</f>
        <v>0</v>
      </c>
      <c r="R1275" s="490" t="str">
        <f t="shared" si="44"/>
        <v>DELETE</v>
      </c>
    </row>
    <row r="1276" spans="2:18" ht="36" customHeight="1" x14ac:dyDescent="0.5">
      <c r="B1276" s="501"/>
      <c r="C1276" s="631">
        <f>TrialBalanceB!C63</f>
        <v>0</v>
      </c>
      <c r="D1276" s="451"/>
      <c r="E1276" s="631"/>
      <c r="F1276" s="631"/>
      <c r="G1276" s="631"/>
      <c r="H1276" s="631"/>
      <c r="I1276" s="631"/>
      <c r="J1276" s="631"/>
      <c r="L1276" s="451"/>
      <c r="M1276" s="448"/>
      <c r="N1276" s="448"/>
      <c r="O1276" s="458">
        <f>TrialBalanceB!I63</f>
        <v>0</v>
      </c>
      <c r="R1276" s="490" t="str">
        <f t="shared" si="44"/>
        <v>DELETE</v>
      </c>
    </row>
    <row r="1277" spans="2:18" ht="36" customHeight="1" x14ac:dyDescent="0.5">
      <c r="B1277" s="501"/>
      <c r="C1277" s="631">
        <f>TrialBalanceC!C61</f>
        <v>0</v>
      </c>
      <c r="D1277" s="451"/>
      <c r="E1277" s="631"/>
      <c r="F1277" s="631"/>
      <c r="G1277" s="631"/>
      <c r="H1277" s="631"/>
      <c r="I1277" s="631"/>
      <c r="J1277" s="631"/>
      <c r="L1277" s="451"/>
      <c r="M1277" s="448"/>
      <c r="N1277" s="448"/>
      <c r="O1277" s="458">
        <f>TrialBalanceC!I61</f>
        <v>0</v>
      </c>
      <c r="R1277" s="490" t="str">
        <f t="shared" si="44"/>
        <v>DELETE</v>
      </c>
    </row>
    <row r="1278" spans="2:18" ht="36" customHeight="1" x14ac:dyDescent="0.5">
      <c r="B1278" s="501"/>
      <c r="C1278" s="631">
        <f>TrialBalanceC!C62</f>
        <v>0</v>
      </c>
      <c r="D1278" s="451"/>
      <c r="E1278" s="631"/>
      <c r="F1278" s="631"/>
      <c r="G1278" s="631"/>
      <c r="H1278" s="631"/>
      <c r="I1278" s="631"/>
      <c r="J1278" s="631"/>
      <c r="L1278" s="451"/>
      <c r="M1278" s="448"/>
      <c r="N1278" s="448"/>
      <c r="O1278" s="458">
        <f>TrialBalanceC!I62</f>
        <v>0</v>
      </c>
      <c r="R1278" s="490" t="str">
        <f t="shared" si="44"/>
        <v>DELETE</v>
      </c>
    </row>
    <row r="1279" spans="2:18" ht="36" customHeight="1" x14ac:dyDescent="0.5">
      <c r="B1279" s="501"/>
      <c r="C1279" s="631">
        <f>TrialBalanceC!C63</f>
        <v>0</v>
      </c>
      <c r="D1279" s="451"/>
      <c r="E1279" s="631"/>
      <c r="F1279" s="631"/>
      <c r="G1279" s="631"/>
      <c r="H1279" s="631"/>
      <c r="I1279" s="631"/>
      <c r="J1279" s="631"/>
      <c r="L1279" s="451"/>
      <c r="M1279" s="448"/>
      <c r="N1279" s="448"/>
      <c r="O1279" s="458">
        <f>TrialBalanceC!I63</f>
        <v>0</v>
      </c>
      <c r="R1279" s="490" t="str">
        <f t="shared" si="44"/>
        <v>DELETE</v>
      </c>
    </row>
    <row r="1280" spans="2:18" ht="9" customHeight="1" x14ac:dyDescent="0.5">
      <c r="B1280" s="501"/>
      <c r="C1280" s="518"/>
      <c r="D1280" s="631"/>
      <c r="E1280" s="631"/>
      <c r="F1280" s="631"/>
      <c r="G1280" s="631"/>
      <c r="H1280" s="631"/>
      <c r="I1280" s="631"/>
      <c r="J1280" s="631"/>
      <c r="L1280" s="451"/>
      <c r="M1280" s="448"/>
      <c r="N1280" s="448"/>
      <c r="O1280" s="461"/>
      <c r="R1280" s="490" t="str">
        <f>R$1282</f>
        <v>DELETE</v>
      </c>
    </row>
    <row r="1281" spans="2:21" ht="9" customHeight="1" x14ac:dyDescent="0.5">
      <c r="B1281" s="501"/>
      <c r="C1281" s="518"/>
      <c r="D1281" s="631"/>
      <c r="E1281" s="631"/>
      <c r="F1281" s="631"/>
      <c r="G1281" s="631"/>
      <c r="H1281" s="631"/>
      <c r="I1281" s="631"/>
      <c r="J1281" s="631"/>
      <c r="L1281" s="451"/>
      <c r="M1281" s="448"/>
      <c r="N1281" s="448"/>
      <c r="O1281" s="458"/>
      <c r="R1281" s="490" t="str">
        <f>R$1282</f>
        <v>DELETE</v>
      </c>
    </row>
    <row r="1282" spans="2:21" ht="36.75" customHeight="1" x14ac:dyDescent="0.5">
      <c r="B1282" s="501"/>
      <c r="C1282" s="518"/>
      <c r="D1282" s="631"/>
      <c r="E1282" s="631"/>
      <c r="F1282" s="631"/>
      <c r="G1282" s="631"/>
      <c r="H1282" s="631"/>
      <c r="I1282" s="631"/>
      <c r="J1282" s="631"/>
      <c r="L1282" s="451"/>
      <c r="M1282" s="448"/>
      <c r="N1282" s="448"/>
      <c r="O1282" s="458">
        <f>SUM(O1268:O1281)</f>
        <v>0</v>
      </c>
      <c r="R1282" s="490" t="str">
        <f t="shared" ref="R1282" si="45">IF(O1282=0,"DELETE"," ")</f>
        <v>DELETE</v>
      </c>
      <c r="U1282" s="491" t="b">
        <f>O1282=SUM(TrialBalance!L61:L63)+SUM(TrialBalanceA!I61:I63)+SUM(TrialBalanceB!I61:I63)+SUM(TrialBalanceC!I61:I63)</f>
        <v>1</v>
      </c>
    </row>
    <row r="1283" spans="2:21" ht="9" customHeight="1" thickBot="1" x14ac:dyDescent="0.55000000000000004">
      <c r="B1283" s="501"/>
      <c r="C1283" s="518"/>
      <c r="D1283" s="631"/>
      <c r="E1283" s="631"/>
      <c r="F1283" s="631"/>
      <c r="G1283" s="631"/>
      <c r="H1283" s="631"/>
      <c r="I1283" s="631"/>
      <c r="J1283" s="631"/>
      <c r="L1283" s="451"/>
      <c r="M1283" s="448"/>
      <c r="N1283" s="448"/>
      <c r="O1283" s="462"/>
      <c r="R1283" s="490" t="str">
        <f t="shared" ref="R1283:R1288" si="46">R$1282</f>
        <v>DELETE</v>
      </c>
    </row>
    <row r="1284" spans="2:21" ht="9" customHeight="1" thickTop="1" x14ac:dyDescent="0.5">
      <c r="B1284" s="501"/>
      <c r="C1284" s="518"/>
      <c r="D1284" s="631"/>
      <c r="E1284" s="631"/>
      <c r="F1284" s="631"/>
      <c r="G1284" s="631"/>
      <c r="H1284" s="631"/>
      <c r="I1284" s="631"/>
      <c r="J1284" s="631"/>
      <c r="L1284" s="451"/>
      <c r="M1284" s="448"/>
      <c r="N1284" s="448"/>
      <c r="O1284" s="475"/>
      <c r="R1284" s="490" t="str">
        <f t="shared" si="46"/>
        <v>DELETE</v>
      </c>
    </row>
    <row r="1285" spans="2:21" ht="36" customHeight="1" x14ac:dyDescent="0.5">
      <c r="B1285" s="501"/>
      <c r="C1285" s="518"/>
      <c r="D1285" s="631"/>
      <c r="E1285" s="631"/>
      <c r="F1285" s="631"/>
      <c r="G1285" s="631"/>
      <c r="H1285" s="631"/>
      <c r="I1285" s="631"/>
      <c r="J1285" s="631"/>
      <c r="L1285" s="451"/>
      <c r="M1285" s="448"/>
      <c r="N1285" s="448"/>
      <c r="O1285" s="458"/>
      <c r="R1285" s="490" t="str">
        <f t="shared" si="46"/>
        <v>DELETE</v>
      </c>
    </row>
    <row r="1286" spans="2:21" ht="36" customHeight="1" x14ac:dyDescent="0.5">
      <c r="B1286" s="501"/>
      <c r="C1286" s="518"/>
      <c r="D1286" s="631"/>
      <c r="E1286" s="631"/>
      <c r="F1286" s="631"/>
      <c r="G1286" s="631"/>
      <c r="H1286" s="631"/>
      <c r="I1286" s="631"/>
      <c r="J1286" s="631"/>
      <c r="M1286" s="458"/>
      <c r="N1286" s="458"/>
      <c r="O1286" s="458"/>
      <c r="R1286" s="490" t="str">
        <f t="shared" si="46"/>
        <v>DELETE</v>
      </c>
    </row>
    <row r="1287" spans="2:21" ht="36" customHeight="1" x14ac:dyDescent="0.5">
      <c r="B1287" s="501"/>
      <c r="C1287" s="518"/>
      <c r="D1287" s="631"/>
      <c r="E1287" s="631"/>
      <c r="F1287" s="631"/>
      <c r="G1287" s="631"/>
      <c r="H1287" s="631"/>
      <c r="I1287" s="631"/>
      <c r="J1287" s="631"/>
      <c r="M1287" s="475"/>
      <c r="N1287" s="475"/>
      <c r="O1287" s="475"/>
      <c r="P1287" s="545"/>
      <c r="R1287" s="490" t="str">
        <f t="shared" si="46"/>
        <v>DELETE</v>
      </c>
    </row>
    <row r="1288" spans="2:21" ht="36" customHeight="1" x14ac:dyDescent="0.5">
      <c r="B1288" s="501"/>
      <c r="C1288" s="518"/>
      <c r="D1288" s="631"/>
      <c r="E1288" s="631"/>
      <c r="F1288" s="631"/>
      <c r="G1288" s="631"/>
      <c r="H1288" s="631"/>
      <c r="I1288" s="631"/>
      <c r="J1288" s="631"/>
      <c r="M1288" s="458"/>
      <c r="N1288" s="458"/>
      <c r="O1288" s="458"/>
      <c r="R1288" s="490" t="str">
        <f t="shared" si="46"/>
        <v>DELETE</v>
      </c>
    </row>
    <row r="1289" spans="2:21" ht="36" customHeight="1" x14ac:dyDescent="0.5">
      <c r="B1289" s="501"/>
      <c r="C1289" s="518"/>
      <c r="D1289" s="631"/>
      <c r="E1289" s="631"/>
      <c r="F1289" s="631"/>
      <c r="G1289" s="631"/>
      <c r="H1289" s="631"/>
      <c r="I1289" s="631"/>
      <c r="J1289" s="631"/>
      <c r="M1289" s="458"/>
      <c r="N1289" s="458"/>
      <c r="O1289" s="458" t="s">
        <v>112</v>
      </c>
      <c r="Q1289" s="450">
        <f>MAX($Q$103:Q1288)+1</f>
        <v>34</v>
      </c>
      <c r="R1289" s="490" t="str">
        <f>R$1308</f>
        <v>DELETE</v>
      </c>
    </row>
    <row r="1290" spans="2:21" ht="36" customHeight="1" x14ac:dyDescent="0.5">
      <c r="B1290" s="502"/>
      <c r="C1290" s="515"/>
      <c r="D1290" s="630" t="str">
        <f>Criteria!E9</f>
        <v>ABC COMPANY (PROPRIETARY) LIMITED</v>
      </c>
      <c r="E1290" s="631"/>
      <c r="F1290" s="631"/>
      <c r="G1290" s="631"/>
      <c r="H1290" s="631"/>
      <c r="I1290" s="631"/>
      <c r="J1290" s="631"/>
      <c r="M1290" s="541"/>
      <c r="N1290" s="541"/>
      <c r="O1290" s="540"/>
      <c r="R1290" s="490" t="str">
        <f>R$1308</f>
        <v>DELETE</v>
      </c>
    </row>
    <row r="1291" spans="2:21" ht="36" customHeight="1" x14ac:dyDescent="0.5">
      <c r="B1291" s="502"/>
      <c r="C1291" s="515"/>
      <c r="D1291" s="630" t="str">
        <f>Criteria!E10</f>
        <v>T/A SEAFRONT HOTEL, ABC RESTAURANT AND RENTAL PROPERTIES</v>
      </c>
      <c r="E1291" s="631"/>
      <c r="F1291" s="631"/>
      <c r="G1291" s="631"/>
      <c r="H1291" s="631"/>
      <c r="I1291" s="631"/>
      <c r="J1291" s="631"/>
      <c r="M1291" s="541"/>
      <c r="N1291" s="541"/>
      <c r="O1291" s="541"/>
      <c r="R1291" s="490" t="str">
        <f>IF(R$1308="DELETE","DELETE",IF(D1291=0,"DELETE"," "))</f>
        <v>DELETE</v>
      </c>
    </row>
    <row r="1292" spans="2:21" ht="36" customHeight="1" x14ac:dyDescent="0.5">
      <c r="B1292" s="502"/>
      <c r="C1292" s="515"/>
      <c r="D1292" s="631"/>
      <c r="E1292" s="631"/>
      <c r="F1292" s="631"/>
      <c r="G1292" s="631"/>
      <c r="H1292" s="631"/>
      <c r="I1292" s="631"/>
      <c r="J1292" s="631"/>
      <c r="M1292" s="541"/>
      <c r="N1292" s="541"/>
      <c r="O1292" s="541"/>
      <c r="R1292" s="490" t="str">
        <f t="shared" ref="R1292:R1300" si="47">R$1308</f>
        <v>DELETE</v>
      </c>
    </row>
    <row r="1293" spans="2:21" ht="36" customHeight="1" x14ac:dyDescent="0.5">
      <c r="B1293" s="502"/>
      <c r="C1293" s="515"/>
      <c r="D1293" s="630" t="s">
        <v>415</v>
      </c>
      <c r="E1293" s="631"/>
      <c r="F1293" s="631"/>
      <c r="G1293" s="631"/>
      <c r="H1293" s="631"/>
      <c r="I1293" s="631"/>
      <c r="J1293" s="631"/>
      <c r="M1293" s="541"/>
      <c r="N1293" s="541"/>
      <c r="O1293" s="541"/>
      <c r="R1293" s="490" t="str">
        <f t="shared" si="47"/>
        <v>DELETE</v>
      </c>
    </row>
    <row r="1294" spans="2:21" ht="36" customHeight="1" x14ac:dyDescent="0.5">
      <c r="B1294" s="502"/>
      <c r="C1294" s="515"/>
      <c r="D1294" s="630" t="str">
        <f>Criteria!E20</f>
        <v>28 FEBRUARY 2026</v>
      </c>
      <c r="E1294" s="631"/>
      <c r="F1294" s="631"/>
      <c r="G1294" s="631"/>
      <c r="H1294" s="631"/>
      <c r="I1294" s="631"/>
      <c r="J1294" s="631" t="s">
        <v>282</v>
      </c>
      <c r="M1294" s="541"/>
      <c r="N1294" s="541"/>
      <c r="O1294" s="541"/>
      <c r="R1294" s="490" t="str">
        <f t="shared" si="47"/>
        <v>DELETE</v>
      </c>
    </row>
    <row r="1295" spans="2:21" ht="36" customHeight="1" x14ac:dyDescent="0.5">
      <c r="B1295" s="502"/>
      <c r="C1295" s="515"/>
      <c r="D1295" s="630"/>
      <c r="E1295" s="631"/>
      <c r="F1295" s="631"/>
      <c r="G1295" s="631"/>
      <c r="H1295" s="631"/>
      <c r="I1295" s="631"/>
      <c r="J1295" s="631"/>
      <c r="M1295" s="541"/>
      <c r="N1295" s="541"/>
      <c r="O1295" s="541"/>
      <c r="R1295" s="490" t="str">
        <f t="shared" si="47"/>
        <v>DELETE</v>
      </c>
    </row>
    <row r="1296" spans="2:21" ht="36" customHeight="1" x14ac:dyDescent="0.5">
      <c r="B1296" s="640"/>
      <c r="C1296" s="519"/>
      <c r="D1296" s="649"/>
      <c r="E1296" s="649"/>
      <c r="F1296" s="649"/>
      <c r="G1296" s="649"/>
      <c r="H1296" s="649"/>
      <c r="I1296" s="649"/>
      <c r="J1296" s="649"/>
      <c r="K1296" s="457"/>
      <c r="L1296" s="457"/>
      <c r="M1296" s="459"/>
      <c r="N1296" s="459"/>
      <c r="O1296" s="459"/>
      <c r="P1296" s="551"/>
      <c r="Q1296" s="457"/>
      <c r="R1296" s="490" t="str">
        <f t="shared" si="47"/>
        <v>DELETE</v>
      </c>
    </row>
    <row r="1297" spans="2:21" ht="36" customHeight="1" x14ac:dyDescent="0.5">
      <c r="B1297" s="501"/>
      <c r="C1297" s="518"/>
      <c r="D1297" s="631"/>
      <c r="E1297" s="631"/>
      <c r="F1297" s="631"/>
      <c r="G1297" s="631"/>
      <c r="H1297" s="631"/>
      <c r="I1297" s="631"/>
      <c r="J1297" s="631"/>
      <c r="L1297" s="451"/>
      <c r="M1297" s="448"/>
      <c r="N1297" s="448"/>
      <c r="O1297" s="453">
        <f>Criteria!E22</f>
        <v>2026</v>
      </c>
      <c r="R1297" s="490" t="str">
        <f t="shared" si="47"/>
        <v>DELETE</v>
      </c>
    </row>
    <row r="1298" spans="2:21" ht="36" customHeight="1" x14ac:dyDescent="0.5">
      <c r="B1298" s="501"/>
      <c r="C1298" s="518"/>
      <c r="D1298" s="631"/>
      <c r="E1298" s="631"/>
      <c r="F1298" s="631"/>
      <c r="G1298" s="631"/>
      <c r="H1298" s="631"/>
      <c r="I1298" s="631"/>
      <c r="J1298" s="631"/>
      <c r="L1298" s="451"/>
      <c r="M1298" s="448"/>
      <c r="N1298" s="448"/>
      <c r="O1298" s="458"/>
      <c r="R1298" s="490" t="str">
        <f t="shared" si="47"/>
        <v>DELETE</v>
      </c>
    </row>
    <row r="1299" spans="2:21" ht="36" customHeight="1" x14ac:dyDescent="0.5">
      <c r="B1299" s="501"/>
      <c r="C1299" s="630" t="s">
        <v>304</v>
      </c>
      <c r="D1299" s="451"/>
      <c r="E1299" s="631"/>
      <c r="F1299" s="631"/>
      <c r="G1299" s="631"/>
      <c r="H1299" s="631"/>
      <c r="I1299" s="631"/>
      <c r="J1299" s="631"/>
      <c r="L1299" s="451"/>
      <c r="M1299" s="448"/>
      <c r="N1299" s="448"/>
      <c r="O1299" s="458"/>
      <c r="R1299" s="490" t="str">
        <f t="shared" si="47"/>
        <v>DELETE</v>
      </c>
    </row>
    <row r="1300" spans="2:21" ht="36" customHeight="1" x14ac:dyDescent="0.5">
      <c r="B1300" s="501"/>
      <c r="C1300" s="630"/>
      <c r="D1300" s="451"/>
      <c r="E1300" s="631"/>
      <c r="F1300" s="631"/>
      <c r="G1300" s="631"/>
      <c r="H1300" s="631"/>
      <c r="I1300" s="631"/>
      <c r="J1300" s="631"/>
      <c r="L1300" s="451"/>
      <c r="M1300" s="448"/>
      <c r="N1300" s="448"/>
      <c r="O1300" s="458"/>
      <c r="R1300" s="490" t="str">
        <f t="shared" si="47"/>
        <v>DELETE</v>
      </c>
    </row>
    <row r="1301" spans="2:21" ht="36" customHeight="1" x14ac:dyDescent="0.5">
      <c r="B1301" s="501"/>
      <c r="C1301" s="631" t="s">
        <v>1224</v>
      </c>
      <c r="D1301" s="451"/>
      <c r="E1301" s="631"/>
      <c r="F1301" s="631"/>
      <c r="G1301" s="631"/>
      <c r="H1301" s="631"/>
      <c r="I1301" s="631"/>
      <c r="J1301" s="631"/>
      <c r="L1301" s="451"/>
      <c r="M1301" s="448"/>
      <c r="N1301" s="448"/>
      <c r="O1301" s="458">
        <f>TrialBalance!L44+TrialBalanceA!I44+TrialBalanceB!I44+TrialBalanceC!I44</f>
        <v>0</v>
      </c>
      <c r="R1301" s="490" t="str">
        <f t="shared" ref="R1301:R1304" si="48">IF(O1301=0,"DELETE"," ")</f>
        <v>DELETE</v>
      </c>
    </row>
    <row r="1302" spans="2:21" ht="36" customHeight="1" x14ac:dyDescent="0.5">
      <c r="B1302" s="501"/>
      <c r="C1302" s="631" t="s">
        <v>877</v>
      </c>
      <c r="D1302" s="451"/>
      <c r="E1302" s="631"/>
      <c r="F1302" s="631"/>
      <c r="G1302" s="631"/>
      <c r="H1302" s="631"/>
      <c r="I1302" s="631"/>
      <c r="J1302" s="631"/>
      <c r="L1302" s="451"/>
      <c r="M1302" s="448"/>
      <c r="N1302" s="448"/>
      <c r="O1302" s="458">
        <f>TrialBalance!L45+TrialBalanceA!I45+TrialBalanceB!I45+TrialBalanceC!I45</f>
        <v>0</v>
      </c>
      <c r="R1302" s="490" t="str">
        <f t="shared" si="48"/>
        <v>DELETE</v>
      </c>
    </row>
    <row r="1303" spans="2:21" ht="36" customHeight="1" x14ac:dyDescent="0.5">
      <c r="B1303" s="501"/>
      <c r="C1303" s="631" t="s">
        <v>613</v>
      </c>
      <c r="D1303" s="451"/>
      <c r="E1303" s="631"/>
      <c r="F1303" s="631"/>
      <c r="G1303" s="631"/>
      <c r="H1303" s="631"/>
      <c r="I1303" s="631"/>
      <c r="J1303" s="631"/>
      <c r="L1303" s="451"/>
      <c r="M1303" s="448"/>
      <c r="N1303" s="448"/>
      <c r="O1303" s="458">
        <f>TrialBalance!L46+TrialBalanceA!I46+TrialBalanceB!I46+TrialBalanceC!I46</f>
        <v>0</v>
      </c>
      <c r="R1303" s="490" t="str">
        <f t="shared" si="48"/>
        <v>DELETE</v>
      </c>
    </row>
    <row r="1304" spans="2:21" ht="36" customHeight="1" x14ac:dyDescent="0.5">
      <c r="B1304" s="501"/>
      <c r="C1304" s="631" t="s">
        <v>614</v>
      </c>
      <c r="D1304" s="451"/>
      <c r="E1304" s="631"/>
      <c r="F1304" s="631"/>
      <c r="G1304" s="631"/>
      <c r="H1304" s="631"/>
      <c r="I1304" s="631"/>
      <c r="J1304" s="631"/>
      <c r="L1304" s="451"/>
      <c r="M1304" s="448"/>
      <c r="N1304" s="448"/>
      <c r="O1304" s="458">
        <f>TrialBalance!L110+TrialBalanceA!I110+TrialBalanceB!I110+TrialBalanceC!I110</f>
        <v>0</v>
      </c>
      <c r="R1304" s="490" t="str">
        <f t="shared" si="48"/>
        <v>DELETE</v>
      </c>
    </row>
    <row r="1305" spans="2:21" ht="36" customHeight="1" x14ac:dyDescent="0.5">
      <c r="B1305" s="501"/>
      <c r="C1305" s="631" t="s">
        <v>881</v>
      </c>
      <c r="D1305" s="451"/>
      <c r="E1305" s="631"/>
      <c r="F1305" s="631"/>
      <c r="G1305" s="631"/>
      <c r="H1305" s="631"/>
      <c r="I1305" s="631"/>
      <c r="J1305" s="631"/>
      <c r="L1305" s="451"/>
      <c r="M1305" s="448"/>
      <c r="N1305" s="448"/>
      <c r="O1305" s="458">
        <f>TrialBalance!L111+TrialBalanceA!I111+TrialBalanceB!I111+TrialBalanceC!I111</f>
        <v>0</v>
      </c>
      <c r="R1305" s="490" t="str">
        <f>IF(O1305=0,"DELETE"," ")</f>
        <v>DELETE</v>
      </c>
    </row>
    <row r="1306" spans="2:21" ht="9" customHeight="1" x14ac:dyDescent="0.5">
      <c r="B1306" s="501"/>
      <c r="C1306" s="518"/>
      <c r="D1306" s="631"/>
      <c r="E1306" s="631"/>
      <c r="F1306" s="631"/>
      <c r="G1306" s="631"/>
      <c r="H1306" s="631"/>
      <c r="I1306" s="631"/>
      <c r="J1306" s="631"/>
      <c r="L1306" s="451"/>
      <c r="M1306" s="448"/>
      <c r="N1306" s="448"/>
      <c r="O1306" s="461"/>
      <c r="R1306" s="490" t="str">
        <f>R$1308</f>
        <v>DELETE</v>
      </c>
    </row>
    <row r="1307" spans="2:21" ht="9" customHeight="1" x14ac:dyDescent="0.5">
      <c r="B1307" s="501"/>
      <c r="C1307" s="518"/>
      <c r="D1307" s="631"/>
      <c r="E1307" s="631"/>
      <c r="F1307" s="631"/>
      <c r="G1307" s="631"/>
      <c r="H1307" s="631"/>
      <c r="I1307" s="631"/>
      <c r="J1307" s="631"/>
      <c r="L1307" s="451"/>
      <c r="M1307" s="448"/>
      <c r="N1307" s="448"/>
      <c r="O1307" s="458"/>
      <c r="R1307" s="490" t="str">
        <f>R$1308</f>
        <v>DELETE</v>
      </c>
    </row>
    <row r="1308" spans="2:21" ht="36.75" customHeight="1" x14ac:dyDescent="0.5">
      <c r="B1308" s="501"/>
      <c r="C1308" s="518"/>
      <c r="D1308" s="631"/>
      <c r="E1308" s="631"/>
      <c r="F1308" s="631"/>
      <c r="G1308" s="631"/>
      <c r="H1308" s="631"/>
      <c r="I1308" s="631"/>
      <c r="J1308" s="631"/>
      <c r="L1308" s="451"/>
      <c r="M1308" s="448"/>
      <c r="N1308" s="448"/>
      <c r="O1308" s="458">
        <f>SUM(O1301:O1307)</f>
        <v>0</v>
      </c>
      <c r="R1308" s="490" t="str">
        <f t="shared" ref="R1308" si="49">IF(O1308=0,"DELETE"," ")</f>
        <v>DELETE</v>
      </c>
      <c r="U1308" s="491" t="b">
        <f>O1308=SUM(TrialBalance!L44:L46)+SUM(TrialBalance!L110:L111)+SUM(TrialBalanceA!I44:I46)+SUM(TrialBalanceA!I110:I111)+SUM(TrialBalanceB!I44:I46)+SUM(TrialBalanceB!I110:I111)+SUM(TrialBalanceC!I44:I46)+SUM(TrialBalanceC!I110:I111)</f>
        <v>1</v>
      </c>
    </row>
    <row r="1309" spans="2:21" ht="9" customHeight="1" thickBot="1" x14ac:dyDescent="0.55000000000000004">
      <c r="B1309" s="501"/>
      <c r="C1309" s="518"/>
      <c r="D1309" s="631"/>
      <c r="E1309" s="631"/>
      <c r="F1309" s="631"/>
      <c r="G1309" s="631"/>
      <c r="H1309" s="631"/>
      <c r="I1309" s="631"/>
      <c r="J1309" s="631"/>
      <c r="L1309" s="451"/>
      <c r="M1309" s="448"/>
      <c r="N1309" s="448"/>
      <c r="O1309" s="462"/>
      <c r="R1309" s="490" t="str">
        <f t="shared" ref="R1309:R1314" si="50">R$1308</f>
        <v>DELETE</v>
      </c>
    </row>
    <row r="1310" spans="2:21" ht="9" customHeight="1" thickTop="1" x14ac:dyDescent="0.5">
      <c r="B1310" s="501"/>
      <c r="C1310" s="518"/>
      <c r="D1310" s="631"/>
      <c r="E1310" s="631"/>
      <c r="F1310" s="631"/>
      <c r="G1310" s="631"/>
      <c r="H1310" s="631"/>
      <c r="I1310" s="631"/>
      <c r="J1310" s="631"/>
      <c r="L1310" s="451"/>
      <c r="M1310" s="448"/>
      <c r="N1310" s="448"/>
      <c r="O1310" s="475"/>
      <c r="R1310" s="490" t="str">
        <f t="shared" si="50"/>
        <v>DELETE</v>
      </c>
    </row>
    <row r="1311" spans="2:21" ht="36" customHeight="1" x14ac:dyDescent="0.5">
      <c r="B1311" s="501"/>
      <c r="C1311" s="516"/>
      <c r="D1311" s="631"/>
      <c r="E1311" s="631"/>
      <c r="F1311" s="631"/>
      <c r="G1311" s="631"/>
      <c r="H1311" s="631"/>
      <c r="I1311" s="631"/>
      <c r="J1311" s="631"/>
      <c r="L1311" s="451"/>
      <c r="M1311" s="448"/>
      <c r="N1311" s="448"/>
      <c r="O1311" s="458"/>
      <c r="R1311" s="490" t="str">
        <f t="shared" si="50"/>
        <v>DELETE</v>
      </c>
    </row>
    <row r="1312" spans="2:21" ht="36" customHeight="1" x14ac:dyDescent="0.5">
      <c r="B1312" s="501"/>
      <c r="C1312" s="516"/>
      <c r="D1312" s="631"/>
      <c r="E1312" s="631"/>
      <c r="F1312" s="631"/>
      <c r="G1312" s="631"/>
      <c r="H1312" s="631"/>
      <c r="I1312" s="631"/>
      <c r="J1312" s="631"/>
      <c r="M1312" s="458"/>
      <c r="N1312" s="458"/>
      <c r="O1312" s="458"/>
      <c r="R1312" s="490" t="str">
        <f t="shared" si="50"/>
        <v>DELETE</v>
      </c>
    </row>
    <row r="1313" spans="2:22" ht="36" customHeight="1" x14ac:dyDescent="0.5">
      <c r="B1313" s="501"/>
      <c r="C1313" s="516"/>
      <c r="D1313" s="631"/>
      <c r="E1313" s="631"/>
      <c r="F1313" s="631"/>
      <c r="G1313" s="631"/>
      <c r="H1313" s="631"/>
      <c r="I1313" s="631"/>
      <c r="J1313" s="631"/>
      <c r="M1313" s="475"/>
      <c r="N1313" s="475"/>
      <c r="O1313" s="475"/>
      <c r="P1313" s="545"/>
      <c r="R1313" s="490" t="str">
        <f t="shared" si="50"/>
        <v>DELETE</v>
      </c>
    </row>
    <row r="1314" spans="2:22" ht="36" customHeight="1" x14ac:dyDescent="0.5">
      <c r="B1314" s="501"/>
      <c r="C1314" s="449"/>
      <c r="D1314" s="631"/>
      <c r="E1314" s="631"/>
      <c r="F1314" s="631"/>
      <c r="G1314" s="631"/>
      <c r="H1314" s="631"/>
      <c r="I1314" s="631"/>
      <c r="J1314" s="631"/>
      <c r="M1314" s="458"/>
      <c r="N1314" s="458"/>
      <c r="O1314" s="458"/>
      <c r="R1314" s="490" t="str">
        <f t="shared" si="50"/>
        <v>DELETE</v>
      </c>
    </row>
    <row r="1315" spans="2:22" ht="36" customHeight="1" x14ac:dyDescent="0.5">
      <c r="B1315" s="501"/>
      <c r="C1315" s="449"/>
      <c r="D1315" s="631"/>
      <c r="E1315" s="631"/>
      <c r="F1315" s="631"/>
      <c r="G1315" s="631"/>
      <c r="H1315" s="631"/>
      <c r="I1315" s="631"/>
      <c r="J1315" s="631"/>
      <c r="M1315" s="458"/>
      <c r="N1315" s="458"/>
      <c r="O1315" s="458" t="s">
        <v>112</v>
      </c>
      <c r="Q1315" s="450">
        <f>MAX($Q$103:Q1314)+1</f>
        <v>35</v>
      </c>
      <c r="R1315" s="490" t="str">
        <f>R$1367</f>
        <v>DELETE</v>
      </c>
    </row>
    <row r="1316" spans="2:22" ht="36" customHeight="1" x14ac:dyDescent="0.5">
      <c r="B1316" s="502"/>
      <c r="D1316" s="630" t="str">
        <f>Criteria!E9</f>
        <v>ABC COMPANY (PROPRIETARY) LIMITED</v>
      </c>
      <c r="E1316" s="631"/>
      <c r="F1316" s="631"/>
      <c r="G1316" s="631"/>
      <c r="H1316" s="631"/>
      <c r="I1316" s="631"/>
      <c r="J1316" s="631"/>
      <c r="M1316" s="541"/>
      <c r="N1316" s="541"/>
      <c r="O1316" s="540"/>
      <c r="R1316" s="490" t="str">
        <f>R$1367</f>
        <v>DELETE</v>
      </c>
    </row>
    <row r="1317" spans="2:22" ht="36" customHeight="1" x14ac:dyDescent="0.5">
      <c r="B1317" s="502"/>
      <c r="D1317" s="630" t="str">
        <f>Criteria!E10</f>
        <v>T/A SEAFRONT HOTEL, ABC RESTAURANT AND RENTAL PROPERTIES</v>
      </c>
      <c r="E1317" s="631"/>
      <c r="F1317" s="631"/>
      <c r="G1317" s="631"/>
      <c r="H1317" s="631"/>
      <c r="I1317" s="631"/>
      <c r="J1317" s="631"/>
      <c r="M1317" s="541"/>
      <c r="N1317" s="541"/>
      <c r="O1317" s="541"/>
      <c r="R1317" s="490" t="str">
        <f>IF(R$1367="DELETE","DELETE",IF(D1317=0,"DELETE"," "))</f>
        <v>DELETE</v>
      </c>
    </row>
    <row r="1318" spans="2:22" ht="36" customHeight="1" x14ac:dyDescent="0.5">
      <c r="B1318" s="502"/>
      <c r="D1318" s="631"/>
      <c r="E1318" s="631"/>
      <c r="F1318" s="631"/>
      <c r="G1318" s="631"/>
      <c r="H1318" s="631"/>
      <c r="I1318" s="631"/>
      <c r="J1318" s="631"/>
      <c r="M1318" s="541"/>
      <c r="N1318" s="541"/>
      <c r="O1318" s="541"/>
      <c r="R1318" s="490" t="str">
        <f t="shared" ref="R1318:R1327" si="51">R$1367</f>
        <v>DELETE</v>
      </c>
    </row>
    <row r="1319" spans="2:22" ht="36" customHeight="1" x14ac:dyDescent="0.5">
      <c r="B1319" s="502"/>
      <c r="D1319" s="630" t="s">
        <v>415</v>
      </c>
      <c r="E1319" s="631"/>
      <c r="F1319" s="631"/>
      <c r="G1319" s="631"/>
      <c r="H1319" s="631"/>
      <c r="I1319" s="631"/>
      <c r="J1319" s="631"/>
      <c r="M1319" s="541"/>
      <c r="N1319" s="541"/>
      <c r="O1319" s="541"/>
      <c r="R1319" s="490" t="str">
        <f t="shared" si="51"/>
        <v>DELETE</v>
      </c>
    </row>
    <row r="1320" spans="2:22" ht="36" customHeight="1" x14ac:dyDescent="0.5">
      <c r="B1320" s="502"/>
      <c r="D1320" s="630" t="str">
        <f>Criteria!E20</f>
        <v>28 FEBRUARY 2026</v>
      </c>
      <c r="E1320" s="631"/>
      <c r="F1320" s="631"/>
      <c r="G1320" s="631"/>
      <c r="H1320" s="631"/>
      <c r="I1320" s="631"/>
      <c r="J1320" s="631" t="s">
        <v>282</v>
      </c>
      <c r="M1320" s="541"/>
      <c r="N1320" s="541"/>
      <c r="O1320" s="541"/>
      <c r="R1320" s="490" t="str">
        <f t="shared" si="51"/>
        <v>DELETE</v>
      </c>
    </row>
    <row r="1321" spans="2:22" ht="36" customHeight="1" x14ac:dyDescent="0.5">
      <c r="B1321" s="502"/>
      <c r="D1321" s="630"/>
      <c r="E1321" s="631"/>
      <c r="F1321" s="631"/>
      <c r="G1321" s="631"/>
      <c r="H1321" s="631"/>
      <c r="I1321" s="631"/>
      <c r="J1321" s="631"/>
      <c r="M1321" s="541"/>
      <c r="N1321" s="541"/>
      <c r="O1321" s="541"/>
      <c r="R1321" s="490" t="str">
        <f t="shared" si="51"/>
        <v>DELETE</v>
      </c>
    </row>
    <row r="1322" spans="2:22" ht="36" customHeight="1" x14ac:dyDescent="0.5">
      <c r="B1322" s="640"/>
      <c r="C1322" s="484"/>
      <c r="D1322" s="649"/>
      <c r="E1322" s="649"/>
      <c r="F1322" s="649"/>
      <c r="G1322" s="649"/>
      <c r="H1322" s="649"/>
      <c r="I1322" s="649"/>
      <c r="J1322" s="649"/>
      <c r="K1322" s="457"/>
      <c r="L1322" s="457"/>
      <c r="M1322" s="459"/>
      <c r="N1322" s="459"/>
      <c r="O1322" s="459"/>
      <c r="P1322" s="551"/>
      <c r="Q1322" s="457"/>
      <c r="R1322" s="490" t="str">
        <f t="shared" si="51"/>
        <v>DELETE</v>
      </c>
    </row>
    <row r="1323" spans="2:22" ht="36" customHeight="1" x14ac:dyDescent="0.5">
      <c r="B1323" s="501"/>
      <c r="C1323" s="449"/>
      <c r="D1323" s="631"/>
      <c r="E1323" s="631"/>
      <c r="F1323" s="631"/>
      <c r="G1323" s="631"/>
      <c r="H1323" s="631"/>
      <c r="I1323" s="631"/>
      <c r="J1323" s="631"/>
      <c r="L1323" s="451"/>
      <c r="M1323" s="448"/>
      <c r="N1323" s="448"/>
      <c r="O1323" s="453">
        <f>Criteria!E22</f>
        <v>2026</v>
      </c>
      <c r="R1323" s="490" t="str">
        <f t="shared" si="51"/>
        <v>DELETE</v>
      </c>
    </row>
    <row r="1324" spans="2:22" ht="36" customHeight="1" x14ac:dyDescent="0.5">
      <c r="B1324" s="501"/>
      <c r="C1324" s="449"/>
      <c r="D1324" s="631"/>
      <c r="E1324" s="631"/>
      <c r="F1324" s="631"/>
      <c r="G1324" s="631"/>
      <c r="H1324" s="631"/>
      <c r="I1324" s="631"/>
      <c r="J1324" s="631"/>
      <c r="L1324" s="451"/>
      <c r="M1324" s="448"/>
      <c r="N1324" s="448"/>
      <c r="O1324" s="458"/>
      <c r="R1324" s="490" t="str">
        <f t="shared" si="51"/>
        <v>DELETE</v>
      </c>
    </row>
    <row r="1325" spans="2:22" ht="34.5" customHeight="1" x14ac:dyDescent="0.5">
      <c r="B1325" s="501">
        <f>MAX($B$873:B1324)+1</f>
        <v>5</v>
      </c>
      <c r="C1325" s="630" t="s">
        <v>225</v>
      </c>
      <c r="D1325" s="631"/>
      <c r="E1325" s="631"/>
      <c r="F1325" s="631"/>
      <c r="G1325" s="631"/>
      <c r="H1325" s="631"/>
      <c r="I1325" s="631"/>
      <c r="J1325" s="631"/>
      <c r="L1325" s="451"/>
      <c r="M1325" s="448"/>
      <c r="N1325" s="448"/>
      <c r="O1325" s="458"/>
      <c r="R1325" s="490" t="str">
        <f t="shared" si="51"/>
        <v>DELETE</v>
      </c>
    </row>
    <row r="1326" spans="2:22" ht="36" hidden="1" customHeight="1" x14ac:dyDescent="0.45">
      <c r="B1326" s="501"/>
      <c r="C1326" s="449">
        <f>B1325</f>
        <v>5</v>
      </c>
      <c r="L1326" s="451"/>
      <c r="M1326" s="448"/>
      <c r="N1326" s="448"/>
      <c r="O1326" s="458"/>
      <c r="R1326" s="490" t="str">
        <f>R1325</f>
        <v>DELETE</v>
      </c>
    </row>
    <row r="1327" spans="2:22" ht="36" customHeight="1" x14ac:dyDescent="0.5">
      <c r="B1327" s="501"/>
      <c r="C1327" s="449"/>
      <c r="D1327" s="631"/>
      <c r="E1327" s="631"/>
      <c r="F1327" s="631"/>
      <c r="G1327" s="631"/>
      <c r="H1327" s="631"/>
      <c r="I1327" s="631"/>
      <c r="J1327" s="631"/>
      <c r="L1327" s="451"/>
      <c r="M1327" s="448"/>
      <c r="N1327" s="448"/>
      <c r="O1327" s="458"/>
      <c r="R1327" s="490" t="str">
        <f t="shared" si="51"/>
        <v>DELETE</v>
      </c>
    </row>
    <row r="1328" spans="2:22" ht="36" customHeight="1" x14ac:dyDescent="0.5">
      <c r="B1328" s="501"/>
      <c r="C1328" s="501">
        <f>MAX(C$1325:C1326)+0.1</f>
        <v>5.0999999999999996</v>
      </c>
      <c r="D1328" s="631" t="s">
        <v>567</v>
      </c>
      <c r="E1328" s="631"/>
      <c r="F1328" s="631"/>
      <c r="G1328" s="631"/>
      <c r="H1328" s="631"/>
      <c r="I1328" s="631"/>
      <c r="J1328" s="631"/>
      <c r="L1328" s="451"/>
      <c r="M1328" s="448"/>
      <c r="N1328" s="448"/>
      <c r="O1328" s="458">
        <f>SUM(O1331:O1333)</f>
        <v>0</v>
      </c>
      <c r="R1328" s="490" t="str">
        <f t="shared" ref="R1328" si="52">IF(O1328=0,"DELETE"," ")</f>
        <v>DELETE</v>
      </c>
      <c r="S1328" s="496">
        <f>O1328</f>
        <v>0</v>
      </c>
      <c r="T1328" s="496"/>
      <c r="U1328" s="496"/>
      <c r="V1328" s="496"/>
    </row>
    <row r="1329" spans="2:22" ht="9" customHeight="1" x14ac:dyDescent="0.5">
      <c r="B1329" s="501"/>
      <c r="C1329" s="516"/>
      <c r="D1329" s="631"/>
      <c r="E1329" s="631"/>
      <c r="F1329" s="631"/>
      <c r="G1329" s="631"/>
      <c r="H1329" s="631"/>
      <c r="I1329" s="631"/>
      <c r="J1329" s="631"/>
      <c r="L1329" s="451"/>
      <c r="M1329" s="448"/>
      <c r="N1329" s="448"/>
      <c r="O1329" s="458"/>
      <c r="R1329" s="490" t="str">
        <f>R1328</f>
        <v>DELETE</v>
      </c>
    </row>
    <row r="1330" spans="2:22" ht="9" customHeight="1" x14ac:dyDescent="0.5">
      <c r="B1330" s="501"/>
      <c r="C1330" s="516"/>
      <c r="D1330" s="631"/>
      <c r="E1330" s="631"/>
      <c r="F1330" s="631"/>
      <c r="G1330" s="631"/>
      <c r="H1330" s="631"/>
      <c r="I1330" s="631"/>
      <c r="J1330" s="631"/>
      <c r="L1330" s="451"/>
      <c r="M1330" s="448"/>
      <c r="N1330" s="448"/>
      <c r="O1330" s="587"/>
      <c r="R1330" s="490" t="str">
        <f>R1328</f>
        <v>DELETE</v>
      </c>
    </row>
    <row r="1331" spans="2:22" ht="36" customHeight="1" x14ac:dyDescent="0.5">
      <c r="B1331" s="501"/>
      <c r="C1331" s="516"/>
      <c r="D1331" s="631" t="s">
        <v>296</v>
      </c>
      <c r="E1331" s="631"/>
      <c r="F1331" s="631"/>
      <c r="G1331" s="631"/>
      <c r="H1331" s="631"/>
      <c r="I1331" s="631"/>
      <c r="J1331" s="631"/>
      <c r="L1331" s="451"/>
      <c r="M1331" s="448"/>
      <c r="N1331" s="448"/>
      <c r="O1331" s="588">
        <f>-TrialBalance!L91-TrialBalanceA!I91-TrialBalanceB!I91-TrialBalanceC!I91</f>
        <v>0</v>
      </c>
      <c r="R1331" s="490" t="str">
        <f t="shared" ref="R1331:R1333" si="53">IF(O1331=0,"DELETE"," ")</f>
        <v>DELETE</v>
      </c>
    </row>
    <row r="1332" spans="2:22" ht="36" customHeight="1" x14ac:dyDescent="0.5">
      <c r="B1332" s="501"/>
      <c r="C1332" s="516"/>
      <c r="D1332" s="631" t="s">
        <v>1208</v>
      </c>
      <c r="E1332" s="631"/>
      <c r="F1332" s="631"/>
      <c r="G1332" s="631"/>
      <c r="H1332" s="631"/>
      <c r="I1332" s="631"/>
      <c r="J1332" s="631"/>
      <c r="L1332" s="451"/>
      <c r="M1332" s="448"/>
      <c r="N1332" s="448"/>
      <c r="O1332" s="588">
        <f>-TrialBalance!L92-TrialBalanceA!I92-TrialBalanceB!I92-TrialBalanceC!I92</f>
        <v>0</v>
      </c>
      <c r="R1332" s="490" t="str">
        <f t="shared" ref="R1332" si="54">IF(O1332=0,"DELETE"," ")</f>
        <v>DELETE</v>
      </c>
    </row>
    <row r="1333" spans="2:22" ht="36" customHeight="1" x14ac:dyDescent="0.5">
      <c r="B1333" s="501"/>
      <c r="C1333" s="516"/>
      <c r="D1333" s="631" t="s">
        <v>615</v>
      </c>
      <c r="E1333" s="631"/>
      <c r="F1333" s="631"/>
      <c r="G1333" s="631"/>
      <c r="H1333" s="631"/>
      <c r="I1333" s="631"/>
      <c r="J1333" s="631"/>
      <c r="L1333" s="451"/>
      <c r="M1333" s="448"/>
      <c r="N1333" s="448"/>
      <c r="O1333" s="588">
        <f>-TrialBalance!L93-TrialBalanceA!I93-TrialBalanceB!I93-TrialBalanceC!I93</f>
        <v>0</v>
      </c>
      <c r="R1333" s="490" t="str">
        <f t="shared" si="53"/>
        <v>DELETE</v>
      </c>
    </row>
    <row r="1334" spans="2:22" ht="9" customHeight="1" x14ac:dyDescent="0.5">
      <c r="B1334" s="501"/>
      <c r="C1334" s="516"/>
      <c r="D1334" s="631"/>
      <c r="E1334" s="631"/>
      <c r="F1334" s="631"/>
      <c r="G1334" s="631"/>
      <c r="H1334" s="631"/>
      <c r="I1334" s="631"/>
      <c r="J1334" s="631"/>
      <c r="L1334" s="451"/>
      <c r="M1334" s="448"/>
      <c r="N1334" s="448"/>
      <c r="O1334" s="589"/>
      <c r="R1334" s="490" t="str">
        <f>R1328</f>
        <v>DELETE</v>
      </c>
    </row>
    <row r="1335" spans="2:22" ht="9" customHeight="1" x14ac:dyDescent="0.5">
      <c r="B1335" s="501"/>
      <c r="C1335" s="516"/>
      <c r="D1335" s="631"/>
      <c r="E1335" s="631"/>
      <c r="F1335" s="631"/>
      <c r="G1335" s="631"/>
      <c r="H1335" s="631"/>
      <c r="I1335" s="631"/>
      <c r="J1335" s="631"/>
      <c r="L1335" s="451"/>
      <c r="M1335" s="448"/>
      <c r="N1335" s="448"/>
      <c r="O1335" s="458"/>
      <c r="R1335" s="490" t="str">
        <f>R1328</f>
        <v>DELETE</v>
      </c>
    </row>
    <row r="1336" spans="2:22" ht="36.75" customHeight="1" x14ac:dyDescent="0.5">
      <c r="B1336" s="501"/>
      <c r="C1336" s="501">
        <f>MAX(C$1325:C1335)+0.1</f>
        <v>5.1999999999999993</v>
      </c>
      <c r="D1336" s="631" t="s">
        <v>767</v>
      </c>
      <c r="E1336" s="631"/>
      <c r="F1336" s="631"/>
      <c r="G1336" s="631"/>
      <c r="H1336" s="631"/>
      <c r="I1336" s="631"/>
      <c r="J1336" s="631"/>
      <c r="L1336" s="451"/>
      <c r="M1336" s="448"/>
      <c r="N1336" s="448"/>
      <c r="O1336" s="458">
        <f>SUM(O1338:O1355)</f>
        <v>0</v>
      </c>
      <c r="R1336" s="490" t="str">
        <f t="shared" ref="R1336" si="55">IF(O1336=0,"DELETE"," ")</f>
        <v>DELETE</v>
      </c>
      <c r="S1336" s="496">
        <f>O1336</f>
        <v>0</v>
      </c>
      <c r="T1336" s="496"/>
      <c r="U1336" s="496"/>
      <c r="V1336" s="496"/>
    </row>
    <row r="1337" spans="2:22" ht="9" customHeight="1" x14ac:dyDescent="0.5">
      <c r="B1337" s="501"/>
      <c r="C1337" s="516"/>
      <c r="D1337" s="631"/>
      <c r="E1337" s="631"/>
      <c r="F1337" s="631"/>
      <c r="G1337" s="631"/>
      <c r="H1337" s="631"/>
      <c r="I1337" s="631"/>
      <c r="J1337" s="631"/>
      <c r="L1337" s="451"/>
      <c r="M1337" s="448"/>
      <c r="N1337" s="448"/>
      <c r="O1337" s="458"/>
      <c r="R1337" s="490" t="str">
        <f>R1336</f>
        <v>DELETE</v>
      </c>
    </row>
    <row r="1338" spans="2:22" ht="9" customHeight="1" x14ac:dyDescent="0.5">
      <c r="B1338" s="501"/>
      <c r="C1338" s="516"/>
      <c r="D1338" s="631"/>
      <c r="E1338" s="631"/>
      <c r="F1338" s="631"/>
      <c r="G1338" s="631"/>
      <c r="H1338" s="631"/>
      <c r="I1338" s="631"/>
      <c r="J1338" s="631"/>
      <c r="L1338" s="451"/>
      <c r="M1338" s="448"/>
      <c r="N1338" s="448"/>
      <c r="O1338" s="587"/>
      <c r="R1338" s="490" t="str">
        <f>R1336</f>
        <v>DELETE</v>
      </c>
    </row>
    <row r="1339" spans="2:22" ht="36" customHeight="1" x14ac:dyDescent="0.5">
      <c r="B1339" s="501"/>
      <c r="C1339" s="516"/>
      <c r="D1339" s="655">
        <f>TrialBalance!C86</f>
        <v>0</v>
      </c>
      <c r="E1339" s="631"/>
      <c r="F1339" s="631"/>
      <c r="G1339" s="631"/>
      <c r="H1339" s="631"/>
      <c r="I1339" s="631"/>
      <c r="J1339" s="631"/>
      <c r="L1339" s="451"/>
      <c r="M1339" s="448"/>
      <c r="N1339" s="448"/>
      <c r="O1339" s="588">
        <f>-TrialBalance!L86</f>
        <v>0</v>
      </c>
      <c r="R1339" s="490" t="str">
        <f t="shared" ref="R1339:R1354" si="56">IF(O1339=0,"DELETE"," ")</f>
        <v>DELETE</v>
      </c>
    </row>
    <row r="1340" spans="2:22" ht="36" customHeight="1" x14ac:dyDescent="0.5">
      <c r="B1340" s="501"/>
      <c r="C1340" s="516"/>
      <c r="D1340" s="655">
        <f>TrialBalance!C87</f>
        <v>0</v>
      </c>
      <c r="E1340" s="631"/>
      <c r="F1340" s="631"/>
      <c r="G1340" s="631"/>
      <c r="H1340" s="631"/>
      <c r="I1340" s="631"/>
      <c r="J1340" s="631"/>
      <c r="L1340" s="451"/>
      <c r="M1340" s="448"/>
      <c r="N1340" s="448"/>
      <c r="O1340" s="588">
        <f>-TrialBalance!L87</f>
        <v>0</v>
      </c>
      <c r="R1340" s="490" t="str">
        <f t="shared" si="56"/>
        <v>DELETE</v>
      </c>
    </row>
    <row r="1341" spans="2:22" ht="36" customHeight="1" x14ac:dyDescent="0.5">
      <c r="B1341" s="501"/>
      <c r="C1341" s="516"/>
      <c r="D1341" s="655">
        <f>TrialBalance!C88</f>
        <v>0</v>
      </c>
      <c r="E1341" s="631"/>
      <c r="F1341" s="631"/>
      <c r="G1341" s="631"/>
      <c r="H1341" s="631"/>
      <c r="I1341" s="631"/>
      <c r="J1341" s="631"/>
      <c r="L1341" s="451"/>
      <c r="M1341" s="448"/>
      <c r="N1341" s="448"/>
      <c r="O1341" s="588">
        <f>-TrialBalance!L88</f>
        <v>0</v>
      </c>
      <c r="R1341" s="490" t="str">
        <f t="shared" si="56"/>
        <v>DELETE</v>
      </c>
    </row>
    <row r="1342" spans="2:22" ht="36" customHeight="1" x14ac:dyDescent="0.5">
      <c r="B1342" s="501"/>
      <c r="C1342" s="516"/>
      <c r="D1342" s="655">
        <f>TrialBalance!C89</f>
        <v>0</v>
      </c>
      <c r="E1342" s="631"/>
      <c r="F1342" s="631"/>
      <c r="G1342" s="631"/>
      <c r="H1342" s="631"/>
      <c r="I1342" s="631"/>
      <c r="J1342" s="631"/>
      <c r="L1342" s="451"/>
      <c r="M1342" s="448"/>
      <c r="N1342" s="448"/>
      <c r="O1342" s="588">
        <f>-TrialBalance!L89</f>
        <v>0</v>
      </c>
      <c r="R1342" s="490" t="str">
        <f t="shared" si="56"/>
        <v>DELETE</v>
      </c>
    </row>
    <row r="1343" spans="2:22" ht="36" customHeight="1" x14ac:dyDescent="0.5">
      <c r="B1343" s="501"/>
      <c r="C1343" s="516"/>
      <c r="D1343" s="655">
        <f>TrialBalanceA!C86</f>
        <v>0</v>
      </c>
      <c r="E1343" s="631"/>
      <c r="F1343" s="631"/>
      <c r="G1343" s="631"/>
      <c r="H1343" s="631"/>
      <c r="I1343" s="631"/>
      <c r="J1343" s="631"/>
      <c r="L1343" s="451"/>
      <c r="M1343" s="448"/>
      <c r="N1343" s="448"/>
      <c r="O1343" s="588">
        <f>-TrialBalanceA!I86</f>
        <v>0</v>
      </c>
      <c r="R1343" s="490" t="str">
        <f t="shared" si="56"/>
        <v>DELETE</v>
      </c>
    </row>
    <row r="1344" spans="2:22" ht="36" customHeight="1" x14ac:dyDescent="0.5">
      <c r="B1344" s="501"/>
      <c r="C1344" s="516"/>
      <c r="D1344" s="655">
        <f>TrialBalanceA!C87</f>
        <v>0</v>
      </c>
      <c r="E1344" s="631"/>
      <c r="F1344" s="631"/>
      <c r="G1344" s="631"/>
      <c r="H1344" s="631"/>
      <c r="I1344" s="631"/>
      <c r="J1344" s="631"/>
      <c r="L1344" s="451"/>
      <c r="M1344" s="448"/>
      <c r="N1344" s="448"/>
      <c r="O1344" s="588">
        <f>-TrialBalanceA!I87</f>
        <v>0</v>
      </c>
      <c r="R1344" s="490" t="str">
        <f t="shared" si="56"/>
        <v>DELETE</v>
      </c>
    </row>
    <row r="1345" spans="2:22" ht="36" customHeight="1" x14ac:dyDescent="0.5">
      <c r="B1345" s="501"/>
      <c r="C1345" s="516"/>
      <c r="D1345" s="655">
        <f>TrialBalanceA!C88</f>
        <v>0</v>
      </c>
      <c r="E1345" s="631"/>
      <c r="F1345" s="631"/>
      <c r="G1345" s="631"/>
      <c r="H1345" s="631"/>
      <c r="I1345" s="631"/>
      <c r="J1345" s="631"/>
      <c r="L1345" s="451"/>
      <c r="M1345" s="448"/>
      <c r="N1345" s="448"/>
      <c r="O1345" s="588">
        <f>-TrialBalanceA!I88</f>
        <v>0</v>
      </c>
      <c r="R1345" s="490" t="str">
        <f t="shared" si="56"/>
        <v>DELETE</v>
      </c>
    </row>
    <row r="1346" spans="2:22" ht="36" customHeight="1" x14ac:dyDescent="0.5">
      <c r="B1346" s="501"/>
      <c r="C1346" s="516"/>
      <c r="D1346" s="655">
        <f>TrialBalanceA!C89</f>
        <v>0</v>
      </c>
      <c r="E1346" s="631"/>
      <c r="F1346" s="631"/>
      <c r="G1346" s="631"/>
      <c r="H1346" s="631"/>
      <c r="I1346" s="631"/>
      <c r="J1346" s="631"/>
      <c r="L1346" s="451"/>
      <c r="M1346" s="448"/>
      <c r="N1346" s="448"/>
      <c r="O1346" s="588">
        <f>-TrialBalanceA!I89</f>
        <v>0</v>
      </c>
      <c r="R1346" s="490" t="str">
        <f t="shared" si="56"/>
        <v>DELETE</v>
      </c>
    </row>
    <row r="1347" spans="2:22" ht="36" customHeight="1" x14ac:dyDescent="0.5">
      <c r="B1347" s="501"/>
      <c r="C1347" s="516"/>
      <c r="D1347" s="655">
        <f>TrialBalanceB!C86</f>
        <v>0</v>
      </c>
      <c r="E1347" s="631"/>
      <c r="F1347" s="631"/>
      <c r="G1347" s="631"/>
      <c r="H1347" s="631"/>
      <c r="I1347" s="631"/>
      <c r="J1347" s="631"/>
      <c r="L1347" s="451"/>
      <c r="M1347" s="448"/>
      <c r="N1347" s="448"/>
      <c r="O1347" s="588">
        <f>-TrialBalanceB!I86</f>
        <v>0</v>
      </c>
      <c r="R1347" s="490" t="str">
        <f t="shared" si="56"/>
        <v>DELETE</v>
      </c>
    </row>
    <row r="1348" spans="2:22" ht="36" customHeight="1" x14ac:dyDescent="0.5">
      <c r="B1348" s="501"/>
      <c r="C1348" s="516"/>
      <c r="D1348" s="655">
        <f>TrialBalanceB!C87</f>
        <v>0</v>
      </c>
      <c r="E1348" s="631"/>
      <c r="F1348" s="631"/>
      <c r="G1348" s="631"/>
      <c r="H1348" s="631"/>
      <c r="I1348" s="631"/>
      <c r="J1348" s="631"/>
      <c r="L1348" s="451"/>
      <c r="M1348" s="448"/>
      <c r="N1348" s="448"/>
      <c r="O1348" s="588">
        <f>-TrialBalanceB!I87</f>
        <v>0</v>
      </c>
      <c r="R1348" s="490" t="str">
        <f t="shared" si="56"/>
        <v>DELETE</v>
      </c>
    </row>
    <row r="1349" spans="2:22" ht="36" customHeight="1" x14ac:dyDescent="0.5">
      <c r="B1349" s="501"/>
      <c r="C1349" s="516"/>
      <c r="D1349" s="655">
        <f>TrialBalanceB!C88</f>
        <v>0</v>
      </c>
      <c r="E1349" s="631"/>
      <c r="F1349" s="631"/>
      <c r="G1349" s="631"/>
      <c r="H1349" s="631"/>
      <c r="I1349" s="631"/>
      <c r="J1349" s="631"/>
      <c r="L1349" s="451"/>
      <c r="M1349" s="448"/>
      <c r="N1349" s="448"/>
      <c r="O1349" s="588">
        <f>-TrialBalanceB!I88</f>
        <v>0</v>
      </c>
      <c r="R1349" s="490" t="str">
        <f t="shared" si="56"/>
        <v>DELETE</v>
      </c>
    </row>
    <row r="1350" spans="2:22" ht="36" customHeight="1" x14ac:dyDescent="0.5">
      <c r="B1350" s="501"/>
      <c r="C1350" s="516"/>
      <c r="D1350" s="655">
        <f>TrialBalanceB!C89</f>
        <v>0</v>
      </c>
      <c r="E1350" s="631"/>
      <c r="F1350" s="631"/>
      <c r="G1350" s="631"/>
      <c r="H1350" s="631"/>
      <c r="I1350" s="631"/>
      <c r="J1350" s="631"/>
      <c r="L1350" s="451"/>
      <c r="M1350" s="448"/>
      <c r="N1350" s="448"/>
      <c r="O1350" s="588">
        <f>-TrialBalanceB!I89</f>
        <v>0</v>
      </c>
      <c r="R1350" s="490" t="str">
        <f t="shared" si="56"/>
        <v>DELETE</v>
      </c>
    </row>
    <row r="1351" spans="2:22" ht="36" customHeight="1" x14ac:dyDescent="0.5">
      <c r="B1351" s="501"/>
      <c r="C1351" s="516"/>
      <c r="D1351" s="655">
        <f>TrialBalanceC!C86</f>
        <v>0</v>
      </c>
      <c r="E1351" s="631"/>
      <c r="F1351" s="631"/>
      <c r="G1351" s="631"/>
      <c r="H1351" s="631"/>
      <c r="I1351" s="631"/>
      <c r="J1351" s="631"/>
      <c r="L1351" s="451"/>
      <c r="M1351" s="448"/>
      <c r="N1351" s="448"/>
      <c r="O1351" s="588">
        <f>-TrialBalanceC!I86</f>
        <v>0</v>
      </c>
      <c r="R1351" s="490" t="str">
        <f t="shared" si="56"/>
        <v>DELETE</v>
      </c>
    </row>
    <row r="1352" spans="2:22" ht="36" customHeight="1" x14ac:dyDescent="0.5">
      <c r="B1352" s="501"/>
      <c r="C1352" s="516"/>
      <c r="D1352" s="655">
        <f>TrialBalanceC!C87</f>
        <v>0</v>
      </c>
      <c r="E1352" s="631"/>
      <c r="F1352" s="631"/>
      <c r="G1352" s="631"/>
      <c r="H1352" s="631"/>
      <c r="I1352" s="631"/>
      <c r="J1352" s="631"/>
      <c r="L1352" s="451"/>
      <c r="M1352" s="448"/>
      <c r="N1352" s="448"/>
      <c r="O1352" s="588">
        <f>-TrialBalanceC!I87</f>
        <v>0</v>
      </c>
      <c r="R1352" s="490" t="str">
        <f t="shared" si="56"/>
        <v>DELETE</v>
      </c>
    </row>
    <row r="1353" spans="2:22" ht="36" customHeight="1" x14ac:dyDescent="0.5">
      <c r="B1353" s="501"/>
      <c r="C1353" s="516"/>
      <c r="D1353" s="655">
        <f>TrialBalanceC!C88</f>
        <v>0</v>
      </c>
      <c r="E1353" s="631"/>
      <c r="F1353" s="631"/>
      <c r="G1353" s="631"/>
      <c r="H1353" s="631"/>
      <c r="I1353" s="631"/>
      <c r="J1353" s="631"/>
      <c r="L1353" s="451"/>
      <c r="M1353" s="448"/>
      <c r="N1353" s="448"/>
      <c r="O1353" s="588">
        <f>-TrialBalanceC!I88</f>
        <v>0</v>
      </c>
      <c r="R1353" s="490" t="str">
        <f t="shared" si="56"/>
        <v>DELETE</v>
      </c>
    </row>
    <row r="1354" spans="2:22" ht="36" customHeight="1" x14ac:dyDescent="0.5">
      <c r="B1354" s="501"/>
      <c r="C1354" s="516"/>
      <c r="D1354" s="655">
        <f>TrialBalanceC!C89</f>
        <v>0</v>
      </c>
      <c r="E1354" s="631"/>
      <c r="F1354" s="631"/>
      <c r="G1354" s="631"/>
      <c r="H1354" s="631"/>
      <c r="I1354" s="631"/>
      <c r="J1354" s="631"/>
      <c r="L1354" s="451"/>
      <c r="M1354" s="448"/>
      <c r="N1354" s="448"/>
      <c r="O1354" s="588">
        <f>-TrialBalanceC!I89</f>
        <v>0</v>
      </c>
      <c r="R1354" s="490" t="str">
        <f t="shared" si="56"/>
        <v>DELETE</v>
      </c>
    </row>
    <row r="1355" spans="2:22" ht="9" customHeight="1" x14ac:dyDescent="0.5">
      <c r="B1355" s="501"/>
      <c r="C1355" s="516"/>
      <c r="D1355" s="631"/>
      <c r="E1355" s="631"/>
      <c r="F1355" s="631"/>
      <c r="G1355" s="631"/>
      <c r="H1355" s="631"/>
      <c r="I1355" s="631"/>
      <c r="J1355" s="631"/>
      <c r="L1355" s="451"/>
      <c r="M1355" s="448"/>
      <c r="N1355" s="448"/>
      <c r="O1355" s="589"/>
      <c r="R1355" s="490" t="str">
        <f>R1336</f>
        <v>DELETE</v>
      </c>
    </row>
    <row r="1356" spans="2:22" ht="9" customHeight="1" x14ac:dyDescent="0.5">
      <c r="B1356" s="501"/>
      <c r="C1356" s="516"/>
      <c r="D1356" s="631"/>
      <c r="E1356" s="631"/>
      <c r="F1356" s="631"/>
      <c r="G1356" s="631"/>
      <c r="H1356" s="631"/>
      <c r="I1356" s="631"/>
      <c r="J1356" s="631"/>
      <c r="L1356" s="451"/>
      <c r="M1356" s="448"/>
      <c r="N1356" s="448"/>
      <c r="O1356" s="458"/>
      <c r="R1356" s="490" t="str">
        <f>R1336</f>
        <v>DELETE</v>
      </c>
    </row>
    <row r="1357" spans="2:22" ht="36.75" customHeight="1" x14ac:dyDescent="0.5">
      <c r="B1357" s="501"/>
      <c r="C1357" s="501">
        <f>MAX(C$1325:C1356)+0.1</f>
        <v>5.2999999999999989</v>
      </c>
      <c r="D1357" s="631" t="s">
        <v>460</v>
      </c>
      <c r="E1357" s="631"/>
      <c r="F1357" s="631"/>
      <c r="G1357" s="631"/>
      <c r="H1357" s="631"/>
      <c r="I1357" s="631"/>
      <c r="J1357" s="631"/>
      <c r="L1357" s="451"/>
      <c r="M1357" s="448"/>
      <c r="N1357" s="448"/>
      <c r="O1357" s="458">
        <f>SUM(O1359:O1364)</f>
        <v>0</v>
      </c>
      <c r="R1357" s="490" t="str">
        <f>IF(SUM(O1360:O1363)=0,"DELETE"," ")</f>
        <v>DELETE</v>
      </c>
      <c r="S1357" s="495">
        <f>O1357</f>
        <v>0</v>
      </c>
    </row>
    <row r="1358" spans="2:22" ht="9" customHeight="1" x14ac:dyDescent="0.5">
      <c r="B1358" s="501"/>
      <c r="C1358" s="518"/>
      <c r="D1358" s="631"/>
      <c r="E1358" s="631"/>
      <c r="F1358" s="631"/>
      <c r="G1358" s="631"/>
      <c r="H1358" s="631"/>
      <c r="I1358" s="631"/>
      <c r="J1358" s="631"/>
      <c r="L1358" s="451"/>
      <c r="M1358" s="448"/>
      <c r="N1358" s="448"/>
      <c r="O1358" s="458"/>
      <c r="R1358" s="490" t="str">
        <f>R1357</f>
        <v>DELETE</v>
      </c>
    </row>
    <row r="1359" spans="2:22" ht="9" customHeight="1" x14ac:dyDescent="0.5">
      <c r="B1359" s="501"/>
      <c r="C1359" s="518"/>
      <c r="D1359" s="631"/>
      <c r="E1359" s="631"/>
      <c r="F1359" s="631"/>
      <c r="G1359" s="631"/>
      <c r="H1359" s="631"/>
      <c r="I1359" s="631"/>
      <c r="J1359" s="631"/>
      <c r="L1359" s="451"/>
      <c r="M1359" s="448"/>
      <c r="N1359" s="448"/>
      <c r="O1359" s="587"/>
      <c r="R1359" s="490" t="str">
        <f>R1357</f>
        <v>DELETE</v>
      </c>
    </row>
    <row r="1360" spans="2:22" ht="36" customHeight="1" x14ac:dyDescent="0.5">
      <c r="B1360" s="501"/>
      <c r="C1360" s="516"/>
      <c r="D1360" s="631" t="s">
        <v>589</v>
      </c>
      <c r="E1360" s="631"/>
      <c r="F1360" s="631"/>
      <c r="G1360" s="631"/>
      <c r="H1360" s="631"/>
      <c r="I1360" s="631"/>
      <c r="J1360" s="631"/>
      <c r="L1360" s="451"/>
      <c r="M1360" s="448"/>
      <c r="N1360" s="448"/>
      <c r="O1360" s="588">
        <f>IF(TrialBalance!L94&lt;0,-TrialBalance!L94,0)+IF(TrialBalanceA!I94&lt;0,-TrialBalanceA!I94,0)+IF(TrialBalanceB!I94&lt;0,-TrialBalanceB!I94,0)+IF(TrialBalanceC!I94&lt;0,-TrialBalanceC!I94,0)</f>
        <v>0</v>
      </c>
      <c r="R1360" s="490" t="str">
        <f t="shared" ref="R1360:R1363" si="57">IF(O1360=0,"DELETE"," ")</f>
        <v>DELETE</v>
      </c>
      <c r="S1360" s="496"/>
      <c r="T1360" s="496"/>
      <c r="U1360" s="496"/>
      <c r="V1360" s="496"/>
    </row>
    <row r="1361" spans="2:22" ht="36" customHeight="1" x14ac:dyDescent="0.5">
      <c r="B1361" s="501"/>
      <c r="C1361" s="516"/>
      <c r="D1361" s="631" t="s">
        <v>398</v>
      </c>
      <c r="E1361" s="631"/>
      <c r="F1361" s="631"/>
      <c r="G1361" s="631"/>
      <c r="H1361" s="631"/>
      <c r="I1361" s="631"/>
      <c r="J1361" s="631"/>
      <c r="L1361" s="451"/>
      <c r="M1361" s="448"/>
      <c r="N1361" s="448"/>
      <c r="O1361" s="588">
        <f>-TrialBalance!L84-TrialBalanceA!I84-TrialBalanceB!I84-TrialBalanceC!I84</f>
        <v>0</v>
      </c>
      <c r="R1361" s="490" t="str">
        <f t="shared" si="57"/>
        <v>DELETE</v>
      </c>
      <c r="S1361" s="496"/>
      <c r="T1361" s="496"/>
      <c r="U1361" s="496"/>
      <c r="V1361" s="496"/>
    </row>
    <row r="1362" spans="2:22" ht="36" customHeight="1" x14ac:dyDescent="0.5">
      <c r="B1362" s="501"/>
      <c r="C1362" s="516"/>
      <c r="D1362" s="631" t="s">
        <v>223</v>
      </c>
      <c r="E1362" s="631"/>
      <c r="F1362" s="631"/>
      <c r="G1362" s="631"/>
      <c r="H1362" s="631"/>
      <c r="I1362" s="631"/>
      <c r="J1362" s="631"/>
      <c r="L1362" s="451"/>
      <c r="M1362" s="448"/>
      <c r="N1362" s="448"/>
      <c r="O1362" s="588">
        <f>-TrialBalance!L95-TrialBalanceA!I95-TrialBalanceB!I95-TrialBalanceC!I95</f>
        <v>0</v>
      </c>
      <c r="R1362" s="490" t="str">
        <f t="shared" si="57"/>
        <v>DELETE</v>
      </c>
      <c r="S1362" s="496"/>
      <c r="T1362" s="496"/>
      <c r="U1362" s="496"/>
      <c r="V1362" s="496"/>
    </row>
    <row r="1363" spans="2:22" ht="36" customHeight="1" x14ac:dyDescent="0.5">
      <c r="B1363" s="501"/>
      <c r="C1363" s="516"/>
      <c r="D1363" s="631" t="s">
        <v>460</v>
      </c>
      <c r="E1363" s="631"/>
      <c r="F1363" s="631"/>
      <c r="G1363" s="631"/>
      <c r="H1363" s="631"/>
      <c r="I1363" s="631"/>
      <c r="J1363" s="631"/>
      <c r="L1363" s="451"/>
      <c r="M1363" s="448"/>
      <c r="N1363" s="448"/>
      <c r="O1363" s="588">
        <f>-TrialBalance!L96-TrialBalanceA!I96-TrialBalanceB!I96-TrialBalanceC!I96</f>
        <v>0</v>
      </c>
      <c r="R1363" s="490" t="str">
        <f t="shared" si="57"/>
        <v>DELETE</v>
      </c>
      <c r="S1363" s="496"/>
      <c r="T1363" s="496"/>
      <c r="U1363" s="496"/>
      <c r="V1363" s="496"/>
    </row>
    <row r="1364" spans="2:22" ht="9" customHeight="1" x14ac:dyDescent="0.5">
      <c r="B1364" s="501"/>
      <c r="C1364" s="516"/>
      <c r="D1364" s="631"/>
      <c r="E1364" s="631"/>
      <c r="F1364" s="631"/>
      <c r="G1364" s="631"/>
      <c r="H1364" s="631"/>
      <c r="I1364" s="631"/>
      <c r="J1364" s="631"/>
      <c r="L1364" s="451"/>
      <c r="M1364" s="448"/>
      <c r="N1364" s="448"/>
      <c r="O1364" s="589"/>
      <c r="R1364" s="490" t="str">
        <f>R1357</f>
        <v>DELETE</v>
      </c>
      <c r="S1364" s="496"/>
      <c r="T1364" s="496"/>
      <c r="U1364" s="496"/>
      <c r="V1364" s="496"/>
    </row>
    <row r="1365" spans="2:22" ht="9" customHeight="1" x14ac:dyDescent="0.5">
      <c r="B1365" s="501"/>
      <c r="C1365" s="516"/>
      <c r="D1365" s="631"/>
      <c r="E1365" s="631"/>
      <c r="F1365" s="631"/>
      <c r="G1365" s="631"/>
      <c r="H1365" s="631"/>
      <c r="I1365" s="631"/>
      <c r="J1365" s="631"/>
      <c r="L1365" s="451"/>
      <c r="M1365" s="448"/>
      <c r="N1365" s="448"/>
      <c r="O1365" s="461"/>
      <c r="R1365" s="490" t="str">
        <f>R1367</f>
        <v>DELETE</v>
      </c>
    </row>
    <row r="1366" spans="2:22" ht="9" customHeight="1" x14ac:dyDescent="0.5">
      <c r="B1366" s="501"/>
      <c r="C1366" s="516"/>
      <c r="D1366" s="631"/>
      <c r="E1366" s="631"/>
      <c r="F1366" s="631"/>
      <c r="G1366" s="631"/>
      <c r="H1366" s="631"/>
      <c r="I1366" s="631"/>
      <c r="J1366" s="631"/>
      <c r="L1366" s="451"/>
      <c r="M1366" s="448"/>
      <c r="N1366" s="448"/>
      <c r="O1366" s="458"/>
      <c r="R1366" s="490" t="str">
        <f>R1367</f>
        <v>DELETE</v>
      </c>
    </row>
    <row r="1367" spans="2:22" ht="36.75" customHeight="1" x14ac:dyDescent="0.5">
      <c r="B1367" s="501"/>
      <c r="C1367" s="516"/>
      <c r="D1367" s="631" t="s">
        <v>616</v>
      </c>
      <c r="E1367" s="631"/>
      <c r="F1367" s="631"/>
      <c r="G1367" s="631"/>
      <c r="H1367" s="631"/>
      <c r="I1367" s="631"/>
      <c r="J1367" s="631"/>
      <c r="L1367" s="451"/>
      <c r="M1367" s="448"/>
      <c r="N1367" s="448"/>
      <c r="O1367" s="458">
        <f>SUM(S1328:S1365)</f>
        <v>0</v>
      </c>
      <c r="R1367" s="490" t="str">
        <f t="shared" ref="R1367" si="58">IF(O1367=0,"DELETE"," ")</f>
        <v>DELETE</v>
      </c>
      <c r="U1367" s="499"/>
      <c r="V1367" s="499"/>
    </row>
    <row r="1368" spans="2:22" ht="9" customHeight="1" thickBot="1" x14ac:dyDescent="0.55000000000000004">
      <c r="B1368" s="501"/>
      <c r="C1368" s="516"/>
      <c r="D1368" s="631"/>
      <c r="E1368" s="631"/>
      <c r="F1368" s="631"/>
      <c r="G1368" s="631"/>
      <c r="H1368" s="631"/>
      <c r="I1368" s="631"/>
      <c r="J1368" s="631"/>
      <c r="L1368" s="451"/>
      <c r="M1368" s="448"/>
      <c r="N1368" s="448"/>
      <c r="O1368" s="462"/>
      <c r="R1368" s="490" t="str">
        <f t="shared" ref="R1368:R1373" si="59">R$1367</f>
        <v>DELETE</v>
      </c>
    </row>
    <row r="1369" spans="2:22" ht="9" customHeight="1" thickTop="1" x14ac:dyDescent="0.5">
      <c r="B1369" s="501"/>
      <c r="C1369" s="516"/>
      <c r="D1369" s="631"/>
      <c r="E1369" s="631"/>
      <c r="F1369" s="631"/>
      <c r="G1369" s="631"/>
      <c r="H1369" s="631"/>
      <c r="I1369" s="631"/>
      <c r="J1369" s="631"/>
      <c r="L1369" s="451"/>
      <c r="M1369" s="448"/>
      <c r="N1369" s="448"/>
      <c r="O1369" s="475"/>
      <c r="R1369" s="490" t="str">
        <f t="shared" si="59"/>
        <v>DELETE</v>
      </c>
    </row>
    <row r="1370" spans="2:22" ht="36" customHeight="1" x14ac:dyDescent="0.5">
      <c r="B1370" s="501"/>
      <c r="C1370" s="516"/>
      <c r="D1370" s="631"/>
      <c r="E1370" s="631"/>
      <c r="F1370" s="631"/>
      <c r="G1370" s="631"/>
      <c r="H1370" s="631"/>
      <c r="I1370" s="631"/>
      <c r="J1370" s="631"/>
      <c r="L1370" s="451"/>
      <c r="M1370" s="448"/>
      <c r="N1370" s="448"/>
      <c r="O1370" s="458"/>
      <c r="R1370" s="490" t="str">
        <f t="shared" si="59"/>
        <v>DELETE</v>
      </c>
    </row>
    <row r="1371" spans="2:22" ht="36" customHeight="1" x14ac:dyDescent="0.5">
      <c r="B1371" s="501"/>
      <c r="C1371" s="516"/>
      <c r="D1371" s="631"/>
      <c r="E1371" s="631"/>
      <c r="F1371" s="631"/>
      <c r="G1371" s="631"/>
      <c r="H1371" s="631"/>
      <c r="I1371" s="631"/>
      <c r="J1371" s="631"/>
      <c r="M1371" s="458"/>
      <c r="N1371" s="458"/>
      <c r="O1371" s="458"/>
      <c r="R1371" s="490" t="str">
        <f t="shared" si="59"/>
        <v>DELETE</v>
      </c>
    </row>
    <row r="1372" spans="2:22" ht="36" customHeight="1" x14ac:dyDescent="0.5">
      <c r="B1372" s="501"/>
      <c r="C1372" s="516"/>
      <c r="D1372" s="631"/>
      <c r="E1372" s="631"/>
      <c r="F1372" s="631"/>
      <c r="G1372" s="631"/>
      <c r="H1372" s="631"/>
      <c r="I1372" s="631"/>
      <c r="J1372" s="631"/>
      <c r="M1372" s="475"/>
      <c r="N1372" s="475"/>
      <c r="O1372" s="475"/>
      <c r="P1372" s="545"/>
      <c r="R1372" s="490" t="str">
        <f t="shared" si="59"/>
        <v>DELETE</v>
      </c>
    </row>
    <row r="1373" spans="2:22" ht="36" customHeight="1" x14ac:dyDescent="0.5">
      <c r="B1373" s="501"/>
      <c r="C1373" s="449"/>
      <c r="D1373" s="631"/>
      <c r="E1373" s="631"/>
      <c r="F1373" s="631"/>
      <c r="G1373" s="631"/>
      <c r="H1373" s="631"/>
      <c r="I1373" s="631"/>
      <c r="J1373" s="631"/>
      <c r="M1373" s="458"/>
      <c r="N1373" s="458"/>
      <c r="O1373" s="458"/>
      <c r="R1373" s="490" t="str">
        <f t="shared" si="59"/>
        <v>DELETE</v>
      </c>
    </row>
    <row r="1374" spans="2:22" ht="36" customHeight="1" x14ac:dyDescent="0.5">
      <c r="B1374" s="502"/>
      <c r="D1374" s="631"/>
      <c r="E1374" s="631"/>
      <c r="F1374" s="631"/>
      <c r="G1374" s="631"/>
      <c r="H1374" s="631"/>
      <c r="I1374" s="631"/>
      <c r="J1374" s="631"/>
      <c r="M1374" s="541"/>
      <c r="N1374" s="541"/>
      <c r="O1374" s="458" t="s">
        <v>112</v>
      </c>
      <c r="Q1374" s="450">
        <f>MAX($Q$103:Q1373)+1</f>
        <v>36</v>
      </c>
      <c r="R1374" s="490" t="str">
        <f>R$1432</f>
        <v>DELETE</v>
      </c>
    </row>
    <row r="1375" spans="2:22" ht="36" customHeight="1" x14ac:dyDescent="0.5">
      <c r="B1375" s="502"/>
      <c r="D1375" s="630" t="str">
        <f>Criteria!E9</f>
        <v>ABC COMPANY (PROPRIETARY) LIMITED</v>
      </c>
      <c r="E1375" s="631"/>
      <c r="F1375" s="631"/>
      <c r="G1375" s="631"/>
      <c r="H1375" s="631"/>
      <c r="I1375" s="631"/>
      <c r="J1375" s="631"/>
      <c r="M1375" s="541"/>
      <c r="N1375" s="541"/>
      <c r="O1375" s="540"/>
      <c r="R1375" s="490" t="str">
        <f>R$1432</f>
        <v>DELETE</v>
      </c>
    </row>
    <row r="1376" spans="2:22" ht="36" customHeight="1" x14ac:dyDescent="0.5">
      <c r="B1376" s="502"/>
      <c r="D1376" s="630" t="str">
        <f>Criteria!E10</f>
        <v>T/A SEAFRONT HOTEL, ABC RESTAURANT AND RENTAL PROPERTIES</v>
      </c>
      <c r="E1376" s="631"/>
      <c r="F1376" s="631"/>
      <c r="G1376" s="631"/>
      <c r="H1376" s="631"/>
      <c r="I1376" s="631"/>
      <c r="J1376" s="631"/>
      <c r="M1376" s="541"/>
      <c r="N1376" s="541"/>
      <c r="O1376" s="541"/>
      <c r="R1376" s="490" t="str">
        <f>IF(R$1432="DELETE","DELETE",IF(D1376=0,"DELETE"," "))</f>
        <v>DELETE</v>
      </c>
    </row>
    <row r="1377" spans="2:18" ht="36" customHeight="1" x14ac:dyDescent="0.5">
      <c r="B1377" s="502"/>
      <c r="D1377" s="631"/>
      <c r="E1377" s="631"/>
      <c r="F1377" s="631"/>
      <c r="G1377" s="631"/>
      <c r="H1377" s="631"/>
      <c r="I1377" s="631"/>
      <c r="J1377" s="631"/>
      <c r="M1377" s="541"/>
      <c r="N1377" s="541"/>
      <c r="O1377" s="541"/>
      <c r="R1377" s="490" t="str">
        <f t="shared" ref="R1377:R1385" si="60">R$1432</f>
        <v>DELETE</v>
      </c>
    </row>
    <row r="1378" spans="2:18" ht="36" customHeight="1" x14ac:dyDescent="0.5">
      <c r="B1378" s="502"/>
      <c r="D1378" s="630" t="s">
        <v>415</v>
      </c>
      <c r="E1378" s="631"/>
      <c r="F1378" s="631"/>
      <c r="G1378" s="631"/>
      <c r="H1378" s="631"/>
      <c r="I1378" s="631"/>
      <c r="J1378" s="631"/>
      <c r="M1378" s="541"/>
      <c r="N1378" s="541"/>
      <c r="O1378" s="541"/>
      <c r="R1378" s="490" t="str">
        <f t="shared" si="60"/>
        <v>DELETE</v>
      </c>
    </row>
    <row r="1379" spans="2:18" ht="36" customHeight="1" x14ac:dyDescent="0.5">
      <c r="B1379" s="502"/>
      <c r="D1379" s="630" t="str">
        <f>Criteria!E20</f>
        <v>28 FEBRUARY 2026</v>
      </c>
      <c r="E1379" s="631"/>
      <c r="F1379" s="631"/>
      <c r="G1379" s="631"/>
      <c r="H1379" s="631"/>
      <c r="I1379" s="631"/>
      <c r="J1379" s="631" t="s">
        <v>282</v>
      </c>
      <c r="M1379" s="541"/>
      <c r="N1379" s="541"/>
      <c r="O1379" s="541"/>
      <c r="R1379" s="490" t="str">
        <f t="shared" si="60"/>
        <v>DELETE</v>
      </c>
    </row>
    <row r="1380" spans="2:18" ht="36" customHeight="1" x14ac:dyDescent="0.5">
      <c r="B1380" s="502"/>
      <c r="D1380" s="631"/>
      <c r="E1380" s="631"/>
      <c r="F1380" s="631"/>
      <c r="G1380" s="631"/>
      <c r="H1380" s="631"/>
      <c r="I1380" s="631"/>
      <c r="J1380" s="631"/>
      <c r="M1380" s="554"/>
      <c r="N1380" s="554"/>
      <c r="O1380" s="554"/>
      <c r="R1380" s="490" t="str">
        <f t="shared" si="60"/>
        <v>DELETE</v>
      </c>
    </row>
    <row r="1381" spans="2:18" ht="36" customHeight="1" x14ac:dyDescent="0.5">
      <c r="B1381" s="641"/>
      <c r="C1381" s="457"/>
      <c r="D1381" s="649"/>
      <c r="E1381" s="649"/>
      <c r="F1381" s="649"/>
      <c r="G1381" s="649"/>
      <c r="H1381" s="649"/>
      <c r="I1381" s="649"/>
      <c r="J1381" s="649"/>
      <c r="K1381" s="457"/>
      <c r="L1381" s="457"/>
      <c r="M1381" s="557"/>
      <c r="N1381" s="557"/>
      <c r="O1381" s="557"/>
      <c r="P1381" s="551"/>
      <c r="Q1381" s="457"/>
      <c r="R1381" s="490" t="str">
        <f t="shared" si="60"/>
        <v>DELETE</v>
      </c>
    </row>
    <row r="1382" spans="2:18" ht="36" customHeight="1" x14ac:dyDescent="0.5">
      <c r="B1382" s="502"/>
      <c r="D1382" s="631"/>
      <c r="E1382" s="631"/>
      <c r="F1382" s="631"/>
      <c r="G1382" s="631"/>
      <c r="H1382" s="631"/>
      <c r="I1382" s="631"/>
      <c r="J1382" s="631"/>
      <c r="L1382" s="451"/>
      <c r="M1382" s="448"/>
      <c r="N1382" s="448"/>
      <c r="O1382" s="453">
        <f>Criteria!E22</f>
        <v>2026</v>
      </c>
      <c r="R1382" s="490" t="str">
        <f t="shared" si="60"/>
        <v>DELETE</v>
      </c>
    </row>
    <row r="1383" spans="2:18" ht="36" customHeight="1" x14ac:dyDescent="0.5">
      <c r="B1383" s="501"/>
      <c r="C1383" s="449"/>
      <c r="D1383" s="631"/>
      <c r="E1383" s="631"/>
      <c r="F1383" s="631"/>
      <c r="G1383" s="631"/>
      <c r="H1383" s="631"/>
      <c r="I1383" s="631"/>
      <c r="J1383" s="631"/>
      <c r="L1383" s="451"/>
      <c r="M1383" s="448"/>
      <c r="N1383" s="448"/>
      <c r="O1383" s="458"/>
      <c r="R1383" s="490" t="str">
        <f t="shared" si="60"/>
        <v>DELETE</v>
      </c>
    </row>
    <row r="1384" spans="2:18" ht="36" customHeight="1" x14ac:dyDescent="0.5">
      <c r="B1384" s="501">
        <f>MAX($B$873:B1383)+1</f>
        <v>6</v>
      </c>
      <c r="C1384" s="630" t="s">
        <v>1493</v>
      </c>
      <c r="D1384" s="631"/>
      <c r="E1384" s="631"/>
      <c r="F1384" s="631"/>
      <c r="G1384" s="631"/>
      <c r="H1384" s="631"/>
      <c r="I1384" s="631"/>
      <c r="J1384" s="631"/>
      <c r="L1384" s="451"/>
      <c r="M1384" s="448"/>
      <c r="N1384" s="448"/>
      <c r="O1384" s="458"/>
      <c r="R1384" s="490" t="str">
        <f t="shared" si="60"/>
        <v>DELETE</v>
      </c>
    </row>
    <row r="1385" spans="2:18" ht="36" customHeight="1" x14ac:dyDescent="0.5">
      <c r="B1385" s="501"/>
      <c r="C1385" s="630"/>
      <c r="D1385" s="631"/>
      <c r="E1385" s="631"/>
      <c r="F1385" s="631"/>
      <c r="G1385" s="631"/>
      <c r="H1385" s="631"/>
      <c r="I1385" s="631"/>
      <c r="J1385" s="631"/>
      <c r="L1385" s="451"/>
      <c r="M1385" s="448"/>
      <c r="N1385" s="448"/>
      <c r="O1385" s="458"/>
      <c r="R1385" s="490" t="str">
        <f t="shared" si="60"/>
        <v>DELETE</v>
      </c>
    </row>
    <row r="1386" spans="2:18" ht="36" customHeight="1" x14ac:dyDescent="0.5">
      <c r="B1386" s="501"/>
      <c r="C1386" s="631">
        <f>TrialBalance!C144</f>
        <v>0</v>
      </c>
      <c r="D1386" s="648"/>
      <c r="E1386" s="631"/>
      <c r="F1386" s="631"/>
      <c r="G1386" s="631"/>
      <c r="H1386" s="631"/>
      <c r="I1386" s="631"/>
      <c r="J1386" s="631"/>
      <c r="L1386" s="451"/>
      <c r="M1386" s="448"/>
      <c r="N1386" s="448"/>
      <c r="O1386" s="458">
        <f>TrialBalance!L144</f>
        <v>0</v>
      </c>
      <c r="R1386" s="490" t="str">
        <f t="shared" ref="R1386:R1429" si="61">IF(O1386=0,"DELETE"," ")</f>
        <v>DELETE</v>
      </c>
    </row>
    <row r="1387" spans="2:18" ht="36" customHeight="1" x14ac:dyDescent="0.5">
      <c r="B1387" s="501"/>
      <c r="C1387" s="631">
        <f>TrialBalance!C145</f>
        <v>0</v>
      </c>
      <c r="D1387" s="648"/>
      <c r="E1387" s="631"/>
      <c r="F1387" s="631"/>
      <c r="G1387" s="631"/>
      <c r="H1387" s="631"/>
      <c r="I1387" s="631"/>
      <c r="J1387" s="631"/>
      <c r="L1387" s="451"/>
      <c r="M1387" s="448"/>
      <c r="N1387" s="448"/>
      <c r="O1387" s="458">
        <f>TrialBalance!L145</f>
        <v>0</v>
      </c>
      <c r="R1387" s="490" t="str">
        <f t="shared" si="61"/>
        <v>DELETE</v>
      </c>
    </row>
    <row r="1388" spans="2:18" ht="36" customHeight="1" x14ac:dyDescent="0.5">
      <c r="B1388" s="501"/>
      <c r="C1388" s="631">
        <f>TrialBalance!C146</f>
        <v>0</v>
      </c>
      <c r="D1388" s="648"/>
      <c r="E1388" s="631"/>
      <c r="F1388" s="631"/>
      <c r="G1388" s="631"/>
      <c r="H1388" s="631"/>
      <c r="I1388" s="631"/>
      <c r="J1388" s="631"/>
      <c r="L1388" s="451"/>
      <c r="M1388" s="448"/>
      <c r="N1388" s="448"/>
      <c r="O1388" s="458">
        <f>TrialBalance!L146</f>
        <v>0</v>
      </c>
      <c r="R1388" s="490" t="str">
        <f t="shared" si="61"/>
        <v>DELETE</v>
      </c>
    </row>
    <row r="1389" spans="2:18" ht="36" customHeight="1" x14ac:dyDescent="0.5">
      <c r="B1389" s="501"/>
      <c r="C1389" s="631">
        <f>TrialBalance!C147</f>
        <v>0</v>
      </c>
      <c r="D1389" s="648"/>
      <c r="E1389" s="631"/>
      <c r="F1389" s="631"/>
      <c r="G1389" s="631"/>
      <c r="H1389" s="631"/>
      <c r="I1389" s="631"/>
      <c r="J1389" s="631"/>
      <c r="L1389" s="451"/>
      <c r="M1389" s="448"/>
      <c r="N1389" s="448"/>
      <c r="O1389" s="458">
        <f>TrialBalance!L147</f>
        <v>0</v>
      </c>
      <c r="R1389" s="490" t="str">
        <f t="shared" si="61"/>
        <v>DELETE</v>
      </c>
    </row>
    <row r="1390" spans="2:18" ht="36" customHeight="1" x14ac:dyDescent="0.5">
      <c r="B1390" s="501"/>
      <c r="C1390" s="631">
        <f>TrialBalance!C148</f>
        <v>0</v>
      </c>
      <c r="D1390" s="648"/>
      <c r="E1390" s="631"/>
      <c r="F1390" s="631"/>
      <c r="G1390" s="631"/>
      <c r="H1390" s="631"/>
      <c r="I1390" s="631"/>
      <c r="J1390" s="631"/>
      <c r="L1390" s="451"/>
      <c r="M1390" s="448"/>
      <c r="N1390" s="448"/>
      <c r="O1390" s="458">
        <f>TrialBalance!L148</f>
        <v>0</v>
      </c>
      <c r="R1390" s="490" t="str">
        <f t="shared" si="61"/>
        <v>DELETE</v>
      </c>
    </row>
    <row r="1391" spans="2:18" ht="36" customHeight="1" x14ac:dyDescent="0.5">
      <c r="B1391" s="501"/>
      <c r="C1391" s="631">
        <f>TrialBalance!C149</f>
        <v>0</v>
      </c>
      <c r="D1391" s="648"/>
      <c r="E1391" s="631"/>
      <c r="F1391" s="631"/>
      <c r="G1391" s="631"/>
      <c r="H1391" s="631"/>
      <c r="I1391" s="631"/>
      <c r="J1391" s="631"/>
      <c r="L1391" s="451"/>
      <c r="M1391" s="448"/>
      <c r="N1391" s="448"/>
      <c r="O1391" s="458">
        <f>TrialBalance!L149</f>
        <v>0</v>
      </c>
      <c r="R1391" s="490" t="str">
        <f t="shared" si="61"/>
        <v>DELETE</v>
      </c>
    </row>
    <row r="1392" spans="2:18" ht="36" customHeight="1" x14ac:dyDescent="0.5">
      <c r="B1392" s="501"/>
      <c r="C1392" s="631">
        <f>TrialBalance!C150</f>
        <v>0</v>
      </c>
      <c r="D1392" s="648"/>
      <c r="E1392" s="631"/>
      <c r="F1392" s="631"/>
      <c r="G1392" s="631"/>
      <c r="H1392" s="631"/>
      <c r="I1392" s="631"/>
      <c r="J1392" s="631"/>
      <c r="L1392" s="451"/>
      <c r="M1392" s="448"/>
      <c r="N1392" s="448"/>
      <c r="O1392" s="458">
        <f>TrialBalance!L150</f>
        <v>0</v>
      </c>
      <c r="R1392" s="490" t="str">
        <f t="shared" si="61"/>
        <v>DELETE</v>
      </c>
    </row>
    <row r="1393" spans="2:18" ht="36" customHeight="1" x14ac:dyDescent="0.5">
      <c r="B1393" s="501"/>
      <c r="C1393" s="631">
        <f>TrialBalance!C151</f>
        <v>0</v>
      </c>
      <c r="D1393" s="648"/>
      <c r="E1393" s="631"/>
      <c r="F1393" s="631"/>
      <c r="G1393" s="631"/>
      <c r="H1393" s="631"/>
      <c r="I1393" s="631"/>
      <c r="J1393" s="631"/>
      <c r="L1393" s="451"/>
      <c r="M1393" s="448"/>
      <c r="N1393" s="448"/>
      <c r="O1393" s="458">
        <f>TrialBalance!L151</f>
        <v>0</v>
      </c>
      <c r="R1393" s="490" t="str">
        <f t="shared" si="61"/>
        <v>DELETE</v>
      </c>
    </row>
    <row r="1394" spans="2:18" ht="36" customHeight="1" x14ac:dyDescent="0.5">
      <c r="B1394" s="501"/>
      <c r="C1394" s="631">
        <f>TrialBalance!C152</f>
        <v>0</v>
      </c>
      <c r="D1394" s="648"/>
      <c r="E1394" s="631"/>
      <c r="F1394" s="631"/>
      <c r="G1394" s="631"/>
      <c r="H1394" s="631"/>
      <c r="I1394" s="631"/>
      <c r="J1394" s="631"/>
      <c r="L1394" s="451"/>
      <c r="M1394" s="448"/>
      <c r="N1394" s="448"/>
      <c r="O1394" s="458">
        <f>TrialBalance!L152</f>
        <v>0</v>
      </c>
      <c r="R1394" s="490" t="str">
        <f t="shared" si="61"/>
        <v>DELETE</v>
      </c>
    </row>
    <row r="1395" spans="2:18" ht="36" customHeight="1" x14ac:dyDescent="0.5">
      <c r="B1395" s="501"/>
      <c r="C1395" s="631">
        <f>TrialBalance!C153</f>
        <v>0</v>
      </c>
      <c r="D1395" s="648"/>
      <c r="E1395" s="631"/>
      <c r="F1395" s="631"/>
      <c r="G1395" s="631"/>
      <c r="H1395" s="631"/>
      <c r="I1395" s="631"/>
      <c r="J1395" s="631"/>
      <c r="L1395" s="451"/>
      <c r="M1395" s="448"/>
      <c r="N1395" s="448"/>
      <c r="O1395" s="458">
        <f>TrialBalance!L153</f>
        <v>0</v>
      </c>
      <c r="R1395" s="490" t="str">
        <f t="shared" si="61"/>
        <v>DELETE</v>
      </c>
    </row>
    <row r="1396" spans="2:18" ht="36" customHeight="1" x14ac:dyDescent="0.5">
      <c r="B1396" s="501"/>
      <c r="C1396" s="631" t="str">
        <f>TrialBalance!C154</f>
        <v>Finance leases - Seafront Hotel</v>
      </c>
      <c r="D1396" s="648"/>
      <c r="E1396" s="631"/>
      <c r="F1396" s="631"/>
      <c r="G1396" s="631"/>
      <c r="H1396" s="631"/>
      <c r="I1396" s="631"/>
      <c r="J1396" s="631"/>
      <c r="L1396" s="451"/>
      <c r="M1396" s="448"/>
      <c r="N1396" s="448"/>
      <c r="O1396" s="458">
        <f>TrialBalance!L154</f>
        <v>0</v>
      </c>
      <c r="R1396" s="490" t="str">
        <f t="shared" si="61"/>
        <v>DELETE</v>
      </c>
    </row>
    <row r="1397" spans="2:18" ht="36" customHeight="1" x14ac:dyDescent="0.5">
      <c r="B1397" s="501"/>
      <c r="C1397" s="631">
        <f>TrialBalanceA!C144</f>
        <v>0</v>
      </c>
      <c r="D1397" s="648"/>
      <c r="E1397" s="631"/>
      <c r="F1397" s="631"/>
      <c r="G1397" s="631"/>
      <c r="H1397" s="631"/>
      <c r="I1397" s="631"/>
      <c r="J1397" s="631"/>
      <c r="L1397" s="451"/>
      <c r="M1397" s="448"/>
      <c r="N1397" s="448"/>
      <c r="O1397" s="458">
        <f>TrialBalanceA!I144</f>
        <v>0</v>
      </c>
      <c r="R1397" s="490" t="str">
        <f t="shared" si="61"/>
        <v>DELETE</v>
      </c>
    </row>
    <row r="1398" spans="2:18" ht="36" customHeight="1" x14ac:dyDescent="0.5">
      <c r="B1398" s="501"/>
      <c r="C1398" s="631">
        <f>TrialBalanceA!C145</f>
        <v>0</v>
      </c>
      <c r="D1398" s="648"/>
      <c r="E1398" s="631"/>
      <c r="F1398" s="631"/>
      <c r="G1398" s="631"/>
      <c r="H1398" s="631"/>
      <c r="I1398" s="631"/>
      <c r="J1398" s="631"/>
      <c r="L1398" s="451"/>
      <c r="M1398" s="448"/>
      <c r="N1398" s="448"/>
      <c r="O1398" s="458">
        <f>TrialBalanceA!I145</f>
        <v>0</v>
      </c>
      <c r="R1398" s="490" t="str">
        <f t="shared" si="61"/>
        <v>DELETE</v>
      </c>
    </row>
    <row r="1399" spans="2:18" ht="36" customHeight="1" x14ac:dyDescent="0.5">
      <c r="B1399" s="501"/>
      <c r="C1399" s="631">
        <f>TrialBalanceA!C146</f>
        <v>0</v>
      </c>
      <c r="D1399" s="648"/>
      <c r="E1399" s="631"/>
      <c r="F1399" s="631"/>
      <c r="G1399" s="631"/>
      <c r="H1399" s="631"/>
      <c r="I1399" s="631"/>
      <c r="J1399" s="631"/>
      <c r="L1399" s="451"/>
      <c r="M1399" s="448"/>
      <c r="N1399" s="448"/>
      <c r="O1399" s="458">
        <f>TrialBalanceA!I146</f>
        <v>0</v>
      </c>
      <c r="R1399" s="490" t="str">
        <f t="shared" si="61"/>
        <v>DELETE</v>
      </c>
    </row>
    <row r="1400" spans="2:18" ht="36" customHeight="1" x14ac:dyDescent="0.5">
      <c r="B1400" s="501"/>
      <c r="C1400" s="631">
        <f>TrialBalanceA!C147</f>
        <v>0</v>
      </c>
      <c r="D1400" s="648"/>
      <c r="E1400" s="631"/>
      <c r="F1400" s="631"/>
      <c r="G1400" s="631"/>
      <c r="H1400" s="631"/>
      <c r="I1400" s="631"/>
      <c r="J1400" s="631"/>
      <c r="L1400" s="451"/>
      <c r="M1400" s="448"/>
      <c r="N1400" s="448"/>
      <c r="O1400" s="458">
        <f>TrialBalanceA!I147</f>
        <v>0</v>
      </c>
      <c r="R1400" s="490" t="str">
        <f t="shared" si="61"/>
        <v>DELETE</v>
      </c>
    </row>
    <row r="1401" spans="2:18" ht="36" customHeight="1" x14ac:dyDescent="0.5">
      <c r="B1401" s="501"/>
      <c r="C1401" s="631">
        <f>TrialBalanceA!C148</f>
        <v>0</v>
      </c>
      <c r="D1401" s="648"/>
      <c r="E1401" s="631"/>
      <c r="F1401" s="631"/>
      <c r="G1401" s="631"/>
      <c r="H1401" s="631"/>
      <c r="I1401" s="631"/>
      <c r="J1401" s="631"/>
      <c r="L1401" s="451"/>
      <c r="M1401" s="448"/>
      <c r="N1401" s="448"/>
      <c r="O1401" s="458">
        <f>TrialBalanceA!I148</f>
        <v>0</v>
      </c>
      <c r="R1401" s="490" t="str">
        <f t="shared" si="61"/>
        <v>DELETE</v>
      </c>
    </row>
    <row r="1402" spans="2:18" ht="36" customHeight="1" x14ac:dyDescent="0.5">
      <c r="B1402" s="501"/>
      <c r="C1402" s="631">
        <f>TrialBalanceA!C149</f>
        <v>0</v>
      </c>
      <c r="D1402" s="648"/>
      <c r="E1402" s="631"/>
      <c r="F1402" s="631"/>
      <c r="G1402" s="631"/>
      <c r="H1402" s="631"/>
      <c r="I1402" s="631"/>
      <c r="J1402" s="631"/>
      <c r="L1402" s="451"/>
      <c r="M1402" s="448"/>
      <c r="N1402" s="448"/>
      <c r="O1402" s="458">
        <f>TrialBalanceA!I149</f>
        <v>0</v>
      </c>
      <c r="R1402" s="490" t="str">
        <f t="shared" si="61"/>
        <v>DELETE</v>
      </c>
    </row>
    <row r="1403" spans="2:18" ht="36" customHeight="1" x14ac:dyDescent="0.5">
      <c r="B1403" s="501"/>
      <c r="C1403" s="631">
        <f>TrialBalanceA!C150</f>
        <v>0</v>
      </c>
      <c r="D1403" s="648"/>
      <c r="E1403" s="631"/>
      <c r="F1403" s="631"/>
      <c r="G1403" s="631"/>
      <c r="H1403" s="631"/>
      <c r="I1403" s="631"/>
      <c r="J1403" s="631"/>
      <c r="L1403" s="451"/>
      <c r="M1403" s="448"/>
      <c r="N1403" s="448"/>
      <c r="O1403" s="458">
        <f>TrialBalanceA!I150</f>
        <v>0</v>
      </c>
      <c r="R1403" s="490" t="str">
        <f t="shared" si="61"/>
        <v>DELETE</v>
      </c>
    </row>
    <row r="1404" spans="2:18" ht="36" customHeight="1" x14ac:dyDescent="0.5">
      <c r="B1404" s="501"/>
      <c r="C1404" s="631">
        <f>TrialBalanceA!C151</f>
        <v>0</v>
      </c>
      <c r="D1404" s="648"/>
      <c r="E1404" s="631"/>
      <c r="F1404" s="631"/>
      <c r="G1404" s="631"/>
      <c r="H1404" s="631"/>
      <c r="I1404" s="631"/>
      <c r="J1404" s="631"/>
      <c r="L1404" s="451"/>
      <c r="M1404" s="448"/>
      <c r="N1404" s="448"/>
      <c r="O1404" s="458">
        <f>TrialBalanceA!I151</f>
        <v>0</v>
      </c>
      <c r="R1404" s="490" t="str">
        <f t="shared" si="61"/>
        <v>DELETE</v>
      </c>
    </row>
    <row r="1405" spans="2:18" ht="36" customHeight="1" x14ac:dyDescent="0.5">
      <c r="B1405" s="501"/>
      <c r="C1405" s="631">
        <f>TrialBalanceA!C152</f>
        <v>0</v>
      </c>
      <c r="D1405" s="648"/>
      <c r="E1405" s="631"/>
      <c r="F1405" s="631"/>
      <c r="G1405" s="631"/>
      <c r="H1405" s="631"/>
      <c r="I1405" s="631"/>
      <c r="J1405" s="631"/>
      <c r="L1405" s="451"/>
      <c r="M1405" s="448"/>
      <c r="N1405" s="448"/>
      <c r="O1405" s="458">
        <f>TrialBalanceA!I152</f>
        <v>0</v>
      </c>
      <c r="R1405" s="490" t="str">
        <f t="shared" si="61"/>
        <v>DELETE</v>
      </c>
    </row>
    <row r="1406" spans="2:18" ht="36" customHeight="1" x14ac:dyDescent="0.5">
      <c r="B1406" s="501"/>
      <c r="C1406" s="631">
        <f>TrialBalanceA!C153</f>
        <v>0</v>
      </c>
      <c r="D1406" s="648"/>
      <c r="E1406" s="631"/>
      <c r="F1406" s="631"/>
      <c r="G1406" s="631"/>
      <c r="H1406" s="631"/>
      <c r="I1406" s="631"/>
      <c r="J1406" s="631"/>
      <c r="L1406" s="451"/>
      <c r="M1406" s="448"/>
      <c r="N1406" s="448"/>
      <c r="O1406" s="458">
        <f>TrialBalanceA!I153</f>
        <v>0</v>
      </c>
      <c r="R1406" s="490" t="str">
        <f t="shared" si="61"/>
        <v>DELETE</v>
      </c>
    </row>
    <row r="1407" spans="2:18" ht="36" customHeight="1" x14ac:dyDescent="0.5">
      <c r="B1407" s="501"/>
      <c r="C1407" s="631" t="str">
        <f>TrialBalanceA!C154</f>
        <v>Finance leases - ABC Restaurant</v>
      </c>
      <c r="D1407" s="648"/>
      <c r="E1407" s="631"/>
      <c r="F1407" s="631"/>
      <c r="G1407" s="631"/>
      <c r="H1407" s="631"/>
      <c r="I1407" s="631"/>
      <c r="J1407" s="631"/>
      <c r="L1407" s="451"/>
      <c r="M1407" s="448"/>
      <c r="N1407" s="448"/>
      <c r="O1407" s="458">
        <f>TrialBalanceA!I154</f>
        <v>0</v>
      </c>
      <c r="R1407" s="490" t="str">
        <f t="shared" si="61"/>
        <v>DELETE</v>
      </c>
    </row>
    <row r="1408" spans="2:18" ht="36" customHeight="1" x14ac:dyDescent="0.5">
      <c r="B1408" s="501"/>
      <c r="C1408" s="631">
        <f>TrialBalanceB!C144</f>
        <v>0</v>
      </c>
      <c r="D1408" s="648"/>
      <c r="E1408" s="631"/>
      <c r="F1408" s="631"/>
      <c r="G1408" s="631"/>
      <c r="H1408" s="631"/>
      <c r="I1408" s="631"/>
      <c r="J1408" s="631"/>
      <c r="L1408" s="451"/>
      <c r="M1408" s="448"/>
      <c r="N1408" s="448"/>
      <c r="O1408" s="458">
        <f>TrialBalanceB!I144</f>
        <v>0</v>
      </c>
      <c r="R1408" s="490" t="str">
        <f t="shared" si="61"/>
        <v>DELETE</v>
      </c>
    </row>
    <row r="1409" spans="2:18" ht="36" customHeight="1" x14ac:dyDescent="0.5">
      <c r="B1409" s="501"/>
      <c r="C1409" s="631">
        <f>TrialBalanceB!C145</f>
        <v>0</v>
      </c>
      <c r="D1409" s="648"/>
      <c r="E1409" s="631"/>
      <c r="F1409" s="631"/>
      <c r="G1409" s="631"/>
      <c r="H1409" s="631"/>
      <c r="I1409" s="631"/>
      <c r="J1409" s="631"/>
      <c r="L1409" s="451"/>
      <c r="M1409" s="448"/>
      <c r="N1409" s="448"/>
      <c r="O1409" s="458">
        <f>TrialBalanceB!I145</f>
        <v>0</v>
      </c>
      <c r="R1409" s="490" t="str">
        <f t="shared" si="61"/>
        <v>DELETE</v>
      </c>
    </row>
    <row r="1410" spans="2:18" ht="36" customHeight="1" x14ac:dyDescent="0.5">
      <c r="B1410" s="501"/>
      <c r="C1410" s="631">
        <f>TrialBalanceB!C146</f>
        <v>0</v>
      </c>
      <c r="D1410" s="648"/>
      <c r="E1410" s="631"/>
      <c r="F1410" s="631"/>
      <c r="G1410" s="631"/>
      <c r="H1410" s="631"/>
      <c r="I1410" s="631"/>
      <c r="J1410" s="631"/>
      <c r="L1410" s="451"/>
      <c r="M1410" s="448"/>
      <c r="N1410" s="448"/>
      <c r="O1410" s="458">
        <f>TrialBalanceB!I146</f>
        <v>0</v>
      </c>
      <c r="R1410" s="490" t="str">
        <f t="shared" si="61"/>
        <v>DELETE</v>
      </c>
    </row>
    <row r="1411" spans="2:18" ht="36" customHeight="1" x14ac:dyDescent="0.5">
      <c r="B1411" s="501"/>
      <c r="C1411" s="631">
        <f>TrialBalanceB!C147</f>
        <v>0</v>
      </c>
      <c r="D1411" s="648"/>
      <c r="E1411" s="631"/>
      <c r="F1411" s="631"/>
      <c r="G1411" s="631"/>
      <c r="H1411" s="631"/>
      <c r="I1411" s="631"/>
      <c r="J1411" s="631"/>
      <c r="L1411" s="451"/>
      <c r="M1411" s="448"/>
      <c r="N1411" s="448"/>
      <c r="O1411" s="458">
        <f>TrialBalanceB!I147</f>
        <v>0</v>
      </c>
      <c r="R1411" s="490" t="str">
        <f t="shared" si="61"/>
        <v>DELETE</v>
      </c>
    </row>
    <row r="1412" spans="2:18" ht="36" customHeight="1" x14ac:dyDescent="0.5">
      <c r="B1412" s="501"/>
      <c r="C1412" s="631">
        <f>TrialBalanceB!C148</f>
        <v>0</v>
      </c>
      <c r="D1412" s="648"/>
      <c r="E1412" s="631"/>
      <c r="F1412" s="631"/>
      <c r="G1412" s="631"/>
      <c r="H1412" s="631"/>
      <c r="I1412" s="631"/>
      <c r="J1412" s="631"/>
      <c r="L1412" s="451"/>
      <c r="M1412" s="448"/>
      <c r="N1412" s="448"/>
      <c r="O1412" s="458">
        <f>TrialBalanceB!I148</f>
        <v>0</v>
      </c>
      <c r="R1412" s="490" t="str">
        <f t="shared" si="61"/>
        <v>DELETE</v>
      </c>
    </row>
    <row r="1413" spans="2:18" ht="36" customHeight="1" x14ac:dyDescent="0.5">
      <c r="B1413" s="501"/>
      <c r="C1413" s="631">
        <f>TrialBalanceB!C149</f>
        <v>0</v>
      </c>
      <c r="D1413" s="648"/>
      <c r="E1413" s="631"/>
      <c r="F1413" s="631"/>
      <c r="G1413" s="631"/>
      <c r="H1413" s="631"/>
      <c r="I1413" s="631"/>
      <c r="J1413" s="631"/>
      <c r="L1413" s="451"/>
      <c r="M1413" s="448"/>
      <c r="N1413" s="448"/>
      <c r="O1413" s="458">
        <f>TrialBalanceB!I149</f>
        <v>0</v>
      </c>
      <c r="R1413" s="490" t="str">
        <f t="shared" si="61"/>
        <v>DELETE</v>
      </c>
    </row>
    <row r="1414" spans="2:18" ht="36" customHeight="1" x14ac:dyDescent="0.5">
      <c r="B1414" s="501"/>
      <c r="C1414" s="631">
        <f>TrialBalanceB!C150</f>
        <v>0</v>
      </c>
      <c r="D1414" s="648"/>
      <c r="E1414" s="631"/>
      <c r="F1414" s="631"/>
      <c r="G1414" s="631"/>
      <c r="H1414" s="631"/>
      <c r="I1414" s="631"/>
      <c r="J1414" s="631"/>
      <c r="L1414" s="451"/>
      <c r="M1414" s="448"/>
      <c r="N1414" s="448"/>
      <c r="O1414" s="458">
        <f>TrialBalanceB!I150</f>
        <v>0</v>
      </c>
      <c r="R1414" s="490" t="str">
        <f t="shared" si="61"/>
        <v>DELETE</v>
      </c>
    </row>
    <row r="1415" spans="2:18" ht="36" customHeight="1" x14ac:dyDescent="0.5">
      <c r="B1415" s="501"/>
      <c r="C1415" s="631">
        <f>TrialBalanceB!C151</f>
        <v>0</v>
      </c>
      <c r="D1415" s="648"/>
      <c r="E1415" s="631"/>
      <c r="F1415" s="631"/>
      <c r="G1415" s="631"/>
      <c r="H1415" s="631"/>
      <c r="I1415" s="631"/>
      <c r="J1415" s="631"/>
      <c r="L1415" s="451"/>
      <c r="M1415" s="448"/>
      <c r="N1415" s="448"/>
      <c r="O1415" s="458">
        <f>TrialBalanceB!I151</f>
        <v>0</v>
      </c>
      <c r="R1415" s="490" t="str">
        <f t="shared" si="61"/>
        <v>DELETE</v>
      </c>
    </row>
    <row r="1416" spans="2:18" ht="36" customHeight="1" x14ac:dyDescent="0.5">
      <c r="B1416" s="501"/>
      <c r="C1416" s="631">
        <f>TrialBalanceB!C152</f>
        <v>0</v>
      </c>
      <c r="D1416" s="648"/>
      <c r="E1416" s="631"/>
      <c r="F1416" s="631"/>
      <c r="G1416" s="631"/>
      <c r="H1416" s="631"/>
      <c r="I1416" s="631"/>
      <c r="J1416" s="631"/>
      <c r="L1416" s="451"/>
      <c r="M1416" s="448"/>
      <c r="N1416" s="448"/>
      <c r="O1416" s="458">
        <f>TrialBalanceB!I152</f>
        <v>0</v>
      </c>
      <c r="R1416" s="490" t="str">
        <f t="shared" si="61"/>
        <v>DELETE</v>
      </c>
    </row>
    <row r="1417" spans="2:18" ht="36" customHeight="1" x14ac:dyDescent="0.5">
      <c r="B1417" s="501"/>
      <c r="C1417" s="631">
        <f>TrialBalanceB!C153</f>
        <v>0</v>
      </c>
      <c r="D1417" s="648"/>
      <c r="E1417" s="631"/>
      <c r="F1417" s="631"/>
      <c r="G1417" s="631"/>
      <c r="H1417" s="631"/>
      <c r="I1417" s="631"/>
      <c r="J1417" s="631"/>
      <c r="L1417" s="451"/>
      <c r="M1417" s="448"/>
      <c r="N1417" s="448"/>
      <c r="O1417" s="458">
        <f>TrialBalanceB!I153</f>
        <v>0</v>
      </c>
      <c r="R1417" s="490" t="str">
        <f t="shared" si="61"/>
        <v>DELETE</v>
      </c>
    </row>
    <row r="1418" spans="2:18" ht="36" customHeight="1" x14ac:dyDescent="0.5">
      <c r="B1418" s="501"/>
      <c r="C1418" s="631" t="str">
        <f>TrialBalanceB!C154</f>
        <v>Finance leases - Rental Properties</v>
      </c>
      <c r="D1418" s="648"/>
      <c r="E1418" s="631"/>
      <c r="F1418" s="631"/>
      <c r="G1418" s="631"/>
      <c r="H1418" s="631"/>
      <c r="I1418" s="631"/>
      <c r="J1418" s="631"/>
      <c r="L1418" s="451"/>
      <c r="M1418" s="448"/>
      <c r="N1418" s="448"/>
      <c r="O1418" s="458">
        <f>TrialBalanceB!I154</f>
        <v>0</v>
      </c>
      <c r="R1418" s="490" t="str">
        <f t="shared" si="61"/>
        <v>DELETE</v>
      </c>
    </row>
    <row r="1419" spans="2:18" ht="36" customHeight="1" x14ac:dyDescent="0.5">
      <c r="B1419" s="501"/>
      <c r="C1419" s="631">
        <f>TrialBalanceC!C144</f>
        <v>0</v>
      </c>
      <c r="D1419" s="648"/>
      <c r="E1419" s="631"/>
      <c r="F1419" s="631"/>
      <c r="G1419" s="631"/>
      <c r="H1419" s="631"/>
      <c r="I1419" s="631"/>
      <c r="J1419" s="631"/>
      <c r="L1419" s="451"/>
      <c r="M1419" s="448"/>
      <c r="N1419" s="448"/>
      <c r="O1419" s="458">
        <f>TrialBalanceC!I144</f>
        <v>0</v>
      </c>
      <c r="R1419" s="490" t="str">
        <f t="shared" si="61"/>
        <v>DELETE</v>
      </c>
    </row>
    <row r="1420" spans="2:18" ht="36" customHeight="1" x14ac:dyDescent="0.5">
      <c r="B1420" s="501"/>
      <c r="C1420" s="631">
        <f>TrialBalanceC!C145</f>
        <v>0</v>
      </c>
      <c r="D1420" s="648"/>
      <c r="E1420" s="631"/>
      <c r="F1420" s="631"/>
      <c r="G1420" s="631"/>
      <c r="H1420" s="631"/>
      <c r="I1420" s="631"/>
      <c r="J1420" s="631"/>
      <c r="L1420" s="451"/>
      <c r="M1420" s="448"/>
      <c r="N1420" s="448"/>
      <c r="O1420" s="458">
        <f>TrialBalanceC!I145</f>
        <v>0</v>
      </c>
      <c r="R1420" s="490" t="str">
        <f t="shared" si="61"/>
        <v>DELETE</v>
      </c>
    </row>
    <row r="1421" spans="2:18" ht="36" customHeight="1" x14ac:dyDescent="0.5">
      <c r="B1421" s="501"/>
      <c r="C1421" s="631">
        <f>TrialBalanceC!C146</f>
        <v>0</v>
      </c>
      <c r="D1421" s="648"/>
      <c r="E1421" s="631"/>
      <c r="F1421" s="631"/>
      <c r="G1421" s="631"/>
      <c r="H1421" s="631"/>
      <c r="I1421" s="631"/>
      <c r="J1421" s="631"/>
      <c r="L1421" s="451"/>
      <c r="M1421" s="448"/>
      <c r="N1421" s="448"/>
      <c r="O1421" s="458">
        <f>TrialBalanceC!I146</f>
        <v>0</v>
      </c>
      <c r="R1421" s="490" t="str">
        <f t="shared" si="61"/>
        <v>DELETE</v>
      </c>
    </row>
    <row r="1422" spans="2:18" ht="36" customHeight="1" x14ac:dyDescent="0.5">
      <c r="B1422" s="501"/>
      <c r="C1422" s="631">
        <f>TrialBalanceC!C147</f>
        <v>0</v>
      </c>
      <c r="D1422" s="648"/>
      <c r="E1422" s="631"/>
      <c r="F1422" s="631"/>
      <c r="G1422" s="631"/>
      <c r="H1422" s="631"/>
      <c r="I1422" s="631"/>
      <c r="J1422" s="631"/>
      <c r="L1422" s="451"/>
      <c r="M1422" s="448"/>
      <c r="N1422" s="448"/>
      <c r="O1422" s="458">
        <f>TrialBalanceC!I147</f>
        <v>0</v>
      </c>
      <c r="R1422" s="490" t="str">
        <f t="shared" si="61"/>
        <v>DELETE</v>
      </c>
    </row>
    <row r="1423" spans="2:18" ht="36" customHeight="1" x14ac:dyDescent="0.5">
      <c r="B1423" s="501"/>
      <c r="C1423" s="631">
        <f>TrialBalanceC!C148</f>
        <v>0</v>
      </c>
      <c r="D1423" s="648"/>
      <c r="E1423" s="631"/>
      <c r="F1423" s="631"/>
      <c r="G1423" s="631"/>
      <c r="H1423" s="631"/>
      <c r="I1423" s="631"/>
      <c r="J1423" s="631"/>
      <c r="L1423" s="451"/>
      <c r="M1423" s="448"/>
      <c r="N1423" s="448"/>
      <c r="O1423" s="458">
        <f>TrialBalanceC!I148</f>
        <v>0</v>
      </c>
      <c r="R1423" s="490" t="str">
        <f t="shared" si="61"/>
        <v>DELETE</v>
      </c>
    </row>
    <row r="1424" spans="2:18" ht="36" customHeight="1" x14ac:dyDescent="0.5">
      <c r="B1424" s="501"/>
      <c r="C1424" s="631">
        <f>TrialBalanceC!C149</f>
        <v>0</v>
      </c>
      <c r="D1424" s="648"/>
      <c r="E1424" s="631"/>
      <c r="F1424" s="631"/>
      <c r="G1424" s="631"/>
      <c r="H1424" s="631"/>
      <c r="I1424" s="631"/>
      <c r="J1424" s="631"/>
      <c r="L1424" s="451"/>
      <c r="M1424" s="448"/>
      <c r="N1424" s="448"/>
      <c r="O1424" s="458">
        <f>TrialBalanceC!I149</f>
        <v>0</v>
      </c>
      <c r="R1424" s="490" t="str">
        <f t="shared" si="61"/>
        <v>DELETE</v>
      </c>
    </row>
    <row r="1425" spans="2:18" ht="36" customHeight="1" x14ac:dyDescent="0.5">
      <c r="B1425" s="501"/>
      <c r="C1425" s="631">
        <f>TrialBalanceC!C150</f>
        <v>0</v>
      </c>
      <c r="D1425" s="648"/>
      <c r="E1425" s="631"/>
      <c r="F1425" s="631"/>
      <c r="G1425" s="631"/>
      <c r="H1425" s="631"/>
      <c r="I1425" s="631"/>
      <c r="J1425" s="631"/>
      <c r="L1425" s="451"/>
      <c r="M1425" s="448"/>
      <c r="N1425" s="448"/>
      <c r="O1425" s="458">
        <f>TrialBalanceC!I150</f>
        <v>0</v>
      </c>
      <c r="R1425" s="490" t="str">
        <f t="shared" si="61"/>
        <v>DELETE</v>
      </c>
    </row>
    <row r="1426" spans="2:18" ht="36" customHeight="1" x14ac:dyDescent="0.5">
      <c r="B1426" s="501"/>
      <c r="C1426" s="631">
        <f>TrialBalanceC!C151</f>
        <v>0</v>
      </c>
      <c r="D1426" s="648"/>
      <c r="E1426" s="631"/>
      <c r="F1426" s="631"/>
      <c r="G1426" s="631"/>
      <c r="H1426" s="631"/>
      <c r="I1426" s="631"/>
      <c r="J1426" s="631"/>
      <c r="L1426" s="451"/>
      <c r="M1426" s="448"/>
      <c r="N1426" s="448"/>
      <c r="O1426" s="458">
        <f>TrialBalanceC!I151</f>
        <v>0</v>
      </c>
      <c r="R1426" s="490" t="str">
        <f t="shared" si="61"/>
        <v>DELETE</v>
      </c>
    </row>
    <row r="1427" spans="2:18" ht="36" customHeight="1" x14ac:dyDescent="0.5">
      <c r="B1427" s="501"/>
      <c r="C1427" s="631">
        <f>TrialBalanceC!C152</f>
        <v>0</v>
      </c>
      <c r="D1427" s="648"/>
      <c r="E1427" s="631"/>
      <c r="F1427" s="631"/>
      <c r="G1427" s="631"/>
      <c r="H1427" s="631"/>
      <c r="I1427" s="631"/>
      <c r="J1427" s="631"/>
      <c r="L1427" s="451"/>
      <c r="M1427" s="448"/>
      <c r="N1427" s="448"/>
      <c r="O1427" s="458">
        <f>TrialBalanceC!I152</f>
        <v>0</v>
      </c>
      <c r="R1427" s="490" t="str">
        <f t="shared" si="61"/>
        <v>DELETE</v>
      </c>
    </row>
    <row r="1428" spans="2:18" ht="36" customHeight="1" x14ac:dyDescent="0.5">
      <c r="B1428" s="501"/>
      <c r="C1428" s="631">
        <f>TrialBalanceC!C153</f>
        <v>0</v>
      </c>
      <c r="D1428" s="648"/>
      <c r="E1428" s="631"/>
      <c r="F1428" s="631"/>
      <c r="G1428" s="631"/>
      <c r="H1428" s="631"/>
      <c r="I1428" s="631"/>
      <c r="J1428" s="631"/>
      <c r="L1428" s="451"/>
      <c r="M1428" s="448"/>
      <c r="N1428" s="448"/>
      <c r="O1428" s="458">
        <f>TrialBalanceC!I153</f>
        <v>0</v>
      </c>
      <c r="R1428" s="490" t="str">
        <f t="shared" si="61"/>
        <v>DELETE</v>
      </c>
    </row>
    <row r="1429" spans="2:18" ht="36" customHeight="1" x14ac:dyDescent="0.5">
      <c r="B1429" s="501"/>
      <c r="C1429" s="631" t="str">
        <f>TrialBalanceC!C154</f>
        <v xml:space="preserve">Finance leases - </v>
      </c>
      <c r="D1429" s="648"/>
      <c r="E1429" s="631"/>
      <c r="F1429" s="631"/>
      <c r="G1429" s="631"/>
      <c r="H1429" s="631"/>
      <c r="I1429" s="631"/>
      <c r="J1429" s="631"/>
      <c r="L1429" s="451"/>
      <c r="M1429" s="448"/>
      <c r="N1429" s="448"/>
      <c r="O1429" s="458">
        <f>TrialBalanceC!I154</f>
        <v>0</v>
      </c>
      <c r="R1429" s="490" t="str">
        <f t="shared" si="61"/>
        <v>DELETE</v>
      </c>
    </row>
    <row r="1430" spans="2:18" ht="9" customHeight="1" x14ac:dyDescent="0.5">
      <c r="B1430" s="501"/>
      <c r="C1430" s="630"/>
      <c r="D1430" s="631"/>
      <c r="E1430" s="631"/>
      <c r="F1430" s="631"/>
      <c r="G1430" s="631"/>
      <c r="H1430" s="631"/>
      <c r="I1430" s="631"/>
      <c r="J1430" s="631"/>
      <c r="L1430" s="451"/>
      <c r="M1430" s="448"/>
      <c r="N1430" s="448"/>
      <c r="O1430" s="461"/>
      <c r="R1430" s="490" t="str">
        <f>R$1432</f>
        <v>DELETE</v>
      </c>
    </row>
    <row r="1431" spans="2:18" ht="9" customHeight="1" x14ac:dyDescent="0.5">
      <c r="B1431" s="501"/>
      <c r="C1431" s="630"/>
      <c r="D1431" s="631"/>
      <c r="E1431" s="631"/>
      <c r="F1431" s="631"/>
      <c r="G1431" s="631"/>
      <c r="H1431" s="631"/>
      <c r="I1431" s="631"/>
      <c r="J1431" s="631"/>
      <c r="L1431" s="451"/>
      <c r="M1431" s="448"/>
      <c r="N1431" s="448"/>
      <c r="O1431" s="458"/>
      <c r="R1431" s="490" t="str">
        <f>R$1432</f>
        <v>DELETE</v>
      </c>
    </row>
    <row r="1432" spans="2:18" ht="36.75" customHeight="1" x14ac:dyDescent="0.5">
      <c r="B1432" s="501"/>
      <c r="C1432" s="630"/>
      <c r="D1432" s="631"/>
      <c r="E1432" s="631"/>
      <c r="F1432" s="631"/>
      <c r="G1432" s="631"/>
      <c r="H1432" s="631"/>
      <c r="I1432" s="631"/>
      <c r="J1432" s="631"/>
      <c r="L1432" s="451"/>
      <c r="M1432" s="448"/>
      <c r="N1432" s="448"/>
      <c r="O1432" s="458">
        <f>SUM(O1386:O1431)</f>
        <v>0</v>
      </c>
      <c r="R1432" s="490" t="str">
        <f t="shared" ref="R1432" si="62">IF(O1432=0,"DELETE"," ")</f>
        <v>DELETE</v>
      </c>
    </row>
    <row r="1433" spans="2:18" ht="9" customHeight="1" thickBot="1" x14ac:dyDescent="0.55000000000000004">
      <c r="B1433" s="501"/>
      <c r="C1433" s="630"/>
      <c r="D1433" s="631"/>
      <c r="E1433" s="631"/>
      <c r="F1433" s="631"/>
      <c r="G1433" s="631"/>
      <c r="H1433" s="631"/>
      <c r="I1433" s="631"/>
      <c r="J1433" s="631"/>
      <c r="L1433" s="451"/>
      <c r="M1433" s="448"/>
      <c r="N1433" s="448"/>
      <c r="O1433" s="462"/>
      <c r="R1433" s="490" t="str">
        <f t="shared" ref="R1433:R1437" si="63">R$1432</f>
        <v>DELETE</v>
      </c>
    </row>
    <row r="1434" spans="2:18" ht="9" customHeight="1" thickTop="1" x14ac:dyDescent="0.5">
      <c r="B1434" s="501"/>
      <c r="C1434" s="630"/>
      <c r="D1434" s="631"/>
      <c r="E1434" s="631"/>
      <c r="F1434" s="631"/>
      <c r="G1434" s="631"/>
      <c r="H1434" s="631"/>
      <c r="I1434" s="631"/>
      <c r="J1434" s="631"/>
      <c r="L1434" s="451"/>
      <c r="M1434" s="448"/>
      <c r="N1434" s="448"/>
      <c r="O1434" s="475"/>
      <c r="R1434" s="490" t="str">
        <f t="shared" si="63"/>
        <v>DELETE</v>
      </c>
    </row>
    <row r="1435" spans="2:18" ht="36" customHeight="1" x14ac:dyDescent="0.5">
      <c r="B1435" s="501"/>
      <c r="C1435" s="630"/>
      <c r="D1435" s="631"/>
      <c r="E1435" s="631"/>
      <c r="F1435" s="631"/>
      <c r="G1435" s="631"/>
      <c r="H1435" s="631"/>
      <c r="I1435" s="631"/>
      <c r="J1435" s="631"/>
      <c r="L1435" s="451"/>
      <c r="M1435" s="448"/>
      <c r="N1435" s="448"/>
      <c r="O1435" s="475"/>
      <c r="R1435" s="490" t="str">
        <f t="shared" si="63"/>
        <v>DELETE</v>
      </c>
    </row>
    <row r="1436" spans="2:18" ht="36" customHeight="1" x14ac:dyDescent="0.5">
      <c r="B1436" s="501"/>
      <c r="C1436" s="630"/>
      <c r="D1436" s="631"/>
      <c r="E1436" s="631"/>
      <c r="F1436" s="631"/>
      <c r="G1436" s="631"/>
      <c r="H1436" s="631"/>
      <c r="I1436" s="631"/>
      <c r="J1436" s="631"/>
      <c r="M1436" s="475"/>
      <c r="N1436" s="475"/>
      <c r="O1436" s="475"/>
      <c r="R1436" s="490" t="str">
        <f t="shared" si="63"/>
        <v>DELETE</v>
      </c>
    </row>
    <row r="1437" spans="2:18" ht="36" customHeight="1" x14ac:dyDescent="0.5">
      <c r="B1437" s="501"/>
      <c r="C1437" s="630"/>
      <c r="D1437" s="631"/>
      <c r="E1437" s="631"/>
      <c r="F1437" s="631"/>
      <c r="G1437" s="631"/>
      <c r="H1437" s="631"/>
      <c r="I1437" s="631"/>
      <c r="J1437" s="631"/>
      <c r="M1437" s="475"/>
      <c r="N1437" s="475"/>
      <c r="O1437" s="475"/>
      <c r="P1437" s="545"/>
      <c r="R1437" s="490" t="str">
        <f t="shared" si="63"/>
        <v>DELETE</v>
      </c>
    </row>
    <row r="1438" spans="2:18" ht="36" customHeight="1" x14ac:dyDescent="0.5">
      <c r="B1438" s="502"/>
      <c r="D1438" s="631"/>
      <c r="E1438" s="631"/>
      <c r="F1438" s="631"/>
      <c r="G1438" s="631"/>
      <c r="H1438" s="631"/>
      <c r="I1438" s="631"/>
      <c r="J1438" s="631"/>
      <c r="M1438" s="541"/>
      <c r="N1438" s="541"/>
      <c r="O1438" s="458" t="s">
        <v>112</v>
      </c>
      <c r="Q1438" s="450">
        <f>MAX($Q$103:Q1437)+1</f>
        <v>37</v>
      </c>
      <c r="R1438" s="490" t="str">
        <f>R$1453</f>
        <v>DELETE</v>
      </c>
    </row>
    <row r="1439" spans="2:18" ht="36" customHeight="1" x14ac:dyDescent="0.5">
      <c r="B1439" s="502"/>
      <c r="D1439" s="630" t="str">
        <f>Criteria!E9</f>
        <v>ABC COMPANY (PROPRIETARY) LIMITED</v>
      </c>
      <c r="E1439" s="631"/>
      <c r="F1439" s="631"/>
      <c r="G1439" s="631"/>
      <c r="H1439" s="631"/>
      <c r="I1439" s="631"/>
      <c r="J1439" s="631"/>
      <c r="M1439" s="541"/>
      <c r="N1439" s="541"/>
      <c r="O1439" s="540"/>
      <c r="R1439" s="490" t="str">
        <f>R$1453</f>
        <v>DELETE</v>
      </c>
    </row>
    <row r="1440" spans="2:18" ht="36" customHeight="1" x14ac:dyDescent="0.5">
      <c r="B1440" s="502"/>
      <c r="D1440" s="630" t="str">
        <f>Criteria!E10</f>
        <v>T/A SEAFRONT HOTEL, ABC RESTAURANT AND RENTAL PROPERTIES</v>
      </c>
      <c r="E1440" s="631"/>
      <c r="F1440" s="631"/>
      <c r="G1440" s="631"/>
      <c r="H1440" s="631"/>
      <c r="I1440" s="631"/>
      <c r="J1440" s="631"/>
      <c r="M1440" s="541"/>
      <c r="N1440" s="541"/>
      <c r="O1440" s="541"/>
      <c r="R1440" s="490" t="str">
        <f>IF(R$1453="DELETE","DELETE",IF(D1440=0,"DELETE"," "))</f>
        <v>DELETE</v>
      </c>
    </row>
    <row r="1441" spans="2:18" ht="36" customHeight="1" x14ac:dyDescent="0.5">
      <c r="B1441" s="502"/>
      <c r="D1441" s="631"/>
      <c r="E1441" s="631"/>
      <c r="F1441" s="631"/>
      <c r="G1441" s="631"/>
      <c r="H1441" s="631"/>
      <c r="I1441" s="631"/>
      <c r="J1441" s="631"/>
      <c r="M1441" s="541"/>
      <c r="N1441" s="541"/>
      <c r="O1441" s="541"/>
      <c r="R1441" s="490" t="str">
        <f t="shared" ref="R1441:R1458" si="64">R$1453</f>
        <v>DELETE</v>
      </c>
    </row>
    <row r="1442" spans="2:18" ht="36" customHeight="1" x14ac:dyDescent="0.5">
      <c r="B1442" s="502"/>
      <c r="D1442" s="630" t="s">
        <v>415</v>
      </c>
      <c r="E1442" s="631"/>
      <c r="F1442" s="631"/>
      <c r="G1442" s="631"/>
      <c r="H1442" s="631"/>
      <c r="I1442" s="631"/>
      <c r="J1442" s="631"/>
      <c r="M1442" s="541"/>
      <c r="N1442" s="541"/>
      <c r="O1442" s="541"/>
      <c r="R1442" s="490" t="str">
        <f t="shared" si="64"/>
        <v>DELETE</v>
      </c>
    </row>
    <row r="1443" spans="2:18" ht="36" customHeight="1" x14ac:dyDescent="0.5">
      <c r="B1443" s="502"/>
      <c r="D1443" s="630" t="str">
        <f>Criteria!E20</f>
        <v>28 FEBRUARY 2026</v>
      </c>
      <c r="E1443" s="631"/>
      <c r="F1443" s="631"/>
      <c r="G1443" s="631"/>
      <c r="H1443" s="631"/>
      <c r="I1443" s="631"/>
      <c r="J1443" s="631" t="s">
        <v>282</v>
      </c>
      <c r="M1443" s="541"/>
      <c r="N1443" s="541"/>
      <c r="O1443" s="541"/>
      <c r="R1443" s="490" t="str">
        <f t="shared" si="64"/>
        <v>DELETE</v>
      </c>
    </row>
    <row r="1444" spans="2:18" ht="36" customHeight="1" x14ac:dyDescent="0.5">
      <c r="B1444" s="502"/>
      <c r="D1444" s="631"/>
      <c r="E1444" s="631"/>
      <c r="F1444" s="631"/>
      <c r="G1444" s="631"/>
      <c r="H1444" s="631"/>
      <c r="I1444" s="631"/>
      <c r="J1444" s="631"/>
      <c r="M1444" s="554"/>
      <c r="N1444" s="554"/>
      <c r="O1444" s="554"/>
      <c r="R1444" s="490" t="str">
        <f t="shared" si="64"/>
        <v>DELETE</v>
      </c>
    </row>
    <row r="1445" spans="2:18" ht="36" customHeight="1" x14ac:dyDescent="0.5">
      <c r="B1445" s="641"/>
      <c r="C1445" s="457"/>
      <c r="D1445" s="649"/>
      <c r="E1445" s="649"/>
      <c r="F1445" s="649"/>
      <c r="G1445" s="649"/>
      <c r="H1445" s="649"/>
      <c r="I1445" s="649"/>
      <c r="J1445" s="649"/>
      <c r="K1445" s="457"/>
      <c r="L1445" s="457"/>
      <c r="M1445" s="557"/>
      <c r="N1445" s="557"/>
      <c r="O1445" s="557"/>
      <c r="P1445" s="551"/>
      <c r="Q1445" s="457"/>
      <c r="R1445" s="490" t="str">
        <f t="shared" si="64"/>
        <v>DELETE</v>
      </c>
    </row>
    <row r="1446" spans="2:18" ht="36" customHeight="1" x14ac:dyDescent="0.5">
      <c r="B1446" s="502"/>
      <c r="D1446" s="631"/>
      <c r="E1446" s="631"/>
      <c r="F1446" s="631"/>
      <c r="G1446" s="631"/>
      <c r="H1446" s="631"/>
      <c r="I1446" s="631"/>
      <c r="J1446" s="631"/>
      <c r="L1446" s="451"/>
      <c r="M1446" s="448"/>
      <c r="N1446" s="448"/>
      <c r="O1446" s="453">
        <f>Criteria!E22</f>
        <v>2026</v>
      </c>
      <c r="R1446" s="490" t="str">
        <f t="shared" si="64"/>
        <v>DELETE</v>
      </c>
    </row>
    <row r="1447" spans="2:18" ht="36" customHeight="1" x14ac:dyDescent="0.5">
      <c r="B1447" s="501"/>
      <c r="C1447" s="630"/>
      <c r="D1447" s="631"/>
      <c r="E1447" s="631"/>
      <c r="F1447" s="631"/>
      <c r="G1447" s="631"/>
      <c r="H1447" s="631"/>
      <c r="I1447" s="631"/>
      <c r="J1447" s="631"/>
      <c r="M1447" s="475"/>
      <c r="N1447" s="475"/>
      <c r="O1447" s="475"/>
      <c r="P1447" s="545"/>
      <c r="R1447" s="490" t="str">
        <f t="shared" si="64"/>
        <v>DELETE</v>
      </c>
    </row>
    <row r="1448" spans="2:18" ht="36" customHeight="1" x14ac:dyDescent="0.5">
      <c r="B1448" s="501">
        <f>MAX($B$873:B1447)+1</f>
        <v>7</v>
      </c>
      <c r="C1448" s="630" t="s">
        <v>1745</v>
      </c>
      <c r="D1448" s="631"/>
      <c r="E1448" s="631"/>
      <c r="F1448" s="631"/>
      <c r="G1448" s="631"/>
      <c r="H1448" s="631"/>
      <c r="I1448" s="631"/>
      <c r="J1448" s="631"/>
      <c r="M1448" s="475"/>
      <c r="N1448" s="475"/>
      <c r="O1448" s="475"/>
      <c r="P1448" s="545"/>
      <c r="R1448" s="490" t="str">
        <f t="shared" si="64"/>
        <v>DELETE</v>
      </c>
    </row>
    <row r="1449" spans="2:18" ht="36" customHeight="1" x14ac:dyDescent="0.5">
      <c r="B1449" s="501"/>
      <c r="C1449" s="630"/>
      <c r="D1449" s="631"/>
      <c r="E1449" s="631"/>
      <c r="F1449" s="631"/>
      <c r="G1449" s="631"/>
      <c r="H1449" s="631"/>
      <c r="I1449" s="631"/>
      <c r="J1449" s="631"/>
      <c r="M1449" s="475"/>
      <c r="N1449" s="475"/>
      <c r="O1449" s="475"/>
      <c r="P1449" s="545"/>
      <c r="R1449" s="490" t="str">
        <f t="shared" si="64"/>
        <v>DELETE</v>
      </c>
    </row>
    <row r="1450" spans="2:18" ht="36" customHeight="1" x14ac:dyDescent="0.5">
      <c r="B1450" s="501"/>
      <c r="C1450" s="631" t="str">
        <f>TrialBalance!C97</f>
        <v>Revaluation of investment property</v>
      </c>
      <c r="D1450" s="631"/>
      <c r="E1450" s="631"/>
      <c r="F1450" s="631"/>
      <c r="G1450" s="631"/>
      <c r="H1450" s="631"/>
      <c r="I1450" s="631"/>
      <c r="J1450" s="631"/>
      <c r="M1450" s="475"/>
      <c r="N1450" s="475"/>
      <c r="O1450" s="475">
        <f>-TrialBalance!L97-TrialBalanceA!I97-TrialBalanceB!I97-TrialBalanceC!I97</f>
        <v>0</v>
      </c>
      <c r="P1450" s="545"/>
      <c r="R1450" s="490" t="str">
        <f>IF(O1450=0,"DELETE"," ")</f>
        <v>DELETE</v>
      </c>
    </row>
    <row r="1451" spans="2:18" ht="8.25" customHeight="1" x14ac:dyDescent="0.5">
      <c r="B1451" s="501"/>
      <c r="C1451" s="630"/>
      <c r="D1451" s="631"/>
      <c r="E1451" s="631"/>
      <c r="F1451" s="631"/>
      <c r="G1451" s="631"/>
      <c r="H1451" s="631"/>
      <c r="I1451" s="631"/>
      <c r="J1451" s="631"/>
      <c r="M1451" s="475"/>
      <c r="N1451" s="475"/>
      <c r="O1451" s="461"/>
      <c r="P1451" s="545"/>
      <c r="R1451" s="490" t="str">
        <f t="shared" si="64"/>
        <v>DELETE</v>
      </c>
    </row>
    <row r="1452" spans="2:18" ht="8.25" customHeight="1" x14ac:dyDescent="0.5">
      <c r="B1452" s="501"/>
      <c r="C1452" s="630"/>
      <c r="D1452" s="631"/>
      <c r="E1452" s="631"/>
      <c r="F1452" s="631"/>
      <c r="G1452" s="631"/>
      <c r="H1452" s="631"/>
      <c r="I1452" s="631"/>
      <c r="J1452" s="631"/>
      <c r="M1452" s="475"/>
      <c r="N1452" s="475"/>
      <c r="O1452" s="475"/>
      <c r="P1452" s="545"/>
      <c r="R1452" s="490" t="str">
        <f t="shared" si="64"/>
        <v>DELETE</v>
      </c>
    </row>
    <row r="1453" spans="2:18" ht="36" customHeight="1" x14ac:dyDescent="0.5">
      <c r="B1453" s="501"/>
      <c r="C1453" s="630"/>
      <c r="D1453" s="631"/>
      <c r="E1453" s="631"/>
      <c r="F1453" s="631"/>
      <c r="G1453" s="631"/>
      <c r="H1453" s="631"/>
      <c r="I1453" s="631"/>
      <c r="J1453" s="631"/>
      <c r="M1453" s="475"/>
      <c r="N1453" s="475"/>
      <c r="O1453" s="475">
        <f>SUM(O1450:O1452)</f>
        <v>0</v>
      </c>
      <c r="P1453" s="545"/>
      <c r="R1453" s="490" t="str">
        <f t="shared" ref="R1453" si="65">IF(O1453=0,"DELETE"," ")</f>
        <v>DELETE</v>
      </c>
    </row>
    <row r="1454" spans="2:18" ht="8.25" customHeight="1" thickBot="1" x14ac:dyDescent="0.55000000000000004">
      <c r="B1454" s="501"/>
      <c r="C1454" s="630"/>
      <c r="D1454" s="631"/>
      <c r="E1454" s="631"/>
      <c r="F1454" s="631"/>
      <c r="G1454" s="631"/>
      <c r="H1454" s="631"/>
      <c r="I1454" s="631"/>
      <c r="J1454" s="631"/>
      <c r="M1454" s="475"/>
      <c r="N1454" s="475"/>
      <c r="O1454" s="462"/>
      <c r="P1454" s="545"/>
      <c r="R1454" s="490" t="str">
        <f t="shared" si="64"/>
        <v>DELETE</v>
      </c>
    </row>
    <row r="1455" spans="2:18" ht="8.25" customHeight="1" thickTop="1" x14ac:dyDescent="0.5">
      <c r="B1455" s="501"/>
      <c r="C1455" s="630"/>
      <c r="D1455" s="631"/>
      <c r="E1455" s="631"/>
      <c r="F1455" s="631"/>
      <c r="G1455" s="631"/>
      <c r="H1455" s="631"/>
      <c r="I1455" s="631"/>
      <c r="J1455" s="631"/>
      <c r="M1455" s="475"/>
      <c r="N1455" s="475"/>
      <c r="O1455" s="475"/>
      <c r="P1455" s="545"/>
      <c r="R1455" s="490" t="str">
        <f t="shared" si="64"/>
        <v>DELETE</v>
      </c>
    </row>
    <row r="1456" spans="2:18" ht="36" customHeight="1" x14ac:dyDescent="0.5">
      <c r="B1456" s="501"/>
      <c r="C1456" s="630"/>
      <c r="D1456" s="631"/>
      <c r="E1456" s="631"/>
      <c r="F1456" s="631"/>
      <c r="G1456" s="631"/>
      <c r="H1456" s="631"/>
      <c r="I1456" s="631"/>
      <c r="J1456" s="631"/>
      <c r="M1456" s="475"/>
      <c r="N1456" s="475"/>
      <c r="O1456" s="475"/>
      <c r="P1456" s="545"/>
      <c r="R1456" s="490" t="str">
        <f t="shared" si="64"/>
        <v>DELETE</v>
      </c>
    </row>
    <row r="1457" spans="2:18" ht="36" customHeight="1" x14ac:dyDescent="0.5">
      <c r="B1457" s="501"/>
      <c r="C1457" s="630"/>
      <c r="D1457" s="631"/>
      <c r="E1457" s="631"/>
      <c r="F1457" s="631"/>
      <c r="G1457" s="631"/>
      <c r="H1457" s="631"/>
      <c r="I1457" s="631"/>
      <c r="J1457" s="631"/>
      <c r="M1457" s="475"/>
      <c r="N1457" s="475"/>
      <c r="O1457" s="475"/>
      <c r="P1457" s="545"/>
      <c r="R1457" s="490" t="str">
        <f t="shared" si="64"/>
        <v>DELETE</v>
      </c>
    </row>
    <row r="1458" spans="2:18" ht="36" customHeight="1" x14ac:dyDescent="0.5">
      <c r="B1458" s="501"/>
      <c r="C1458" s="630"/>
      <c r="D1458" s="631"/>
      <c r="E1458" s="631"/>
      <c r="F1458" s="631"/>
      <c r="G1458" s="631"/>
      <c r="H1458" s="631"/>
      <c r="I1458" s="631"/>
      <c r="J1458" s="631"/>
      <c r="M1458" s="458"/>
      <c r="N1458" s="458"/>
      <c r="O1458" s="458"/>
      <c r="R1458" s="490" t="str">
        <f t="shared" si="64"/>
        <v>DELETE</v>
      </c>
    </row>
    <row r="1459" spans="2:18" ht="36" customHeight="1" x14ac:dyDescent="0.5">
      <c r="B1459" s="501"/>
      <c r="C1459" s="630"/>
      <c r="D1459" s="631"/>
      <c r="E1459" s="631"/>
      <c r="F1459" s="631"/>
      <c r="G1459" s="631"/>
      <c r="H1459" s="631"/>
      <c r="I1459" s="631"/>
      <c r="J1459" s="631"/>
      <c r="M1459" s="458"/>
      <c r="N1459" s="458"/>
      <c r="O1459" s="458" t="s">
        <v>112</v>
      </c>
      <c r="Q1459" s="450">
        <f>MAX($Q$103:Q1458)+1</f>
        <v>38</v>
      </c>
    </row>
    <row r="1460" spans="2:18" ht="36" customHeight="1" x14ac:dyDescent="0.5">
      <c r="B1460" s="502"/>
      <c r="C1460" s="631"/>
      <c r="D1460" s="630" t="str">
        <f>Criteria!E9</f>
        <v>ABC COMPANY (PROPRIETARY) LIMITED</v>
      </c>
      <c r="E1460" s="631"/>
      <c r="F1460" s="631"/>
      <c r="G1460" s="631"/>
      <c r="H1460" s="631"/>
      <c r="I1460" s="631"/>
      <c r="J1460" s="631"/>
      <c r="M1460" s="541"/>
      <c r="N1460" s="541"/>
      <c r="O1460" s="540"/>
    </row>
    <row r="1461" spans="2:18" ht="36" customHeight="1" x14ac:dyDescent="0.5">
      <c r="B1461" s="502"/>
      <c r="C1461" s="631"/>
      <c r="D1461" s="630" t="str">
        <f>Criteria!E10</f>
        <v>T/A SEAFRONT HOTEL, ABC RESTAURANT AND RENTAL PROPERTIES</v>
      </c>
      <c r="E1461" s="631"/>
      <c r="F1461" s="631"/>
      <c r="G1461" s="631"/>
      <c r="H1461" s="631"/>
      <c r="I1461" s="631"/>
      <c r="J1461" s="631"/>
      <c r="M1461" s="541"/>
      <c r="N1461" s="541"/>
      <c r="O1461" s="541"/>
      <c r="R1461" s="490" t="str">
        <f>IF(D1461=0,"DELETE"," ")</f>
        <v xml:space="preserve"> </v>
      </c>
    </row>
    <row r="1462" spans="2:18" ht="36" customHeight="1" x14ac:dyDescent="0.5">
      <c r="B1462" s="502"/>
      <c r="C1462" s="631"/>
      <c r="D1462" s="631"/>
      <c r="E1462" s="631"/>
      <c r="F1462" s="631"/>
      <c r="G1462" s="631"/>
      <c r="H1462" s="631"/>
      <c r="I1462" s="631"/>
      <c r="J1462" s="631"/>
      <c r="M1462" s="541"/>
      <c r="N1462" s="541"/>
      <c r="O1462" s="541"/>
    </row>
    <row r="1463" spans="2:18" ht="36" customHeight="1" x14ac:dyDescent="0.5">
      <c r="B1463" s="502"/>
      <c r="C1463" s="631"/>
      <c r="D1463" s="630" t="s">
        <v>415</v>
      </c>
      <c r="E1463" s="631"/>
      <c r="F1463" s="631"/>
      <c r="G1463" s="631"/>
      <c r="H1463" s="631"/>
      <c r="I1463" s="631"/>
      <c r="J1463" s="631"/>
      <c r="M1463" s="541"/>
      <c r="N1463" s="541"/>
      <c r="O1463" s="541"/>
    </row>
    <row r="1464" spans="2:18" ht="36" customHeight="1" x14ac:dyDescent="0.5">
      <c r="B1464" s="502"/>
      <c r="C1464" s="631"/>
      <c r="D1464" s="630" t="str">
        <f>Criteria!E20</f>
        <v>28 FEBRUARY 2026</v>
      </c>
      <c r="E1464" s="631"/>
      <c r="F1464" s="631"/>
      <c r="G1464" s="631"/>
      <c r="H1464" s="631"/>
      <c r="I1464" s="631"/>
      <c r="J1464" s="631" t="s">
        <v>282</v>
      </c>
      <c r="M1464" s="541"/>
      <c r="N1464" s="541"/>
      <c r="O1464" s="541"/>
    </row>
    <row r="1465" spans="2:18" ht="36" customHeight="1" x14ac:dyDescent="0.5">
      <c r="B1465" s="502"/>
      <c r="C1465" s="631"/>
      <c r="D1465" s="630"/>
      <c r="E1465" s="631"/>
      <c r="F1465" s="631"/>
      <c r="G1465" s="631"/>
      <c r="H1465" s="631"/>
      <c r="I1465" s="631"/>
      <c r="J1465" s="631"/>
      <c r="M1465" s="541"/>
      <c r="N1465" s="541"/>
      <c r="O1465" s="541"/>
    </row>
    <row r="1466" spans="2:18" ht="36" customHeight="1" x14ac:dyDescent="0.5">
      <c r="B1466" s="640"/>
      <c r="C1466" s="652"/>
      <c r="D1466" s="649"/>
      <c r="E1466" s="649"/>
      <c r="F1466" s="649"/>
      <c r="G1466" s="649"/>
      <c r="H1466" s="649"/>
      <c r="I1466" s="649"/>
      <c r="J1466" s="649"/>
      <c r="K1466" s="457"/>
      <c r="L1466" s="457"/>
      <c r="M1466" s="459"/>
      <c r="N1466" s="459"/>
      <c r="O1466" s="459"/>
      <c r="P1466" s="551"/>
      <c r="Q1466" s="457"/>
    </row>
    <row r="1467" spans="2:18" ht="36" customHeight="1" x14ac:dyDescent="0.5">
      <c r="B1467" s="501"/>
      <c r="C1467" s="630"/>
      <c r="D1467" s="631"/>
      <c r="E1467" s="631"/>
      <c r="F1467" s="631"/>
      <c r="G1467" s="631"/>
      <c r="H1467" s="631"/>
      <c r="I1467" s="631"/>
      <c r="J1467" s="631"/>
      <c r="L1467" s="451"/>
      <c r="M1467" s="448"/>
      <c r="N1467" s="448"/>
      <c r="O1467" s="453">
        <f>Criteria!E22</f>
        <v>2026</v>
      </c>
    </row>
    <row r="1468" spans="2:18" ht="36" customHeight="1" x14ac:dyDescent="0.5">
      <c r="B1468" s="501"/>
      <c r="C1468" s="630"/>
      <c r="D1468" s="631"/>
      <c r="E1468" s="631"/>
      <c r="F1468" s="631"/>
      <c r="G1468" s="631"/>
      <c r="H1468" s="631"/>
      <c r="I1468" s="631"/>
      <c r="J1468" s="631"/>
      <c r="L1468" s="451"/>
      <c r="M1468" s="448"/>
      <c r="N1468" s="448"/>
      <c r="O1468" s="458"/>
    </row>
    <row r="1469" spans="2:18" ht="36" customHeight="1" x14ac:dyDescent="0.5">
      <c r="B1469" s="501">
        <f>MAX($B$873:B1468)+1</f>
        <v>8</v>
      </c>
      <c r="C1469" s="630" t="s">
        <v>978</v>
      </c>
      <c r="D1469" s="631"/>
      <c r="E1469" s="631"/>
      <c r="F1469" s="631"/>
      <c r="G1469" s="631"/>
      <c r="H1469" s="631"/>
      <c r="I1469" s="631"/>
      <c r="J1469" s="631"/>
      <c r="L1469" s="451"/>
      <c r="M1469" s="448"/>
      <c r="N1469" s="448"/>
      <c r="O1469" s="458"/>
    </row>
    <row r="1470" spans="2:18" ht="36" customHeight="1" x14ac:dyDescent="0.5">
      <c r="B1470" s="501"/>
      <c r="C1470" s="630"/>
      <c r="D1470" s="631"/>
      <c r="E1470" s="631"/>
      <c r="F1470" s="631"/>
      <c r="G1470" s="631"/>
      <c r="H1470" s="631"/>
      <c r="I1470" s="631"/>
      <c r="J1470" s="631"/>
      <c r="L1470" s="451"/>
      <c r="M1470" s="448"/>
      <c r="N1470" s="448"/>
      <c r="O1470" s="458"/>
    </row>
    <row r="1471" spans="2:18" ht="36" customHeight="1" x14ac:dyDescent="0.5">
      <c r="B1471" s="501"/>
      <c r="C1471" s="502">
        <f>B1469+0.1</f>
        <v>8.1</v>
      </c>
      <c r="D1471" s="630" t="s">
        <v>1521</v>
      </c>
      <c r="E1471" s="631"/>
      <c r="F1471" s="631"/>
      <c r="G1471" s="631"/>
      <c r="H1471" s="631"/>
      <c r="I1471" s="631"/>
      <c r="J1471" s="631"/>
      <c r="L1471" s="451"/>
      <c r="M1471" s="448"/>
      <c r="N1471" s="448"/>
      <c r="O1471" s="458"/>
    </row>
    <row r="1472" spans="2:18" ht="36" customHeight="1" x14ac:dyDescent="0.5">
      <c r="B1472" s="501"/>
      <c r="C1472" s="515"/>
      <c r="D1472" s="630"/>
      <c r="E1472" s="631"/>
      <c r="F1472" s="631"/>
      <c r="G1472" s="631"/>
      <c r="H1472" s="631"/>
      <c r="I1472" s="631"/>
      <c r="J1472" s="631"/>
      <c r="L1472" s="451"/>
      <c r="M1472" s="448"/>
      <c r="N1472" s="448"/>
      <c r="O1472" s="458"/>
    </row>
    <row r="1473" spans="2:22" ht="36" customHeight="1" x14ac:dyDescent="0.5">
      <c r="B1473" s="501"/>
      <c r="C1473" s="516"/>
      <c r="D1473" s="631" t="s">
        <v>883</v>
      </c>
      <c r="E1473" s="631"/>
      <c r="F1473" s="631"/>
      <c r="G1473" s="631"/>
      <c r="H1473" s="631"/>
      <c r="I1473" s="631"/>
      <c r="J1473" s="631"/>
      <c r="L1473" s="451"/>
      <c r="M1473" s="448"/>
      <c r="N1473" s="448"/>
      <c r="O1473" s="458">
        <f>SUM(O1476:O1477)</f>
        <v>0</v>
      </c>
      <c r="S1473" s="495">
        <f>O1473</f>
        <v>0</v>
      </c>
      <c r="T1473" s="495"/>
      <c r="U1473" s="495"/>
      <c r="V1473" s="495"/>
    </row>
    <row r="1474" spans="2:22" ht="9" customHeight="1" x14ac:dyDescent="0.5">
      <c r="B1474" s="501"/>
      <c r="C1474" s="516"/>
      <c r="D1474" s="631"/>
      <c r="E1474" s="631"/>
      <c r="F1474" s="631"/>
      <c r="G1474" s="631"/>
      <c r="H1474" s="631"/>
      <c r="I1474" s="631"/>
      <c r="J1474" s="631"/>
      <c r="L1474" s="451"/>
      <c r="M1474" s="448"/>
      <c r="N1474" s="448"/>
      <c r="O1474" s="458"/>
    </row>
    <row r="1475" spans="2:22" ht="9" customHeight="1" x14ac:dyDescent="0.5">
      <c r="B1475" s="501"/>
      <c r="C1475" s="516"/>
      <c r="D1475" s="631"/>
      <c r="E1475" s="631"/>
      <c r="F1475" s="631"/>
      <c r="G1475" s="631"/>
      <c r="H1475" s="631"/>
      <c r="I1475" s="631"/>
      <c r="J1475" s="631"/>
      <c r="L1475" s="451"/>
      <c r="M1475" s="448"/>
      <c r="N1475" s="448"/>
      <c r="O1475" s="587"/>
    </row>
    <row r="1476" spans="2:22" ht="36" customHeight="1" x14ac:dyDescent="0.5">
      <c r="B1476" s="501"/>
      <c r="C1476" s="516"/>
      <c r="D1476" s="631" t="s">
        <v>1589</v>
      </c>
      <c r="E1476" s="631"/>
      <c r="F1476" s="631"/>
      <c r="G1476" s="631"/>
      <c r="H1476" s="631"/>
      <c r="I1476" s="631"/>
      <c r="J1476" s="631"/>
      <c r="L1476" s="451"/>
      <c r="M1476" s="448"/>
      <c r="N1476" s="448"/>
      <c r="O1476" s="588">
        <f>TrialBalance!L158</f>
        <v>0</v>
      </c>
    </row>
    <row r="1477" spans="2:22" ht="36" customHeight="1" x14ac:dyDescent="0.5">
      <c r="B1477" s="501"/>
      <c r="C1477" s="516"/>
      <c r="D1477" s="631" t="s">
        <v>1590</v>
      </c>
      <c r="E1477" s="631"/>
      <c r="F1477" s="631"/>
      <c r="G1477" s="631"/>
      <c r="H1477" s="631"/>
      <c r="I1477" s="631"/>
      <c r="J1477" s="631"/>
      <c r="L1477" s="451"/>
      <c r="M1477" s="448"/>
      <c r="N1477" s="448"/>
      <c r="O1477" s="588">
        <f>TrialBalance!L159</f>
        <v>0</v>
      </c>
      <c r="R1477" s="490" t="str">
        <f t="shared" ref="R1477" si="66">IF(O1477=0,"DELETE"," ")</f>
        <v>DELETE</v>
      </c>
    </row>
    <row r="1478" spans="2:22" ht="9" customHeight="1" x14ac:dyDescent="0.5">
      <c r="B1478" s="501"/>
      <c r="C1478" s="516"/>
      <c r="D1478" s="631"/>
      <c r="E1478" s="631"/>
      <c r="F1478" s="631"/>
      <c r="G1478" s="631"/>
      <c r="H1478" s="631"/>
      <c r="I1478" s="631"/>
      <c r="J1478" s="631"/>
      <c r="L1478" s="451"/>
      <c r="M1478" s="448"/>
      <c r="N1478" s="448"/>
      <c r="O1478" s="589"/>
    </row>
    <row r="1479" spans="2:22" ht="9" customHeight="1" x14ac:dyDescent="0.5">
      <c r="B1479" s="501"/>
      <c r="C1479" s="516"/>
      <c r="D1479" s="631"/>
      <c r="E1479" s="631"/>
      <c r="F1479" s="631"/>
      <c r="G1479" s="631"/>
      <c r="H1479" s="631"/>
      <c r="I1479" s="631"/>
      <c r="J1479" s="631"/>
      <c r="L1479" s="451"/>
      <c r="M1479" s="448"/>
      <c r="N1479" s="448"/>
      <c r="O1479" s="458"/>
    </row>
    <row r="1480" spans="2:22" ht="36.75" customHeight="1" x14ac:dyDescent="0.5">
      <c r="B1480" s="501"/>
      <c r="C1480" s="516"/>
      <c r="D1480" s="631" t="s">
        <v>612</v>
      </c>
      <c r="E1480" s="631"/>
      <c r="F1480" s="631"/>
      <c r="G1480" s="631"/>
      <c r="H1480" s="631"/>
      <c r="I1480" s="631"/>
      <c r="J1480" s="631"/>
      <c r="L1480" s="451"/>
      <c r="M1480" s="448"/>
      <c r="N1480" s="448"/>
      <c r="O1480" s="458">
        <f>SUM(O1483:O1485)</f>
        <v>0</v>
      </c>
      <c r="R1480" s="490" t="str">
        <f>IF(R1483=" "," ",IF(R1485=" "," ",IF(R1484=" "," ","DELETE")))</f>
        <v>DELETE</v>
      </c>
      <c r="S1480" s="495">
        <f>O1480</f>
        <v>0</v>
      </c>
      <c r="T1480" s="495"/>
      <c r="U1480" s="495"/>
      <c r="V1480" s="495"/>
    </row>
    <row r="1481" spans="2:22" ht="9" customHeight="1" x14ac:dyDescent="0.5">
      <c r="B1481" s="501"/>
      <c r="C1481" s="516"/>
      <c r="D1481" s="631"/>
      <c r="E1481" s="631"/>
      <c r="F1481" s="631"/>
      <c r="G1481" s="631"/>
      <c r="H1481" s="631"/>
      <c r="I1481" s="631"/>
      <c r="J1481" s="631"/>
      <c r="L1481" s="451"/>
      <c r="M1481" s="448"/>
      <c r="N1481" s="448"/>
      <c r="O1481" s="458"/>
      <c r="R1481" s="490" t="str">
        <f>R1480</f>
        <v>DELETE</v>
      </c>
    </row>
    <row r="1482" spans="2:22" ht="9" customHeight="1" x14ac:dyDescent="0.5">
      <c r="B1482" s="501"/>
      <c r="C1482" s="516"/>
      <c r="D1482" s="631"/>
      <c r="E1482" s="631"/>
      <c r="F1482" s="631"/>
      <c r="G1482" s="631"/>
      <c r="H1482" s="631"/>
      <c r="I1482" s="631"/>
      <c r="J1482" s="631"/>
      <c r="L1482" s="451"/>
      <c r="M1482" s="448"/>
      <c r="N1482" s="448"/>
      <c r="O1482" s="587"/>
      <c r="R1482" s="490" t="str">
        <f>R1480</f>
        <v>DELETE</v>
      </c>
    </row>
    <row r="1483" spans="2:22" ht="36" customHeight="1" x14ac:dyDescent="0.5">
      <c r="B1483" s="501"/>
      <c r="C1483" s="516"/>
      <c r="D1483" s="631" t="s">
        <v>1589</v>
      </c>
      <c r="E1483" s="631"/>
      <c r="F1483" s="631"/>
      <c r="G1483" s="631"/>
      <c r="H1483" s="631"/>
      <c r="I1483" s="631"/>
      <c r="J1483" s="631"/>
      <c r="L1483" s="451"/>
      <c r="M1483" s="448"/>
      <c r="N1483" s="448"/>
      <c r="O1483" s="588">
        <f>TrialBalance!L161</f>
        <v>0</v>
      </c>
      <c r="R1483" s="490" t="str">
        <f t="shared" ref="R1483:R1485" si="67">IF(O1483=0,"DELETE"," ")</f>
        <v>DELETE</v>
      </c>
    </row>
    <row r="1484" spans="2:22" ht="36" customHeight="1" x14ac:dyDescent="0.5">
      <c r="B1484" s="501"/>
      <c r="C1484" s="516"/>
      <c r="D1484" s="631" t="s">
        <v>1591</v>
      </c>
      <c r="E1484" s="631"/>
      <c r="F1484" s="631"/>
      <c r="G1484" s="631"/>
      <c r="H1484" s="631"/>
      <c r="I1484" s="631"/>
      <c r="J1484" s="631"/>
      <c r="L1484" s="451"/>
      <c r="M1484" s="448"/>
      <c r="N1484" s="448"/>
      <c r="O1484" s="588">
        <f>TrialBalance!L162</f>
        <v>0</v>
      </c>
      <c r="R1484" s="490" t="str">
        <f t="shared" si="67"/>
        <v>DELETE</v>
      </c>
    </row>
    <row r="1485" spans="2:22" ht="36" customHeight="1" x14ac:dyDescent="0.5">
      <c r="B1485" s="501"/>
      <c r="C1485" s="516"/>
      <c r="D1485" s="631" t="s">
        <v>1590</v>
      </c>
      <c r="E1485" s="631"/>
      <c r="F1485" s="631"/>
      <c r="G1485" s="631"/>
      <c r="H1485" s="631"/>
      <c r="I1485" s="631"/>
      <c r="J1485" s="631"/>
      <c r="L1485" s="451"/>
      <c r="M1485" s="448"/>
      <c r="N1485" s="448"/>
      <c r="O1485" s="588">
        <f>TrialBalance!L163</f>
        <v>0</v>
      </c>
      <c r="R1485" s="490" t="str">
        <f t="shared" si="67"/>
        <v>DELETE</v>
      </c>
    </row>
    <row r="1486" spans="2:22" ht="9" customHeight="1" x14ac:dyDescent="0.5">
      <c r="B1486" s="501"/>
      <c r="C1486" s="516"/>
      <c r="D1486" s="631"/>
      <c r="E1486" s="631"/>
      <c r="F1486" s="631"/>
      <c r="G1486" s="631"/>
      <c r="H1486" s="631"/>
      <c r="I1486" s="631"/>
      <c r="J1486" s="631"/>
      <c r="L1486" s="451"/>
      <c r="M1486" s="448"/>
      <c r="N1486" s="448"/>
      <c r="O1486" s="589"/>
      <c r="R1486" s="490" t="str">
        <f>R1480</f>
        <v>DELETE</v>
      </c>
    </row>
    <row r="1487" spans="2:22" ht="9" customHeight="1" x14ac:dyDescent="0.5">
      <c r="B1487" s="501"/>
      <c r="C1487" s="516"/>
      <c r="D1487" s="631"/>
      <c r="E1487" s="631"/>
      <c r="F1487" s="631"/>
      <c r="G1487" s="631"/>
      <c r="H1487" s="631"/>
      <c r="I1487" s="631"/>
      <c r="J1487" s="631"/>
      <c r="L1487" s="451"/>
      <c r="M1487" s="448"/>
      <c r="N1487" s="448"/>
      <c r="O1487" s="458"/>
      <c r="R1487" s="490" t="str">
        <f>R1480</f>
        <v>DELETE</v>
      </c>
    </row>
    <row r="1488" spans="2:22" ht="9" customHeight="1" x14ac:dyDescent="0.5">
      <c r="B1488" s="501"/>
      <c r="C1488" s="516"/>
      <c r="D1488" s="631"/>
      <c r="E1488" s="631"/>
      <c r="F1488" s="631"/>
      <c r="G1488" s="631"/>
      <c r="H1488" s="631"/>
      <c r="I1488" s="631"/>
      <c r="J1488" s="631"/>
      <c r="L1488" s="451"/>
      <c r="M1488" s="448"/>
      <c r="N1488" s="448"/>
      <c r="O1488" s="461"/>
    </row>
    <row r="1489" spans="2:18" ht="9" customHeight="1" x14ac:dyDescent="0.5">
      <c r="B1489" s="501"/>
      <c r="C1489" s="516"/>
      <c r="D1489" s="631"/>
      <c r="E1489" s="631"/>
      <c r="F1489" s="631"/>
      <c r="G1489" s="631"/>
      <c r="H1489" s="631"/>
      <c r="I1489" s="631"/>
      <c r="J1489" s="631"/>
      <c r="L1489" s="451"/>
      <c r="M1489" s="448"/>
      <c r="N1489" s="448"/>
      <c r="O1489" s="458"/>
    </row>
    <row r="1490" spans="2:18" ht="36.75" customHeight="1" x14ac:dyDescent="0.5">
      <c r="B1490" s="501"/>
      <c r="C1490" s="516"/>
      <c r="D1490" s="631" t="s">
        <v>884</v>
      </c>
      <c r="E1490" s="631"/>
      <c r="F1490" s="631"/>
      <c r="G1490" s="631"/>
      <c r="H1490" s="631"/>
      <c r="I1490" s="631"/>
      <c r="J1490" s="631"/>
      <c r="L1490" s="451"/>
      <c r="M1490" s="448"/>
      <c r="N1490" s="448"/>
      <c r="O1490" s="458">
        <f>SUM(S1473:S1487)</f>
        <v>0</v>
      </c>
    </row>
    <row r="1491" spans="2:18" ht="9" customHeight="1" thickBot="1" x14ac:dyDescent="0.55000000000000004">
      <c r="B1491" s="501"/>
      <c r="C1491" s="516"/>
      <c r="D1491" s="631"/>
      <c r="E1491" s="631"/>
      <c r="F1491" s="631"/>
      <c r="G1491" s="631"/>
      <c r="H1491" s="631"/>
      <c r="I1491" s="631"/>
      <c r="J1491" s="631"/>
      <c r="L1491" s="451"/>
      <c r="M1491" s="448"/>
      <c r="N1491" s="448"/>
      <c r="O1491" s="462"/>
    </row>
    <row r="1492" spans="2:18" ht="9" customHeight="1" thickTop="1" x14ac:dyDescent="0.5">
      <c r="B1492" s="501"/>
      <c r="C1492" s="516"/>
      <c r="D1492" s="631"/>
      <c r="E1492" s="631"/>
      <c r="F1492" s="631"/>
      <c r="G1492" s="631"/>
      <c r="H1492" s="631"/>
      <c r="I1492" s="631"/>
      <c r="J1492" s="631"/>
      <c r="L1492" s="451"/>
      <c r="M1492" s="448"/>
      <c r="N1492" s="448"/>
      <c r="O1492" s="475"/>
    </row>
    <row r="1493" spans="2:18" ht="36" customHeight="1" x14ac:dyDescent="0.5">
      <c r="B1493" s="501"/>
      <c r="C1493" s="516"/>
      <c r="D1493" s="631"/>
      <c r="E1493" s="631"/>
      <c r="F1493" s="631"/>
      <c r="G1493" s="631"/>
      <c r="H1493" s="631"/>
      <c r="I1493" s="631"/>
      <c r="J1493" s="631"/>
      <c r="L1493" s="451"/>
      <c r="M1493" s="448"/>
      <c r="N1493" s="448"/>
      <c r="O1493" s="458"/>
    </row>
    <row r="1494" spans="2:18" ht="36" customHeight="1" x14ac:dyDescent="0.5">
      <c r="B1494" s="501"/>
      <c r="C1494" s="516"/>
      <c r="D1494" s="631" t="str">
        <f>IF(TrialBalance!L158=0,"No provision has been made for normal taxation as the company had no taxable"," ")</f>
        <v>No provision has been made for normal taxation as the company had no taxable</v>
      </c>
      <c r="E1494" s="631"/>
      <c r="F1494" s="631"/>
      <c r="G1494" s="631"/>
      <c r="H1494" s="631"/>
      <c r="I1494" s="631"/>
      <c r="J1494" s="631"/>
      <c r="L1494" s="451"/>
      <c r="M1494" s="448"/>
      <c r="N1494" s="448"/>
      <c r="O1494" s="458"/>
      <c r="R1494" s="490" t="str">
        <f>IF(D1494=" ","DELETE"," ")</f>
        <v xml:space="preserve"> </v>
      </c>
    </row>
    <row r="1495" spans="2:18" ht="36" customHeight="1" x14ac:dyDescent="0.5">
      <c r="B1495" s="501"/>
      <c r="C1495" s="516"/>
      <c r="D1495" s="631" t="str">
        <f>IF(TrialBalance!L158=0,"income for the period under review."," ")</f>
        <v>income for the period under review.</v>
      </c>
      <c r="E1495" s="631"/>
      <c r="F1495" s="631"/>
      <c r="G1495" s="631"/>
      <c r="H1495" s="631"/>
      <c r="I1495" s="631"/>
      <c r="J1495" s="631"/>
      <c r="M1495" s="458"/>
      <c r="N1495" s="458"/>
      <c r="O1495" s="458"/>
      <c r="R1495" s="490" t="str">
        <f>IF(D1495=" ","DELETE"," ")</f>
        <v xml:space="preserve"> </v>
      </c>
    </row>
    <row r="1496" spans="2:18" ht="36" customHeight="1" x14ac:dyDescent="0.5">
      <c r="B1496" s="501"/>
      <c r="C1496" s="516"/>
      <c r="D1496" s="631"/>
      <c r="E1496" s="631"/>
      <c r="F1496" s="631"/>
      <c r="G1496" s="631"/>
      <c r="H1496" s="631"/>
      <c r="I1496" s="631"/>
      <c r="J1496" s="631"/>
      <c r="M1496" s="458"/>
      <c r="N1496" s="458"/>
      <c r="O1496" s="458"/>
    </row>
    <row r="1497" spans="2:18" ht="36" customHeight="1" x14ac:dyDescent="0.5">
      <c r="B1497" s="501"/>
      <c r="C1497" s="516"/>
      <c r="D1497" s="631"/>
      <c r="E1497" s="631"/>
      <c r="F1497" s="631"/>
      <c r="G1497" s="631"/>
      <c r="H1497" s="631"/>
      <c r="I1497" s="631"/>
      <c r="J1497" s="631"/>
      <c r="M1497" s="458"/>
      <c r="N1497" s="458"/>
      <c r="O1497" s="458"/>
    </row>
    <row r="1498" spans="2:18" ht="36" customHeight="1" x14ac:dyDescent="0.5">
      <c r="B1498" s="501"/>
      <c r="C1498" s="516"/>
      <c r="D1498" s="631"/>
      <c r="E1498" s="631"/>
      <c r="F1498" s="631"/>
      <c r="G1498" s="631"/>
      <c r="H1498" s="631"/>
      <c r="I1498" s="631"/>
      <c r="J1498" s="631"/>
      <c r="M1498" s="475"/>
      <c r="N1498" s="475"/>
      <c r="O1498" s="475"/>
      <c r="P1498" s="545"/>
    </row>
    <row r="1499" spans="2:18" ht="36" customHeight="1" x14ac:dyDescent="0.5">
      <c r="B1499" s="501"/>
      <c r="C1499" s="516"/>
      <c r="D1499" s="631"/>
      <c r="E1499" s="631"/>
      <c r="F1499" s="631"/>
      <c r="G1499" s="631"/>
      <c r="H1499" s="631"/>
      <c r="I1499" s="631"/>
      <c r="J1499" s="631"/>
      <c r="M1499" s="458"/>
      <c r="N1499" s="458"/>
      <c r="O1499" s="458"/>
    </row>
    <row r="1500" spans="2:18" ht="36" customHeight="1" x14ac:dyDescent="0.5">
      <c r="B1500" s="501"/>
      <c r="C1500" s="516"/>
      <c r="D1500" s="631"/>
      <c r="E1500" s="631"/>
      <c r="F1500" s="631"/>
      <c r="G1500" s="631"/>
      <c r="H1500" s="631"/>
      <c r="I1500" s="631"/>
      <c r="J1500" s="631"/>
      <c r="M1500" s="458"/>
      <c r="N1500" s="458"/>
      <c r="O1500" s="458" t="s">
        <v>112</v>
      </c>
      <c r="Q1500" s="450">
        <f>MAX($Q$103:Q1499)+1</f>
        <v>39</v>
      </c>
    </row>
    <row r="1501" spans="2:18" ht="36" customHeight="1" x14ac:dyDescent="0.5">
      <c r="B1501" s="502"/>
      <c r="C1501" s="515"/>
      <c r="D1501" s="630" t="str">
        <f>Criteria!E9</f>
        <v>ABC COMPANY (PROPRIETARY) LIMITED</v>
      </c>
      <c r="E1501" s="631"/>
      <c r="F1501" s="631"/>
      <c r="G1501" s="631"/>
      <c r="H1501" s="631"/>
      <c r="I1501" s="631"/>
      <c r="J1501" s="631"/>
      <c r="M1501" s="541"/>
      <c r="N1501" s="541"/>
      <c r="O1501" s="540"/>
    </row>
    <row r="1502" spans="2:18" ht="36" customHeight="1" x14ac:dyDescent="0.5">
      <c r="B1502" s="502"/>
      <c r="C1502" s="515"/>
      <c r="D1502" s="630" t="str">
        <f>Criteria!E10</f>
        <v>T/A SEAFRONT HOTEL, ABC RESTAURANT AND RENTAL PROPERTIES</v>
      </c>
      <c r="E1502" s="631"/>
      <c r="F1502" s="631"/>
      <c r="G1502" s="631"/>
      <c r="H1502" s="631"/>
      <c r="I1502" s="631"/>
      <c r="J1502" s="631"/>
      <c r="M1502" s="541"/>
      <c r="N1502" s="541"/>
      <c r="O1502" s="541"/>
      <c r="R1502" s="490" t="str">
        <f>IF(D1502=0,"DELETE"," ")</f>
        <v xml:space="preserve"> </v>
      </c>
    </row>
    <row r="1503" spans="2:18" ht="36" customHeight="1" x14ac:dyDescent="0.5">
      <c r="B1503" s="502"/>
      <c r="C1503" s="515"/>
      <c r="D1503" s="631"/>
      <c r="E1503" s="631"/>
      <c r="F1503" s="631"/>
      <c r="G1503" s="631"/>
      <c r="H1503" s="631"/>
      <c r="I1503" s="631"/>
      <c r="J1503" s="631"/>
      <c r="M1503" s="541"/>
      <c r="N1503" s="541"/>
      <c r="O1503" s="541"/>
    </row>
    <row r="1504" spans="2:18" ht="36" customHeight="1" x14ac:dyDescent="0.5">
      <c r="B1504" s="502"/>
      <c r="C1504" s="515"/>
      <c r="D1504" s="630" t="s">
        <v>415</v>
      </c>
      <c r="E1504" s="631"/>
      <c r="F1504" s="631"/>
      <c r="G1504" s="631"/>
      <c r="H1504" s="631"/>
      <c r="I1504" s="631"/>
      <c r="J1504" s="631"/>
      <c r="M1504" s="541"/>
      <c r="N1504" s="541"/>
      <c r="O1504" s="541"/>
    </row>
    <row r="1505" spans="2:21" ht="36" customHeight="1" x14ac:dyDescent="0.5">
      <c r="B1505" s="502"/>
      <c r="C1505" s="515"/>
      <c r="D1505" s="630" t="str">
        <f>Criteria!E20</f>
        <v>28 FEBRUARY 2026</v>
      </c>
      <c r="E1505" s="631"/>
      <c r="F1505" s="631"/>
      <c r="G1505" s="631"/>
      <c r="H1505" s="631"/>
      <c r="I1505" s="631"/>
      <c r="J1505" s="631" t="s">
        <v>282</v>
      </c>
      <c r="M1505" s="541"/>
      <c r="N1505" s="541"/>
      <c r="O1505" s="541"/>
    </row>
    <row r="1506" spans="2:21" ht="36" customHeight="1" x14ac:dyDescent="0.5">
      <c r="B1506" s="502"/>
      <c r="C1506" s="515"/>
      <c r="D1506" s="630"/>
      <c r="E1506" s="631"/>
      <c r="F1506" s="631"/>
      <c r="G1506" s="631"/>
      <c r="H1506" s="631"/>
      <c r="I1506" s="631"/>
      <c r="J1506" s="631"/>
      <c r="M1506" s="541"/>
      <c r="N1506" s="541"/>
      <c r="O1506" s="541"/>
    </row>
    <row r="1507" spans="2:21" ht="36" customHeight="1" x14ac:dyDescent="0.5">
      <c r="B1507" s="640"/>
      <c r="C1507" s="517"/>
      <c r="D1507" s="649"/>
      <c r="E1507" s="649"/>
      <c r="F1507" s="649"/>
      <c r="G1507" s="649"/>
      <c r="H1507" s="649"/>
      <c r="I1507" s="649"/>
      <c r="J1507" s="649"/>
      <c r="K1507" s="457"/>
      <c r="L1507" s="457"/>
      <c r="M1507" s="459"/>
      <c r="N1507" s="459"/>
      <c r="O1507" s="459"/>
      <c r="P1507" s="551"/>
      <c r="Q1507" s="457"/>
    </row>
    <row r="1508" spans="2:21" ht="36" customHeight="1" x14ac:dyDescent="0.5">
      <c r="B1508" s="501"/>
      <c r="C1508" s="516"/>
      <c r="D1508" s="631"/>
      <c r="E1508" s="631"/>
      <c r="F1508" s="631"/>
      <c r="G1508" s="631"/>
      <c r="H1508" s="631"/>
      <c r="I1508" s="631"/>
      <c r="J1508" s="631"/>
      <c r="L1508" s="451"/>
      <c r="M1508" s="448"/>
      <c r="N1508" s="448"/>
      <c r="O1508" s="488">
        <f>Criteria!E22</f>
        <v>2026</v>
      </c>
      <c r="P1508" s="545"/>
    </row>
    <row r="1509" spans="2:21" ht="36" customHeight="1" x14ac:dyDescent="0.5">
      <c r="B1509" s="502"/>
      <c r="C1509" s="515"/>
      <c r="D1509" s="631"/>
      <c r="E1509" s="631"/>
      <c r="F1509" s="631"/>
      <c r="G1509" s="631"/>
      <c r="H1509" s="631"/>
      <c r="I1509" s="631"/>
      <c r="J1509" s="631"/>
      <c r="L1509" s="451"/>
      <c r="M1509" s="448"/>
      <c r="N1509" s="448"/>
      <c r="O1509" s="475"/>
      <c r="P1509" s="545"/>
    </row>
    <row r="1510" spans="2:21" ht="36" customHeight="1" x14ac:dyDescent="0.5">
      <c r="B1510" s="501"/>
      <c r="C1510" s="502">
        <f>MAX(C1471:C1509)+0.1</f>
        <v>8.1999999999999993</v>
      </c>
      <c r="D1510" s="630" t="s">
        <v>1522</v>
      </c>
      <c r="E1510" s="631"/>
      <c r="F1510" s="631"/>
      <c r="G1510" s="631"/>
      <c r="H1510" s="631"/>
      <c r="I1510" s="631"/>
      <c r="J1510" s="631"/>
      <c r="L1510" s="451"/>
      <c r="M1510" s="448"/>
      <c r="N1510" s="448"/>
      <c r="O1510" s="475"/>
      <c r="P1510" s="545"/>
    </row>
    <row r="1511" spans="2:21" ht="36" customHeight="1" x14ac:dyDescent="0.5">
      <c r="B1511" s="501"/>
      <c r="C1511" s="515"/>
      <c r="D1511" s="630"/>
      <c r="E1511" s="631"/>
      <c r="F1511" s="631"/>
      <c r="G1511" s="631"/>
      <c r="H1511" s="631"/>
      <c r="I1511" s="631"/>
      <c r="J1511" s="631"/>
      <c r="L1511" s="451"/>
      <c r="M1511" s="448"/>
      <c r="N1511" s="448"/>
      <c r="O1511" s="475"/>
      <c r="P1511" s="545"/>
    </row>
    <row r="1512" spans="2:21" ht="36" customHeight="1" x14ac:dyDescent="0.5">
      <c r="B1512" s="501"/>
      <c r="C1512" s="516"/>
      <c r="D1512" s="631" t="s">
        <v>886</v>
      </c>
      <c r="E1512" s="631"/>
      <c r="F1512" s="631"/>
      <c r="G1512" s="631"/>
      <c r="H1512" s="631"/>
      <c r="I1512" s="631"/>
      <c r="J1512" s="631"/>
      <c r="L1512" s="451"/>
      <c r="M1512" s="448"/>
      <c r="N1512" s="448"/>
      <c r="O1512" s="475">
        <f>SUM(TrialBalance!L157:L159)</f>
        <v>0</v>
      </c>
      <c r="P1512" s="545"/>
    </row>
    <row r="1513" spans="2:21" ht="36" customHeight="1" x14ac:dyDescent="0.5">
      <c r="B1513" s="501"/>
      <c r="C1513" s="516"/>
      <c r="D1513" s="631" t="s">
        <v>885</v>
      </c>
      <c r="E1513" s="631"/>
      <c r="F1513" s="631"/>
      <c r="G1513" s="631"/>
      <c r="H1513" s="631"/>
      <c r="I1513" s="631"/>
      <c r="J1513" s="631"/>
      <c r="L1513" s="451"/>
      <c r="M1513" s="448"/>
      <c r="N1513" s="448"/>
      <c r="O1513" s="475">
        <f>SUM(TrialBalance!L387:L392)</f>
        <v>0</v>
      </c>
      <c r="P1513" s="545"/>
    </row>
    <row r="1514" spans="2:21" ht="9" customHeight="1" x14ac:dyDescent="0.5">
      <c r="B1514" s="501"/>
      <c r="C1514" s="516"/>
      <c r="D1514" s="631"/>
      <c r="E1514" s="631"/>
      <c r="F1514" s="631"/>
      <c r="G1514" s="631"/>
      <c r="H1514" s="631"/>
      <c r="I1514" s="631"/>
      <c r="J1514" s="631"/>
      <c r="L1514" s="451"/>
      <c r="M1514" s="448"/>
      <c r="N1514" s="448"/>
      <c r="O1514" s="461"/>
      <c r="P1514" s="545"/>
    </row>
    <row r="1515" spans="2:21" ht="9" customHeight="1" x14ac:dyDescent="0.5">
      <c r="B1515" s="501"/>
      <c r="C1515" s="516"/>
      <c r="D1515" s="631"/>
      <c r="E1515" s="631"/>
      <c r="F1515" s="631"/>
      <c r="G1515" s="631"/>
      <c r="H1515" s="631"/>
      <c r="I1515" s="631"/>
      <c r="J1515" s="631"/>
      <c r="L1515" s="451"/>
      <c r="M1515" s="448"/>
      <c r="N1515" s="448"/>
      <c r="O1515" s="475"/>
      <c r="P1515" s="545"/>
    </row>
    <row r="1516" spans="2:21" ht="36.75" customHeight="1" x14ac:dyDescent="0.5">
      <c r="B1516" s="501"/>
      <c r="C1516" s="516"/>
      <c r="D1516" s="631"/>
      <c r="E1516" s="631"/>
      <c r="F1516" s="631"/>
      <c r="G1516" s="631"/>
      <c r="H1516" s="631"/>
      <c r="I1516" s="631"/>
      <c r="J1516" s="631"/>
      <c r="L1516" s="451"/>
      <c r="M1516" s="448"/>
      <c r="N1516" s="448"/>
      <c r="O1516" s="475">
        <f>SUM(O1512:O1515)</f>
        <v>0</v>
      </c>
      <c r="P1516" s="545"/>
      <c r="U1516" s="491" t="b">
        <f>O1516=O825</f>
        <v>1</v>
      </c>
    </row>
    <row r="1517" spans="2:21" ht="9" customHeight="1" thickBot="1" x14ac:dyDescent="0.55000000000000004">
      <c r="B1517" s="501"/>
      <c r="C1517" s="516"/>
      <c r="D1517" s="631"/>
      <c r="E1517" s="631"/>
      <c r="F1517" s="631"/>
      <c r="G1517" s="631"/>
      <c r="H1517" s="631"/>
      <c r="I1517" s="631"/>
      <c r="J1517" s="631"/>
      <c r="L1517" s="451"/>
      <c r="M1517" s="448"/>
      <c r="N1517" s="448"/>
      <c r="O1517" s="462"/>
      <c r="P1517" s="545"/>
    </row>
    <row r="1518" spans="2:21" ht="9" customHeight="1" thickTop="1" x14ac:dyDescent="0.5">
      <c r="B1518" s="501"/>
      <c r="C1518" s="516"/>
      <c r="D1518" s="631"/>
      <c r="E1518" s="631"/>
      <c r="F1518" s="631"/>
      <c r="G1518" s="631"/>
      <c r="H1518" s="631"/>
      <c r="I1518" s="631"/>
      <c r="J1518" s="631"/>
      <c r="L1518" s="451"/>
      <c r="M1518" s="448"/>
      <c r="N1518" s="448"/>
      <c r="O1518" s="475"/>
      <c r="P1518" s="545"/>
    </row>
    <row r="1519" spans="2:21" ht="36" customHeight="1" x14ac:dyDescent="0.5">
      <c r="B1519" s="501"/>
      <c r="C1519" s="516"/>
      <c r="D1519" s="648"/>
      <c r="E1519" s="631"/>
      <c r="F1519" s="631"/>
      <c r="G1519" s="631"/>
      <c r="H1519" s="631"/>
      <c r="I1519" s="631"/>
      <c r="J1519" s="631"/>
      <c r="M1519" s="475"/>
      <c r="N1519" s="475"/>
      <c r="O1519" s="475"/>
      <c r="P1519" s="545"/>
    </row>
    <row r="1520" spans="2:21" ht="36" customHeight="1" x14ac:dyDescent="0.5">
      <c r="B1520" s="501"/>
      <c r="C1520" s="516"/>
      <c r="D1520" s="631"/>
      <c r="E1520" s="631"/>
      <c r="F1520" s="631"/>
      <c r="G1520" s="631"/>
      <c r="H1520" s="631"/>
      <c r="I1520" s="631"/>
      <c r="J1520" s="631"/>
      <c r="M1520" s="475"/>
      <c r="N1520" s="475"/>
      <c r="O1520" s="475"/>
      <c r="P1520" s="545"/>
    </row>
    <row r="1521" spans="2:18" ht="36" customHeight="1" x14ac:dyDescent="0.5">
      <c r="B1521" s="501"/>
      <c r="C1521" s="516"/>
      <c r="D1521" s="631"/>
      <c r="E1521" s="631"/>
      <c r="F1521" s="631"/>
      <c r="G1521" s="631"/>
      <c r="H1521" s="631"/>
      <c r="I1521" s="631"/>
      <c r="J1521" s="631"/>
      <c r="M1521" s="475"/>
      <c r="N1521" s="475"/>
      <c r="O1521" s="475"/>
      <c r="P1521" s="545"/>
    </row>
    <row r="1522" spans="2:18" ht="36" customHeight="1" x14ac:dyDescent="0.5">
      <c r="B1522" s="501"/>
      <c r="C1522" s="516"/>
      <c r="D1522" s="631"/>
      <c r="E1522" s="631"/>
      <c r="F1522" s="631"/>
      <c r="G1522" s="631"/>
      <c r="H1522" s="631"/>
      <c r="I1522" s="631"/>
      <c r="J1522" s="631"/>
      <c r="M1522" s="475"/>
      <c r="N1522" s="475"/>
      <c r="O1522" s="475"/>
      <c r="P1522" s="545"/>
    </row>
    <row r="1523" spans="2:18" ht="36" customHeight="1" x14ac:dyDescent="0.5">
      <c r="B1523" s="501"/>
      <c r="C1523" s="516"/>
      <c r="D1523" s="631"/>
      <c r="E1523" s="631"/>
      <c r="F1523" s="631"/>
      <c r="G1523" s="631"/>
      <c r="H1523" s="631"/>
      <c r="I1523" s="631"/>
      <c r="J1523" s="631"/>
      <c r="M1523" s="475"/>
      <c r="N1523" s="475"/>
      <c r="O1523" s="475" t="s">
        <v>112</v>
      </c>
      <c r="P1523" s="545"/>
      <c r="Q1523" s="450">
        <f>MAX($Q$103:Q1522)+1</f>
        <v>40</v>
      </c>
    </row>
    <row r="1524" spans="2:18" ht="36" customHeight="1" x14ac:dyDescent="0.5">
      <c r="B1524" s="501"/>
      <c r="C1524" s="516"/>
      <c r="D1524" s="630" t="str">
        <f>Criteria!E9</f>
        <v>ABC COMPANY (PROPRIETARY) LIMITED</v>
      </c>
      <c r="E1524" s="631"/>
      <c r="F1524" s="631"/>
      <c r="G1524" s="631"/>
      <c r="H1524" s="631"/>
      <c r="I1524" s="631"/>
      <c r="J1524" s="631"/>
      <c r="M1524" s="555"/>
      <c r="N1524" s="555"/>
      <c r="O1524" s="540"/>
    </row>
    <row r="1525" spans="2:18" ht="36" customHeight="1" x14ac:dyDescent="0.5">
      <c r="B1525" s="501"/>
      <c r="C1525" s="516"/>
      <c r="D1525" s="630" t="str">
        <f>Criteria!E10</f>
        <v>T/A SEAFRONT HOTEL, ABC RESTAURANT AND RENTAL PROPERTIES</v>
      </c>
      <c r="E1525" s="631"/>
      <c r="F1525" s="631"/>
      <c r="G1525" s="631"/>
      <c r="H1525" s="631"/>
      <c r="I1525" s="631"/>
      <c r="J1525" s="631"/>
      <c r="M1525" s="555"/>
      <c r="N1525" s="555"/>
      <c r="O1525" s="555"/>
      <c r="P1525" s="545"/>
      <c r="R1525" s="490" t="str">
        <f>IF(D1525=0,"DELETE"," ")</f>
        <v xml:space="preserve"> </v>
      </c>
    </row>
    <row r="1526" spans="2:18" ht="36" customHeight="1" x14ac:dyDescent="0.5">
      <c r="B1526" s="501"/>
      <c r="C1526" s="516"/>
      <c r="D1526" s="631"/>
      <c r="E1526" s="631"/>
      <c r="F1526" s="631"/>
      <c r="G1526" s="631"/>
      <c r="H1526" s="631"/>
      <c r="I1526" s="631"/>
      <c r="J1526" s="631"/>
      <c r="M1526" s="555"/>
      <c r="N1526" s="555"/>
      <c r="O1526" s="555"/>
      <c r="P1526" s="545"/>
    </row>
    <row r="1527" spans="2:18" ht="36" customHeight="1" x14ac:dyDescent="0.5">
      <c r="B1527" s="501"/>
      <c r="C1527" s="516"/>
      <c r="D1527" s="630" t="s">
        <v>415</v>
      </c>
      <c r="E1527" s="631"/>
      <c r="F1527" s="631"/>
      <c r="G1527" s="631"/>
      <c r="H1527" s="631"/>
      <c r="I1527" s="631"/>
      <c r="J1527" s="631"/>
      <c r="M1527" s="555"/>
      <c r="N1527" s="555"/>
      <c r="O1527" s="555"/>
      <c r="P1527" s="545"/>
    </row>
    <row r="1528" spans="2:18" ht="36" customHeight="1" x14ac:dyDescent="0.5">
      <c r="B1528" s="501"/>
      <c r="C1528" s="516"/>
      <c r="D1528" s="630" t="str">
        <f>Criteria!E20</f>
        <v>28 FEBRUARY 2026</v>
      </c>
      <c r="E1528" s="631"/>
      <c r="F1528" s="631"/>
      <c r="G1528" s="631"/>
      <c r="H1528" s="631"/>
      <c r="I1528" s="631"/>
      <c r="J1528" s="631" t="s">
        <v>282</v>
      </c>
      <c r="M1528" s="555"/>
      <c r="N1528" s="555"/>
      <c r="O1528" s="555"/>
      <c r="P1528" s="545"/>
    </row>
    <row r="1529" spans="2:18" ht="36" customHeight="1" x14ac:dyDescent="0.5">
      <c r="B1529" s="501"/>
      <c r="C1529" s="516"/>
      <c r="D1529" s="631"/>
      <c r="E1529" s="631"/>
      <c r="F1529" s="631"/>
      <c r="G1529" s="631"/>
      <c r="H1529" s="631"/>
      <c r="I1529" s="631"/>
      <c r="J1529" s="631"/>
      <c r="M1529" s="475"/>
      <c r="N1529" s="475"/>
      <c r="O1529" s="475"/>
      <c r="P1529" s="545"/>
    </row>
    <row r="1530" spans="2:18" ht="36" customHeight="1" x14ac:dyDescent="0.5">
      <c r="B1530" s="640"/>
      <c r="C1530" s="517"/>
      <c r="D1530" s="649"/>
      <c r="E1530" s="649"/>
      <c r="F1530" s="649"/>
      <c r="G1530" s="649"/>
      <c r="H1530" s="649"/>
      <c r="I1530" s="649"/>
      <c r="J1530" s="649"/>
      <c r="K1530" s="457"/>
      <c r="L1530" s="457"/>
      <c r="M1530" s="459"/>
      <c r="N1530" s="459"/>
      <c r="O1530" s="459"/>
      <c r="P1530" s="551"/>
      <c r="Q1530" s="457"/>
    </row>
    <row r="1531" spans="2:18" ht="36" customHeight="1" x14ac:dyDescent="0.5">
      <c r="B1531" s="501"/>
      <c r="C1531" s="516"/>
      <c r="D1531" s="631"/>
      <c r="E1531" s="631"/>
      <c r="F1531" s="631"/>
      <c r="G1531" s="631"/>
      <c r="H1531" s="631"/>
      <c r="I1531" s="631"/>
      <c r="J1531" s="631"/>
      <c r="M1531" s="475"/>
      <c r="N1531" s="475"/>
      <c r="O1531" s="488">
        <f>Criteria!E22</f>
        <v>2026</v>
      </c>
      <c r="P1531" s="545"/>
    </row>
    <row r="1532" spans="2:18" ht="36" customHeight="1" x14ac:dyDescent="0.5">
      <c r="B1532" s="501"/>
      <c r="C1532" s="516"/>
      <c r="D1532" s="631"/>
      <c r="E1532" s="631"/>
      <c r="F1532" s="631"/>
      <c r="G1532" s="631"/>
      <c r="H1532" s="631"/>
      <c r="I1532" s="631"/>
      <c r="J1532" s="631"/>
      <c r="M1532" s="475"/>
      <c r="N1532" s="475"/>
      <c r="O1532" s="475"/>
      <c r="P1532" s="545"/>
    </row>
    <row r="1533" spans="2:18" ht="36" customHeight="1" x14ac:dyDescent="0.5">
      <c r="B1533" s="501"/>
      <c r="C1533" s="502">
        <f>MAX(C1471:C1532)+0.1</f>
        <v>8.2999999999999989</v>
      </c>
      <c r="D1533" s="630" t="s">
        <v>991</v>
      </c>
      <c r="E1533" s="631"/>
      <c r="F1533" s="631"/>
      <c r="G1533" s="631"/>
      <c r="H1533" s="631"/>
      <c r="I1533" s="631"/>
      <c r="J1533" s="631"/>
      <c r="M1533" s="475"/>
      <c r="N1533" s="475"/>
      <c r="O1533" s="475"/>
      <c r="P1533" s="545"/>
    </row>
    <row r="1534" spans="2:18" ht="36" customHeight="1" x14ac:dyDescent="0.5">
      <c r="B1534" s="501"/>
      <c r="C1534" s="516"/>
      <c r="D1534" s="631"/>
      <c r="E1534" s="631"/>
      <c r="F1534" s="631"/>
      <c r="G1534" s="631"/>
      <c r="H1534" s="631"/>
      <c r="I1534" s="631"/>
      <c r="J1534" s="631"/>
      <c r="M1534" s="475"/>
      <c r="N1534" s="475"/>
      <c r="O1534" s="475"/>
      <c r="P1534" s="545"/>
    </row>
    <row r="1535" spans="2:18" ht="36" customHeight="1" x14ac:dyDescent="0.5">
      <c r="B1535" s="501"/>
      <c r="C1535" s="516"/>
      <c r="D1535" s="631" t="str">
        <f>IF(O1535&lt;0,"Net loss before taxation","Net profit before taxation")</f>
        <v>Net profit before taxation</v>
      </c>
      <c r="E1535" s="631"/>
      <c r="F1535" s="631"/>
      <c r="G1535" s="631"/>
      <c r="H1535" s="631"/>
      <c r="I1535" s="631"/>
      <c r="J1535" s="631"/>
      <c r="M1535" s="475"/>
      <c r="N1535" s="475"/>
      <c r="O1535" s="475">
        <f>O634</f>
        <v>0</v>
      </c>
      <c r="P1535" s="545"/>
    </row>
    <row r="1536" spans="2:18" ht="36" customHeight="1" x14ac:dyDescent="0.5">
      <c r="B1536" s="501"/>
      <c r="C1536" s="516"/>
      <c r="D1536" s="631" t="s">
        <v>1745</v>
      </c>
      <c r="E1536" s="631"/>
      <c r="F1536" s="631"/>
      <c r="G1536" s="631"/>
      <c r="H1536" s="631"/>
      <c r="I1536" s="631"/>
      <c r="J1536" s="631"/>
      <c r="M1536" s="475"/>
      <c r="N1536" s="475"/>
      <c r="O1536" s="475">
        <f>O641</f>
        <v>0</v>
      </c>
      <c r="P1536" s="545"/>
      <c r="R1536" s="490" t="str">
        <f>IF(O1536=0,"DELETE"," ")</f>
        <v>DELETE</v>
      </c>
    </row>
    <row r="1537" spans="2:18" ht="8.25" customHeight="1" x14ac:dyDescent="0.5">
      <c r="B1537" s="501"/>
      <c r="C1537" s="516"/>
      <c r="D1537" s="631"/>
      <c r="E1537" s="631"/>
      <c r="F1537" s="631"/>
      <c r="G1537" s="631"/>
      <c r="H1537" s="631"/>
      <c r="I1537" s="631"/>
      <c r="J1537" s="631"/>
      <c r="M1537" s="475"/>
      <c r="N1537" s="475"/>
      <c r="O1537" s="461"/>
      <c r="P1537" s="545"/>
    </row>
    <row r="1538" spans="2:18" ht="8.25" customHeight="1" x14ac:dyDescent="0.5">
      <c r="B1538" s="501"/>
      <c r="C1538" s="516"/>
      <c r="D1538" s="631"/>
      <c r="E1538" s="631"/>
      <c r="F1538" s="631"/>
      <c r="G1538" s="631"/>
      <c r="H1538" s="631"/>
      <c r="I1538" s="631"/>
      <c r="J1538" s="631"/>
      <c r="M1538" s="475"/>
      <c r="N1538" s="475"/>
      <c r="O1538" s="475"/>
      <c r="P1538" s="545"/>
    </row>
    <row r="1539" spans="2:18" ht="36" customHeight="1" x14ac:dyDescent="0.5">
      <c r="B1539" s="501"/>
      <c r="C1539" s="516"/>
      <c r="D1539" s="631"/>
      <c r="E1539" s="631"/>
      <c r="F1539" s="631"/>
      <c r="G1539" s="631"/>
      <c r="H1539" s="631"/>
      <c r="I1539" s="631"/>
      <c r="J1539" s="631"/>
      <c r="M1539" s="475"/>
      <c r="N1539" s="475"/>
      <c r="O1539" s="475">
        <f>SUM(O1535:O1538)</f>
        <v>0</v>
      </c>
      <c r="P1539" s="545"/>
    </row>
    <row r="1540" spans="2:18" ht="9" customHeight="1" thickBot="1" x14ac:dyDescent="0.55000000000000004">
      <c r="B1540" s="501"/>
      <c r="C1540" s="516"/>
      <c r="D1540" s="631"/>
      <c r="E1540" s="631"/>
      <c r="F1540" s="631"/>
      <c r="G1540" s="631"/>
      <c r="H1540" s="631"/>
      <c r="I1540" s="631"/>
      <c r="J1540" s="631"/>
      <c r="M1540" s="475"/>
      <c r="N1540" s="475"/>
      <c r="O1540" s="462"/>
      <c r="P1540" s="545"/>
    </row>
    <row r="1541" spans="2:18" ht="9" customHeight="1" thickTop="1" x14ac:dyDescent="0.5">
      <c r="B1541" s="501"/>
      <c r="C1541" s="516"/>
      <c r="D1541" s="631"/>
      <c r="E1541" s="631"/>
      <c r="F1541" s="631"/>
      <c r="G1541" s="631"/>
      <c r="H1541" s="631"/>
      <c r="I1541" s="631"/>
      <c r="J1541" s="631"/>
      <c r="M1541" s="475"/>
      <c r="N1541" s="475"/>
      <c r="O1541" s="475"/>
      <c r="P1541" s="545"/>
    </row>
    <row r="1542" spans="2:18" ht="36" customHeight="1" x14ac:dyDescent="0.5">
      <c r="B1542" s="501"/>
      <c r="C1542" s="516"/>
      <c r="D1542" s="631" t="s">
        <v>1337</v>
      </c>
      <c r="E1542" s="631"/>
      <c r="F1542" s="631"/>
      <c r="G1542" s="631"/>
      <c r="H1542" s="631"/>
      <c r="I1542" s="631"/>
      <c r="J1542" s="631"/>
      <c r="M1542" s="475"/>
      <c r="N1542" s="475"/>
      <c r="O1542" s="586">
        <f>Criteria!F478</f>
        <v>0.27</v>
      </c>
      <c r="P1542" s="545"/>
    </row>
    <row r="1543" spans="2:18" ht="36" customHeight="1" x14ac:dyDescent="0.5">
      <c r="B1543" s="501"/>
      <c r="C1543" s="516"/>
      <c r="D1543" s="631"/>
      <c r="E1543" s="631"/>
      <c r="F1543" s="631"/>
      <c r="G1543" s="631"/>
      <c r="H1543" s="631"/>
      <c r="I1543" s="631"/>
      <c r="J1543" s="631"/>
      <c r="M1543" s="475"/>
      <c r="N1543" s="475"/>
      <c r="O1543" s="475"/>
      <c r="P1543" s="545"/>
    </row>
    <row r="1544" spans="2:18" ht="36" customHeight="1" x14ac:dyDescent="0.5">
      <c r="B1544" s="501"/>
      <c r="C1544" s="516"/>
      <c r="D1544" s="631" t="s">
        <v>1339</v>
      </c>
      <c r="E1544" s="631"/>
      <c r="F1544" s="631"/>
      <c r="G1544" s="631"/>
      <c r="H1544" s="631"/>
      <c r="I1544" s="631"/>
      <c r="J1544" s="631"/>
      <c r="M1544" s="475"/>
      <c r="N1544" s="475"/>
      <c r="O1544" s="475">
        <f>ROUND(O1539*Criteria!F478,0)+Criteria!G520</f>
        <v>0</v>
      </c>
      <c r="P1544" s="545"/>
    </row>
    <row r="1545" spans="2:18" ht="36" customHeight="1" x14ac:dyDescent="0.5">
      <c r="B1545" s="501"/>
      <c r="C1545" s="516"/>
      <c r="D1545" s="631" t="s">
        <v>987</v>
      </c>
      <c r="E1545" s="631"/>
      <c r="F1545" s="631"/>
      <c r="G1545" s="631"/>
      <c r="H1545" s="631"/>
      <c r="I1545" s="631"/>
      <c r="J1545" s="631"/>
      <c r="M1545" s="475"/>
      <c r="N1545" s="475"/>
      <c r="O1545" s="475"/>
      <c r="P1545" s="545"/>
      <c r="R1545" s="490" t="str">
        <f>R1546</f>
        <v>DELETE</v>
      </c>
    </row>
    <row r="1546" spans="2:18" ht="36" customHeight="1" x14ac:dyDescent="0.5">
      <c r="B1546" s="501"/>
      <c r="C1546" s="516"/>
      <c r="D1546" s="631" t="s">
        <v>988</v>
      </c>
      <c r="E1546" s="631"/>
      <c r="F1546" s="631"/>
      <c r="G1546" s="631"/>
      <c r="H1546" s="631"/>
      <c r="I1546" s="631"/>
      <c r="J1546" s="631"/>
      <c r="M1546" s="475"/>
      <c r="N1546" s="475"/>
      <c r="O1546" s="475">
        <f>ROUND((O2952+Criteria!G493-'FS2'!O2913+TrialBalance!L97)*Criteria!F478,0)-TrialBalance!L225</f>
        <v>0</v>
      </c>
      <c r="P1546" s="545"/>
      <c r="R1546" s="490" t="str">
        <f>IF(O1546=0,"DELETE"," ")</f>
        <v>DELETE</v>
      </c>
    </row>
    <row r="1547" spans="2:18" ht="36" customHeight="1" x14ac:dyDescent="0.5">
      <c r="B1547" s="501"/>
      <c r="C1547" s="516"/>
      <c r="D1547" s="631" t="s">
        <v>1354</v>
      </c>
      <c r="E1547" s="631"/>
      <c r="F1547" s="631"/>
      <c r="G1547" s="631"/>
      <c r="H1547" s="631"/>
      <c r="I1547" s="631"/>
      <c r="J1547" s="631"/>
      <c r="M1547" s="475"/>
      <c r="N1547" s="475"/>
      <c r="O1547" s="475">
        <f>-SUM(TrialBalance!L223:L224)</f>
        <v>0</v>
      </c>
      <c r="P1547" s="545"/>
      <c r="R1547" s="490" t="str">
        <f>IF(O1547=0,"DELETE"," ")</f>
        <v>DELETE</v>
      </c>
    </row>
    <row r="1548" spans="2:18" ht="36" customHeight="1" x14ac:dyDescent="0.5">
      <c r="B1548" s="501"/>
      <c r="C1548" s="516"/>
      <c r="D1548" s="631" t="s">
        <v>1093</v>
      </c>
      <c r="E1548" s="631"/>
      <c r="F1548" s="631"/>
      <c r="G1548" s="631"/>
      <c r="H1548" s="631"/>
      <c r="I1548" s="631"/>
      <c r="J1548" s="631"/>
      <c r="M1548" s="475"/>
      <c r="N1548" s="475"/>
      <c r="O1548" s="475">
        <f>TrialBalance!L159</f>
        <v>0</v>
      </c>
      <c r="P1548" s="545"/>
      <c r="R1548" s="490" t="str">
        <f>IF(O1548=0,"DELETE"," ")</f>
        <v>DELETE</v>
      </c>
    </row>
    <row r="1549" spans="2:18" ht="36" customHeight="1" x14ac:dyDescent="0.5">
      <c r="B1549" s="501"/>
      <c r="C1549" s="516"/>
      <c r="D1549" s="631" t="s">
        <v>990</v>
      </c>
      <c r="E1549" s="631"/>
      <c r="F1549" s="631"/>
      <c r="G1549" s="631"/>
      <c r="H1549" s="631"/>
      <c r="I1549" s="631"/>
      <c r="J1549" s="631"/>
      <c r="M1549" s="475"/>
      <c r="N1549" s="475"/>
      <c r="O1549" s="475">
        <f>-TrialBalance!L227-TrialBalance!L228</f>
        <v>0</v>
      </c>
      <c r="P1549" s="545"/>
      <c r="R1549" s="490" t="str">
        <f>IF(O1549=0,"DELETE"," ")</f>
        <v>DELETE</v>
      </c>
    </row>
    <row r="1550" spans="2:18" ht="36" customHeight="1" x14ac:dyDescent="0.5">
      <c r="B1550" s="501"/>
      <c r="C1550" s="516"/>
      <c r="D1550" s="631" t="s">
        <v>994</v>
      </c>
      <c r="E1550" s="631"/>
      <c r="F1550" s="631"/>
      <c r="G1550" s="631"/>
      <c r="H1550" s="631"/>
      <c r="I1550" s="631"/>
      <c r="J1550" s="631"/>
      <c r="M1550" s="475"/>
      <c r="N1550" s="475"/>
      <c r="O1550" s="475">
        <f>IF(Criteria!F480="Yes",IF(O2952&lt;0,0,-(ROUND(O2952*Criteria!F478,2)-O2957)),0)</f>
        <v>0</v>
      </c>
      <c r="P1550" s="545"/>
      <c r="R1550" s="490" t="str">
        <f>IF(O1550=0,"DELETE"," ")</f>
        <v>DELETE</v>
      </c>
    </row>
    <row r="1551" spans="2:18" ht="9" customHeight="1" x14ac:dyDescent="0.5">
      <c r="B1551" s="501"/>
      <c r="C1551" s="516"/>
      <c r="D1551" s="631"/>
      <c r="E1551" s="631"/>
      <c r="F1551" s="631"/>
      <c r="G1551" s="631"/>
      <c r="H1551" s="631"/>
      <c r="I1551" s="631"/>
      <c r="J1551" s="631"/>
      <c r="M1551" s="475"/>
      <c r="N1551" s="475"/>
      <c r="O1551" s="461"/>
      <c r="P1551" s="545"/>
    </row>
    <row r="1552" spans="2:18" ht="9" customHeight="1" x14ac:dyDescent="0.5">
      <c r="B1552" s="501"/>
      <c r="C1552" s="516"/>
      <c r="D1552" s="631"/>
      <c r="E1552" s="631"/>
      <c r="F1552" s="631"/>
      <c r="G1552" s="631"/>
      <c r="H1552" s="631"/>
      <c r="I1552" s="631"/>
      <c r="J1552" s="631"/>
      <c r="M1552" s="475"/>
      <c r="N1552" s="475"/>
      <c r="O1552" s="475"/>
      <c r="P1552" s="545"/>
    </row>
    <row r="1553" spans="2:21" ht="36.75" customHeight="1" x14ac:dyDescent="0.5">
      <c r="B1553" s="501"/>
      <c r="C1553" s="516"/>
      <c r="D1553" s="631" t="s">
        <v>989</v>
      </c>
      <c r="E1553" s="631"/>
      <c r="F1553" s="631"/>
      <c r="G1553" s="631"/>
      <c r="H1553" s="631"/>
      <c r="I1553" s="631"/>
      <c r="J1553" s="631"/>
      <c r="M1553" s="475"/>
      <c r="N1553" s="475"/>
      <c r="O1553" s="475">
        <f>ROUND(SUM(O1544:O1551),0)</f>
        <v>0</v>
      </c>
      <c r="P1553" s="545"/>
      <c r="U1553" s="491" t="b">
        <f>O1553=O1490</f>
        <v>1</v>
      </c>
    </row>
    <row r="1554" spans="2:21" ht="9" customHeight="1" thickBot="1" x14ac:dyDescent="0.55000000000000004">
      <c r="B1554" s="501"/>
      <c r="C1554" s="516"/>
      <c r="D1554" s="631"/>
      <c r="E1554" s="631"/>
      <c r="F1554" s="631"/>
      <c r="G1554" s="631"/>
      <c r="H1554" s="631"/>
      <c r="I1554" s="631"/>
      <c r="J1554" s="631"/>
      <c r="M1554" s="475"/>
      <c r="N1554" s="475"/>
      <c r="O1554" s="462"/>
      <c r="P1554" s="545"/>
    </row>
    <row r="1555" spans="2:21" ht="9" customHeight="1" thickTop="1" x14ac:dyDescent="0.5">
      <c r="B1555" s="501"/>
      <c r="C1555" s="516"/>
      <c r="D1555" s="631"/>
      <c r="E1555" s="631"/>
      <c r="F1555" s="631"/>
      <c r="G1555" s="631"/>
      <c r="H1555" s="631"/>
      <c r="I1555" s="631"/>
      <c r="J1555" s="631"/>
      <c r="M1555" s="475"/>
      <c r="N1555" s="475"/>
      <c r="O1555" s="475"/>
      <c r="P1555" s="545"/>
    </row>
    <row r="1556" spans="2:21" ht="36" customHeight="1" x14ac:dyDescent="0.5">
      <c r="B1556" s="501"/>
      <c r="C1556" s="516"/>
      <c r="D1556" s="631"/>
      <c r="E1556" s="631"/>
      <c r="F1556" s="631"/>
      <c r="G1556" s="631"/>
      <c r="H1556" s="631"/>
      <c r="I1556" s="631"/>
      <c r="J1556" s="631"/>
      <c r="M1556" s="475"/>
      <c r="N1556" s="475"/>
      <c r="O1556" s="475"/>
      <c r="P1556" s="545"/>
    </row>
    <row r="1557" spans="2:21" ht="36" customHeight="1" x14ac:dyDescent="0.5">
      <c r="B1557" s="501"/>
      <c r="C1557" s="516"/>
      <c r="D1557" s="631"/>
      <c r="E1557" s="631"/>
      <c r="F1557" s="631"/>
      <c r="G1557" s="631"/>
      <c r="H1557" s="631"/>
      <c r="I1557" s="631"/>
      <c r="J1557" s="631"/>
      <c r="M1557" s="475"/>
      <c r="N1557" s="475"/>
      <c r="O1557" s="475"/>
      <c r="P1557" s="545"/>
    </row>
    <row r="1558" spans="2:21" ht="36" customHeight="1" x14ac:dyDescent="0.5">
      <c r="B1558" s="501"/>
      <c r="C1558" s="516"/>
      <c r="D1558" s="631"/>
      <c r="E1558" s="631"/>
      <c r="F1558" s="631"/>
      <c r="G1558" s="631"/>
      <c r="H1558" s="631"/>
      <c r="I1558" s="631"/>
      <c r="J1558" s="631"/>
      <c r="M1558" s="475"/>
      <c r="N1558" s="475"/>
      <c r="O1558" s="475"/>
      <c r="P1558" s="545"/>
    </row>
    <row r="1559" spans="2:21" ht="36" customHeight="1" x14ac:dyDescent="0.5">
      <c r="B1559" s="501"/>
      <c r="C1559" s="516"/>
      <c r="D1559" s="631"/>
      <c r="E1559" s="631"/>
      <c r="F1559" s="631"/>
      <c r="G1559" s="631"/>
      <c r="H1559" s="631"/>
      <c r="I1559" s="631"/>
      <c r="J1559" s="631"/>
      <c r="M1559" s="475"/>
      <c r="N1559" s="475"/>
      <c r="O1559" s="475"/>
      <c r="P1559" s="545"/>
    </row>
    <row r="1560" spans="2:21" ht="36" customHeight="1" x14ac:dyDescent="0.5">
      <c r="B1560" s="501"/>
      <c r="C1560" s="449"/>
      <c r="D1560" s="631"/>
      <c r="E1560" s="631"/>
      <c r="F1560" s="631"/>
      <c r="G1560" s="631"/>
      <c r="H1560" s="631"/>
      <c r="I1560" s="631"/>
      <c r="J1560" s="631"/>
      <c r="M1560" s="458"/>
      <c r="N1560" s="458"/>
      <c r="O1560" s="458"/>
    </row>
    <row r="1561" spans="2:21" ht="36" customHeight="1" x14ac:dyDescent="0.5">
      <c r="D1561" s="630"/>
      <c r="E1561" s="631"/>
      <c r="F1561" s="631"/>
      <c r="G1561" s="631"/>
      <c r="H1561" s="631"/>
      <c r="I1561" s="631"/>
      <c r="J1561" s="631"/>
      <c r="M1561" s="540"/>
      <c r="O1561" s="454" t="s">
        <v>112</v>
      </c>
      <c r="Q1561" s="450">
        <f>MAX($Q$103:Q1560)+1</f>
        <v>41</v>
      </c>
      <c r="R1561" s="490" t="str">
        <f t="shared" ref="R1561:R1615" si="68">R$1571</f>
        <v>DELETE</v>
      </c>
    </row>
    <row r="1562" spans="2:21" ht="36" customHeight="1" x14ac:dyDescent="0.5">
      <c r="D1562" s="630" t="str">
        <f>Criteria!E9</f>
        <v>ABC COMPANY (PROPRIETARY) LIMITED</v>
      </c>
      <c r="E1562" s="631"/>
      <c r="F1562" s="631"/>
      <c r="G1562" s="631"/>
      <c r="H1562" s="631"/>
      <c r="I1562" s="631"/>
      <c r="J1562" s="631"/>
      <c r="M1562" s="540"/>
      <c r="O1562" s="540"/>
      <c r="R1562" s="490" t="str">
        <f t="shared" si="68"/>
        <v>DELETE</v>
      </c>
    </row>
    <row r="1563" spans="2:21" ht="36" customHeight="1" x14ac:dyDescent="0.5">
      <c r="D1563" s="630" t="str">
        <f>Criteria!E10</f>
        <v>T/A SEAFRONT HOTEL, ABC RESTAURANT AND RENTAL PROPERTIES</v>
      </c>
      <c r="E1563" s="631"/>
      <c r="F1563" s="631"/>
      <c r="G1563" s="631"/>
      <c r="H1563" s="631"/>
      <c r="I1563" s="631"/>
      <c r="J1563" s="631"/>
      <c r="M1563" s="540"/>
      <c r="O1563" s="540"/>
      <c r="R1563" s="490" t="str">
        <f>IF(R$1571="DELETE","DELETE",IF(D1563=0,"DELETE"," "))</f>
        <v>DELETE</v>
      </c>
    </row>
    <row r="1564" spans="2:21" ht="36" customHeight="1" x14ac:dyDescent="0.5">
      <c r="D1564" s="631"/>
      <c r="E1564" s="631"/>
      <c r="F1564" s="631"/>
      <c r="G1564" s="631"/>
      <c r="H1564" s="631"/>
      <c r="I1564" s="631"/>
      <c r="J1564" s="631"/>
      <c r="M1564" s="540"/>
      <c r="O1564" s="540"/>
      <c r="R1564" s="490" t="str">
        <f t="shared" si="68"/>
        <v>DELETE</v>
      </c>
    </row>
    <row r="1565" spans="2:21" ht="36" customHeight="1" x14ac:dyDescent="0.5">
      <c r="D1565" s="630" t="s">
        <v>415</v>
      </c>
      <c r="E1565" s="631"/>
      <c r="F1565" s="631"/>
      <c r="G1565" s="631"/>
      <c r="H1565" s="631"/>
      <c r="I1565" s="631"/>
      <c r="J1565" s="631"/>
      <c r="M1565" s="540"/>
      <c r="O1565" s="540"/>
      <c r="R1565" s="490" t="str">
        <f t="shared" si="68"/>
        <v>DELETE</v>
      </c>
    </row>
    <row r="1566" spans="2:21" ht="36" customHeight="1" x14ac:dyDescent="0.5">
      <c r="D1566" s="630" t="str">
        <f>Criteria!E20</f>
        <v>28 FEBRUARY 2026</v>
      </c>
      <c r="E1566" s="631"/>
      <c r="F1566" s="631"/>
      <c r="G1566" s="631"/>
      <c r="H1566" s="631"/>
      <c r="I1566" s="631"/>
      <c r="J1566" s="631" t="s">
        <v>282</v>
      </c>
      <c r="M1566" s="540"/>
      <c r="O1566" s="540"/>
      <c r="R1566" s="490" t="str">
        <f t="shared" si="68"/>
        <v>DELETE</v>
      </c>
    </row>
    <row r="1567" spans="2:21" ht="36" customHeight="1" x14ac:dyDescent="0.5">
      <c r="D1567" s="631"/>
      <c r="E1567" s="631"/>
      <c r="F1567" s="631"/>
      <c r="G1567" s="631"/>
      <c r="H1567" s="631"/>
      <c r="I1567" s="631"/>
      <c r="J1567" s="631"/>
      <c r="M1567" s="540"/>
      <c r="O1567" s="540"/>
      <c r="R1567" s="490" t="str">
        <f t="shared" si="68"/>
        <v>DELETE</v>
      </c>
    </row>
    <row r="1568" spans="2:21" ht="36" customHeight="1" x14ac:dyDescent="0.5">
      <c r="B1568" s="457"/>
      <c r="C1568" s="457"/>
      <c r="D1568" s="649"/>
      <c r="E1568" s="649"/>
      <c r="F1568" s="649"/>
      <c r="G1568" s="649"/>
      <c r="H1568" s="649"/>
      <c r="I1568" s="649"/>
      <c r="J1568" s="649"/>
      <c r="K1568" s="457"/>
      <c r="L1568" s="457"/>
      <c r="M1568" s="551"/>
      <c r="N1568" s="551"/>
      <c r="O1568" s="551"/>
      <c r="P1568" s="551"/>
      <c r="Q1568" s="457"/>
      <c r="R1568" s="490" t="str">
        <f t="shared" si="68"/>
        <v>DELETE</v>
      </c>
    </row>
    <row r="1569" spans="2:19" ht="36" customHeight="1" x14ac:dyDescent="0.5">
      <c r="D1569" s="631"/>
      <c r="E1569" s="631"/>
      <c r="F1569" s="631"/>
      <c r="G1569" s="631"/>
      <c r="H1569" s="631"/>
      <c r="I1569" s="631"/>
      <c r="J1569" s="631"/>
      <c r="M1569" s="545"/>
      <c r="N1569" s="545"/>
      <c r="O1569" s="488">
        <f>Criteria!E22</f>
        <v>2026</v>
      </c>
      <c r="P1569" s="545"/>
      <c r="R1569" s="490" t="str">
        <f t="shared" si="68"/>
        <v>DELETE</v>
      </c>
    </row>
    <row r="1570" spans="2:19" ht="36" customHeight="1" x14ac:dyDescent="0.5">
      <c r="D1570" s="631"/>
      <c r="E1570" s="631"/>
      <c r="F1570" s="631"/>
      <c r="G1570" s="631"/>
      <c r="H1570" s="631"/>
      <c r="I1570" s="631"/>
      <c r="J1570" s="631"/>
      <c r="M1570" s="545"/>
      <c r="N1570" s="545"/>
      <c r="O1570" s="545"/>
      <c r="P1570" s="545"/>
      <c r="R1570" s="490" t="str">
        <f t="shared" si="68"/>
        <v>DELETE</v>
      </c>
    </row>
    <row r="1571" spans="2:19" ht="36" customHeight="1" x14ac:dyDescent="0.5">
      <c r="B1571" s="501">
        <f>MAX($B$873:B1570)+1</f>
        <v>9</v>
      </c>
      <c r="C1571" s="630" t="s">
        <v>1224</v>
      </c>
      <c r="D1571" s="631"/>
      <c r="E1571" s="631"/>
      <c r="F1571" s="631"/>
      <c r="G1571" s="631"/>
      <c r="H1571" s="631"/>
      <c r="I1571" s="631"/>
      <c r="J1571" s="631"/>
      <c r="M1571" s="545"/>
      <c r="N1571" s="545"/>
      <c r="O1571" s="545"/>
      <c r="P1571" s="545"/>
      <c r="R1571" s="490" t="str">
        <f>IF(SUM(TrialBalance!L230:L231)+SUM(TrialBalance!N230:N231)+TrialBalance!L234=0,"DELETE"," ")</f>
        <v>DELETE</v>
      </c>
    </row>
    <row r="1572" spans="2:19" ht="36" customHeight="1" x14ac:dyDescent="0.5">
      <c r="B1572" s="501"/>
      <c r="C1572" s="630"/>
      <c r="D1572" s="631"/>
      <c r="E1572" s="631"/>
      <c r="F1572" s="631"/>
      <c r="G1572" s="631"/>
      <c r="H1572" s="631"/>
      <c r="I1572" s="631"/>
      <c r="J1572" s="631"/>
      <c r="M1572" s="545"/>
      <c r="N1572" s="545"/>
      <c r="O1572" s="545"/>
      <c r="P1572" s="545"/>
      <c r="R1572" s="490" t="str">
        <f t="shared" si="68"/>
        <v>DELETE</v>
      </c>
    </row>
    <row r="1573" spans="2:19" ht="36" customHeight="1" x14ac:dyDescent="0.5">
      <c r="B1573" s="501"/>
      <c r="C1573" s="631" t="s">
        <v>1292</v>
      </c>
      <c r="D1573" s="631"/>
      <c r="E1573" s="631"/>
      <c r="F1573" s="631"/>
      <c r="G1573" s="648"/>
      <c r="H1573" s="648"/>
      <c r="I1573" s="631"/>
      <c r="J1573" s="648"/>
      <c r="K1573" s="526"/>
      <c r="M1573" s="475"/>
      <c r="N1573" s="475"/>
      <c r="O1573" s="458">
        <f>O1576-O1577</f>
        <v>0</v>
      </c>
      <c r="P1573" s="545"/>
      <c r="R1573" s="490" t="str">
        <f t="shared" si="68"/>
        <v>DELETE</v>
      </c>
    </row>
    <row r="1574" spans="2:19" ht="9" customHeight="1" x14ac:dyDescent="0.5">
      <c r="B1574" s="501"/>
      <c r="C1574" s="631"/>
      <c r="D1574" s="631"/>
      <c r="E1574" s="631"/>
      <c r="F1574" s="631"/>
      <c r="G1574" s="631"/>
      <c r="H1574" s="648"/>
      <c r="I1574" s="631"/>
      <c r="J1574" s="631"/>
      <c r="M1574" s="475"/>
      <c r="N1574" s="475"/>
      <c r="O1574" s="458"/>
      <c r="P1574" s="545"/>
      <c r="R1574" s="490" t="str">
        <f t="shared" si="68"/>
        <v>DELETE</v>
      </c>
    </row>
    <row r="1575" spans="2:19" ht="9" customHeight="1" x14ac:dyDescent="0.5">
      <c r="B1575" s="501"/>
      <c r="C1575" s="631"/>
      <c r="D1575" s="631"/>
      <c r="E1575" s="631"/>
      <c r="F1575" s="631"/>
      <c r="G1575" s="631"/>
      <c r="H1575" s="648"/>
      <c r="I1575" s="631"/>
      <c r="J1575" s="631"/>
      <c r="M1575" s="475"/>
      <c r="N1575" s="475"/>
      <c r="O1575" s="587"/>
      <c r="P1575" s="545"/>
      <c r="R1575" s="490" t="str">
        <f t="shared" si="68"/>
        <v>DELETE</v>
      </c>
    </row>
    <row r="1576" spans="2:19" ht="36" customHeight="1" x14ac:dyDescent="0.5">
      <c r="B1576" s="501"/>
      <c r="C1576" s="631" t="s">
        <v>416</v>
      </c>
      <c r="D1576" s="631"/>
      <c r="E1576" s="631"/>
      <c r="F1576" s="631"/>
      <c r="G1576" s="631"/>
      <c r="H1576" s="648"/>
      <c r="I1576" s="631"/>
      <c r="J1576" s="631"/>
      <c r="M1576" s="475"/>
      <c r="N1576" s="475"/>
      <c r="O1576" s="588">
        <f>TrialBalance!L230</f>
        <v>0</v>
      </c>
      <c r="P1576" s="545"/>
      <c r="R1576" s="490" t="str">
        <f t="shared" si="68"/>
        <v>DELETE</v>
      </c>
      <c r="S1576" s="495">
        <f>O1576</f>
        <v>0</v>
      </c>
    </row>
    <row r="1577" spans="2:19" ht="36" customHeight="1" x14ac:dyDescent="0.5">
      <c r="B1577" s="501"/>
      <c r="C1577" s="631" t="s">
        <v>1592</v>
      </c>
      <c r="D1577" s="631"/>
      <c r="E1577" s="631"/>
      <c r="F1577" s="631"/>
      <c r="G1577" s="631"/>
      <c r="H1577" s="648"/>
      <c r="I1577" s="631"/>
      <c r="J1577" s="631"/>
      <c r="M1577" s="475"/>
      <c r="N1577" s="475"/>
      <c r="O1577" s="588">
        <f>-TrialBalance!L236</f>
        <v>0</v>
      </c>
      <c r="P1577" s="545"/>
      <c r="R1577" s="490" t="str">
        <f t="shared" si="68"/>
        <v>DELETE</v>
      </c>
      <c r="S1577" s="495">
        <f>-O1577</f>
        <v>0</v>
      </c>
    </row>
    <row r="1578" spans="2:19" ht="9" customHeight="1" x14ac:dyDescent="0.5">
      <c r="B1578" s="501"/>
      <c r="C1578" s="631"/>
      <c r="D1578" s="631"/>
      <c r="E1578" s="631"/>
      <c r="F1578" s="631"/>
      <c r="G1578" s="631"/>
      <c r="H1578" s="648"/>
      <c r="I1578" s="631"/>
      <c r="J1578" s="631"/>
      <c r="M1578" s="475"/>
      <c r="N1578" s="475"/>
      <c r="O1578" s="589"/>
      <c r="P1578" s="545"/>
      <c r="R1578" s="490" t="str">
        <f t="shared" si="68"/>
        <v>DELETE</v>
      </c>
    </row>
    <row r="1579" spans="2:19" ht="9" customHeight="1" x14ac:dyDescent="0.5">
      <c r="B1579" s="501"/>
      <c r="C1579" s="631"/>
      <c r="D1579" s="631"/>
      <c r="E1579" s="631"/>
      <c r="F1579" s="631"/>
      <c r="G1579" s="631"/>
      <c r="H1579" s="648"/>
      <c r="I1579" s="631"/>
      <c r="J1579" s="631"/>
      <c r="M1579" s="475"/>
      <c r="N1579" s="475"/>
      <c r="O1579" s="458"/>
      <c r="P1579" s="545"/>
      <c r="R1579" s="490" t="str">
        <f t="shared" si="68"/>
        <v>DELETE</v>
      </c>
    </row>
    <row r="1580" spans="2:19" ht="36" customHeight="1" x14ac:dyDescent="0.5">
      <c r="B1580" s="501"/>
      <c r="C1580" s="631" t="s">
        <v>422</v>
      </c>
      <c r="D1580" s="631"/>
      <c r="E1580" s="631"/>
      <c r="F1580" s="631"/>
      <c r="G1580" s="631"/>
      <c r="H1580" s="648"/>
      <c r="I1580" s="631"/>
      <c r="J1580" s="631"/>
      <c r="M1580" s="475"/>
      <c r="N1580" s="475"/>
      <c r="O1580" s="458">
        <f>TrialBalance!L231</f>
        <v>0</v>
      </c>
      <c r="P1580" s="545"/>
      <c r="R1580" s="490" t="str">
        <f t="shared" si="68"/>
        <v>DELETE</v>
      </c>
      <c r="S1580" s="495">
        <f>O1580</f>
        <v>0</v>
      </c>
    </row>
    <row r="1581" spans="2:19" ht="36" customHeight="1" x14ac:dyDescent="0.5">
      <c r="B1581" s="501"/>
      <c r="C1581" s="631"/>
      <c r="D1581" s="631" t="s">
        <v>1593</v>
      </c>
      <c r="E1581" s="631"/>
      <c r="F1581" s="631"/>
      <c r="G1581" s="631"/>
      <c r="H1581" s="648"/>
      <c r="I1581" s="631"/>
      <c r="J1581" s="631"/>
      <c r="M1581" s="475"/>
      <c r="N1581" s="475"/>
      <c r="O1581" s="458">
        <f>TrialBalance!L234</f>
        <v>0</v>
      </c>
      <c r="P1581" s="545"/>
      <c r="R1581" s="490" t="str">
        <f>IF(O1581=0,"DELETE"," ")</f>
        <v>DELETE</v>
      </c>
      <c r="S1581" s="495">
        <f>O1581</f>
        <v>0</v>
      </c>
    </row>
    <row r="1582" spans="2:19" ht="9" customHeight="1" x14ac:dyDescent="0.5">
      <c r="B1582" s="501"/>
      <c r="C1582" s="631"/>
      <c r="D1582" s="631"/>
      <c r="E1582" s="631"/>
      <c r="F1582" s="631"/>
      <c r="G1582" s="631"/>
      <c r="H1582" s="648"/>
      <c r="I1582" s="631"/>
      <c r="J1582" s="631"/>
      <c r="M1582" s="475"/>
      <c r="N1582" s="475"/>
      <c r="O1582" s="461"/>
      <c r="P1582" s="545"/>
      <c r="R1582" s="490" t="str">
        <f t="shared" si="68"/>
        <v>DELETE</v>
      </c>
    </row>
    <row r="1583" spans="2:19" ht="9" customHeight="1" x14ac:dyDescent="0.5">
      <c r="B1583" s="501"/>
      <c r="C1583" s="631"/>
      <c r="D1583" s="631"/>
      <c r="E1583" s="631"/>
      <c r="F1583" s="631"/>
      <c r="G1583" s="631"/>
      <c r="H1583" s="648"/>
      <c r="I1583" s="631"/>
      <c r="J1583" s="631"/>
      <c r="M1583" s="475"/>
      <c r="N1583" s="475"/>
      <c r="O1583" s="458"/>
      <c r="P1583" s="545"/>
      <c r="R1583" s="490" t="str">
        <f t="shared" si="68"/>
        <v>DELETE</v>
      </c>
    </row>
    <row r="1584" spans="2:19" ht="36" customHeight="1" x14ac:dyDescent="0.5">
      <c r="B1584" s="501"/>
      <c r="C1584" s="631"/>
      <c r="D1584" s="631"/>
      <c r="E1584" s="631"/>
      <c r="F1584" s="631"/>
      <c r="G1584" s="631"/>
      <c r="H1584" s="648"/>
      <c r="I1584" s="631"/>
      <c r="J1584" s="631"/>
      <c r="M1584" s="475"/>
      <c r="N1584" s="475"/>
      <c r="O1584" s="458">
        <f>O1573+SUM(O1579:O1582)</f>
        <v>0</v>
      </c>
      <c r="P1584" s="545"/>
      <c r="R1584" s="490" t="str">
        <f t="shared" si="68"/>
        <v>DELETE</v>
      </c>
    </row>
    <row r="1585" spans="2:19" ht="36" customHeight="1" x14ac:dyDescent="0.5">
      <c r="B1585" s="501"/>
      <c r="C1585" s="631" t="s">
        <v>1314</v>
      </c>
      <c r="D1585" s="631"/>
      <c r="E1585" s="631"/>
      <c r="F1585" s="631"/>
      <c r="G1585" s="631"/>
      <c r="H1585" s="648"/>
      <c r="I1585" s="631"/>
      <c r="J1585" s="631"/>
      <c r="M1585" s="475"/>
      <c r="N1585" s="475"/>
      <c r="O1585" s="458">
        <f>-SUM(S1587:S1590)</f>
        <v>0</v>
      </c>
      <c r="P1585" s="545"/>
      <c r="R1585" s="490" t="str">
        <f>IF(O1585=0,"DELETE"," ")</f>
        <v>DELETE</v>
      </c>
    </row>
    <row r="1586" spans="2:19" ht="9" customHeight="1" x14ac:dyDescent="0.5">
      <c r="B1586" s="501"/>
      <c r="C1586" s="631"/>
      <c r="D1586" s="631"/>
      <c r="E1586" s="631"/>
      <c r="F1586" s="631"/>
      <c r="G1586" s="631"/>
      <c r="H1586" s="648"/>
      <c r="I1586" s="631"/>
      <c r="J1586" s="631"/>
      <c r="M1586" s="475"/>
      <c r="N1586" s="475"/>
      <c r="O1586" s="458"/>
      <c r="P1586" s="545"/>
      <c r="R1586" s="490" t="str">
        <f>R$1585</f>
        <v>DELETE</v>
      </c>
    </row>
    <row r="1587" spans="2:19" ht="9" customHeight="1" x14ac:dyDescent="0.5">
      <c r="B1587" s="501"/>
      <c r="C1587" s="631"/>
      <c r="D1587" s="631"/>
      <c r="E1587" s="631"/>
      <c r="F1587" s="631"/>
      <c r="G1587" s="631"/>
      <c r="H1587" s="648"/>
      <c r="I1587" s="631"/>
      <c r="J1587" s="631"/>
      <c r="M1587" s="475"/>
      <c r="N1587" s="475"/>
      <c r="O1587" s="587"/>
      <c r="P1587" s="545"/>
      <c r="R1587" s="490" t="str">
        <f>R$1585</f>
        <v>DELETE</v>
      </c>
    </row>
    <row r="1588" spans="2:19" ht="36" customHeight="1" x14ac:dyDescent="0.5">
      <c r="B1588" s="501"/>
      <c r="C1588" s="631" t="s">
        <v>416</v>
      </c>
      <c r="D1588" s="631"/>
      <c r="E1588" s="631"/>
      <c r="F1588" s="631"/>
      <c r="G1588" s="631"/>
      <c r="H1588" s="648"/>
      <c r="I1588" s="631"/>
      <c r="J1588" s="631"/>
      <c r="M1588" s="475"/>
      <c r="N1588" s="475"/>
      <c r="O1588" s="588">
        <f>-TrialBalance!L233</f>
        <v>0</v>
      </c>
      <c r="P1588" s="545"/>
      <c r="R1588" s="490" t="str">
        <f t="shared" ref="R1588:R1589" si="69">IF(O1588=0,"DELETE"," ")</f>
        <v>DELETE</v>
      </c>
      <c r="S1588" s="495">
        <f>-O1588</f>
        <v>0</v>
      </c>
    </row>
    <row r="1589" spans="2:19" ht="36" customHeight="1" x14ac:dyDescent="0.5">
      <c r="B1589" s="501"/>
      <c r="C1589" s="631" t="s">
        <v>1592</v>
      </c>
      <c r="D1589" s="631"/>
      <c r="E1589" s="631"/>
      <c r="F1589" s="631"/>
      <c r="G1589" s="631"/>
      <c r="H1589" s="648"/>
      <c r="I1589" s="631"/>
      <c r="J1589" s="631"/>
      <c r="M1589" s="475"/>
      <c r="N1589" s="475"/>
      <c r="O1589" s="588">
        <f>TrialBalance!L239</f>
        <v>0</v>
      </c>
      <c r="P1589" s="545"/>
      <c r="R1589" s="490" t="str">
        <f t="shared" si="69"/>
        <v>DELETE</v>
      </c>
      <c r="S1589" s="495">
        <f>O1589</f>
        <v>0</v>
      </c>
    </row>
    <row r="1590" spans="2:19" ht="9" customHeight="1" x14ac:dyDescent="0.5">
      <c r="B1590" s="501"/>
      <c r="C1590" s="631"/>
      <c r="D1590" s="631"/>
      <c r="E1590" s="631"/>
      <c r="F1590" s="631"/>
      <c r="G1590" s="631"/>
      <c r="H1590" s="648"/>
      <c r="I1590" s="631"/>
      <c r="J1590" s="631"/>
      <c r="M1590" s="475"/>
      <c r="N1590" s="475"/>
      <c r="O1590" s="589"/>
      <c r="P1590" s="545"/>
      <c r="R1590" s="490" t="str">
        <f t="shared" ref="R1590:R1591" si="70">R$1585</f>
        <v>DELETE</v>
      </c>
    </row>
    <row r="1591" spans="2:19" ht="9" customHeight="1" x14ac:dyDescent="0.5">
      <c r="B1591" s="501"/>
      <c r="C1591" s="631"/>
      <c r="D1591" s="631"/>
      <c r="E1591" s="631"/>
      <c r="F1591" s="631"/>
      <c r="G1591" s="631"/>
      <c r="H1591" s="648"/>
      <c r="I1591" s="631"/>
      <c r="J1591" s="631"/>
      <c r="M1591" s="475"/>
      <c r="N1591" s="475"/>
      <c r="O1591" s="458"/>
      <c r="P1591" s="545"/>
      <c r="R1591" s="490" t="str">
        <f t="shared" si="70"/>
        <v>DELETE</v>
      </c>
    </row>
    <row r="1592" spans="2:19" ht="36.75" customHeight="1" x14ac:dyDescent="0.5">
      <c r="B1592" s="501"/>
      <c r="C1592" s="631" t="s">
        <v>179</v>
      </c>
      <c r="D1592" s="631"/>
      <c r="E1592" s="631"/>
      <c r="F1592" s="631"/>
      <c r="G1592" s="631"/>
      <c r="H1592" s="648"/>
      <c r="I1592" s="631"/>
      <c r="J1592" s="631"/>
      <c r="M1592" s="475"/>
      <c r="N1592" s="475"/>
      <c r="O1592" s="458">
        <f>-SUM(S1594:S1597)</f>
        <v>0</v>
      </c>
      <c r="P1592" s="545"/>
      <c r="R1592" s="490" t="str">
        <f>IF(O1592=0,"DELETE"," ")</f>
        <v>DELETE</v>
      </c>
    </row>
    <row r="1593" spans="2:19" ht="9" customHeight="1" x14ac:dyDescent="0.5">
      <c r="B1593" s="501"/>
      <c r="C1593" s="631"/>
      <c r="D1593" s="631"/>
      <c r="E1593" s="631"/>
      <c r="F1593" s="631"/>
      <c r="G1593" s="631"/>
      <c r="H1593" s="648"/>
      <c r="I1593" s="631"/>
      <c r="J1593" s="631"/>
      <c r="M1593" s="475"/>
      <c r="N1593" s="475"/>
      <c r="O1593" s="458"/>
      <c r="P1593" s="545"/>
      <c r="R1593" s="490" t="str">
        <f>R$1592</f>
        <v>DELETE</v>
      </c>
    </row>
    <row r="1594" spans="2:19" ht="9" customHeight="1" x14ac:dyDescent="0.5">
      <c r="B1594" s="501"/>
      <c r="C1594" s="631"/>
      <c r="D1594" s="631"/>
      <c r="E1594" s="631"/>
      <c r="F1594" s="631"/>
      <c r="G1594" s="631"/>
      <c r="H1594" s="648"/>
      <c r="I1594" s="631"/>
      <c r="J1594" s="631"/>
      <c r="M1594" s="475"/>
      <c r="N1594" s="475"/>
      <c r="O1594" s="587"/>
      <c r="P1594" s="545"/>
      <c r="R1594" s="490" t="str">
        <f>R$1592</f>
        <v>DELETE</v>
      </c>
    </row>
    <row r="1595" spans="2:19" ht="36" customHeight="1" x14ac:dyDescent="0.5">
      <c r="B1595" s="501"/>
      <c r="C1595" s="631" t="s">
        <v>416</v>
      </c>
      <c r="D1595" s="631"/>
      <c r="E1595" s="631"/>
      <c r="F1595" s="631"/>
      <c r="G1595" s="631"/>
      <c r="H1595" s="648"/>
      <c r="I1595" s="631"/>
      <c r="J1595" s="631"/>
      <c r="M1595" s="475"/>
      <c r="N1595" s="475"/>
      <c r="O1595" s="588">
        <f>-TrialBalance!L232</f>
        <v>0</v>
      </c>
      <c r="P1595" s="545"/>
      <c r="R1595" s="490" t="str">
        <f t="shared" ref="R1595:R1596" si="71">IF(O1595=0,"DELETE"," ")</f>
        <v>DELETE</v>
      </c>
      <c r="S1595" s="495">
        <f>-O1595</f>
        <v>0</v>
      </c>
    </row>
    <row r="1596" spans="2:19" ht="36" customHeight="1" x14ac:dyDescent="0.5">
      <c r="B1596" s="501"/>
      <c r="C1596" s="631" t="s">
        <v>1592</v>
      </c>
      <c r="D1596" s="631"/>
      <c r="E1596" s="631"/>
      <c r="F1596" s="631"/>
      <c r="G1596" s="631"/>
      <c r="H1596" s="648"/>
      <c r="I1596" s="631"/>
      <c r="J1596" s="631"/>
      <c r="M1596" s="475"/>
      <c r="N1596" s="475"/>
      <c r="O1596" s="588">
        <f>TrialBalance!L238</f>
        <v>0</v>
      </c>
      <c r="P1596" s="545"/>
      <c r="R1596" s="490" t="str">
        <f t="shared" si="71"/>
        <v>DELETE</v>
      </c>
      <c r="S1596" s="495">
        <f>+O1596</f>
        <v>0</v>
      </c>
    </row>
    <row r="1597" spans="2:19" ht="9" customHeight="1" x14ac:dyDescent="0.5">
      <c r="B1597" s="501"/>
      <c r="C1597" s="631"/>
      <c r="D1597" s="631"/>
      <c r="E1597" s="631"/>
      <c r="F1597" s="631"/>
      <c r="G1597" s="631"/>
      <c r="H1597" s="648"/>
      <c r="I1597" s="631"/>
      <c r="J1597" s="631"/>
      <c r="M1597" s="475"/>
      <c r="N1597" s="475"/>
      <c r="O1597" s="589"/>
      <c r="P1597" s="545"/>
      <c r="R1597" s="490" t="str">
        <f t="shared" ref="R1597:R1598" si="72">R$1592</f>
        <v>DELETE</v>
      </c>
    </row>
    <row r="1598" spans="2:19" ht="9" customHeight="1" x14ac:dyDescent="0.5">
      <c r="B1598" s="501"/>
      <c r="C1598" s="631"/>
      <c r="D1598" s="631"/>
      <c r="E1598" s="631"/>
      <c r="F1598" s="631"/>
      <c r="G1598" s="631"/>
      <c r="H1598" s="648"/>
      <c r="I1598" s="631"/>
      <c r="J1598" s="631"/>
      <c r="M1598" s="475"/>
      <c r="N1598" s="475"/>
      <c r="O1598" s="475"/>
      <c r="P1598" s="545"/>
      <c r="R1598" s="490" t="str">
        <f t="shared" si="72"/>
        <v>DELETE</v>
      </c>
    </row>
    <row r="1599" spans="2:19" ht="36.75" customHeight="1" x14ac:dyDescent="0.5">
      <c r="B1599" s="501"/>
      <c r="C1599" s="631" t="s">
        <v>304</v>
      </c>
      <c r="D1599" s="631"/>
      <c r="E1599" s="631"/>
      <c r="F1599" s="631"/>
      <c r="G1599" s="631"/>
      <c r="H1599" s="648"/>
      <c r="I1599" s="631"/>
      <c r="J1599" s="631"/>
      <c r="M1599" s="475"/>
      <c r="N1599" s="475"/>
      <c r="O1599" s="475">
        <f>TrialBalance!L237</f>
        <v>0</v>
      </c>
      <c r="P1599" s="545"/>
      <c r="R1599" s="490" t="str">
        <f t="shared" si="68"/>
        <v>DELETE</v>
      </c>
      <c r="S1599" s="495">
        <f>O1599</f>
        <v>0</v>
      </c>
    </row>
    <row r="1600" spans="2:19" ht="9" customHeight="1" x14ac:dyDescent="0.5">
      <c r="B1600" s="501"/>
      <c r="C1600" s="631"/>
      <c r="D1600" s="631"/>
      <c r="E1600" s="631"/>
      <c r="F1600" s="631"/>
      <c r="G1600" s="631"/>
      <c r="H1600" s="648"/>
      <c r="I1600" s="631"/>
      <c r="J1600" s="631"/>
      <c r="M1600" s="475"/>
      <c r="N1600" s="475"/>
      <c r="O1600" s="461"/>
      <c r="P1600" s="545"/>
      <c r="R1600" s="490" t="str">
        <f t="shared" si="68"/>
        <v>DELETE</v>
      </c>
    </row>
    <row r="1601" spans="2:21" ht="9" customHeight="1" x14ac:dyDescent="0.5">
      <c r="B1601" s="501"/>
      <c r="C1601" s="631"/>
      <c r="D1601" s="631"/>
      <c r="E1601" s="631"/>
      <c r="F1601" s="631"/>
      <c r="G1601" s="631"/>
      <c r="H1601" s="648"/>
      <c r="I1601" s="631"/>
      <c r="J1601" s="631"/>
      <c r="M1601" s="475"/>
      <c r="N1601" s="475"/>
      <c r="O1601" s="475"/>
      <c r="P1601" s="545"/>
      <c r="R1601" s="490" t="str">
        <f t="shared" si="68"/>
        <v>DELETE</v>
      </c>
    </row>
    <row r="1602" spans="2:21" ht="36.75" customHeight="1" x14ac:dyDescent="0.5">
      <c r="B1602" s="501"/>
      <c r="C1602" s="631" t="s">
        <v>1295</v>
      </c>
      <c r="D1602" s="631"/>
      <c r="E1602" s="631"/>
      <c r="F1602" s="631"/>
      <c r="G1602" s="631"/>
      <c r="H1602" s="648"/>
      <c r="I1602" s="631"/>
      <c r="J1602" s="631"/>
      <c r="K1602" s="456"/>
      <c r="M1602" s="475"/>
      <c r="N1602" s="475"/>
      <c r="O1602" s="458">
        <f>SUM(S1575:S1600)</f>
        <v>0</v>
      </c>
      <c r="P1602" s="545"/>
      <c r="R1602" s="490" t="str">
        <f t="shared" si="68"/>
        <v>DELETE</v>
      </c>
      <c r="U1602" s="491" t="b">
        <f>O1602=O1606-O1607</f>
        <v>1</v>
      </c>
    </row>
    <row r="1603" spans="2:21" ht="9" customHeight="1" thickBot="1" x14ac:dyDescent="0.55000000000000004">
      <c r="B1603" s="501"/>
      <c r="C1603" s="631"/>
      <c r="D1603" s="631"/>
      <c r="E1603" s="631"/>
      <c r="F1603" s="631"/>
      <c r="G1603" s="631"/>
      <c r="H1603" s="648"/>
      <c r="I1603" s="631"/>
      <c r="J1603" s="631"/>
      <c r="M1603" s="475"/>
      <c r="N1603" s="475"/>
      <c r="O1603" s="462"/>
      <c r="P1603" s="545"/>
      <c r="R1603" s="490" t="str">
        <f t="shared" si="68"/>
        <v>DELETE</v>
      </c>
    </row>
    <row r="1604" spans="2:21" ht="9" customHeight="1" thickTop="1" x14ac:dyDescent="0.5">
      <c r="B1604" s="501"/>
      <c r="C1604" s="631"/>
      <c r="D1604" s="631"/>
      <c r="E1604" s="631"/>
      <c r="F1604" s="631"/>
      <c r="G1604" s="631"/>
      <c r="H1604" s="648"/>
      <c r="I1604" s="631"/>
      <c r="J1604" s="631"/>
      <c r="M1604" s="475"/>
      <c r="N1604" s="475"/>
      <c r="O1604" s="458"/>
      <c r="P1604" s="545"/>
      <c r="R1604" s="490" t="str">
        <f t="shared" si="68"/>
        <v>DELETE</v>
      </c>
    </row>
    <row r="1605" spans="2:21" ht="9" customHeight="1" x14ac:dyDescent="0.5">
      <c r="B1605" s="501"/>
      <c r="C1605" s="631"/>
      <c r="D1605" s="631"/>
      <c r="E1605" s="631"/>
      <c r="F1605" s="631"/>
      <c r="G1605" s="631"/>
      <c r="H1605" s="648"/>
      <c r="I1605" s="631"/>
      <c r="J1605" s="631"/>
      <c r="M1605" s="475"/>
      <c r="N1605" s="475"/>
      <c r="O1605" s="587"/>
      <c r="P1605" s="545"/>
      <c r="R1605" s="490" t="str">
        <f t="shared" si="68"/>
        <v>DELETE</v>
      </c>
    </row>
    <row r="1606" spans="2:21" ht="36" customHeight="1" x14ac:dyDescent="0.5">
      <c r="B1606" s="501"/>
      <c r="C1606" s="631" t="s">
        <v>416</v>
      </c>
      <c r="D1606" s="631"/>
      <c r="E1606" s="631"/>
      <c r="F1606" s="631"/>
      <c r="G1606" s="631"/>
      <c r="H1606" s="648"/>
      <c r="I1606" s="631"/>
      <c r="J1606" s="631"/>
      <c r="M1606" s="475"/>
      <c r="N1606" s="475"/>
      <c r="O1606" s="588">
        <f>SUM(TrialBalance!L230:L234)</f>
        <v>0</v>
      </c>
      <c r="P1606" s="545"/>
      <c r="R1606" s="490" t="str">
        <f t="shared" si="68"/>
        <v>DELETE</v>
      </c>
    </row>
    <row r="1607" spans="2:21" ht="36" customHeight="1" x14ac:dyDescent="0.5">
      <c r="B1607" s="501"/>
      <c r="C1607" s="631" t="s">
        <v>1592</v>
      </c>
      <c r="D1607" s="631"/>
      <c r="E1607" s="631"/>
      <c r="F1607" s="631"/>
      <c r="G1607" s="631"/>
      <c r="H1607" s="648"/>
      <c r="I1607" s="631"/>
      <c r="J1607" s="631"/>
      <c r="M1607" s="475"/>
      <c r="N1607" s="475"/>
      <c r="O1607" s="588">
        <f>-SUM(TrialBalance!L236:L239)</f>
        <v>0</v>
      </c>
      <c r="P1607" s="545"/>
      <c r="R1607" s="490" t="str">
        <f t="shared" si="68"/>
        <v>DELETE</v>
      </c>
    </row>
    <row r="1608" spans="2:21" ht="9" customHeight="1" x14ac:dyDescent="0.5">
      <c r="B1608" s="501"/>
      <c r="C1608" s="631"/>
      <c r="D1608" s="631"/>
      <c r="E1608" s="631"/>
      <c r="F1608" s="631"/>
      <c r="G1608" s="631"/>
      <c r="H1608" s="631"/>
      <c r="I1608" s="631"/>
      <c r="J1608" s="631"/>
      <c r="M1608" s="475"/>
      <c r="N1608" s="475"/>
      <c r="O1608" s="589"/>
      <c r="P1608" s="545"/>
      <c r="R1608" s="490" t="str">
        <f t="shared" si="68"/>
        <v>DELETE</v>
      </c>
    </row>
    <row r="1609" spans="2:21" ht="9" customHeight="1" x14ac:dyDescent="0.5">
      <c r="B1609" s="501"/>
      <c r="C1609" s="631"/>
      <c r="D1609" s="631"/>
      <c r="E1609" s="631"/>
      <c r="F1609" s="631"/>
      <c r="G1609" s="631"/>
      <c r="H1609" s="631"/>
      <c r="I1609" s="631"/>
      <c r="J1609" s="631"/>
      <c r="M1609" s="475"/>
      <c r="N1609" s="475"/>
      <c r="O1609" s="458"/>
      <c r="P1609" s="545"/>
      <c r="R1609" s="490" t="str">
        <f t="shared" si="68"/>
        <v>DELETE</v>
      </c>
    </row>
    <row r="1610" spans="2:21" ht="36" customHeight="1" x14ac:dyDescent="0.5">
      <c r="B1610" s="501"/>
      <c r="C1610" s="631"/>
      <c r="D1610" s="631"/>
      <c r="E1610" s="631"/>
      <c r="F1610" s="631"/>
      <c r="G1610" s="631"/>
      <c r="H1610" s="631"/>
      <c r="I1610" s="631"/>
      <c r="J1610" s="631"/>
      <c r="M1610" s="545"/>
      <c r="N1610" s="545"/>
      <c r="O1610" s="545"/>
      <c r="P1610" s="545"/>
      <c r="R1610" s="490" t="str">
        <f t="shared" si="68"/>
        <v>DELETE</v>
      </c>
    </row>
    <row r="1611" spans="2:21" ht="36" customHeight="1" x14ac:dyDescent="0.5">
      <c r="B1611" s="501"/>
      <c r="C1611" s="631" t="str">
        <f>IF(SUM(TrialBalance!L230:L234)=0," ",IF(Criteria!F135="Yes",CONCATENATE("Property is pledged as security - See Note ",'FS2'!B2296)," "))</f>
        <v xml:space="preserve"> </v>
      </c>
      <c r="D1611" s="648"/>
      <c r="E1611" s="631"/>
      <c r="F1611" s="631"/>
      <c r="G1611" s="631"/>
      <c r="H1611" s="631"/>
      <c r="I1611" s="631"/>
      <c r="J1611" s="631"/>
      <c r="M1611" s="545"/>
      <c r="N1611" s="545"/>
      <c r="O1611" s="545"/>
      <c r="P1611" s="545"/>
      <c r="R1611" s="490" t="str">
        <f>IF(R$1571="DELETE","DELETE",IF(C1611=" ","DELETE"," "))</f>
        <v>DELETE</v>
      </c>
    </row>
    <row r="1612" spans="2:21" ht="36" customHeight="1" x14ac:dyDescent="0.5">
      <c r="B1612" s="501"/>
      <c r="C1612" s="631"/>
      <c r="D1612" s="631"/>
      <c r="E1612" s="631"/>
      <c r="F1612" s="631"/>
      <c r="G1612" s="631"/>
      <c r="H1612" s="631"/>
      <c r="I1612" s="631"/>
      <c r="J1612" s="631"/>
      <c r="M1612" s="545"/>
      <c r="N1612" s="545"/>
      <c r="O1612" s="545"/>
      <c r="P1612" s="545"/>
      <c r="R1612" s="490" t="str">
        <f t="shared" si="68"/>
        <v>DELETE</v>
      </c>
    </row>
    <row r="1613" spans="2:21" ht="36" customHeight="1" x14ac:dyDescent="0.5">
      <c r="B1613" s="501"/>
      <c r="C1613" s="631"/>
      <c r="D1613" s="631"/>
      <c r="E1613" s="631"/>
      <c r="F1613" s="631"/>
      <c r="G1613" s="631"/>
      <c r="H1613" s="631"/>
      <c r="I1613" s="631"/>
      <c r="J1613" s="631"/>
      <c r="M1613" s="545"/>
      <c r="N1613" s="545"/>
      <c r="O1613" s="545"/>
      <c r="P1613" s="545"/>
      <c r="R1613" s="490" t="str">
        <f t="shared" si="68"/>
        <v>DELETE</v>
      </c>
    </row>
    <row r="1614" spans="2:21" ht="36" customHeight="1" x14ac:dyDescent="0.5">
      <c r="B1614" s="501"/>
      <c r="C1614" s="630"/>
      <c r="D1614" s="631"/>
      <c r="E1614" s="631"/>
      <c r="F1614" s="631"/>
      <c r="G1614" s="631"/>
      <c r="H1614" s="631"/>
      <c r="I1614" s="631"/>
      <c r="J1614" s="631"/>
      <c r="M1614" s="475"/>
      <c r="N1614" s="475"/>
      <c r="O1614" s="475"/>
      <c r="P1614" s="545"/>
      <c r="R1614" s="490" t="str">
        <f t="shared" si="68"/>
        <v>DELETE</v>
      </c>
    </row>
    <row r="1615" spans="2:21" ht="36" customHeight="1" x14ac:dyDescent="0.5">
      <c r="B1615" s="501"/>
      <c r="C1615" s="630"/>
      <c r="D1615" s="631"/>
      <c r="E1615" s="631"/>
      <c r="F1615" s="631"/>
      <c r="G1615" s="631"/>
      <c r="H1615" s="631"/>
      <c r="I1615" s="631"/>
      <c r="J1615" s="631"/>
      <c r="M1615" s="458"/>
      <c r="N1615" s="458"/>
      <c r="O1615" s="458"/>
      <c r="R1615" s="490" t="str">
        <f t="shared" si="68"/>
        <v>DELETE</v>
      </c>
    </row>
    <row r="1616" spans="2:21" ht="36" customHeight="1" x14ac:dyDescent="0.5">
      <c r="B1616" s="501"/>
      <c r="C1616" s="630"/>
      <c r="D1616" s="631"/>
      <c r="E1616" s="631"/>
      <c r="F1616" s="631"/>
      <c r="G1616" s="631"/>
      <c r="H1616" s="631"/>
      <c r="I1616" s="631"/>
      <c r="J1616" s="631"/>
      <c r="M1616" s="458"/>
      <c r="N1616" s="458"/>
      <c r="O1616" s="454" t="s">
        <v>112</v>
      </c>
      <c r="Q1616" s="450">
        <f>MAX($Q$103:Q1615)+1</f>
        <v>42</v>
      </c>
      <c r="R1616" s="490" t="str">
        <f t="shared" ref="R1616:R1627" si="73">R$1668</f>
        <v>DELETE</v>
      </c>
    </row>
    <row r="1617" spans="2:18" ht="36" customHeight="1" x14ac:dyDescent="0.5">
      <c r="B1617" s="501"/>
      <c r="C1617" s="630"/>
      <c r="D1617" s="630" t="str">
        <f>Criteria!E9</f>
        <v>ABC COMPANY (PROPRIETARY) LIMITED</v>
      </c>
      <c r="E1617" s="631"/>
      <c r="F1617" s="631"/>
      <c r="G1617" s="631"/>
      <c r="H1617" s="631"/>
      <c r="I1617" s="631"/>
      <c r="J1617" s="631"/>
      <c r="M1617" s="540"/>
      <c r="O1617" s="540"/>
      <c r="R1617" s="490" t="str">
        <f t="shared" si="73"/>
        <v>DELETE</v>
      </c>
    </row>
    <row r="1618" spans="2:18" ht="36" customHeight="1" x14ac:dyDescent="0.5">
      <c r="B1618" s="501"/>
      <c r="C1618" s="630"/>
      <c r="D1618" s="630" t="str">
        <f>Criteria!E10</f>
        <v>T/A SEAFRONT HOTEL, ABC RESTAURANT AND RENTAL PROPERTIES</v>
      </c>
      <c r="E1618" s="631"/>
      <c r="F1618" s="631"/>
      <c r="G1618" s="631"/>
      <c r="H1618" s="631"/>
      <c r="I1618" s="631"/>
      <c r="J1618" s="631"/>
      <c r="M1618" s="540"/>
      <c r="O1618" s="540"/>
      <c r="R1618" s="490" t="str">
        <f>IF(R$1668="DELETE","DELETE",IF(D1618=0,"DELETE"," "))</f>
        <v>DELETE</v>
      </c>
    </row>
    <row r="1619" spans="2:18" ht="36" customHeight="1" x14ac:dyDescent="0.5">
      <c r="B1619" s="501"/>
      <c r="C1619" s="630"/>
      <c r="D1619" s="631"/>
      <c r="E1619" s="631"/>
      <c r="F1619" s="631"/>
      <c r="G1619" s="631"/>
      <c r="H1619" s="631"/>
      <c r="I1619" s="631"/>
      <c r="J1619" s="631"/>
      <c r="M1619" s="540"/>
      <c r="O1619" s="540"/>
      <c r="R1619" s="490" t="str">
        <f t="shared" si="73"/>
        <v>DELETE</v>
      </c>
    </row>
    <row r="1620" spans="2:18" ht="36" customHeight="1" x14ac:dyDescent="0.5">
      <c r="B1620" s="501"/>
      <c r="C1620" s="630"/>
      <c r="D1620" s="630" t="s">
        <v>415</v>
      </c>
      <c r="E1620" s="631"/>
      <c r="F1620" s="631"/>
      <c r="G1620" s="631"/>
      <c r="H1620" s="631"/>
      <c r="I1620" s="631"/>
      <c r="J1620" s="631"/>
      <c r="M1620" s="540"/>
      <c r="O1620" s="540"/>
      <c r="R1620" s="490" t="str">
        <f t="shared" si="73"/>
        <v>DELETE</v>
      </c>
    </row>
    <row r="1621" spans="2:18" ht="36" customHeight="1" x14ac:dyDescent="0.5">
      <c r="B1621" s="501"/>
      <c r="C1621" s="630"/>
      <c r="D1621" s="630" t="str">
        <f>Criteria!E20</f>
        <v>28 FEBRUARY 2026</v>
      </c>
      <c r="E1621" s="631"/>
      <c r="F1621" s="631"/>
      <c r="G1621" s="631"/>
      <c r="H1621" s="631"/>
      <c r="I1621" s="631"/>
      <c r="J1621" s="631" t="s">
        <v>282</v>
      </c>
      <c r="M1621" s="540"/>
      <c r="O1621" s="540"/>
      <c r="R1621" s="490" t="str">
        <f t="shared" si="73"/>
        <v>DELETE</v>
      </c>
    </row>
    <row r="1622" spans="2:18" ht="36" customHeight="1" x14ac:dyDescent="0.5">
      <c r="B1622" s="501"/>
      <c r="C1622" s="630"/>
      <c r="D1622" s="631"/>
      <c r="E1622" s="631"/>
      <c r="F1622" s="631"/>
      <c r="G1622" s="631"/>
      <c r="H1622" s="631"/>
      <c r="I1622" s="631"/>
      <c r="J1622" s="631"/>
      <c r="M1622" s="458"/>
      <c r="N1622" s="458"/>
      <c r="O1622" s="458"/>
      <c r="R1622" s="490" t="str">
        <f t="shared" si="73"/>
        <v>DELETE</v>
      </c>
    </row>
    <row r="1623" spans="2:18" ht="36" customHeight="1" x14ac:dyDescent="0.5">
      <c r="B1623" s="640"/>
      <c r="C1623" s="652"/>
      <c r="D1623" s="649"/>
      <c r="E1623" s="649"/>
      <c r="F1623" s="649"/>
      <c r="G1623" s="649"/>
      <c r="H1623" s="649"/>
      <c r="I1623" s="649"/>
      <c r="J1623" s="649"/>
      <c r="K1623" s="457"/>
      <c r="L1623" s="457"/>
      <c r="M1623" s="459"/>
      <c r="N1623" s="459"/>
      <c r="O1623" s="459"/>
      <c r="P1623" s="551"/>
      <c r="Q1623" s="457"/>
      <c r="R1623" s="490" t="str">
        <f t="shared" si="73"/>
        <v>DELETE</v>
      </c>
    </row>
    <row r="1624" spans="2:18" ht="36" customHeight="1" x14ac:dyDescent="0.5">
      <c r="B1624" s="501"/>
      <c r="C1624" s="630"/>
      <c r="D1624" s="631"/>
      <c r="E1624" s="631"/>
      <c r="F1624" s="631"/>
      <c r="G1624" s="631"/>
      <c r="H1624" s="631"/>
      <c r="I1624" s="631"/>
      <c r="J1624" s="631"/>
      <c r="M1624" s="475"/>
      <c r="N1624" s="475"/>
      <c r="O1624" s="488">
        <f>Criteria!E22</f>
        <v>2026</v>
      </c>
      <c r="P1624" s="545"/>
      <c r="R1624" s="490" t="str">
        <f t="shared" si="73"/>
        <v>DELETE</v>
      </c>
    </row>
    <row r="1625" spans="2:18" ht="36" customHeight="1" x14ac:dyDescent="0.5">
      <c r="B1625" s="501"/>
      <c r="C1625" s="630"/>
      <c r="D1625" s="631"/>
      <c r="E1625" s="631"/>
      <c r="F1625" s="631"/>
      <c r="G1625" s="631"/>
      <c r="H1625" s="631"/>
      <c r="I1625" s="631"/>
      <c r="J1625" s="631"/>
      <c r="M1625" s="475"/>
      <c r="N1625" s="475"/>
      <c r="O1625" s="475"/>
      <c r="P1625" s="545"/>
      <c r="R1625" s="490" t="str">
        <f t="shared" si="73"/>
        <v>DELETE</v>
      </c>
    </row>
    <row r="1626" spans="2:18" ht="36" customHeight="1" x14ac:dyDescent="0.5">
      <c r="B1626" s="501"/>
      <c r="C1626" s="631" t="s">
        <v>1440</v>
      </c>
      <c r="D1626" s="631"/>
      <c r="E1626" s="631"/>
      <c r="F1626" s="631"/>
      <c r="G1626" s="631"/>
      <c r="H1626" s="631"/>
      <c r="I1626" s="631"/>
      <c r="J1626" s="631"/>
      <c r="M1626" s="475"/>
      <c r="N1626" s="475"/>
      <c r="O1626" s="475"/>
      <c r="P1626" s="545"/>
      <c r="R1626" s="490" t="str">
        <f t="shared" si="73"/>
        <v>DELETE</v>
      </c>
    </row>
    <row r="1627" spans="2:18" ht="36" customHeight="1" x14ac:dyDescent="0.5">
      <c r="B1627" s="501"/>
      <c r="C1627" s="630"/>
      <c r="D1627" s="631"/>
      <c r="E1627" s="631"/>
      <c r="F1627" s="631"/>
      <c r="G1627" s="631"/>
      <c r="H1627" s="631"/>
      <c r="I1627" s="631"/>
      <c r="J1627" s="631"/>
      <c r="M1627" s="475"/>
      <c r="N1627" s="475"/>
      <c r="O1627" s="475"/>
      <c r="P1627" s="545"/>
      <c r="R1627" s="490" t="str">
        <f t="shared" si="73"/>
        <v>DELETE</v>
      </c>
    </row>
    <row r="1628" spans="2:18" ht="36" customHeight="1" x14ac:dyDescent="0.5">
      <c r="B1628" s="501"/>
      <c r="C1628" s="631">
        <f>Criteria!C140</f>
        <v>0</v>
      </c>
      <c r="D1628" s="648"/>
      <c r="E1628" s="631"/>
      <c r="F1628" s="631"/>
      <c r="G1628" s="631"/>
      <c r="H1628" s="631"/>
      <c r="I1628" s="631"/>
      <c r="J1628" s="631"/>
      <c r="M1628" s="475"/>
      <c r="N1628" s="475"/>
      <c r="O1628" s="475">
        <f>Criteria!F140</f>
        <v>0</v>
      </c>
      <c r="P1628" s="545"/>
      <c r="R1628" s="490" t="str">
        <f>IF(O1628=0,"DELETE"," ")</f>
        <v>DELETE</v>
      </c>
    </row>
    <row r="1629" spans="2:18" ht="36" customHeight="1" x14ac:dyDescent="0.5">
      <c r="B1629" s="501"/>
      <c r="C1629" s="631">
        <f>Criteria!C141</f>
        <v>0</v>
      </c>
      <c r="D1629" s="648"/>
      <c r="E1629" s="631"/>
      <c r="F1629" s="631"/>
      <c r="G1629" s="631"/>
      <c r="H1629" s="631"/>
      <c r="I1629" s="631"/>
      <c r="J1629" s="631"/>
      <c r="M1629" s="475"/>
      <c r="N1629" s="475"/>
      <c r="O1629" s="475">
        <f>Criteria!F141</f>
        <v>0</v>
      </c>
      <c r="P1629" s="545"/>
      <c r="R1629" s="490" t="str">
        <f t="shared" ref="R1629:R1665" si="74">IF(O1629=0,"DELETE"," ")</f>
        <v>DELETE</v>
      </c>
    </row>
    <row r="1630" spans="2:18" ht="36" customHeight="1" x14ac:dyDescent="0.5">
      <c r="B1630" s="501"/>
      <c r="C1630" s="631">
        <f>Criteria!C142</f>
        <v>0</v>
      </c>
      <c r="D1630" s="648"/>
      <c r="E1630" s="631"/>
      <c r="F1630" s="631"/>
      <c r="G1630" s="631"/>
      <c r="H1630" s="631"/>
      <c r="I1630" s="631"/>
      <c r="J1630" s="631"/>
      <c r="M1630" s="475"/>
      <c r="N1630" s="475"/>
      <c r="O1630" s="475">
        <f>Criteria!F142</f>
        <v>0</v>
      </c>
      <c r="P1630" s="545"/>
      <c r="R1630" s="490" t="str">
        <f t="shared" si="74"/>
        <v>DELETE</v>
      </c>
    </row>
    <row r="1631" spans="2:18" ht="36" customHeight="1" x14ac:dyDescent="0.5">
      <c r="B1631" s="501"/>
      <c r="C1631" s="631">
        <f>Criteria!C143</f>
        <v>0</v>
      </c>
      <c r="D1631" s="648"/>
      <c r="E1631" s="631"/>
      <c r="F1631" s="631"/>
      <c r="G1631" s="631"/>
      <c r="H1631" s="631"/>
      <c r="I1631" s="631"/>
      <c r="J1631" s="631"/>
      <c r="M1631" s="475"/>
      <c r="N1631" s="475"/>
      <c r="O1631" s="475">
        <f>Criteria!F143</f>
        <v>0</v>
      </c>
      <c r="P1631" s="545"/>
      <c r="R1631" s="490" t="str">
        <f t="shared" si="74"/>
        <v>DELETE</v>
      </c>
    </row>
    <row r="1632" spans="2:18" ht="36" customHeight="1" x14ac:dyDescent="0.5">
      <c r="B1632" s="501"/>
      <c r="C1632" s="631">
        <f>Criteria!C144</f>
        <v>0</v>
      </c>
      <c r="D1632" s="648"/>
      <c r="E1632" s="631"/>
      <c r="F1632" s="631"/>
      <c r="G1632" s="631"/>
      <c r="H1632" s="631"/>
      <c r="I1632" s="631"/>
      <c r="J1632" s="631"/>
      <c r="M1632" s="475"/>
      <c r="N1632" s="475"/>
      <c r="O1632" s="475">
        <f>Criteria!F144</f>
        <v>0</v>
      </c>
      <c r="P1632" s="545"/>
      <c r="R1632" s="490" t="str">
        <f t="shared" si="74"/>
        <v>DELETE</v>
      </c>
    </row>
    <row r="1633" spans="2:18" ht="36" customHeight="1" x14ac:dyDescent="0.5">
      <c r="B1633" s="501"/>
      <c r="C1633" s="631">
        <f>Criteria!C145</f>
        <v>0</v>
      </c>
      <c r="D1633" s="648"/>
      <c r="E1633" s="631"/>
      <c r="F1633" s="631"/>
      <c r="G1633" s="631"/>
      <c r="H1633" s="631"/>
      <c r="I1633" s="631"/>
      <c r="J1633" s="631"/>
      <c r="M1633" s="475"/>
      <c r="N1633" s="475"/>
      <c r="O1633" s="475">
        <f>Criteria!F145</f>
        <v>0</v>
      </c>
      <c r="P1633" s="545"/>
      <c r="R1633" s="490" t="str">
        <f t="shared" si="74"/>
        <v>DELETE</v>
      </c>
    </row>
    <row r="1634" spans="2:18" ht="36" customHeight="1" x14ac:dyDescent="0.5">
      <c r="B1634" s="501"/>
      <c r="C1634" s="631">
        <f>Criteria!C146</f>
        <v>0</v>
      </c>
      <c r="D1634" s="648"/>
      <c r="E1634" s="631"/>
      <c r="F1634" s="631"/>
      <c r="G1634" s="631"/>
      <c r="H1634" s="631"/>
      <c r="I1634" s="631"/>
      <c r="J1634" s="631"/>
      <c r="M1634" s="475"/>
      <c r="N1634" s="475"/>
      <c r="O1634" s="475">
        <f>Criteria!F146</f>
        <v>0</v>
      </c>
      <c r="P1634" s="545"/>
      <c r="R1634" s="490" t="str">
        <f t="shared" si="74"/>
        <v>DELETE</v>
      </c>
    </row>
    <row r="1635" spans="2:18" ht="36" customHeight="1" x14ac:dyDescent="0.5">
      <c r="B1635" s="501"/>
      <c r="C1635" s="631">
        <f>Criteria!C147</f>
        <v>0</v>
      </c>
      <c r="D1635" s="648"/>
      <c r="E1635" s="631"/>
      <c r="F1635" s="631"/>
      <c r="G1635" s="631"/>
      <c r="H1635" s="631"/>
      <c r="I1635" s="631"/>
      <c r="J1635" s="631"/>
      <c r="M1635" s="475"/>
      <c r="N1635" s="475"/>
      <c r="O1635" s="475">
        <f>Criteria!F147</f>
        <v>0</v>
      </c>
      <c r="P1635" s="545"/>
      <c r="R1635" s="490" t="str">
        <f t="shared" si="74"/>
        <v>DELETE</v>
      </c>
    </row>
    <row r="1636" spans="2:18" ht="36" customHeight="1" x14ac:dyDescent="0.5">
      <c r="B1636" s="501"/>
      <c r="C1636" s="631">
        <f>Criteria!C148</f>
        <v>0</v>
      </c>
      <c r="D1636" s="648"/>
      <c r="E1636" s="631"/>
      <c r="F1636" s="631"/>
      <c r="G1636" s="631"/>
      <c r="H1636" s="631"/>
      <c r="I1636" s="631"/>
      <c r="J1636" s="631"/>
      <c r="M1636" s="475"/>
      <c r="N1636" s="475"/>
      <c r="O1636" s="475">
        <f>Criteria!F148</f>
        <v>0</v>
      </c>
      <c r="P1636" s="545"/>
      <c r="R1636" s="490" t="str">
        <f t="shared" si="74"/>
        <v>DELETE</v>
      </c>
    </row>
    <row r="1637" spans="2:18" ht="36" customHeight="1" x14ac:dyDescent="0.5">
      <c r="B1637" s="501"/>
      <c r="C1637" s="631">
        <f>Criteria!C149</f>
        <v>0</v>
      </c>
      <c r="D1637" s="648"/>
      <c r="E1637" s="631"/>
      <c r="F1637" s="631"/>
      <c r="G1637" s="631"/>
      <c r="H1637" s="631"/>
      <c r="I1637" s="631"/>
      <c r="J1637" s="631"/>
      <c r="M1637" s="475"/>
      <c r="N1637" s="475"/>
      <c r="O1637" s="475">
        <f>Criteria!F149</f>
        <v>0</v>
      </c>
      <c r="P1637" s="545"/>
      <c r="R1637" s="490" t="str">
        <f t="shared" si="74"/>
        <v>DELETE</v>
      </c>
    </row>
    <row r="1638" spans="2:18" ht="36" customHeight="1" x14ac:dyDescent="0.5">
      <c r="B1638" s="501"/>
      <c r="C1638" s="631">
        <f>Criteria!C150</f>
        <v>0</v>
      </c>
      <c r="D1638" s="648"/>
      <c r="E1638" s="631"/>
      <c r="F1638" s="631"/>
      <c r="G1638" s="631"/>
      <c r="H1638" s="631"/>
      <c r="I1638" s="631"/>
      <c r="J1638" s="631"/>
      <c r="M1638" s="475"/>
      <c r="N1638" s="475"/>
      <c r="O1638" s="475">
        <f>Criteria!F150</f>
        <v>0</v>
      </c>
      <c r="P1638" s="545"/>
      <c r="R1638" s="490" t="str">
        <f t="shared" si="74"/>
        <v>DELETE</v>
      </c>
    </row>
    <row r="1639" spans="2:18" ht="36" customHeight="1" x14ac:dyDescent="0.5">
      <c r="B1639" s="501"/>
      <c r="C1639" s="631">
        <f>Criteria!C151</f>
        <v>0</v>
      </c>
      <c r="D1639" s="648"/>
      <c r="E1639" s="631"/>
      <c r="F1639" s="631"/>
      <c r="G1639" s="631"/>
      <c r="H1639" s="631"/>
      <c r="I1639" s="631"/>
      <c r="J1639" s="631"/>
      <c r="M1639" s="475"/>
      <c r="N1639" s="475"/>
      <c r="O1639" s="475">
        <f>Criteria!F151</f>
        <v>0</v>
      </c>
      <c r="P1639" s="545"/>
      <c r="R1639" s="490" t="str">
        <f t="shared" si="74"/>
        <v>DELETE</v>
      </c>
    </row>
    <row r="1640" spans="2:18" ht="36" customHeight="1" x14ac:dyDescent="0.5">
      <c r="B1640" s="501"/>
      <c r="C1640" s="631">
        <f>Criteria!C152</f>
        <v>0</v>
      </c>
      <c r="D1640" s="648"/>
      <c r="E1640" s="631"/>
      <c r="F1640" s="631"/>
      <c r="G1640" s="631"/>
      <c r="H1640" s="631"/>
      <c r="I1640" s="631"/>
      <c r="J1640" s="631"/>
      <c r="M1640" s="475"/>
      <c r="N1640" s="475"/>
      <c r="O1640" s="475">
        <f>Criteria!F152</f>
        <v>0</v>
      </c>
      <c r="P1640" s="545"/>
      <c r="R1640" s="490" t="str">
        <f t="shared" si="74"/>
        <v>DELETE</v>
      </c>
    </row>
    <row r="1641" spans="2:18" ht="36" customHeight="1" x14ac:dyDescent="0.5">
      <c r="B1641" s="501"/>
      <c r="C1641" s="631">
        <f>Criteria!C153</f>
        <v>0</v>
      </c>
      <c r="D1641" s="648"/>
      <c r="E1641" s="631"/>
      <c r="F1641" s="631"/>
      <c r="G1641" s="631"/>
      <c r="H1641" s="631"/>
      <c r="I1641" s="631"/>
      <c r="J1641" s="631"/>
      <c r="M1641" s="475"/>
      <c r="N1641" s="475"/>
      <c r="O1641" s="475">
        <f>Criteria!F153</f>
        <v>0</v>
      </c>
      <c r="P1641" s="545"/>
      <c r="R1641" s="490" t="str">
        <f t="shared" si="74"/>
        <v>DELETE</v>
      </c>
    </row>
    <row r="1642" spans="2:18" ht="36" customHeight="1" x14ac:dyDescent="0.5">
      <c r="B1642" s="501"/>
      <c r="C1642" s="631">
        <f>Criteria!C154</f>
        <v>0</v>
      </c>
      <c r="D1642" s="648"/>
      <c r="E1642" s="631"/>
      <c r="F1642" s="631"/>
      <c r="G1642" s="631"/>
      <c r="H1642" s="631"/>
      <c r="I1642" s="631"/>
      <c r="J1642" s="631"/>
      <c r="M1642" s="475"/>
      <c r="N1642" s="475"/>
      <c r="O1642" s="475">
        <f>Criteria!F154</f>
        <v>0</v>
      </c>
      <c r="P1642" s="545"/>
      <c r="R1642" s="490" t="str">
        <f t="shared" si="74"/>
        <v>DELETE</v>
      </c>
    </row>
    <row r="1643" spans="2:18" ht="36" customHeight="1" x14ac:dyDescent="0.5">
      <c r="B1643" s="501"/>
      <c r="C1643" s="631">
        <f>Criteria!C155</f>
        <v>0</v>
      </c>
      <c r="D1643" s="648"/>
      <c r="E1643" s="631"/>
      <c r="F1643" s="631"/>
      <c r="G1643" s="631"/>
      <c r="H1643" s="631"/>
      <c r="I1643" s="631"/>
      <c r="J1643" s="631"/>
      <c r="M1643" s="475"/>
      <c r="N1643" s="475"/>
      <c r="O1643" s="475">
        <f>Criteria!F155</f>
        <v>0</v>
      </c>
      <c r="P1643" s="545"/>
      <c r="R1643" s="490" t="str">
        <f t="shared" si="74"/>
        <v>DELETE</v>
      </c>
    </row>
    <row r="1644" spans="2:18" ht="36" customHeight="1" x14ac:dyDescent="0.5">
      <c r="B1644" s="501"/>
      <c r="C1644" s="631">
        <f>Criteria!C156</f>
        <v>0</v>
      </c>
      <c r="D1644" s="648"/>
      <c r="E1644" s="631"/>
      <c r="F1644" s="631"/>
      <c r="G1644" s="631"/>
      <c r="H1644" s="631"/>
      <c r="I1644" s="631"/>
      <c r="J1644" s="631"/>
      <c r="M1644" s="475"/>
      <c r="N1644" s="475"/>
      <c r="O1644" s="475">
        <f>Criteria!F156</f>
        <v>0</v>
      </c>
      <c r="P1644" s="545"/>
      <c r="R1644" s="490" t="str">
        <f t="shared" si="74"/>
        <v>DELETE</v>
      </c>
    </row>
    <row r="1645" spans="2:18" ht="36" customHeight="1" x14ac:dyDescent="0.5">
      <c r="B1645" s="501"/>
      <c r="C1645" s="631">
        <f>Criteria!C157</f>
        <v>0</v>
      </c>
      <c r="D1645" s="648"/>
      <c r="E1645" s="631"/>
      <c r="F1645" s="631"/>
      <c r="G1645" s="631"/>
      <c r="H1645" s="631"/>
      <c r="I1645" s="631"/>
      <c r="J1645" s="631"/>
      <c r="M1645" s="475"/>
      <c r="N1645" s="475"/>
      <c r="O1645" s="475">
        <f>Criteria!F157</f>
        <v>0</v>
      </c>
      <c r="P1645" s="545"/>
      <c r="R1645" s="490" t="str">
        <f t="shared" si="74"/>
        <v>DELETE</v>
      </c>
    </row>
    <row r="1646" spans="2:18" ht="36" customHeight="1" x14ac:dyDescent="0.5">
      <c r="B1646" s="501"/>
      <c r="C1646" s="631">
        <f>Criteria!C158</f>
        <v>0</v>
      </c>
      <c r="D1646" s="648"/>
      <c r="E1646" s="631"/>
      <c r="F1646" s="631"/>
      <c r="G1646" s="631"/>
      <c r="H1646" s="631"/>
      <c r="I1646" s="631"/>
      <c r="J1646" s="631"/>
      <c r="M1646" s="475"/>
      <c r="N1646" s="475"/>
      <c r="O1646" s="475">
        <f>Criteria!F158</f>
        <v>0</v>
      </c>
      <c r="P1646" s="545"/>
      <c r="R1646" s="490" t="str">
        <f t="shared" si="74"/>
        <v>DELETE</v>
      </c>
    </row>
    <row r="1647" spans="2:18" ht="36" customHeight="1" x14ac:dyDescent="0.5">
      <c r="B1647" s="501"/>
      <c r="C1647" s="631">
        <f>Criteria!C159</f>
        <v>0</v>
      </c>
      <c r="D1647" s="648"/>
      <c r="E1647" s="631"/>
      <c r="F1647" s="631"/>
      <c r="G1647" s="631"/>
      <c r="H1647" s="631"/>
      <c r="I1647" s="631"/>
      <c r="J1647" s="631"/>
      <c r="M1647" s="475"/>
      <c r="N1647" s="475"/>
      <c r="O1647" s="475">
        <f>Criteria!F159</f>
        <v>0</v>
      </c>
      <c r="P1647" s="545"/>
      <c r="R1647" s="490" t="str">
        <f t="shared" si="74"/>
        <v>DELETE</v>
      </c>
    </row>
    <row r="1648" spans="2:18" ht="36" customHeight="1" x14ac:dyDescent="0.5">
      <c r="B1648" s="501"/>
      <c r="C1648" s="631">
        <f>Criteria!C160</f>
        <v>0</v>
      </c>
      <c r="D1648" s="648"/>
      <c r="E1648" s="631"/>
      <c r="F1648" s="631"/>
      <c r="G1648" s="631"/>
      <c r="H1648" s="631"/>
      <c r="I1648" s="631"/>
      <c r="J1648" s="631"/>
      <c r="M1648" s="475"/>
      <c r="N1648" s="475"/>
      <c r="O1648" s="475">
        <f>Criteria!F160</f>
        <v>0</v>
      </c>
      <c r="P1648" s="545"/>
      <c r="R1648" s="490" t="str">
        <f t="shared" si="74"/>
        <v>DELETE</v>
      </c>
    </row>
    <row r="1649" spans="2:18" ht="36" customHeight="1" x14ac:dyDescent="0.5">
      <c r="B1649" s="501"/>
      <c r="C1649" s="631">
        <f>Criteria!C161</f>
        <v>0</v>
      </c>
      <c r="D1649" s="648"/>
      <c r="E1649" s="631"/>
      <c r="F1649" s="631"/>
      <c r="G1649" s="631"/>
      <c r="H1649" s="631"/>
      <c r="I1649" s="631"/>
      <c r="J1649" s="631"/>
      <c r="M1649" s="475"/>
      <c r="N1649" s="475"/>
      <c r="O1649" s="475">
        <f>Criteria!F161</f>
        <v>0</v>
      </c>
      <c r="P1649" s="545"/>
      <c r="R1649" s="490" t="str">
        <f t="shared" si="74"/>
        <v>DELETE</v>
      </c>
    </row>
    <row r="1650" spans="2:18" ht="36" customHeight="1" x14ac:dyDescent="0.5">
      <c r="B1650" s="501"/>
      <c r="C1650" s="631">
        <f>Criteria!C162</f>
        <v>0</v>
      </c>
      <c r="D1650" s="648"/>
      <c r="E1650" s="631"/>
      <c r="F1650" s="631"/>
      <c r="G1650" s="631"/>
      <c r="H1650" s="631"/>
      <c r="I1650" s="631"/>
      <c r="J1650" s="631"/>
      <c r="M1650" s="475"/>
      <c r="N1650" s="475"/>
      <c r="O1650" s="475">
        <f>Criteria!F162</f>
        <v>0</v>
      </c>
      <c r="P1650" s="545"/>
      <c r="R1650" s="490" t="str">
        <f t="shared" si="74"/>
        <v>DELETE</v>
      </c>
    </row>
    <row r="1651" spans="2:18" ht="36" customHeight="1" x14ac:dyDescent="0.5">
      <c r="B1651" s="501"/>
      <c r="C1651" s="631">
        <f>Criteria!C163</f>
        <v>0</v>
      </c>
      <c r="D1651" s="648"/>
      <c r="E1651" s="631"/>
      <c r="F1651" s="631"/>
      <c r="G1651" s="631"/>
      <c r="H1651" s="631"/>
      <c r="I1651" s="631"/>
      <c r="J1651" s="631"/>
      <c r="M1651" s="475"/>
      <c r="N1651" s="475"/>
      <c r="O1651" s="475">
        <f>Criteria!F163</f>
        <v>0</v>
      </c>
      <c r="P1651" s="545"/>
      <c r="R1651" s="490" t="str">
        <f t="shared" si="74"/>
        <v>DELETE</v>
      </c>
    </row>
    <row r="1652" spans="2:18" ht="36" customHeight="1" x14ac:dyDescent="0.5">
      <c r="B1652" s="501"/>
      <c r="C1652" s="631">
        <f>Criteria!C164</f>
        <v>0</v>
      </c>
      <c r="D1652" s="648"/>
      <c r="E1652" s="631"/>
      <c r="F1652" s="631"/>
      <c r="G1652" s="631"/>
      <c r="H1652" s="631"/>
      <c r="I1652" s="631"/>
      <c r="J1652" s="631"/>
      <c r="M1652" s="475"/>
      <c r="N1652" s="475"/>
      <c r="O1652" s="475">
        <f>Criteria!F164</f>
        <v>0</v>
      </c>
      <c r="P1652" s="545"/>
      <c r="R1652" s="490" t="str">
        <f t="shared" si="74"/>
        <v>DELETE</v>
      </c>
    </row>
    <row r="1653" spans="2:18" ht="36" customHeight="1" x14ac:dyDescent="0.5">
      <c r="B1653" s="501"/>
      <c r="C1653" s="631">
        <f>Criteria!C165</f>
        <v>0</v>
      </c>
      <c r="D1653" s="648"/>
      <c r="E1653" s="631"/>
      <c r="F1653" s="631"/>
      <c r="G1653" s="631"/>
      <c r="H1653" s="631"/>
      <c r="I1653" s="631"/>
      <c r="J1653" s="631"/>
      <c r="M1653" s="475"/>
      <c r="N1653" s="475"/>
      <c r="O1653" s="475">
        <f>Criteria!F165</f>
        <v>0</v>
      </c>
      <c r="P1653" s="545"/>
      <c r="R1653" s="490" t="str">
        <f t="shared" si="74"/>
        <v>DELETE</v>
      </c>
    </row>
    <row r="1654" spans="2:18" ht="36" customHeight="1" x14ac:dyDescent="0.5">
      <c r="B1654" s="501"/>
      <c r="C1654" s="631">
        <f>Criteria!C166</f>
        <v>0</v>
      </c>
      <c r="D1654" s="648"/>
      <c r="E1654" s="631"/>
      <c r="F1654" s="631"/>
      <c r="G1654" s="631"/>
      <c r="H1654" s="631"/>
      <c r="I1654" s="631"/>
      <c r="J1654" s="631"/>
      <c r="M1654" s="475"/>
      <c r="N1654" s="475"/>
      <c r="O1654" s="475">
        <f>Criteria!F166</f>
        <v>0</v>
      </c>
      <c r="P1654" s="545"/>
      <c r="R1654" s="490" t="str">
        <f t="shared" si="74"/>
        <v>DELETE</v>
      </c>
    </row>
    <row r="1655" spans="2:18" ht="36" customHeight="1" x14ac:dyDescent="0.5">
      <c r="B1655" s="501"/>
      <c r="C1655" s="631">
        <f>Criteria!C167</f>
        <v>0</v>
      </c>
      <c r="D1655" s="648"/>
      <c r="E1655" s="631"/>
      <c r="F1655" s="631"/>
      <c r="G1655" s="631"/>
      <c r="H1655" s="631"/>
      <c r="I1655" s="631"/>
      <c r="J1655" s="631"/>
      <c r="M1655" s="475"/>
      <c r="N1655" s="475"/>
      <c r="O1655" s="475">
        <f>Criteria!F167</f>
        <v>0</v>
      </c>
      <c r="P1655" s="545"/>
      <c r="R1655" s="490" t="str">
        <f t="shared" si="74"/>
        <v>DELETE</v>
      </c>
    </row>
    <row r="1656" spans="2:18" ht="36" customHeight="1" x14ac:dyDescent="0.5">
      <c r="B1656" s="501"/>
      <c r="C1656" s="631">
        <f>Criteria!C168</f>
        <v>0</v>
      </c>
      <c r="D1656" s="648"/>
      <c r="E1656" s="631"/>
      <c r="F1656" s="631"/>
      <c r="G1656" s="631"/>
      <c r="H1656" s="631"/>
      <c r="I1656" s="631"/>
      <c r="J1656" s="631"/>
      <c r="M1656" s="475"/>
      <c r="N1656" s="475"/>
      <c r="O1656" s="475">
        <f>Criteria!F168</f>
        <v>0</v>
      </c>
      <c r="P1656" s="545"/>
      <c r="R1656" s="490" t="str">
        <f t="shared" si="74"/>
        <v>DELETE</v>
      </c>
    </row>
    <row r="1657" spans="2:18" ht="36" customHeight="1" x14ac:dyDescent="0.5">
      <c r="B1657" s="501"/>
      <c r="C1657" s="631">
        <f>Criteria!C169</f>
        <v>0</v>
      </c>
      <c r="D1657" s="648"/>
      <c r="E1657" s="631"/>
      <c r="F1657" s="631"/>
      <c r="G1657" s="631"/>
      <c r="H1657" s="631"/>
      <c r="I1657" s="631"/>
      <c r="J1657" s="631"/>
      <c r="M1657" s="475"/>
      <c r="N1657" s="475"/>
      <c r="O1657" s="475">
        <f>Criteria!F169</f>
        <v>0</v>
      </c>
      <c r="P1657" s="545"/>
      <c r="R1657" s="490" t="str">
        <f t="shared" si="74"/>
        <v>DELETE</v>
      </c>
    </row>
    <row r="1658" spans="2:18" ht="36" customHeight="1" x14ac:dyDescent="0.5">
      <c r="B1658" s="501"/>
      <c r="C1658" s="631">
        <f>Criteria!C170</f>
        <v>0</v>
      </c>
      <c r="D1658" s="648"/>
      <c r="E1658" s="631"/>
      <c r="F1658" s="631"/>
      <c r="G1658" s="631"/>
      <c r="H1658" s="631"/>
      <c r="I1658" s="631"/>
      <c r="J1658" s="631"/>
      <c r="M1658" s="475"/>
      <c r="N1658" s="475"/>
      <c r="O1658" s="475">
        <f>Criteria!F170</f>
        <v>0</v>
      </c>
      <c r="P1658" s="545"/>
      <c r="R1658" s="490" t="str">
        <f t="shared" si="74"/>
        <v>DELETE</v>
      </c>
    </row>
    <row r="1659" spans="2:18" ht="36" customHeight="1" x14ac:dyDescent="0.5">
      <c r="B1659" s="501"/>
      <c r="C1659" s="631">
        <f>Criteria!C171</f>
        <v>0</v>
      </c>
      <c r="D1659" s="648"/>
      <c r="E1659" s="631"/>
      <c r="F1659" s="631"/>
      <c r="G1659" s="631"/>
      <c r="H1659" s="631"/>
      <c r="I1659" s="631"/>
      <c r="J1659" s="631"/>
      <c r="M1659" s="475"/>
      <c r="N1659" s="475"/>
      <c r="O1659" s="475">
        <f>Criteria!F171</f>
        <v>0</v>
      </c>
      <c r="P1659" s="545"/>
      <c r="R1659" s="490" t="str">
        <f t="shared" si="74"/>
        <v>DELETE</v>
      </c>
    </row>
    <row r="1660" spans="2:18" ht="36" customHeight="1" x14ac:dyDescent="0.5">
      <c r="B1660" s="501"/>
      <c r="C1660" s="631">
        <f>Criteria!C172</f>
        <v>0</v>
      </c>
      <c r="D1660" s="648"/>
      <c r="E1660" s="631"/>
      <c r="F1660" s="631"/>
      <c r="G1660" s="631"/>
      <c r="H1660" s="631"/>
      <c r="I1660" s="631"/>
      <c r="J1660" s="631"/>
      <c r="M1660" s="475"/>
      <c r="N1660" s="475"/>
      <c r="O1660" s="475">
        <f>Criteria!F172</f>
        <v>0</v>
      </c>
      <c r="P1660" s="545"/>
      <c r="R1660" s="490" t="str">
        <f t="shared" si="74"/>
        <v>DELETE</v>
      </c>
    </row>
    <row r="1661" spans="2:18" ht="36" customHeight="1" x14ac:dyDescent="0.5">
      <c r="B1661" s="501"/>
      <c r="C1661" s="631">
        <f>Criteria!C173</f>
        <v>0</v>
      </c>
      <c r="D1661" s="648"/>
      <c r="E1661" s="631"/>
      <c r="F1661" s="631"/>
      <c r="G1661" s="631"/>
      <c r="H1661" s="631"/>
      <c r="I1661" s="631"/>
      <c r="J1661" s="631"/>
      <c r="M1661" s="475"/>
      <c r="N1661" s="475"/>
      <c r="O1661" s="475">
        <f>Criteria!F173</f>
        <v>0</v>
      </c>
      <c r="P1661" s="545"/>
      <c r="R1661" s="490" t="str">
        <f t="shared" si="74"/>
        <v>DELETE</v>
      </c>
    </row>
    <row r="1662" spans="2:18" ht="36" customHeight="1" x14ac:dyDescent="0.5">
      <c r="B1662" s="501"/>
      <c r="C1662" s="631">
        <f>Criteria!C174</f>
        <v>0</v>
      </c>
      <c r="D1662" s="648"/>
      <c r="E1662" s="631"/>
      <c r="F1662" s="631"/>
      <c r="G1662" s="631"/>
      <c r="H1662" s="631"/>
      <c r="I1662" s="631"/>
      <c r="J1662" s="631"/>
      <c r="M1662" s="475"/>
      <c r="N1662" s="475"/>
      <c r="O1662" s="475">
        <f>Criteria!F174</f>
        <v>0</v>
      </c>
      <c r="P1662" s="545"/>
      <c r="R1662" s="490" t="str">
        <f t="shared" si="74"/>
        <v>DELETE</v>
      </c>
    </row>
    <row r="1663" spans="2:18" ht="36" customHeight="1" x14ac:dyDescent="0.5">
      <c r="B1663" s="501"/>
      <c r="C1663" s="631">
        <f>Criteria!C175</f>
        <v>0</v>
      </c>
      <c r="D1663" s="648"/>
      <c r="E1663" s="631"/>
      <c r="F1663" s="631"/>
      <c r="G1663" s="631"/>
      <c r="H1663" s="631"/>
      <c r="I1663" s="631"/>
      <c r="J1663" s="631"/>
      <c r="M1663" s="475"/>
      <c r="N1663" s="475"/>
      <c r="O1663" s="475">
        <f>Criteria!F175</f>
        <v>0</v>
      </c>
      <c r="P1663" s="545"/>
      <c r="R1663" s="490" t="str">
        <f t="shared" si="74"/>
        <v>DELETE</v>
      </c>
    </row>
    <row r="1664" spans="2:18" ht="36" customHeight="1" x14ac:dyDescent="0.5">
      <c r="B1664" s="501"/>
      <c r="C1664" s="631">
        <f>Criteria!C176</f>
        <v>0</v>
      </c>
      <c r="D1664" s="648"/>
      <c r="E1664" s="631"/>
      <c r="F1664" s="631"/>
      <c r="G1664" s="631"/>
      <c r="H1664" s="631"/>
      <c r="I1664" s="631"/>
      <c r="J1664" s="631"/>
      <c r="M1664" s="475"/>
      <c r="N1664" s="475"/>
      <c r="O1664" s="475">
        <f>Criteria!F176</f>
        <v>0</v>
      </c>
      <c r="P1664" s="545"/>
      <c r="R1664" s="490" t="str">
        <f t="shared" si="74"/>
        <v>DELETE</v>
      </c>
    </row>
    <row r="1665" spans="2:21" ht="36" customHeight="1" x14ac:dyDescent="0.5">
      <c r="B1665" s="501"/>
      <c r="C1665" s="631">
        <f>Criteria!C177</f>
        <v>0</v>
      </c>
      <c r="D1665" s="648"/>
      <c r="E1665" s="631"/>
      <c r="F1665" s="631"/>
      <c r="G1665" s="631"/>
      <c r="H1665" s="631"/>
      <c r="I1665" s="631"/>
      <c r="J1665" s="631"/>
      <c r="M1665" s="475"/>
      <c r="N1665" s="475"/>
      <c r="O1665" s="475">
        <f>Criteria!F177</f>
        <v>0</v>
      </c>
      <c r="P1665" s="545"/>
      <c r="R1665" s="490" t="str">
        <f t="shared" si="74"/>
        <v>DELETE</v>
      </c>
    </row>
    <row r="1666" spans="2:21" ht="9" customHeight="1" x14ac:dyDescent="0.5">
      <c r="B1666" s="501"/>
      <c r="C1666" s="630"/>
      <c r="D1666" s="631"/>
      <c r="E1666" s="631"/>
      <c r="F1666" s="631"/>
      <c r="G1666" s="631"/>
      <c r="H1666" s="631"/>
      <c r="I1666" s="631"/>
      <c r="J1666" s="631"/>
      <c r="M1666" s="475"/>
      <c r="N1666" s="475"/>
      <c r="O1666" s="461"/>
      <c r="P1666" s="545"/>
      <c r="R1666" s="490" t="str">
        <f>R$1668</f>
        <v>DELETE</v>
      </c>
    </row>
    <row r="1667" spans="2:21" ht="9" customHeight="1" x14ac:dyDescent="0.5">
      <c r="B1667" s="501"/>
      <c r="C1667" s="630"/>
      <c r="D1667" s="631"/>
      <c r="E1667" s="631"/>
      <c r="F1667" s="631"/>
      <c r="G1667" s="631"/>
      <c r="H1667" s="631"/>
      <c r="I1667" s="631"/>
      <c r="J1667" s="631"/>
      <c r="M1667" s="475"/>
      <c r="N1667" s="475"/>
      <c r="O1667" s="475"/>
      <c r="P1667" s="545"/>
      <c r="R1667" s="490" t="str">
        <f>R$1668</f>
        <v>DELETE</v>
      </c>
    </row>
    <row r="1668" spans="2:21" ht="36.75" customHeight="1" x14ac:dyDescent="0.5">
      <c r="B1668" s="501"/>
      <c r="C1668" s="630"/>
      <c r="D1668" s="631"/>
      <c r="E1668" s="631"/>
      <c r="F1668" s="631"/>
      <c r="G1668" s="631"/>
      <c r="H1668" s="631"/>
      <c r="I1668" s="631"/>
      <c r="J1668" s="631"/>
      <c r="M1668" s="475"/>
      <c r="N1668" s="475"/>
      <c r="O1668" s="475">
        <f>SUM(O1628:O1666)</f>
        <v>0</v>
      </c>
      <c r="P1668" s="545"/>
      <c r="R1668" s="490" t="str">
        <f t="shared" ref="R1668" si="75">IF(O1668=0,"DELETE"," ")</f>
        <v>DELETE</v>
      </c>
      <c r="U1668" s="491" t="b">
        <f>O1668=O1606</f>
        <v>1</v>
      </c>
    </row>
    <row r="1669" spans="2:21" ht="9" customHeight="1" thickBot="1" x14ac:dyDescent="0.55000000000000004">
      <c r="B1669" s="501"/>
      <c r="C1669" s="630"/>
      <c r="D1669" s="631"/>
      <c r="E1669" s="631"/>
      <c r="F1669" s="631"/>
      <c r="G1669" s="631"/>
      <c r="H1669" s="631"/>
      <c r="I1669" s="631"/>
      <c r="J1669" s="631"/>
      <c r="M1669" s="475"/>
      <c r="N1669" s="475"/>
      <c r="O1669" s="462"/>
      <c r="P1669" s="545"/>
      <c r="R1669" s="490" t="str">
        <f t="shared" ref="R1669:R1673" si="76">R$1668</f>
        <v>DELETE</v>
      </c>
    </row>
    <row r="1670" spans="2:21" ht="9" customHeight="1" thickTop="1" x14ac:dyDescent="0.5">
      <c r="B1670" s="501"/>
      <c r="C1670" s="630"/>
      <c r="D1670" s="631"/>
      <c r="E1670" s="631"/>
      <c r="F1670" s="631"/>
      <c r="G1670" s="631"/>
      <c r="H1670" s="631"/>
      <c r="I1670" s="631"/>
      <c r="J1670" s="631"/>
      <c r="M1670" s="475"/>
      <c r="N1670" s="475"/>
      <c r="O1670" s="475"/>
      <c r="P1670" s="545"/>
      <c r="R1670" s="490" t="str">
        <f t="shared" si="76"/>
        <v>DELETE</v>
      </c>
    </row>
    <row r="1671" spans="2:21" ht="36" customHeight="1" x14ac:dyDescent="0.5">
      <c r="B1671" s="501"/>
      <c r="C1671" s="630"/>
      <c r="D1671" s="631"/>
      <c r="E1671" s="631"/>
      <c r="F1671" s="631"/>
      <c r="G1671" s="631"/>
      <c r="H1671" s="631"/>
      <c r="I1671" s="631"/>
      <c r="J1671" s="631"/>
      <c r="M1671" s="475"/>
      <c r="N1671" s="475"/>
      <c r="O1671" s="475"/>
      <c r="P1671" s="545"/>
      <c r="R1671" s="490" t="str">
        <f t="shared" si="76"/>
        <v>DELETE</v>
      </c>
    </row>
    <row r="1672" spans="2:21" ht="36" customHeight="1" x14ac:dyDescent="0.5">
      <c r="B1672" s="501"/>
      <c r="C1672" s="630"/>
      <c r="D1672" s="631"/>
      <c r="E1672" s="631"/>
      <c r="F1672" s="631"/>
      <c r="G1672" s="631"/>
      <c r="H1672" s="631"/>
      <c r="I1672" s="631"/>
      <c r="J1672" s="631"/>
      <c r="M1672" s="475"/>
      <c r="N1672" s="475"/>
      <c r="O1672" s="475"/>
      <c r="P1672" s="545"/>
      <c r="R1672" s="490" t="str">
        <f t="shared" si="76"/>
        <v>DELETE</v>
      </c>
    </row>
    <row r="1673" spans="2:21" ht="36" customHeight="1" x14ac:dyDescent="0.5">
      <c r="B1673" s="501"/>
      <c r="C1673" s="630"/>
      <c r="D1673" s="631"/>
      <c r="E1673" s="631"/>
      <c r="F1673" s="631"/>
      <c r="G1673" s="631"/>
      <c r="H1673" s="631"/>
      <c r="I1673" s="631"/>
      <c r="J1673" s="631"/>
      <c r="M1673" s="458"/>
      <c r="N1673" s="458"/>
      <c r="O1673" s="458"/>
      <c r="R1673" s="490" t="str">
        <f t="shared" si="76"/>
        <v>DELETE</v>
      </c>
    </row>
    <row r="1674" spans="2:21" ht="36" customHeight="1" x14ac:dyDescent="0.5">
      <c r="C1674" s="631"/>
      <c r="D1674" s="630"/>
      <c r="E1674" s="631"/>
      <c r="F1674" s="631"/>
      <c r="G1674" s="631"/>
      <c r="H1674" s="631"/>
      <c r="I1674" s="631"/>
      <c r="J1674" s="631"/>
      <c r="M1674" s="540"/>
      <c r="O1674" s="454" t="s">
        <v>112</v>
      </c>
      <c r="Q1674" s="450">
        <f>MAX($Q$103:Q1673)+1</f>
        <v>43</v>
      </c>
      <c r="R1674" s="490" t="str">
        <f t="shared" ref="R1674:R1681" si="77">R$1682</f>
        <v>DELETE</v>
      </c>
    </row>
    <row r="1675" spans="2:21" ht="36" customHeight="1" x14ac:dyDescent="0.5">
      <c r="C1675" s="631"/>
      <c r="D1675" s="630" t="str">
        <f>Criteria!E9</f>
        <v>ABC COMPANY (PROPRIETARY) LIMITED</v>
      </c>
      <c r="E1675" s="631"/>
      <c r="F1675" s="631"/>
      <c r="G1675" s="631"/>
      <c r="H1675" s="631"/>
      <c r="I1675" s="631"/>
      <c r="J1675" s="631"/>
      <c r="R1675" s="490" t="str">
        <f t="shared" si="77"/>
        <v>DELETE</v>
      </c>
    </row>
    <row r="1676" spans="2:21" ht="36" customHeight="1" x14ac:dyDescent="0.5">
      <c r="C1676" s="631"/>
      <c r="D1676" s="630" t="str">
        <f>Criteria!E10</f>
        <v>T/A SEAFRONT HOTEL, ABC RESTAURANT AND RENTAL PROPERTIES</v>
      </c>
      <c r="E1676" s="631"/>
      <c r="F1676" s="631"/>
      <c r="G1676" s="631"/>
      <c r="H1676" s="631"/>
      <c r="I1676" s="631"/>
      <c r="J1676" s="631"/>
      <c r="R1676" s="490" t="str">
        <f>IF(R$1682="DELETE","DELETE",IF(D1676=0,"DELETE"," "))</f>
        <v>DELETE</v>
      </c>
    </row>
    <row r="1677" spans="2:21" ht="36" customHeight="1" x14ac:dyDescent="0.5">
      <c r="C1677" s="631"/>
      <c r="D1677" s="631"/>
      <c r="E1677" s="631"/>
      <c r="F1677" s="631"/>
      <c r="G1677" s="631"/>
      <c r="H1677" s="631"/>
      <c r="I1677" s="631"/>
      <c r="J1677" s="631"/>
      <c r="R1677" s="490" t="str">
        <f t="shared" si="77"/>
        <v>DELETE</v>
      </c>
    </row>
    <row r="1678" spans="2:21" ht="36" customHeight="1" x14ac:dyDescent="0.5">
      <c r="C1678" s="631"/>
      <c r="D1678" s="630" t="s">
        <v>415</v>
      </c>
      <c r="E1678" s="631"/>
      <c r="F1678" s="631"/>
      <c r="G1678" s="631"/>
      <c r="H1678" s="631"/>
      <c r="I1678" s="631"/>
      <c r="J1678" s="631"/>
      <c r="R1678" s="490" t="str">
        <f t="shared" si="77"/>
        <v>DELETE</v>
      </c>
    </row>
    <row r="1679" spans="2:21" ht="36" customHeight="1" x14ac:dyDescent="0.5">
      <c r="C1679" s="631"/>
      <c r="D1679" s="630" t="str">
        <f>Criteria!E20</f>
        <v>28 FEBRUARY 2026</v>
      </c>
      <c r="E1679" s="631"/>
      <c r="F1679" s="631"/>
      <c r="G1679" s="631"/>
      <c r="H1679" s="631"/>
      <c r="I1679" s="631"/>
      <c r="J1679" s="631" t="s">
        <v>282</v>
      </c>
      <c r="R1679" s="490" t="str">
        <f t="shared" si="77"/>
        <v>DELETE</v>
      </c>
    </row>
    <row r="1680" spans="2:21" ht="36" customHeight="1" x14ac:dyDescent="0.5">
      <c r="C1680" s="631"/>
      <c r="D1680" s="631"/>
      <c r="E1680" s="631"/>
      <c r="F1680" s="631"/>
      <c r="G1680" s="631"/>
      <c r="H1680" s="631"/>
      <c r="I1680" s="631"/>
      <c r="J1680" s="631"/>
      <c r="R1680" s="490" t="str">
        <f t="shared" si="77"/>
        <v>DELETE</v>
      </c>
    </row>
    <row r="1681" spans="2:21" ht="36" customHeight="1" x14ac:dyDescent="0.5">
      <c r="B1681" s="457"/>
      <c r="C1681" s="649"/>
      <c r="D1681" s="649"/>
      <c r="E1681" s="649"/>
      <c r="F1681" s="649"/>
      <c r="G1681" s="649"/>
      <c r="H1681" s="649"/>
      <c r="I1681" s="649"/>
      <c r="J1681" s="649"/>
      <c r="K1681" s="457"/>
      <c r="L1681" s="457"/>
      <c r="M1681" s="550"/>
      <c r="N1681" s="551"/>
      <c r="O1681" s="550"/>
      <c r="P1681" s="551"/>
      <c r="Q1681" s="457"/>
      <c r="R1681" s="490" t="str">
        <f t="shared" si="77"/>
        <v>DELETE</v>
      </c>
    </row>
    <row r="1682" spans="2:21" ht="31.5" customHeight="1" x14ac:dyDescent="0.5">
      <c r="B1682" s="501">
        <f>MAX($B$873:B1681)+1</f>
        <v>10</v>
      </c>
      <c r="C1682" s="575" t="s">
        <v>877</v>
      </c>
      <c r="D1682" s="520"/>
      <c r="E1682" s="520"/>
      <c r="F1682" s="520"/>
      <c r="G1682" s="520"/>
      <c r="H1682" s="520"/>
      <c r="I1682" s="520"/>
      <c r="J1682" s="520"/>
      <c r="M1682" s="544"/>
      <c r="N1682" s="545"/>
      <c r="O1682" s="544"/>
      <c r="P1682" s="545"/>
      <c r="R1682" s="490" t="str">
        <f>IF(O1691+O1695+O1713=0,"DELETE"," ")</f>
        <v>DELETE</v>
      </c>
    </row>
    <row r="1683" spans="2:21" ht="31.5" customHeight="1" x14ac:dyDescent="0.5">
      <c r="B1683" s="501"/>
      <c r="C1683" s="575"/>
      <c r="D1683" s="520"/>
      <c r="E1683" s="520"/>
      <c r="F1683" s="520"/>
      <c r="G1683" s="520"/>
      <c r="H1683" s="520"/>
      <c r="I1683" s="520"/>
      <c r="J1683" s="520"/>
      <c r="M1683" s="544"/>
      <c r="N1683" s="545"/>
      <c r="O1683" s="544"/>
      <c r="P1683" s="545"/>
      <c r="R1683" s="490" t="str">
        <f>R$1682</f>
        <v>DELETE</v>
      </c>
    </row>
    <row r="1684" spans="2:21" ht="31.5" customHeight="1" x14ac:dyDescent="0.45">
      <c r="B1684" s="501"/>
      <c r="C1684" s="515">
        <f>B1682+0.1</f>
        <v>10.1</v>
      </c>
      <c r="D1684" s="575" t="s">
        <v>219</v>
      </c>
      <c r="M1684" s="544"/>
      <c r="N1684" s="545"/>
      <c r="O1684" s="544"/>
      <c r="P1684" s="545"/>
      <c r="R1684" s="490" t="str">
        <f t="shared" ref="R1684:R1717" si="78">R$1682</f>
        <v>DELETE</v>
      </c>
    </row>
    <row r="1685" spans="2:21" ht="31.5" customHeight="1" x14ac:dyDescent="0.5">
      <c r="B1685" s="501"/>
      <c r="C1685" s="451"/>
      <c r="D1685" s="451"/>
      <c r="G1685" s="545"/>
      <c r="H1685" s="612" t="str">
        <f>Criteria!G222</f>
        <v>Plant and</v>
      </c>
      <c r="I1685" s="612"/>
      <c r="J1685" s="612" t="str">
        <f>Criteria!H222</f>
        <v>Motor</v>
      </c>
      <c r="K1685" s="612" t="str">
        <f>Criteria!I222</f>
        <v>Electronic</v>
      </c>
      <c r="L1685" s="612"/>
      <c r="M1685" s="612" t="str">
        <f>Criteria!J222</f>
        <v>Furniture and</v>
      </c>
      <c r="N1685" s="612"/>
      <c r="O1685" s="612" t="s">
        <v>420</v>
      </c>
      <c r="P1685" s="521"/>
      <c r="R1685" s="490" t="str">
        <f t="shared" si="78"/>
        <v>DELETE</v>
      </c>
    </row>
    <row r="1686" spans="2:21" ht="33" customHeight="1" x14ac:dyDescent="0.5">
      <c r="B1686" s="501"/>
      <c r="G1686" s="545"/>
      <c r="H1686" s="612" t="str">
        <f>Criteria!G223</f>
        <v>equipment</v>
      </c>
      <c r="I1686" s="612"/>
      <c r="J1686" s="612" t="str">
        <f>Criteria!H223</f>
        <v>vehicles</v>
      </c>
      <c r="K1686" s="612" t="str">
        <f>Criteria!I223</f>
        <v>equipment</v>
      </c>
      <c r="L1686" s="612"/>
      <c r="M1686" s="612" t="str">
        <f>Criteria!J223</f>
        <v>fittings</v>
      </c>
      <c r="N1686" s="612"/>
      <c r="O1686" s="612"/>
      <c r="P1686" s="521"/>
      <c r="R1686" s="490" t="str">
        <f t="shared" si="78"/>
        <v>DELETE</v>
      </c>
    </row>
    <row r="1687" spans="2:21" ht="31.5" customHeight="1" x14ac:dyDescent="0.5">
      <c r="B1687" s="501"/>
      <c r="D1687" s="520" t="s">
        <v>1581</v>
      </c>
      <c r="E1687" s="520"/>
      <c r="F1687" s="674">
        <f>Criteria!G21</f>
        <v>45716</v>
      </c>
      <c r="G1687" s="674"/>
      <c r="H1687" s="510">
        <f>H1691-H1692</f>
        <v>0</v>
      </c>
      <c r="I1687" s="510"/>
      <c r="J1687" s="510">
        <f>J1691-J1692</f>
        <v>0</v>
      </c>
      <c r="K1687" s="510">
        <f>K1691-K1692</f>
        <v>0</v>
      </c>
      <c r="L1687" s="510"/>
      <c r="M1687" s="510">
        <f>M1691-M1692</f>
        <v>0</v>
      </c>
      <c r="N1687" s="510"/>
      <c r="O1687" s="510">
        <f>O1691-O1692</f>
        <v>0</v>
      </c>
      <c r="P1687" s="521"/>
      <c r="R1687" s="490" t="str">
        <f t="shared" si="78"/>
        <v>DELETE</v>
      </c>
      <c r="U1687" s="491" t="b">
        <f>O1687=SUM(H1687:N1687)</f>
        <v>1</v>
      </c>
    </row>
    <row r="1688" spans="2:21" ht="9" customHeight="1" thickBot="1" x14ac:dyDescent="0.55000000000000004">
      <c r="B1688" s="501"/>
      <c r="D1688" s="520"/>
      <c r="E1688" s="520"/>
      <c r="F1688" s="520"/>
      <c r="G1688" s="567"/>
      <c r="H1688" s="508"/>
      <c r="I1688" s="508"/>
      <c r="J1688" s="508"/>
      <c r="K1688" s="508"/>
      <c r="L1688" s="508"/>
      <c r="M1688" s="508"/>
      <c r="N1688" s="508"/>
      <c r="O1688" s="508"/>
      <c r="P1688" s="521"/>
      <c r="R1688" s="490" t="str">
        <f t="shared" si="78"/>
        <v>DELETE</v>
      </c>
    </row>
    <row r="1689" spans="2:21" ht="9" customHeight="1" thickTop="1" x14ac:dyDescent="0.5">
      <c r="B1689" s="501"/>
      <c r="D1689" s="520"/>
      <c r="E1689" s="520"/>
      <c r="F1689" s="520"/>
      <c r="G1689" s="567"/>
      <c r="H1689" s="510"/>
      <c r="I1689" s="510"/>
      <c r="J1689" s="510"/>
      <c r="K1689" s="510"/>
      <c r="L1689" s="510"/>
      <c r="M1689" s="510"/>
      <c r="N1689" s="510"/>
      <c r="O1689" s="510"/>
      <c r="P1689" s="521"/>
      <c r="R1689" s="490" t="str">
        <f t="shared" si="78"/>
        <v>DELETE</v>
      </c>
    </row>
    <row r="1690" spans="2:21" ht="9" customHeight="1" x14ac:dyDescent="0.5">
      <c r="B1690" s="501"/>
      <c r="D1690" s="520"/>
      <c r="E1690" s="520"/>
      <c r="F1690" s="520"/>
      <c r="G1690" s="567"/>
      <c r="H1690" s="504"/>
      <c r="I1690" s="509"/>
      <c r="J1690" s="509"/>
      <c r="K1690" s="509"/>
      <c r="L1690" s="509"/>
      <c r="M1690" s="509"/>
      <c r="N1690" s="509"/>
      <c r="O1690" s="512"/>
      <c r="P1690" s="521"/>
      <c r="R1690" s="490" t="str">
        <f t="shared" si="78"/>
        <v>DELETE</v>
      </c>
    </row>
    <row r="1691" spans="2:21" ht="31.5" customHeight="1" x14ac:dyDescent="0.5">
      <c r="B1691" s="501"/>
      <c r="D1691" s="520" t="s">
        <v>416</v>
      </c>
      <c r="E1691" s="520"/>
      <c r="F1691" s="520"/>
      <c r="G1691" s="545"/>
      <c r="H1691" s="505">
        <f>TrialBalance!L252</f>
        <v>0</v>
      </c>
      <c r="I1691" s="510"/>
      <c r="J1691" s="510">
        <f>TrialBalance!L260</f>
        <v>0</v>
      </c>
      <c r="K1691" s="510">
        <f>TrialBalance!L268</f>
        <v>0</v>
      </c>
      <c r="L1691" s="510"/>
      <c r="M1691" s="510">
        <f>TrialBalance!L276</f>
        <v>0</v>
      </c>
      <c r="N1691" s="510"/>
      <c r="O1691" s="513">
        <f>SUM(H1691:M1691)</f>
        <v>0</v>
      </c>
      <c r="P1691" s="521"/>
      <c r="R1691" s="490" t="str">
        <f t="shared" si="78"/>
        <v>DELETE</v>
      </c>
    </row>
    <row r="1692" spans="2:21" ht="31.5" customHeight="1" x14ac:dyDescent="0.5">
      <c r="B1692" s="501"/>
      <c r="D1692" s="520" t="s">
        <v>1594</v>
      </c>
      <c r="E1692" s="520"/>
      <c r="F1692" s="520"/>
      <c r="G1692" s="545"/>
      <c r="H1692" s="505">
        <f>-TrialBalance!L256</f>
        <v>0</v>
      </c>
      <c r="I1692" s="510"/>
      <c r="J1692" s="510">
        <f>-TrialBalance!L264</f>
        <v>0</v>
      </c>
      <c r="K1692" s="510">
        <f>-TrialBalance!L272</f>
        <v>0</v>
      </c>
      <c r="L1692" s="510"/>
      <c r="M1692" s="510">
        <f>-TrialBalance!L280</f>
        <v>0</v>
      </c>
      <c r="N1692" s="510"/>
      <c r="O1692" s="513">
        <f>SUM(H1692:M1692)</f>
        <v>0</v>
      </c>
      <c r="P1692" s="521"/>
      <c r="R1692" s="490" t="str">
        <f t="shared" si="78"/>
        <v>DELETE</v>
      </c>
    </row>
    <row r="1693" spans="2:21" ht="9" customHeight="1" x14ac:dyDescent="0.5">
      <c r="B1693" s="501"/>
      <c r="D1693" s="520"/>
      <c r="E1693" s="520"/>
      <c r="F1693" s="520"/>
      <c r="G1693" s="545"/>
      <c r="H1693" s="506"/>
      <c r="I1693" s="507"/>
      <c r="J1693" s="507"/>
      <c r="K1693" s="507"/>
      <c r="L1693" s="507"/>
      <c r="M1693" s="507"/>
      <c r="N1693" s="507"/>
      <c r="O1693" s="514"/>
      <c r="P1693" s="521"/>
      <c r="R1693" s="490" t="str">
        <f t="shared" si="78"/>
        <v>DELETE</v>
      </c>
    </row>
    <row r="1694" spans="2:21" ht="9" customHeight="1" x14ac:dyDescent="0.5">
      <c r="B1694" s="501"/>
      <c r="D1694" s="520"/>
      <c r="E1694" s="520"/>
      <c r="F1694" s="520"/>
      <c r="G1694" s="545"/>
      <c r="H1694" s="510"/>
      <c r="I1694" s="510"/>
      <c r="J1694" s="510"/>
      <c r="K1694" s="510"/>
      <c r="L1694" s="510"/>
      <c r="M1694" s="510"/>
      <c r="N1694" s="510"/>
      <c r="O1694" s="510"/>
      <c r="P1694" s="521"/>
      <c r="R1694" s="490" t="str">
        <f t="shared" si="78"/>
        <v>DELETE</v>
      </c>
    </row>
    <row r="1695" spans="2:21" ht="31.5" customHeight="1" x14ac:dyDescent="0.5">
      <c r="B1695" s="501"/>
      <c r="D1695" s="520" t="s">
        <v>422</v>
      </c>
      <c r="E1695" s="520"/>
      <c r="F1695" s="520"/>
      <c r="G1695" s="545"/>
      <c r="H1695" s="510">
        <f>TrialBalance!L253</f>
        <v>0</v>
      </c>
      <c r="I1695" s="510"/>
      <c r="J1695" s="510">
        <f>TrialBalance!L261</f>
        <v>0</v>
      </c>
      <c r="K1695" s="510">
        <f>TrialBalance!L269</f>
        <v>0</v>
      </c>
      <c r="L1695" s="510"/>
      <c r="M1695" s="510">
        <f>+TrialBalance!L277</f>
        <v>0</v>
      </c>
      <c r="N1695" s="510"/>
      <c r="O1695" s="510">
        <f>SUM(H1695:M1695)</f>
        <v>0</v>
      </c>
      <c r="P1695" s="521"/>
      <c r="R1695" s="490" t="str">
        <f t="shared" si="78"/>
        <v>DELETE</v>
      </c>
    </row>
    <row r="1696" spans="2:21" ht="9" customHeight="1" x14ac:dyDescent="0.5">
      <c r="B1696" s="501"/>
      <c r="D1696" s="520"/>
      <c r="E1696" s="520"/>
      <c r="F1696" s="520"/>
      <c r="G1696" s="545"/>
      <c r="H1696" s="507"/>
      <c r="I1696" s="507"/>
      <c r="J1696" s="507"/>
      <c r="K1696" s="507"/>
      <c r="L1696" s="507"/>
      <c r="M1696" s="507"/>
      <c r="N1696" s="507"/>
      <c r="O1696" s="507"/>
      <c r="P1696" s="521"/>
      <c r="R1696" s="490" t="str">
        <f t="shared" si="78"/>
        <v>DELETE</v>
      </c>
    </row>
    <row r="1697" spans="2:21" ht="9" customHeight="1" x14ac:dyDescent="0.5">
      <c r="B1697" s="501"/>
      <c r="D1697" s="520"/>
      <c r="E1697" s="520"/>
      <c r="F1697" s="520"/>
      <c r="G1697" s="545"/>
      <c r="H1697" s="510"/>
      <c r="I1697" s="510"/>
      <c r="J1697" s="510"/>
      <c r="K1697" s="510"/>
      <c r="L1697" s="510"/>
      <c r="M1697" s="510"/>
      <c r="N1697" s="510"/>
      <c r="O1697" s="510"/>
      <c r="P1697" s="521"/>
      <c r="R1697" s="490" t="str">
        <f t="shared" si="78"/>
        <v>DELETE</v>
      </c>
    </row>
    <row r="1698" spans="2:21" ht="31.5" customHeight="1" x14ac:dyDescent="0.5">
      <c r="B1698" s="501"/>
      <c r="D1698" s="520"/>
      <c r="E1698" s="520"/>
      <c r="F1698" s="520"/>
      <c r="G1698" s="545"/>
      <c r="H1698" s="510">
        <f>+H1687+H1695</f>
        <v>0</v>
      </c>
      <c r="I1698" s="510"/>
      <c r="J1698" s="510">
        <f>+J1687+J1695</f>
        <v>0</v>
      </c>
      <c r="K1698" s="510">
        <f>+K1687+K1695</f>
        <v>0</v>
      </c>
      <c r="L1698" s="510"/>
      <c r="M1698" s="510">
        <f>+M1687+M1695</f>
        <v>0</v>
      </c>
      <c r="N1698" s="510"/>
      <c r="O1698" s="510">
        <f>+O1687+O1695</f>
        <v>0</v>
      </c>
      <c r="P1698" s="521"/>
      <c r="R1698" s="490" t="str">
        <f t="shared" si="78"/>
        <v>DELETE</v>
      </c>
    </row>
    <row r="1699" spans="2:21" ht="31.5" customHeight="1" x14ac:dyDescent="0.5">
      <c r="B1699" s="501"/>
      <c r="D1699" s="520" t="s">
        <v>179</v>
      </c>
      <c r="E1699" s="520"/>
      <c r="F1699" s="520"/>
      <c r="G1699" s="545"/>
      <c r="H1699" s="510">
        <f>H1702-H1703</f>
        <v>0</v>
      </c>
      <c r="I1699" s="510"/>
      <c r="J1699" s="510">
        <f>J1702-J1703</f>
        <v>0</v>
      </c>
      <c r="K1699" s="510">
        <f>K1702-K1703</f>
        <v>0</v>
      </c>
      <c r="L1699" s="510"/>
      <c r="M1699" s="510">
        <f>M1702-M1703</f>
        <v>0</v>
      </c>
      <c r="N1699" s="510"/>
      <c r="O1699" s="510">
        <f>O1702-O1703</f>
        <v>0</v>
      </c>
      <c r="P1699" s="521"/>
      <c r="R1699" s="490" t="str">
        <f t="shared" si="78"/>
        <v>DELETE</v>
      </c>
    </row>
    <row r="1700" spans="2:21" ht="9" customHeight="1" x14ac:dyDescent="0.5">
      <c r="B1700" s="501"/>
      <c r="D1700" s="520"/>
      <c r="E1700" s="520"/>
      <c r="F1700" s="520"/>
      <c r="G1700" s="545"/>
      <c r="H1700" s="510"/>
      <c r="I1700" s="510"/>
      <c r="J1700" s="510"/>
      <c r="K1700" s="510"/>
      <c r="L1700" s="510"/>
      <c r="M1700" s="510"/>
      <c r="N1700" s="510"/>
      <c r="O1700" s="510"/>
      <c r="P1700" s="521"/>
      <c r="R1700" s="490" t="str">
        <f t="shared" si="78"/>
        <v>DELETE</v>
      </c>
    </row>
    <row r="1701" spans="2:21" ht="9" customHeight="1" x14ac:dyDescent="0.5">
      <c r="B1701" s="501"/>
      <c r="D1701" s="520"/>
      <c r="E1701" s="520"/>
      <c r="F1701" s="520"/>
      <c r="G1701" s="545"/>
      <c r="H1701" s="504"/>
      <c r="I1701" s="509"/>
      <c r="J1701" s="509"/>
      <c r="K1701" s="509"/>
      <c r="L1701" s="509"/>
      <c r="M1701" s="509"/>
      <c r="N1701" s="509"/>
      <c r="O1701" s="512"/>
      <c r="P1701" s="521"/>
      <c r="R1701" s="490" t="str">
        <f t="shared" si="78"/>
        <v>DELETE</v>
      </c>
    </row>
    <row r="1702" spans="2:21" ht="31.5" customHeight="1" x14ac:dyDescent="0.5">
      <c r="B1702" s="501"/>
      <c r="D1702" s="520" t="s">
        <v>416</v>
      </c>
      <c r="E1702" s="520"/>
      <c r="F1702" s="520"/>
      <c r="G1702" s="545"/>
      <c r="H1702" s="505">
        <f>-TrialBalance!L254</f>
        <v>0</v>
      </c>
      <c r="I1702" s="510"/>
      <c r="J1702" s="510">
        <f>-TrialBalance!L262</f>
        <v>0</v>
      </c>
      <c r="K1702" s="510">
        <f>-TrialBalance!L270</f>
        <v>0</v>
      </c>
      <c r="L1702" s="510"/>
      <c r="M1702" s="510">
        <f>-TrialBalance!L278</f>
        <v>0</v>
      </c>
      <c r="N1702" s="510"/>
      <c r="O1702" s="513">
        <f>SUM(H1702:M1702)</f>
        <v>0</v>
      </c>
      <c r="P1702" s="521"/>
      <c r="R1702" s="490" t="str">
        <f t="shared" si="78"/>
        <v>DELETE</v>
      </c>
    </row>
    <row r="1703" spans="2:21" ht="31.5" customHeight="1" x14ac:dyDescent="0.5">
      <c r="B1703" s="501"/>
      <c r="D1703" s="520" t="s">
        <v>1594</v>
      </c>
      <c r="E1703" s="520"/>
      <c r="F1703" s="520"/>
      <c r="G1703" s="545"/>
      <c r="H1703" s="505">
        <f>TrialBalance!L258</f>
        <v>0</v>
      </c>
      <c r="I1703" s="510"/>
      <c r="J1703" s="510">
        <f>TrialBalance!L266</f>
        <v>0</v>
      </c>
      <c r="K1703" s="510">
        <f>TrialBalance!L274</f>
        <v>0</v>
      </c>
      <c r="L1703" s="510"/>
      <c r="M1703" s="510">
        <f>+TrialBalance!L282</f>
        <v>0</v>
      </c>
      <c r="N1703" s="510"/>
      <c r="O1703" s="513">
        <f>SUM(H1703:M1703)</f>
        <v>0</v>
      </c>
      <c r="P1703" s="521"/>
      <c r="R1703" s="490" t="str">
        <f t="shared" si="78"/>
        <v>DELETE</v>
      </c>
    </row>
    <row r="1704" spans="2:21" ht="9" customHeight="1" x14ac:dyDescent="0.5">
      <c r="B1704" s="501"/>
      <c r="D1704" s="520"/>
      <c r="E1704" s="520"/>
      <c r="F1704" s="520"/>
      <c r="G1704" s="545"/>
      <c r="H1704" s="506"/>
      <c r="I1704" s="507"/>
      <c r="J1704" s="507"/>
      <c r="K1704" s="507"/>
      <c r="L1704" s="507"/>
      <c r="M1704" s="507"/>
      <c r="N1704" s="507"/>
      <c r="O1704" s="514"/>
      <c r="P1704" s="521"/>
      <c r="R1704" s="490" t="str">
        <f t="shared" si="78"/>
        <v>DELETE</v>
      </c>
    </row>
    <row r="1705" spans="2:21" ht="9" customHeight="1" x14ac:dyDescent="0.5">
      <c r="B1705" s="501"/>
      <c r="D1705" s="520"/>
      <c r="E1705" s="520"/>
      <c r="F1705" s="520"/>
      <c r="G1705" s="545"/>
      <c r="H1705" s="510"/>
      <c r="I1705" s="510"/>
      <c r="J1705" s="510"/>
      <c r="K1705" s="510"/>
      <c r="L1705" s="510"/>
      <c r="M1705" s="510"/>
      <c r="N1705" s="510"/>
      <c r="O1705" s="510"/>
      <c r="P1705" s="521"/>
      <c r="R1705" s="490" t="str">
        <f t="shared" si="78"/>
        <v>DELETE</v>
      </c>
    </row>
    <row r="1706" spans="2:21" ht="31.5" customHeight="1" x14ac:dyDescent="0.5">
      <c r="B1706" s="501"/>
      <c r="D1706" s="520" t="s">
        <v>304</v>
      </c>
      <c r="E1706" s="520"/>
      <c r="F1706" s="520"/>
      <c r="G1706" s="545"/>
      <c r="H1706" s="510">
        <f>TrialBalance!L257</f>
        <v>0</v>
      </c>
      <c r="I1706" s="510"/>
      <c r="J1706" s="510">
        <f>TrialBalance!L265</f>
        <v>0</v>
      </c>
      <c r="K1706" s="510">
        <f>TrialBalance!L273</f>
        <v>0</v>
      </c>
      <c r="L1706" s="510"/>
      <c r="M1706" s="510">
        <f>+TrialBalance!L281</f>
        <v>0</v>
      </c>
      <c r="N1706" s="510"/>
      <c r="O1706" s="510">
        <f>SUM(H1706:M1706)</f>
        <v>0</v>
      </c>
      <c r="P1706" s="521"/>
      <c r="R1706" s="490" t="str">
        <f t="shared" si="78"/>
        <v>DELETE</v>
      </c>
    </row>
    <row r="1707" spans="2:21" ht="9" customHeight="1" x14ac:dyDescent="0.5">
      <c r="B1707" s="501"/>
      <c r="D1707" s="520"/>
      <c r="E1707" s="520"/>
      <c r="F1707" s="520"/>
      <c r="G1707" s="545"/>
      <c r="H1707" s="507"/>
      <c r="I1707" s="507"/>
      <c r="J1707" s="507"/>
      <c r="K1707" s="507"/>
      <c r="L1707" s="507"/>
      <c r="M1707" s="507"/>
      <c r="N1707" s="507"/>
      <c r="O1707" s="507"/>
      <c r="P1707" s="521"/>
      <c r="R1707" s="490" t="str">
        <f t="shared" si="78"/>
        <v>DELETE</v>
      </c>
    </row>
    <row r="1708" spans="2:21" ht="9" customHeight="1" x14ac:dyDescent="0.5">
      <c r="B1708" s="501"/>
      <c r="D1708" s="520"/>
      <c r="E1708" s="520"/>
      <c r="F1708" s="520"/>
      <c r="G1708" s="545"/>
      <c r="H1708" s="510"/>
      <c r="I1708" s="510"/>
      <c r="J1708" s="510"/>
      <c r="K1708" s="510"/>
      <c r="L1708" s="510"/>
      <c r="M1708" s="510"/>
      <c r="N1708" s="510"/>
      <c r="O1708" s="510"/>
      <c r="P1708" s="521"/>
      <c r="R1708" s="490" t="str">
        <f t="shared" si="78"/>
        <v>DELETE</v>
      </c>
    </row>
    <row r="1709" spans="2:21" ht="31.5" customHeight="1" x14ac:dyDescent="0.5">
      <c r="B1709" s="501"/>
      <c r="D1709" s="520" t="s">
        <v>1581</v>
      </c>
      <c r="E1709" s="520"/>
      <c r="F1709" s="674">
        <f>Criteria!G20</f>
        <v>46081</v>
      </c>
      <c r="G1709" s="674"/>
      <c r="H1709" s="510">
        <f>+H1687+H1695-H1699+H1706</f>
        <v>0</v>
      </c>
      <c r="I1709" s="510"/>
      <c r="J1709" s="510">
        <f>+J1687+J1695-J1699+J1706</f>
        <v>0</v>
      </c>
      <c r="K1709" s="510">
        <f>+K1687+K1695-K1699+K1706</f>
        <v>0</v>
      </c>
      <c r="L1709" s="510"/>
      <c r="M1709" s="510">
        <f>+M1687+M1695-M1699+M1706</f>
        <v>0</v>
      </c>
      <c r="N1709" s="510"/>
      <c r="O1709" s="510">
        <f>+O1687+O1695-O1699+O1706</f>
        <v>0</v>
      </c>
      <c r="P1709" s="522"/>
      <c r="R1709" s="490" t="str">
        <f t="shared" si="78"/>
        <v>DELETE</v>
      </c>
      <c r="U1709" s="491" t="b">
        <f>O1709=SUM(H1709:N1709)</f>
        <v>1</v>
      </c>
    </row>
    <row r="1710" spans="2:21" ht="9" customHeight="1" thickBot="1" x14ac:dyDescent="0.55000000000000004">
      <c r="B1710" s="501"/>
      <c r="D1710" s="520"/>
      <c r="E1710" s="520"/>
      <c r="F1710" s="520"/>
      <c r="G1710" s="567"/>
      <c r="H1710" s="508"/>
      <c r="I1710" s="508"/>
      <c r="J1710" s="508"/>
      <c r="K1710" s="508"/>
      <c r="L1710" s="508"/>
      <c r="M1710" s="508"/>
      <c r="N1710" s="508"/>
      <c r="O1710" s="508"/>
      <c r="P1710" s="521"/>
      <c r="R1710" s="490" t="str">
        <f t="shared" si="78"/>
        <v>DELETE</v>
      </c>
    </row>
    <row r="1711" spans="2:21" ht="9" customHeight="1" thickTop="1" x14ac:dyDescent="0.5">
      <c r="B1711" s="501"/>
      <c r="D1711" s="520"/>
      <c r="E1711" s="520"/>
      <c r="F1711" s="520"/>
      <c r="G1711" s="567"/>
      <c r="H1711" s="510"/>
      <c r="I1711" s="510"/>
      <c r="J1711" s="510"/>
      <c r="K1711" s="510"/>
      <c r="L1711" s="510"/>
      <c r="M1711" s="510"/>
      <c r="N1711" s="510"/>
      <c r="O1711" s="510"/>
      <c r="P1711" s="521"/>
      <c r="R1711" s="490" t="str">
        <f t="shared" si="78"/>
        <v>DELETE</v>
      </c>
    </row>
    <row r="1712" spans="2:21" ht="9" customHeight="1" x14ac:dyDescent="0.5">
      <c r="B1712" s="501"/>
      <c r="D1712" s="520"/>
      <c r="E1712" s="520"/>
      <c r="F1712" s="520"/>
      <c r="G1712" s="567"/>
      <c r="H1712" s="504"/>
      <c r="I1712" s="509"/>
      <c r="J1712" s="509"/>
      <c r="K1712" s="509"/>
      <c r="L1712" s="509"/>
      <c r="M1712" s="509"/>
      <c r="N1712" s="509"/>
      <c r="O1712" s="512"/>
      <c r="P1712" s="521"/>
      <c r="R1712" s="490" t="str">
        <f t="shared" si="78"/>
        <v>DELETE</v>
      </c>
    </row>
    <row r="1713" spans="2:21" ht="31.5" customHeight="1" x14ac:dyDescent="0.5">
      <c r="B1713" s="501"/>
      <c r="D1713" s="520" t="s">
        <v>416</v>
      </c>
      <c r="E1713" s="520"/>
      <c r="F1713" s="520"/>
      <c r="G1713" s="545"/>
      <c r="H1713" s="505">
        <f>H1691+H1695-H1702</f>
        <v>0</v>
      </c>
      <c r="I1713" s="510"/>
      <c r="J1713" s="510">
        <f>J1691+J1695-J1702</f>
        <v>0</v>
      </c>
      <c r="K1713" s="510">
        <f>K1691+K1695-K1702</f>
        <v>0</v>
      </c>
      <c r="L1713" s="510"/>
      <c r="M1713" s="510">
        <f>M1691+M1695-M1702</f>
        <v>0</v>
      </c>
      <c r="N1713" s="510"/>
      <c r="O1713" s="513">
        <f>O1691+O1695-O1702</f>
        <v>0</v>
      </c>
      <c r="P1713" s="521"/>
      <c r="R1713" s="490" t="str">
        <f t="shared" si="78"/>
        <v>DELETE</v>
      </c>
      <c r="U1713" s="491" t="b">
        <f>O1713=SUM(H1713:N1713)</f>
        <v>1</v>
      </c>
    </row>
    <row r="1714" spans="2:21" ht="31.5" customHeight="1" x14ac:dyDescent="0.5">
      <c r="B1714" s="501"/>
      <c r="D1714" s="520" t="s">
        <v>1594</v>
      </c>
      <c r="E1714" s="520"/>
      <c r="F1714" s="520"/>
      <c r="G1714" s="545"/>
      <c r="H1714" s="505">
        <f>H1692-H1703-H1706</f>
        <v>0</v>
      </c>
      <c r="I1714" s="510"/>
      <c r="J1714" s="510">
        <f>J1692-J1703-J1706</f>
        <v>0</v>
      </c>
      <c r="K1714" s="510">
        <f>K1692-K1703-K1706</f>
        <v>0</v>
      </c>
      <c r="L1714" s="510"/>
      <c r="M1714" s="510">
        <f>M1692-M1703-M1706</f>
        <v>0</v>
      </c>
      <c r="N1714" s="510"/>
      <c r="O1714" s="513">
        <f>O1692-O1703-O1706</f>
        <v>0</v>
      </c>
      <c r="P1714" s="521"/>
      <c r="R1714" s="490" t="str">
        <f t="shared" si="78"/>
        <v>DELETE</v>
      </c>
      <c r="U1714" s="491" t="b">
        <f>O1714=SUM(H1714:N1714)</f>
        <v>1</v>
      </c>
    </row>
    <row r="1715" spans="2:21" ht="9" customHeight="1" x14ac:dyDescent="0.5">
      <c r="B1715" s="501"/>
      <c r="D1715" s="520"/>
      <c r="E1715" s="520"/>
      <c r="F1715" s="520"/>
      <c r="G1715" s="545"/>
      <c r="H1715" s="506"/>
      <c r="I1715" s="507"/>
      <c r="J1715" s="507"/>
      <c r="K1715" s="507"/>
      <c r="L1715" s="507"/>
      <c r="M1715" s="507"/>
      <c r="N1715" s="507"/>
      <c r="O1715" s="514"/>
      <c r="P1715" s="521"/>
      <c r="R1715" s="490" t="str">
        <f t="shared" si="78"/>
        <v>DELETE</v>
      </c>
    </row>
    <row r="1716" spans="2:21" ht="9" customHeight="1" x14ac:dyDescent="0.5">
      <c r="B1716" s="501"/>
      <c r="D1716" s="520"/>
      <c r="E1716" s="520"/>
      <c r="F1716" s="520"/>
      <c r="G1716" s="545"/>
      <c r="H1716" s="510"/>
      <c r="I1716" s="510"/>
      <c r="J1716" s="510"/>
      <c r="K1716" s="510"/>
      <c r="L1716" s="510"/>
      <c r="M1716" s="510"/>
      <c r="N1716" s="510"/>
      <c r="O1716" s="510"/>
      <c r="P1716" s="521"/>
      <c r="R1716" s="490" t="str">
        <f t="shared" si="78"/>
        <v>DELETE</v>
      </c>
    </row>
    <row r="1717" spans="2:21" ht="31.5" customHeight="1" x14ac:dyDescent="0.45">
      <c r="B1717" s="501"/>
      <c r="H1717" s="456"/>
      <c r="I1717" s="456"/>
      <c r="J1717" s="456"/>
      <c r="K1717" s="456"/>
      <c r="L1717" s="456"/>
      <c r="M1717" s="548"/>
      <c r="N1717" s="555"/>
      <c r="O1717" s="548"/>
      <c r="P1717" s="545"/>
      <c r="R1717" s="490" t="str">
        <f t="shared" si="78"/>
        <v>DELETE</v>
      </c>
      <c r="U1717" s="491" t="b">
        <f>O1709=O1713-O1714</f>
        <v>1</v>
      </c>
    </row>
    <row r="1718" spans="2:21" ht="31.5" customHeight="1" x14ac:dyDescent="0.45">
      <c r="B1718" s="501"/>
      <c r="H1718" s="456"/>
      <c r="I1718" s="456"/>
      <c r="J1718" s="456"/>
      <c r="K1718" s="456"/>
      <c r="L1718" s="456"/>
      <c r="M1718" s="548"/>
      <c r="N1718" s="555"/>
      <c r="O1718" s="548"/>
      <c r="P1718" s="545"/>
      <c r="R1718" s="490" t="str">
        <f t="shared" ref="R1718:R1720" si="79">R$1682</f>
        <v>DELETE</v>
      </c>
    </row>
    <row r="1719" spans="2:21" ht="31.5" customHeight="1" x14ac:dyDescent="0.45">
      <c r="B1719" s="501"/>
      <c r="H1719" s="456"/>
      <c r="I1719" s="456"/>
      <c r="J1719" s="456"/>
      <c r="K1719" s="456"/>
      <c r="L1719" s="456"/>
      <c r="M1719" s="548"/>
      <c r="N1719" s="555"/>
      <c r="O1719" s="548"/>
      <c r="P1719" s="545"/>
      <c r="R1719" s="490" t="str">
        <f t="shared" si="79"/>
        <v>DELETE</v>
      </c>
    </row>
    <row r="1720" spans="2:21" ht="31.5" customHeight="1" x14ac:dyDescent="0.45">
      <c r="B1720" s="501"/>
      <c r="H1720" s="456"/>
      <c r="I1720" s="456"/>
      <c r="J1720" s="456"/>
      <c r="K1720" s="456"/>
      <c r="L1720" s="456"/>
      <c r="M1720" s="546"/>
      <c r="N1720" s="541"/>
      <c r="O1720" s="546"/>
      <c r="R1720" s="490" t="str">
        <f t="shared" si="79"/>
        <v>DELETE</v>
      </c>
    </row>
    <row r="1721" spans="2:21" ht="36" customHeight="1" x14ac:dyDescent="0.5">
      <c r="B1721" s="501"/>
      <c r="D1721" s="631"/>
      <c r="E1721" s="631"/>
      <c r="F1721" s="631"/>
      <c r="G1721" s="631"/>
      <c r="H1721" s="658"/>
      <c r="I1721" s="658"/>
      <c r="J1721" s="658"/>
      <c r="K1721" s="456"/>
      <c r="L1721" s="456"/>
      <c r="M1721" s="546"/>
      <c r="N1721" s="541"/>
      <c r="O1721" s="454" t="s">
        <v>112</v>
      </c>
      <c r="Q1721" s="450">
        <f>MAX($Q$103:Q1720)+1</f>
        <v>44</v>
      </c>
      <c r="R1721" s="490" t="str">
        <f>R$1729</f>
        <v>DELETE</v>
      </c>
    </row>
    <row r="1722" spans="2:21" ht="36" customHeight="1" x14ac:dyDescent="0.5">
      <c r="B1722" s="502"/>
      <c r="D1722" s="630" t="str">
        <f>Criteria!E9</f>
        <v>ABC COMPANY (PROPRIETARY) LIMITED</v>
      </c>
      <c r="E1722" s="631"/>
      <c r="F1722" s="631"/>
      <c r="G1722" s="631"/>
      <c r="H1722" s="631"/>
      <c r="I1722" s="631"/>
      <c r="J1722" s="631"/>
      <c r="R1722" s="490" t="str">
        <f>R$1729</f>
        <v>DELETE</v>
      </c>
    </row>
    <row r="1723" spans="2:21" ht="36" customHeight="1" x14ac:dyDescent="0.5">
      <c r="B1723" s="502"/>
      <c r="D1723" s="630" t="str">
        <f>Criteria!E10</f>
        <v>T/A SEAFRONT HOTEL, ABC RESTAURANT AND RENTAL PROPERTIES</v>
      </c>
      <c r="E1723" s="631"/>
      <c r="F1723" s="631"/>
      <c r="G1723" s="631"/>
      <c r="H1723" s="631"/>
      <c r="I1723" s="631"/>
      <c r="J1723" s="631"/>
      <c r="R1723" s="490" t="str">
        <f>IF(R$1729="DELETE","DELETE",IF(D1723=0,"DELETE"," "))</f>
        <v>DELETE</v>
      </c>
    </row>
    <row r="1724" spans="2:21" ht="36" customHeight="1" x14ac:dyDescent="0.5">
      <c r="B1724" s="502"/>
      <c r="D1724" s="631"/>
      <c r="E1724" s="631"/>
      <c r="F1724" s="631"/>
      <c r="G1724" s="631"/>
      <c r="H1724" s="631"/>
      <c r="I1724" s="631"/>
      <c r="J1724" s="631"/>
      <c r="R1724" s="490" t="str">
        <f>R$1729</f>
        <v>DELETE</v>
      </c>
    </row>
    <row r="1725" spans="2:21" ht="36" customHeight="1" x14ac:dyDescent="0.5">
      <c r="B1725" s="502"/>
      <c r="D1725" s="630" t="s">
        <v>415</v>
      </c>
      <c r="E1725" s="631"/>
      <c r="F1725" s="631"/>
      <c r="G1725" s="631"/>
      <c r="H1725" s="631"/>
      <c r="I1725" s="631"/>
      <c r="J1725" s="631"/>
      <c r="R1725" s="490" t="str">
        <f>R$1729</f>
        <v>DELETE</v>
      </c>
    </row>
    <row r="1726" spans="2:21" ht="36" customHeight="1" x14ac:dyDescent="0.5">
      <c r="B1726" s="502"/>
      <c r="D1726" s="630" t="str">
        <f>Criteria!E20</f>
        <v>28 FEBRUARY 2026</v>
      </c>
      <c r="E1726" s="631"/>
      <c r="F1726" s="631"/>
      <c r="G1726" s="631"/>
      <c r="H1726" s="631"/>
      <c r="I1726" s="631"/>
      <c r="J1726" s="631" t="s">
        <v>282</v>
      </c>
      <c r="R1726" s="490" t="str">
        <f>R$1729</f>
        <v>DELETE</v>
      </c>
    </row>
    <row r="1727" spans="2:21" ht="36" customHeight="1" x14ac:dyDescent="0.5">
      <c r="B1727" s="502"/>
      <c r="D1727" s="630"/>
      <c r="E1727" s="631"/>
      <c r="F1727" s="631"/>
      <c r="G1727" s="631"/>
      <c r="H1727" s="631"/>
      <c r="I1727" s="631"/>
      <c r="J1727" s="631"/>
      <c r="R1727" s="490" t="str">
        <f>R$1729</f>
        <v>DELETE</v>
      </c>
    </row>
    <row r="1728" spans="2:21" ht="36" customHeight="1" x14ac:dyDescent="0.5">
      <c r="B1728" s="640"/>
      <c r="C1728" s="457"/>
      <c r="D1728" s="649"/>
      <c r="E1728" s="649"/>
      <c r="F1728" s="649"/>
      <c r="G1728" s="649"/>
      <c r="H1728" s="662"/>
      <c r="I1728" s="662"/>
      <c r="J1728" s="662"/>
      <c r="K1728" s="487"/>
      <c r="L1728" s="487"/>
      <c r="M1728" s="556"/>
      <c r="N1728" s="557"/>
      <c r="O1728" s="556"/>
      <c r="P1728" s="551"/>
      <c r="Q1728" s="457"/>
      <c r="R1728" s="490" t="str">
        <f>R$1729</f>
        <v>DELETE</v>
      </c>
    </row>
    <row r="1729" spans="2:18" ht="31.5" customHeight="1" x14ac:dyDescent="0.5">
      <c r="B1729" s="501"/>
      <c r="C1729" s="515">
        <f>MAX(C1684:C1728)+0.1</f>
        <v>10.199999999999999</v>
      </c>
      <c r="D1729" s="575" t="s">
        <v>1523</v>
      </c>
      <c r="E1729" s="520"/>
      <c r="F1729" s="520"/>
      <c r="G1729" s="520"/>
      <c r="H1729" s="520"/>
      <c r="I1729" s="520"/>
      <c r="J1729" s="520"/>
      <c r="M1729" s="544"/>
      <c r="N1729" s="545"/>
      <c r="O1729" s="544"/>
      <c r="P1729" s="545"/>
      <c r="R1729" s="490" t="str">
        <f>IF(Criteria!J230+Criteria!J237=0,"DELETE"," ")</f>
        <v>DELETE</v>
      </c>
    </row>
    <row r="1730" spans="2:18" ht="31.5" customHeight="1" x14ac:dyDescent="0.5">
      <c r="B1730" s="501"/>
      <c r="C1730" s="502"/>
      <c r="D1730" s="575"/>
      <c r="E1730" s="520"/>
      <c r="F1730" s="520"/>
      <c r="G1730" s="520"/>
      <c r="H1730" s="520"/>
      <c r="I1730" s="520"/>
      <c r="J1730" s="520"/>
      <c r="M1730" s="544"/>
      <c r="N1730" s="545"/>
      <c r="O1730" s="544"/>
      <c r="P1730" s="545"/>
      <c r="R1730" s="490" t="str">
        <f>R$1729</f>
        <v>DELETE</v>
      </c>
    </row>
    <row r="1731" spans="2:18" ht="31.5" customHeight="1" x14ac:dyDescent="0.5">
      <c r="B1731" s="501"/>
      <c r="H1731" s="613" t="str">
        <f>Criteria!G222</f>
        <v>Plant and</v>
      </c>
      <c r="I1731" s="520"/>
      <c r="J1731" s="613" t="str">
        <f>Criteria!H222</f>
        <v>Motor</v>
      </c>
      <c r="K1731" s="613" t="str">
        <f>Criteria!I222</f>
        <v>Electronic</v>
      </c>
      <c r="L1731" s="520"/>
      <c r="M1731" s="612" t="str">
        <f>Criteria!J222</f>
        <v>Furniture and</v>
      </c>
      <c r="N1731" s="614"/>
      <c r="O1731" s="612" t="s">
        <v>420</v>
      </c>
      <c r="P1731" s="545"/>
      <c r="R1731" s="490" t="str">
        <f t="shared" ref="R1731:R1743" si="80">R$1729</f>
        <v>DELETE</v>
      </c>
    </row>
    <row r="1732" spans="2:18" ht="31.5" customHeight="1" x14ac:dyDescent="0.5">
      <c r="B1732" s="501"/>
      <c r="H1732" s="613" t="str">
        <f>Criteria!G223</f>
        <v>equipment</v>
      </c>
      <c r="I1732" s="520"/>
      <c r="J1732" s="613" t="str">
        <f>Criteria!H223</f>
        <v>vehicles</v>
      </c>
      <c r="K1732" s="613" t="str">
        <f>Criteria!I223</f>
        <v>equipment</v>
      </c>
      <c r="L1732" s="520"/>
      <c r="M1732" s="612" t="str">
        <f>Criteria!J223</f>
        <v>fittings</v>
      </c>
      <c r="N1732" s="614"/>
      <c r="O1732" s="614"/>
      <c r="P1732" s="545"/>
      <c r="R1732" s="490" t="str">
        <f t="shared" si="80"/>
        <v>DELETE</v>
      </c>
    </row>
    <row r="1733" spans="2:18" ht="31.5" customHeight="1" x14ac:dyDescent="0.5">
      <c r="B1733" s="501"/>
      <c r="D1733" s="520" t="s">
        <v>1581</v>
      </c>
      <c r="F1733" s="674">
        <f>Criteria!G20</f>
        <v>46081</v>
      </c>
      <c r="G1733" s="674"/>
      <c r="H1733" s="510">
        <f>H1736-H1737</f>
        <v>0</v>
      </c>
      <c r="I1733" s="510"/>
      <c r="J1733" s="510">
        <f>J1736-J1737</f>
        <v>0</v>
      </c>
      <c r="K1733" s="510">
        <f>K1736-K1737</f>
        <v>0</v>
      </c>
      <c r="L1733" s="510"/>
      <c r="M1733" s="510">
        <f>M1736-M1737</f>
        <v>0</v>
      </c>
      <c r="N1733" s="510"/>
      <c r="O1733" s="510">
        <f>O1736-O1737</f>
        <v>0</v>
      </c>
      <c r="P1733" s="555"/>
      <c r="R1733" s="490" t="str">
        <f t="shared" si="80"/>
        <v>DELETE</v>
      </c>
    </row>
    <row r="1734" spans="2:18" ht="9" customHeight="1" x14ac:dyDescent="0.5">
      <c r="B1734" s="501"/>
      <c r="D1734" s="520"/>
      <c r="G1734" s="523"/>
      <c r="H1734" s="510"/>
      <c r="I1734" s="510"/>
      <c r="J1734" s="510"/>
      <c r="K1734" s="510"/>
      <c r="L1734" s="510"/>
      <c r="M1734" s="510"/>
      <c r="N1734" s="510"/>
      <c r="O1734" s="510"/>
      <c r="P1734" s="555"/>
      <c r="R1734" s="490" t="str">
        <f t="shared" si="80"/>
        <v>DELETE</v>
      </c>
    </row>
    <row r="1735" spans="2:18" ht="9" customHeight="1" x14ac:dyDescent="0.5">
      <c r="B1735" s="501"/>
      <c r="D1735" s="520"/>
      <c r="G1735" s="523"/>
      <c r="H1735" s="504"/>
      <c r="I1735" s="509"/>
      <c r="J1735" s="509"/>
      <c r="K1735" s="509"/>
      <c r="L1735" s="509"/>
      <c r="M1735" s="509"/>
      <c r="N1735" s="509"/>
      <c r="O1735" s="512"/>
      <c r="P1735" s="555"/>
      <c r="R1735" s="490" t="str">
        <f t="shared" si="80"/>
        <v>DELETE</v>
      </c>
    </row>
    <row r="1736" spans="2:18" ht="31.5" customHeight="1" x14ac:dyDescent="0.5">
      <c r="B1736" s="501"/>
      <c r="D1736" s="520" t="s">
        <v>416</v>
      </c>
      <c r="G1736" s="521"/>
      <c r="H1736" s="505">
        <f>Criteria!F240</f>
        <v>0</v>
      </c>
      <c r="I1736" s="510"/>
      <c r="J1736" s="510">
        <f>Criteria!G240</f>
        <v>0</v>
      </c>
      <c r="K1736" s="510">
        <f>Criteria!H240</f>
        <v>0</v>
      </c>
      <c r="L1736" s="510"/>
      <c r="M1736" s="510">
        <f>Criteria!I240</f>
        <v>0</v>
      </c>
      <c r="N1736" s="510"/>
      <c r="O1736" s="513">
        <f>SUM(H1736:M1736)</f>
        <v>0</v>
      </c>
      <c r="P1736" s="555"/>
      <c r="R1736" s="490" t="str">
        <f t="shared" si="80"/>
        <v>DELETE</v>
      </c>
    </row>
    <row r="1737" spans="2:18" ht="31.5" customHeight="1" x14ac:dyDescent="0.5">
      <c r="B1737" s="501"/>
      <c r="D1737" s="520" t="s">
        <v>1594</v>
      </c>
      <c r="G1737" s="521"/>
      <c r="H1737" s="505">
        <f>Criteria!F241</f>
        <v>0</v>
      </c>
      <c r="I1737" s="510"/>
      <c r="J1737" s="510">
        <f>Criteria!G241</f>
        <v>0</v>
      </c>
      <c r="K1737" s="510">
        <f>Criteria!H241</f>
        <v>0</v>
      </c>
      <c r="L1737" s="510"/>
      <c r="M1737" s="510">
        <f>Criteria!I241</f>
        <v>0</v>
      </c>
      <c r="N1737" s="510"/>
      <c r="O1737" s="513">
        <f>SUM(H1737:M1737)</f>
        <v>0</v>
      </c>
      <c r="P1737" s="555"/>
      <c r="R1737" s="490" t="str">
        <f t="shared" si="80"/>
        <v>DELETE</v>
      </c>
    </row>
    <row r="1738" spans="2:18" ht="9" customHeight="1" x14ac:dyDescent="0.45">
      <c r="B1738" s="501"/>
      <c r="D1738" s="592"/>
      <c r="G1738" s="521"/>
      <c r="H1738" s="506"/>
      <c r="I1738" s="507"/>
      <c r="J1738" s="507"/>
      <c r="K1738" s="507"/>
      <c r="L1738" s="507"/>
      <c r="M1738" s="507"/>
      <c r="N1738" s="507"/>
      <c r="O1738" s="514"/>
      <c r="P1738" s="555"/>
      <c r="R1738" s="490" t="str">
        <f t="shared" si="80"/>
        <v>DELETE</v>
      </c>
    </row>
    <row r="1739" spans="2:18" ht="9" customHeight="1" x14ac:dyDescent="0.45">
      <c r="B1739" s="501"/>
      <c r="H1739" s="502"/>
      <c r="I1739" s="502"/>
      <c r="J1739" s="502"/>
      <c r="K1739" s="502"/>
      <c r="L1739" s="502"/>
      <c r="M1739" s="544"/>
      <c r="N1739" s="544"/>
      <c r="O1739" s="544"/>
      <c r="P1739" s="545"/>
      <c r="R1739" s="490" t="str">
        <f t="shared" si="80"/>
        <v>DELETE</v>
      </c>
    </row>
    <row r="1740" spans="2:18" ht="31.5" customHeight="1" x14ac:dyDescent="0.45">
      <c r="B1740" s="501"/>
      <c r="M1740" s="544"/>
      <c r="N1740" s="545"/>
      <c r="O1740" s="544"/>
      <c r="P1740" s="545"/>
      <c r="R1740" s="490" t="str">
        <f t="shared" si="80"/>
        <v>DELETE</v>
      </c>
    </row>
    <row r="1741" spans="2:18" ht="31.5" customHeight="1" x14ac:dyDescent="0.45">
      <c r="B1741" s="501"/>
      <c r="M1741" s="544"/>
      <c r="N1741" s="545"/>
      <c r="O1741" s="544"/>
      <c r="P1741" s="545"/>
      <c r="R1741" s="490" t="str">
        <f t="shared" si="80"/>
        <v>DELETE</v>
      </c>
    </row>
    <row r="1742" spans="2:18" ht="31.5" customHeight="1" x14ac:dyDescent="0.45">
      <c r="B1742" s="501"/>
      <c r="M1742" s="544"/>
      <c r="N1742" s="545"/>
      <c r="O1742" s="544"/>
      <c r="P1742" s="545"/>
      <c r="R1742" s="490" t="str">
        <f t="shared" si="80"/>
        <v>DELETE</v>
      </c>
    </row>
    <row r="1743" spans="2:18" ht="31.5" customHeight="1" x14ac:dyDescent="0.45">
      <c r="B1743" s="502"/>
      <c r="R1743" s="490" t="str">
        <f t="shared" si="80"/>
        <v>DELETE</v>
      </c>
    </row>
    <row r="1744" spans="2:18" ht="36" customHeight="1" x14ac:dyDescent="0.5">
      <c r="B1744" s="502"/>
      <c r="C1744" s="520"/>
      <c r="D1744" s="520"/>
      <c r="E1744" s="520"/>
      <c r="F1744" s="520"/>
      <c r="G1744" s="520"/>
      <c r="H1744" s="520"/>
      <c r="I1744" s="520"/>
      <c r="J1744" s="520"/>
      <c r="M1744" s="540"/>
      <c r="O1744" s="454" t="s">
        <v>112</v>
      </c>
      <c r="Q1744" s="450">
        <f>MAX($Q$103:Q1743)+1</f>
        <v>45</v>
      </c>
      <c r="R1744" s="490" t="str">
        <f>R$1754</f>
        <v>DELETE</v>
      </c>
    </row>
    <row r="1745" spans="2:19" ht="36" customHeight="1" x14ac:dyDescent="0.5">
      <c r="B1745" s="502"/>
      <c r="C1745" s="631"/>
      <c r="D1745" s="630" t="str">
        <f>Criteria!E9</f>
        <v>ABC COMPANY (PROPRIETARY) LIMITED</v>
      </c>
      <c r="E1745" s="631"/>
      <c r="F1745" s="631"/>
      <c r="G1745" s="631"/>
      <c r="H1745" s="631"/>
      <c r="I1745" s="631"/>
      <c r="J1745" s="631"/>
      <c r="M1745" s="540"/>
      <c r="O1745" s="540"/>
      <c r="R1745" s="490" t="str">
        <f t="shared" ref="R1745:R1798" si="81">R$1754</f>
        <v>DELETE</v>
      </c>
    </row>
    <row r="1746" spans="2:19" ht="36" customHeight="1" x14ac:dyDescent="0.5">
      <c r="B1746" s="502"/>
      <c r="C1746" s="631"/>
      <c r="D1746" s="630" t="str">
        <f>Criteria!E10</f>
        <v>T/A SEAFRONT HOTEL, ABC RESTAURANT AND RENTAL PROPERTIES</v>
      </c>
      <c r="E1746" s="631"/>
      <c r="F1746" s="631"/>
      <c r="G1746" s="631"/>
      <c r="H1746" s="631"/>
      <c r="I1746" s="631"/>
      <c r="J1746" s="631"/>
      <c r="M1746" s="540"/>
      <c r="O1746" s="540"/>
      <c r="R1746" s="490" t="str">
        <f>IF(R$1754="DELETE","DELETE",IF(D1746=0,"DELETE"," "))</f>
        <v>DELETE</v>
      </c>
    </row>
    <row r="1747" spans="2:19" ht="36" customHeight="1" x14ac:dyDescent="0.5">
      <c r="B1747" s="502"/>
      <c r="C1747" s="631"/>
      <c r="D1747" s="631"/>
      <c r="E1747" s="631"/>
      <c r="F1747" s="631"/>
      <c r="G1747" s="631"/>
      <c r="H1747" s="631"/>
      <c r="I1747" s="631"/>
      <c r="J1747" s="631"/>
      <c r="M1747" s="540"/>
      <c r="O1747" s="540"/>
      <c r="R1747" s="490" t="str">
        <f t="shared" si="81"/>
        <v>DELETE</v>
      </c>
    </row>
    <row r="1748" spans="2:19" ht="36" customHeight="1" x14ac:dyDescent="0.5">
      <c r="B1748" s="502"/>
      <c r="C1748" s="631"/>
      <c r="D1748" s="630" t="s">
        <v>415</v>
      </c>
      <c r="E1748" s="631"/>
      <c r="F1748" s="631"/>
      <c r="G1748" s="631"/>
      <c r="H1748" s="631"/>
      <c r="I1748" s="631"/>
      <c r="J1748" s="631"/>
      <c r="M1748" s="540"/>
      <c r="O1748" s="540"/>
      <c r="R1748" s="490" t="str">
        <f t="shared" si="81"/>
        <v>DELETE</v>
      </c>
    </row>
    <row r="1749" spans="2:19" ht="36" customHeight="1" x14ac:dyDescent="0.5">
      <c r="B1749" s="502"/>
      <c r="C1749" s="631"/>
      <c r="D1749" s="630" t="str">
        <f>Criteria!E20</f>
        <v>28 FEBRUARY 2026</v>
      </c>
      <c r="E1749" s="631"/>
      <c r="F1749" s="631"/>
      <c r="G1749" s="631"/>
      <c r="H1749" s="631"/>
      <c r="I1749" s="631"/>
      <c r="J1749" s="631" t="s">
        <v>282</v>
      </c>
      <c r="M1749" s="540"/>
      <c r="O1749" s="540"/>
      <c r="R1749" s="490" t="str">
        <f t="shared" si="81"/>
        <v>DELETE</v>
      </c>
    </row>
    <row r="1750" spans="2:19" ht="36" customHeight="1" x14ac:dyDescent="0.5">
      <c r="B1750" s="502"/>
      <c r="C1750" s="631"/>
      <c r="D1750" s="631"/>
      <c r="E1750" s="631"/>
      <c r="F1750" s="631"/>
      <c r="G1750" s="631"/>
      <c r="H1750" s="631"/>
      <c r="I1750" s="631"/>
      <c r="J1750" s="631"/>
      <c r="M1750" s="540"/>
      <c r="O1750" s="540"/>
      <c r="R1750" s="490" t="str">
        <f t="shared" si="81"/>
        <v>DELETE</v>
      </c>
    </row>
    <row r="1751" spans="2:19" ht="36" customHeight="1" x14ac:dyDescent="0.5">
      <c r="B1751" s="641"/>
      <c r="C1751" s="649"/>
      <c r="D1751" s="649"/>
      <c r="E1751" s="649"/>
      <c r="F1751" s="649"/>
      <c r="G1751" s="649"/>
      <c r="H1751" s="649"/>
      <c r="I1751" s="649"/>
      <c r="J1751" s="649"/>
      <c r="K1751" s="457"/>
      <c r="L1751" s="457"/>
      <c r="M1751" s="551"/>
      <c r="N1751" s="551"/>
      <c r="O1751" s="551"/>
      <c r="P1751" s="551"/>
      <c r="Q1751" s="457"/>
      <c r="R1751" s="490" t="str">
        <f t="shared" si="81"/>
        <v>DELETE</v>
      </c>
    </row>
    <row r="1752" spans="2:19" ht="36" customHeight="1" x14ac:dyDescent="0.5">
      <c r="B1752" s="502"/>
      <c r="C1752" s="631"/>
      <c r="D1752" s="631"/>
      <c r="E1752" s="631"/>
      <c r="F1752" s="631"/>
      <c r="G1752" s="631"/>
      <c r="H1752" s="631"/>
      <c r="I1752" s="631"/>
      <c r="J1752" s="631"/>
      <c r="M1752" s="545"/>
      <c r="N1752" s="545"/>
      <c r="O1752" s="488">
        <f>Criteria!E22</f>
        <v>2026</v>
      </c>
      <c r="P1752" s="545"/>
      <c r="R1752" s="490" t="str">
        <f t="shared" si="81"/>
        <v>DELETE</v>
      </c>
    </row>
    <row r="1753" spans="2:19" ht="36" customHeight="1" x14ac:dyDescent="0.5">
      <c r="B1753" s="502"/>
      <c r="C1753" s="631"/>
      <c r="D1753" s="631"/>
      <c r="E1753" s="631"/>
      <c r="F1753" s="631"/>
      <c r="G1753" s="631"/>
      <c r="H1753" s="631"/>
      <c r="I1753" s="631"/>
      <c r="J1753" s="631"/>
      <c r="M1753" s="545"/>
      <c r="N1753" s="545"/>
      <c r="O1753" s="545"/>
      <c r="P1753" s="545"/>
      <c r="R1753" s="490" t="str">
        <f t="shared" si="81"/>
        <v>DELETE</v>
      </c>
    </row>
    <row r="1754" spans="2:19" ht="36" customHeight="1" x14ac:dyDescent="0.5">
      <c r="B1754" s="501">
        <f>MAX($B$873:B1753)+1</f>
        <v>11</v>
      </c>
      <c r="C1754" s="630" t="s">
        <v>1313</v>
      </c>
      <c r="D1754" s="631"/>
      <c r="E1754" s="631"/>
      <c r="F1754" s="631"/>
      <c r="G1754" s="631"/>
      <c r="H1754" s="631"/>
      <c r="I1754" s="631"/>
      <c r="J1754" s="631"/>
      <c r="M1754" s="545"/>
      <c r="N1754" s="545"/>
      <c r="O1754" s="545"/>
      <c r="P1754" s="545"/>
      <c r="R1754" s="490" t="str">
        <f>IF(TrialBalance!L241+TrialBalance!L242+TrialBalance!L244=0,"DELETE"," ")</f>
        <v>DELETE</v>
      </c>
    </row>
    <row r="1755" spans="2:19" ht="36" customHeight="1" x14ac:dyDescent="0.5">
      <c r="B1755" s="501"/>
      <c r="C1755" s="630"/>
      <c r="D1755" s="631"/>
      <c r="E1755" s="631"/>
      <c r="F1755" s="631"/>
      <c r="G1755" s="631"/>
      <c r="H1755" s="631"/>
      <c r="I1755" s="631"/>
      <c r="J1755" s="631"/>
      <c r="M1755" s="545"/>
      <c r="N1755" s="545"/>
      <c r="O1755" s="545"/>
      <c r="P1755" s="545"/>
      <c r="R1755" s="490" t="str">
        <f t="shared" si="81"/>
        <v>DELETE</v>
      </c>
    </row>
    <row r="1756" spans="2:19" ht="36" customHeight="1" x14ac:dyDescent="0.5">
      <c r="B1756" s="502"/>
      <c r="C1756" s="631" t="s">
        <v>1292</v>
      </c>
      <c r="D1756" s="631"/>
      <c r="E1756" s="631"/>
      <c r="F1756" s="631"/>
      <c r="G1756" s="648"/>
      <c r="H1756" s="648"/>
      <c r="I1756" s="631"/>
      <c r="J1756" s="648"/>
      <c r="K1756" s="526"/>
      <c r="M1756" s="475"/>
      <c r="N1756" s="475"/>
      <c r="O1756" s="458">
        <f>O1759+O1760</f>
        <v>0</v>
      </c>
      <c r="P1756" s="545"/>
      <c r="R1756" s="490" t="str">
        <f t="shared" si="81"/>
        <v>DELETE</v>
      </c>
    </row>
    <row r="1757" spans="2:19" ht="9" customHeight="1" x14ac:dyDescent="0.5">
      <c r="B1757" s="502"/>
      <c r="C1757" s="631"/>
      <c r="D1757" s="631"/>
      <c r="E1757" s="631"/>
      <c r="F1757" s="631"/>
      <c r="G1757" s="631"/>
      <c r="H1757" s="648"/>
      <c r="I1757" s="631"/>
      <c r="J1757" s="631"/>
      <c r="M1757" s="475"/>
      <c r="N1757" s="475"/>
      <c r="O1757" s="458"/>
      <c r="P1757" s="545"/>
      <c r="R1757" s="490" t="str">
        <f t="shared" si="81"/>
        <v>DELETE</v>
      </c>
    </row>
    <row r="1758" spans="2:19" ht="9" customHeight="1" x14ac:dyDescent="0.5">
      <c r="B1758" s="502"/>
      <c r="C1758" s="631"/>
      <c r="D1758" s="631"/>
      <c r="E1758" s="631"/>
      <c r="F1758" s="631"/>
      <c r="G1758" s="631"/>
      <c r="H1758" s="648"/>
      <c r="I1758" s="631"/>
      <c r="J1758" s="631"/>
      <c r="M1758" s="475"/>
      <c r="N1758" s="475"/>
      <c r="O1758" s="587"/>
      <c r="P1758" s="545"/>
      <c r="R1758" s="490" t="str">
        <f t="shared" si="81"/>
        <v>DELETE</v>
      </c>
    </row>
    <row r="1759" spans="2:19" ht="36" customHeight="1" x14ac:dyDescent="0.5">
      <c r="B1759" s="502"/>
      <c r="C1759" s="631" t="s">
        <v>416</v>
      </c>
      <c r="D1759" s="631"/>
      <c r="E1759" s="631"/>
      <c r="F1759" s="631"/>
      <c r="G1759" s="631"/>
      <c r="H1759" s="648"/>
      <c r="I1759" s="631"/>
      <c r="J1759" s="631"/>
      <c r="M1759" s="475"/>
      <c r="N1759" s="475"/>
      <c r="O1759" s="588">
        <f>TrialBalance!L241</f>
        <v>0</v>
      </c>
      <c r="P1759" s="545"/>
      <c r="R1759" s="490" t="str">
        <f t="shared" si="81"/>
        <v>DELETE</v>
      </c>
      <c r="S1759" s="495">
        <f>O1759</f>
        <v>0</v>
      </c>
    </row>
    <row r="1760" spans="2:19" ht="36" customHeight="1" x14ac:dyDescent="0.5">
      <c r="B1760" s="502"/>
      <c r="C1760" s="631" t="s">
        <v>1595</v>
      </c>
      <c r="D1760" s="631"/>
      <c r="E1760" s="631"/>
      <c r="F1760" s="631"/>
      <c r="G1760" s="631"/>
      <c r="H1760" s="648"/>
      <c r="I1760" s="631"/>
      <c r="J1760" s="631"/>
      <c r="M1760" s="475"/>
      <c r="N1760" s="475"/>
      <c r="O1760" s="588">
        <f>TrialBalance!L247</f>
        <v>0</v>
      </c>
      <c r="P1760" s="545"/>
      <c r="R1760" s="490" t="str">
        <f t="shared" si="81"/>
        <v>DELETE</v>
      </c>
      <c r="S1760" s="495">
        <f>O1760</f>
        <v>0</v>
      </c>
    </row>
    <row r="1761" spans="2:19" ht="9" customHeight="1" x14ac:dyDescent="0.5">
      <c r="B1761" s="502"/>
      <c r="C1761" s="631"/>
      <c r="D1761" s="631"/>
      <c r="E1761" s="631"/>
      <c r="F1761" s="631"/>
      <c r="G1761" s="631"/>
      <c r="H1761" s="648"/>
      <c r="I1761" s="631"/>
      <c r="J1761" s="631"/>
      <c r="M1761" s="475"/>
      <c r="N1761" s="475"/>
      <c r="O1761" s="589"/>
      <c r="P1761" s="545"/>
      <c r="R1761" s="490" t="str">
        <f t="shared" si="81"/>
        <v>DELETE</v>
      </c>
    </row>
    <row r="1762" spans="2:19" ht="9" customHeight="1" x14ac:dyDescent="0.5">
      <c r="B1762" s="502"/>
      <c r="C1762" s="631"/>
      <c r="D1762" s="631"/>
      <c r="E1762" s="631"/>
      <c r="F1762" s="631"/>
      <c r="G1762" s="631"/>
      <c r="H1762" s="648"/>
      <c r="I1762" s="631"/>
      <c r="J1762" s="631"/>
      <c r="M1762" s="475"/>
      <c r="N1762" s="475"/>
      <c r="O1762" s="458"/>
      <c r="P1762" s="545"/>
      <c r="R1762" s="490" t="str">
        <f t="shared" si="81"/>
        <v>DELETE</v>
      </c>
    </row>
    <row r="1763" spans="2:19" ht="36.75" customHeight="1" x14ac:dyDescent="0.5">
      <c r="B1763" s="502"/>
      <c r="C1763" s="631" t="s">
        <v>422</v>
      </c>
      <c r="D1763" s="631"/>
      <c r="E1763" s="631"/>
      <c r="F1763" s="631"/>
      <c r="G1763" s="631"/>
      <c r="H1763" s="648"/>
      <c r="I1763" s="631"/>
      <c r="J1763" s="631"/>
      <c r="M1763" s="475"/>
      <c r="N1763" s="475"/>
      <c r="O1763" s="458">
        <f>TrialBalance!L242</f>
        <v>0</v>
      </c>
      <c r="P1763" s="545"/>
      <c r="R1763" s="490" t="str">
        <f t="shared" si="81"/>
        <v>DELETE</v>
      </c>
      <c r="S1763" s="495">
        <f>O1763</f>
        <v>0</v>
      </c>
    </row>
    <row r="1764" spans="2:19" ht="9" customHeight="1" x14ac:dyDescent="0.5">
      <c r="B1764" s="502"/>
      <c r="C1764" s="631"/>
      <c r="D1764" s="631"/>
      <c r="E1764" s="631"/>
      <c r="F1764" s="631"/>
      <c r="G1764" s="631"/>
      <c r="H1764" s="648"/>
      <c r="I1764" s="631"/>
      <c r="J1764" s="631"/>
      <c r="M1764" s="475"/>
      <c r="N1764" s="475"/>
      <c r="O1764" s="461"/>
      <c r="P1764" s="545"/>
      <c r="R1764" s="490" t="str">
        <f t="shared" si="81"/>
        <v>DELETE</v>
      </c>
    </row>
    <row r="1765" spans="2:19" ht="9" customHeight="1" x14ac:dyDescent="0.5">
      <c r="B1765" s="502"/>
      <c r="C1765" s="631"/>
      <c r="D1765" s="631"/>
      <c r="E1765" s="631"/>
      <c r="F1765" s="631"/>
      <c r="G1765" s="631"/>
      <c r="H1765" s="648"/>
      <c r="I1765" s="631"/>
      <c r="J1765" s="631"/>
      <c r="M1765" s="475"/>
      <c r="N1765" s="475"/>
      <c r="O1765" s="458"/>
      <c r="P1765" s="545"/>
      <c r="R1765" s="490" t="str">
        <f t="shared" si="81"/>
        <v>DELETE</v>
      </c>
    </row>
    <row r="1766" spans="2:19" ht="36" customHeight="1" x14ac:dyDescent="0.5">
      <c r="B1766" s="502"/>
      <c r="C1766" s="631"/>
      <c r="D1766" s="631"/>
      <c r="E1766" s="631"/>
      <c r="F1766" s="631"/>
      <c r="G1766" s="631"/>
      <c r="H1766" s="648"/>
      <c r="I1766" s="631"/>
      <c r="J1766" s="631"/>
      <c r="M1766" s="475"/>
      <c r="N1766" s="475"/>
      <c r="O1766" s="458">
        <f>O1756+O1763</f>
        <v>0</v>
      </c>
      <c r="P1766" s="545"/>
      <c r="R1766" s="490" t="str">
        <f t="shared" si="81"/>
        <v>DELETE</v>
      </c>
    </row>
    <row r="1767" spans="2:19" ht="36" customHeight="1" x14ac:dyDescent="0.5">
      <c r="B1767" s="502"/>
      <c r="C1767" s="631" t="s">
        <v>1323</v>
      </c>
      <c r="D1767" s="631"/>
      <c r="E1767" s="631"/>
      <c r="F1767" s="631"/>
      <c r="G1767" s="631"/>
      <c r="H1767" s="648"/>
      <c r="I1767" s="631"/>
      <c r="J1767" s="631"/>
      <c r="M1767" s="475"/>
      <c r="N1767" s="475"/>
      <c r="O1767" s="458">
        <f>TrialBalance!L244</f>
        <v>0</v>
      </c>
      <c r="P1767" s="545"/>
      <c r="R1767" s="490" t="str">
        <f>IF(O1767=0,"DELETE"," ")</f>
        <v>DELETE</v>
      </c>
      <c r="S1767" s="495">
        <f>O1767</f>
        <v>0</v>
      </c>
    </row>
    <row r="1768" spans="2:19" ht="36" customHeight="1" x14ac:dyDescent="0.5">
      <c r="B1768" s="502"/>
      <c r="C1768" s="631" t="s">
        <v>1324</v>
      </c>
      <c r="D1768" s="631"/>
      <c r="E1768" s="631"/>
      <c r="F1768" s="631"/>
      <c r="G1768" s="631"/>
      <c r="H1768" s="648"/>
      <c r="I1768" s="631"/>
      <c r="J1768" s="631"/>
      <c r="M1768" s="475"/>
      <c r="N1768" s="475"/>
      <c r="O1768" s="458">
        <f>TrialBalance!L248</f>
        <v>0</v>
      </c>
      <c r="P1768" s="545"/>
      <c r="R1768" s="490" t="str">
        <f>IF(O1768=0,"DELETE"," ")</f>
        <v>DELETE</v>
      </c>
      <c r="S1768" s="495">
        <f>O1768</f>
        <v>0</v>
      </c>
    </row>
    <row r="1769" spans="2:19" ht="36" customHeight="1" x14ac:dyDescent="0.5">
      <c r="B1769" s="502"/>
      <c r="C1769" s="631" t="s">
        <v>179</v>
      </c>
      <c r="D1769" s="631"/>
      <c r="E1769" s="631"/>
      <c r="F1769" s="631"/>
      <c r="G1769" s="631"/>
      <c r="H1769" s="648"/>
      <c r="I1769" s="631"/>
      <c r="J1769" s="631"/>
      <c r="M1769" s="475"/>
      <c r="N1769" s="475"/>
      <c r="O1769" s="458">
        <f>-SUM(S1771:S1774)</f>
        <v>0</v>
      </c>
      <c r="P1769" s="545"/>
      <c r="R1769" s="490" t="str">
        <f>IF(O1769=0,"DELETE"," ")</f>
        <v>DELETE</v>
      </c>
    </row>
    <row r="1770" spans="2:19" ht="9" customHeight="1" x14ac:dyDescent="0.5">
      <c r="B1770" s="502"/>
      <c r="C1770" s="631"/>
      <c r="D1770" s="631"/>
      <c r="E1770" s="631"/>
      <c r="F1770" s="631"/>
      <c r="G1770" s="631"/>
      <c r="H1770" s="648"/>
      <c r="I1770" s="631"/>
      <c r="J1770" s="631"/>
      <c r="M1770" s="475"/>
      <c r="N1770" s="475"/>
      <c r="O1770" s="458"/>
      <c r="P1770" s="545"/>
      <c r="R1770" s="490" t="str">
        <f>R$1769</f>
        <v>DELETE</v>
      </c>
    </row>
    <row r="1771" spans="2:19" ht="9" customHeight="1" x14ac:dyDescent="0.5">
      <c r="B1771" s="502"/>
      <c r="C1771" s="631"/>
      <c r="D1771" s="631"/>
      <c r="E1771" s="631"/>
      <c r="F1771" s="631"/>
      <c r="G1771" s="631"/>
      <c r="H1771" s="648"/>
      <c r="I1771" s="631"/>
      <c r="J1771" s="631"/>
      <c r="M1771" s="475"/>
      <c r="N1771" s="475"/>
      <c r="O1771" s="587"/>
      <c r="P1771" s="545"/>
      <c r="R1771" s="490" t="str">
        <f>R$1769</f>
        <v>DELETE</v>
      </c>
    </row>
    <row r="1772" spans="2:19" ht="36" customHeight="1" x14ac:dyDescent="0.5">
      <c r="B1772" s="502"/>
      <c r="C1772" s="631" t="s">
        <v>416</v>
      </c>
      <c r="D1772" s="631"/>
      <c r="E1772" s="631"/>
      <c r="F1772" s="631"/>
      <c r="G1772" s="631"/>
      <c r="H1772" s="648"/>
      <c r="I1772" s="631"/>
      <c r="J1772" s="631"/>
      <c r="M1772" s="475"/>
      <c r="N1772" s="475"/>
      <c r="O1772" s="588">
        <f>-TrialBalance!L243</f>
        <v>0</v>
      </c>
      <c r="P1772" s="545"/>
      <c r="R1772" s="490" t="str">
        <f t="shared" ref="R1772:R1773" si="82">IF(O1772=0,"DELETE"," ")</f>
        <v>DELETE</v>
      </c>
      <c r="S1772" s="495">
        <f>-O1772</f>
        <v>0</v>
      </c>
    </row>
    <row r="1773" spans="2:19" ht="36" customHeight="1" x14ac:dyDescent="0.5">
      <c r="B1773" s="502"/>
      <c r="C1773" s="631" t="s">
        <v>1595</v>
      </c>
      <c r="D1773" s="631"/>
      <c r="E1773" s="631"/>
      <c r="F1773" s="631"/>
      <c r="G1773" s="631"/>
      <c r="H1773" s="648"/>
      <c r="I1773" s="631"/>
      <c r="J1773" s="631"/>
      <c r="M1773" s="475"/>
      <c r="N1773" s="475"/>
      <c r="O1773" s="588">
        <f>-TrialBalance!L249</f>
        <v>0</v>
      </c>
      <c r="P1773" s="545"/>
      <c r="R1773" s="490" t="str">
        <f t="shared" si="82"/>
        <v>DELETE</v>
      </c>
      <c r="S1773" s="495">
        <f>-O1773</f>
        <v>0</v>
      </c>
    </row>
    <row r="1774" spans="2:19" ht="9" customHeight="1" x14ac:dyDescent="0.5">
      <c r="B1774" s="502"/>
      <c r="C1774" s="631"/>
      <c r="D1774" s="631"/>
      <c r="E1774" s="631"/>
      <c r="F1774" s="631"/>
      <c r="G1774" s="631"/>
      <c r="H1774" s="648"/>
      <c r="I1774" s="631"/>
      <c r="J1774" s="631"/>
      <c r="M1774" s="475"/>
      <c r="N1774" s="475"/>
      <c r="O1774" s="589"/>
      <c r="P1774" s="545"/>
      <c r="R1774" s="490" t="str">
        <f t="shared" ref="R1774:R1775" si="83">R$1769</f>
        <v>DELETE</v>
      </c>
    </row>
    <row r="1775" spans="2:19" ht="9" customHeight="1" x14ac:dyDescent="0.5">
      <c r="B1775" s="502"/>
      <c r="C1775" s="631"/>
      <c r="D1775" s="631"/>
      <c r="E1775" s="631"/>
      <c r="F1775" s="631"/>
      <c r="G1775" s="631"/>
      <c r="H1775" s="648"/>
      <c r="I1775" s="631"/>
      <c r="J1775" s="631"/>
      <c r="M1775" s="475"/>
      <c r="N1775" s="475"/>
      <c r="O1775" s="475"/>
      <c r="P1775" s="545"/>
      <c r="R1775" s="490" t="str">
        <f t="shared" si="83"/>
        <v>DELETE</v>
      </c>
    </row>
    <row r="1776" spans="2:19" ht="36.75" customHeight="1" x14ac:dyDescent="0.5">
      <c r="B1776" s="502"/>
      <c r="C1776" s="631" t="s">
        <v>1325</v>
      </c>
      <c r="D1776" s="631"/>
      <c r="E1776" s="631"/>
      <c r="F1776" s="631"/>
      <c r="G1776" s="631"/>
      <c r="H1776" s="648"/>
      <c r="I1776" s="631"/>
      <c r="J1776" s="631"/>
      <c r="M1776" s="475"/>
      <c r="N1776" s="475"/>
      <c r="O1776" s="458">
        <f>-SUM(S1778:S1781)</f>
        <v>0</v>
      </c>
      <c r="P1776" s="545"/>
      <c r="R1776" s="490" t="str">
        <f t="shared" ref="R1776" si="84">IF(O1776=0,"DELETE"," ")</f>
        <v>DELETE</v>
      </c>
    </row>
    <row r="1777" spans="2:21" ht="9" customHeight="1" x14ac:dyDescent="0.5">
      <c r="B1777" s="502"/>
      <c r="C1777" s="631"/>
      <c r="D1777" s="631"/>
      <c r="E1777" s="631"/>
      <c r="F1777" s="631"/>
      <c r="G1777" s="631"/>
      <c r="H1777" s="648"/>
      <c r="I1777" s="631"/>
      <c r="J1777" s="631"/>
      <c r="M1777" s="475"/>
      <c r="N1777" s="475"/>
      <c r="O1777" s="458"/>
      <c r="P1777" s="545"/>
      <c r="R1777" s="490" t="str">
        <f>R$1776</f>
        <v>DELETE</v>
      </c>
    </row>
    <row r="1778" spans="2:21" ht="9" customHeight="1" x14ac:dyDescent="0.5">
      <c r="B1778" s="502"/>
      <c r="C1778" s="631"/>
      <c r="D1778" s="631"/>
      <c r="E1778" s="631"/>
      <c r="F1778" s="631"/>
      <c r="G1778" s="631"/>
      <c r="H1778" s="648"/>
      <c r="I1778" s="631"/>
      <c r="J1778" s="631"/>
      <c r="M1778" s="475"/>
      <c r="N1778" s="475"/>
      <c r="O1778" s="587"/>
      <c r="P1778" s="545"/>
      <c r="R1778" s="490" t="str">
        <f>R$1776</f>
        <v>DELETE</v>
      </c>
    </row>
    <row r="1779" spans="2:21" ht="36" customHeight="1" x14ac:dyDescent="0.5">
      <c r="B1779" s="502"/>
      <c r="C1779" s="631" t="s">
        <v>416</v>
      </c>
      <c r="D1779" s="631"/>
      <c r="E1779" s="631"/>
      <c r="F1779" s="631"/>
      <c r="G1779" s="631"/>
      <c r="H1779" s="648"/>
      <c r="I1779" s="631"/>
      <c r="J1779" s="631"/>
      <c r="M1779" s="475"/>
      <c r="N1779" s="475"/>
      <c r="O1779" s="588">
        <f>-TrialBalance!L245</f>
        <v>0</v>
      </c>
      <c r="P1779" s="545"/>
      <c r="R1779" s="490" t="str">
        <f t="shared" ref="R1779:R1780" si="85">IF(O1779=0,"DELETE"," ")</f>
        <v>DELETE</v>
      </c>
      <c r="S1779" s="495">
        <f>-O1779</f>
        <v>0</v>
      </c>
    </row>
    <row r="1780" spans="2:21" ht="36" customHeight="1" x14ac:dyDescent="0.5">
      <c r="B1780" s="502"/>
      <c r="C1780" s="631" t="s">
        <v>1595</v>
      </c>
      <c r="D1780" s="631"/>
      <c r="E1780" s="631"/>
      <c r="F1780" s="631"/>
      <c r="G1780" s="631"/>
      <c r="H1780" s="648"/>
      <c r="I1780" s="631"/>
      <c r="J1780" s="631"/>
      <c r="M1780" s="475"/>
      <c r="N1780" s="475"/>
      <c r="O1780" s="588">
        <f>-TrialBalance!L250</f>
        <v>0</v>
      </c>
      <c r="P1780" s="545"/>
      <c r="R1780" s="490" t="str">
        <f t="shared" si="85"/>
        <v>DELETE</v>
      </c>
      <c r="S1780" s="495">
        <f>-O1780</f>
        <v>0</v>
      </c>
    </row>
    <row r="1781" spans="2:21" ht="9" customHeight="1" x14ac:dyDescent="0.5">
      <c r="B1781" s="502"/>
      <c r="C1781" s="631"/>
      <c r="D1781" s="631"/>
      <c r="E1781" s="631"/>
      <c r="F1781" s="631"/>
      <c r="G1781" s="631"/>
      <c r="H1781" s="648"/>
      <c r="I1781" s="631"/>
      <c r="J1781" s="631"/>
      <c r="M1781" s="475"/>
      <c r="N1781" s="475"/>
      <c r="O1781" s="589"/>
      <c r="P1781" s="545"/>
      <c r="R1781" s="490" t="str">
        <f t="shared" ref="R1781:R1782" si="86">R$1776</f>
        <v>DELETE</v>
      </c>
    </row>
    <row r="1782" spans="2:21" ht="9" customHeight="1" x14ac:dyDescent="0.5">
      <c r="B1782" s="502"/>
      <c r="C1782" s="631"/>
      <c r="D1782" s="631"/>
      <c r="E1782" s="631"/>
      <c r="F1782" s="631"/>
      <c r="G1782" s="631"/>
      <c r="H1782" s="648"/>
      <c r="I1782" s="631"/>
      <c r="J1782" s="631"/>
      <c r="M1782" s="475"/>
      <c r="N1782" s="475"/>
      <c r="O1782" s="475"/>
      <c r="P1782" s="545"/>
      <c r="R1782" s="490" t="str">
        <f t="shared" si="86"/>
        <v>DELETE</v>
      </c>
    </row>
    <row r="1783" spans="2:21" ht="9" customHeight="1" x14ac:dyDescent="0.5">
      <c r="B1783" s="502"/>
      <c r="C1783" s="631"/>
      <c r="D1783" s="631"/>
      <c r="E1783" s="631"/>
      <c r="F1783" s="631"/>
      <c r="G1783" s="631"/>
      <c r="H1783" s="648"/>
      <c r="I1783" s="631"/>
      <c r="J1783" s="631"/>
      <c r="M1783" s="475"/>
      <c r="N1783" s="475"/>
      <c r="O1783" s="461"/>
      <c r="P1783" s="545"/>
      <c r="R1783" s="490" t="str">
        <f t="shared" si="81"/>
        <v>DELETE</v>
      </c>
    </row>
    <row r="1784" spans="2:21" ht="9" customHeight="1" x14ac:dyDescent="0.5">
      <c r="B1784" s="502"/>
      <c r="C1784" s="631"/>
      <c r="D1784" s="631"/>
      <c r="E1784" s="631"/>
      <c r="F1784" s="631"/>
      <c r="G1784" s="631"/>
      <c r="H1784" s="648"/>
      <c r="I1784" s="631"/>
      <c r="J1784" s="631"/>
      <c r="M1784" s="475"/>
      <c r="N1784" s="475"/>
      <c r="O1784" s="475"/>
      <c r="P1784" s="545"/>
      <c r="R1784" s="490" t="str">
        <f t="shared" si="81"/>
        <v>DELETE</v>
      </c>
    </row>
    <row r="1785" spans="2:21" ht="36.75" customHeight="1" x14ac:dyDescent="0.5">
      <c r="B1785" s="502"/>
      <c r="C1785" s="631" t="s">
        <v>1295</v>
      </c>
      <c r="D1785" s="631"/>
      <c r="E1785" s="631"/>
      <c r="F1785" s="631"/>
      <c r="G1785" s="631"/>
      <c r="H1785" s="648"/>
      <c r="I1785" s="631"/>
      <c r="J1785" s="631"/>
      <c r="K1785" s="456"/>
      <c r="M1785" s="475"/>
      <c r="N1785" s="475"/>
      <c r="O1785" s="458">
        <f>SUM(S1758:S1781)</f>
        <v>0</v>
      </c>
      <c r="P1785" s="545"/>
      <c r="R1785" s="490" t="str">
        <f t="shared" si="81"/>
        <v>DELETE</v>
      </c>
      <c r="U1785" s="491" t="b">
        <f>O1785=O1789+O1790</f>
        <v>1</v>
      </c>
    </row>
    <row r="1786" spans="2:21" ht="9" customHeight="1" thickBot="1" x14ac:dyDescent="0.55000000000000004">
      <c r="B1786" s="502"/>
      <c r="C1786" s="631"/>
      <c r="D1786" s="631"/>
      <c r="E1786" s="631"/>
      <c r="F1786" s="631"/>
      <c r="G1786" s="631"/>
      <c r="H1786" s="648"/>
      <c r="I1786" s="631"/>
      <c r="J1786" s="631"/>
      <c r="M1786" s="475"/>
      <c r="N1786" s="475"/>
      <c r="O1786" s="462"/>
      <c r="P1786" s="545"/>
      <c r="R1786" s="490" t="str">
        <f t="shared" si="81"/>
        <v>DELETE</v>
      </c>
    </row>
    <row r="1787" spans="2:21" ht="9" customHeight="1" thickTop="1" x14ac:dyDescent="0.5">
      <c r="B1787" s="502"/>
      <c r="C1787" s="631"/>
      <c r="D1787" s="631"/>
      <c r="E1787" s="631"/>
      <c r="F1787" s="631"/>
      <c r="G1787" s="631"/>
      <c r="H1787" s="648"/>
      <c r="I1787" s="631"/>
      <c r="J1787" s="631"/>
      <c r="M1787" s="475"/>
      <c r="N1787" s="475"/>
      <c r="O1787" s="458"/>
      <c r="P1787" s="545"/>
      <c r="R1787" s="490" t="str">
        <f t="shared" si="81"/>
        <v>DELETE</v>
      </c>
    </row>
    <row r="1788" spans="2:21" ht="9" customHeight="1" x14ac:dyDescent="0.5">
      <c r="B1788" s="502"/>
      <c r="C1788" s="631"/>
      <c r="D1788" s="631"/>
      <c r="E1788" s="631"/>
      <c r="F1788" s="631"/>
      <c r="G1788" s="631"/>
      <c r="H1788" s="648"/>
      <c r="I1788" s="631"/>
      <c r="J1788" s="631"/>
      <c r="M1788" s="475"/>
      <c r="N1788" s="475"/>
      <c r="O1788" s="587"/>
      <c r="P1788" s="545"/>
      <c r="R1788" s="490" t="str">
        <f t="shared" si="81"/>
        <v>DELETE</v>
      </c>
    </row>
    <row r="1789" spans="2:21" ht="36" customHeight="1" x14ac:dyDescent="0.5">
      <c r="B1789" s="502"/>
      <c r="C1789" s="631" t="s">
        <v>416</v>
      </c>
      <c r="D1789" s="631"/>
      <c r="E1789" s="631"/>
      <c r="F1789" s="631"/>
      <c r="G1789" s="631"/>
      <c r="H1789" s="648"/>
      <c r="I1789" s="631"/>
      <c r="J1789" s="631"/>
      <c r="M1789" s="475"/>
      <c r="N1789" s="475"/>
      <c r="O1789" s="588">
        <f>SUM(TrialBalance!L241:L245)</f>
        <v>0</v>
      </c>
      <c r="P1789" s="545"/>
      <c r="R1789" s="490" t="str">
        <f t="shared" si="81"/>
        <v>DELETE</v>
      </c>
    </row>
    <row r="1790" spans="2:21" ht="36" customHeight="1" x14ac:dyDescent="0.5">
      <c r="B1790" s="502"/>
      <c r="C1790" s="631" t="s">
        <v>1595</v>
      </c>
      <c r="D1790" s="631"/>
      <c r="E1790" s="631"/>
      <c r="F1790" s="631"/>
      <c r="G1790" s="631"/>
      <c r="H1790" s="648"/>
      <c r="I1790" s="631"/>
      <c r="J1790" s="631"/>
      <c r="M1790" s="475"/>
      <c r="N1790" s="475"/>
      <c r="O1790" s="588">
        <f>SUM(TrialBalance!L247:L250)</f>
        <v>0</v>
      </c>
      <c r="P1790" s="545"/>
      <c r="R1790" s="490" t="str">
        <f t="shared" si="81"/>
        <v>DELETE</v>
      </c>
    </row>
    <row r="1791" spans="2:21" ht="9" customHeight="1" x14ac:dyDescent="0.5">
      <c r="B1791" s="502"/>
      <c r="C1791" s="631"/>
      <c r="D1791" s="631"/>
      <c r="E1791" s="631"/>
      <c r="F1791" s="631"/>
      <c r="G1791" s="631"/>
      <c r="H1791" s="631"/>
      <c r="I1791" s="631"/>
      <c r="J1791" s="631"/>
      <c r="M1791" s="475"/>
      <c r="N1791" s="475"/>
      <c r="O1791" s="589"/>
      <c r="P1791" s="545"/>
      <c r="R1791" s="490" t="str">
        <f t="shared" si="81"/>
        <v>DELETE</v>
      </c>
    </row>
    <row r="1792" spans="2:21" ht="9" customHeight="1" x14ac:dyDescent="0.5">
      <c r="B1792" s="502"/>
      <c r="C1792" s="631"/>
      <c r="D1792" s="631"/>
      <c r="E1792" s="631"/>
      <c r="F1792" s="631"/>
      <c r="G1792" s="631"/>
      <c r="H1792" s="631"/>
      <c r="I1792" s="631"/>
      <c r="J1792" s="631"/>
      <c r="M1792" s="475"/>
      <c r="N1792" s="475"/>
      <c r="O1792" s="458"/>
      <c r="P1792" s="545"/>
      <c r="R1792" s="490" t="str">
        <f t="shared" si="81"/>
        <v>DELETE</v>
      </c>
    </row>
    <row r="1793" spans="2:18" ht="36" customHeight="1" x14ac:dyDescent="0.5">
      <c r="B1793" s="502"/>
      <c r="C1793" s="631"/>
      <c r="D1793" s="631"/>
      <c r="E1793" s="631"/>
      <c r="F1793" s="631"/>
      <c r="G1793" s="631"/>
      <c r="H1793" s="631"/>
      <c r="I1793" s="631"/>
      <c r="J1793" s="631"/>
      <c r="M1793" s="545"/>
      <c r="N1793" s="545"/>
      <c r="O1793" s="545"/>
      <c r="P1793" s="545"/>
      <c r="R1793" s="490" t="str">
        <f t="shared" si="81"/>
        <v>DELETE</v>
      </c>
    </row>
    <row r="1794" spans="2:18" ht="36" customHeight="1" x14ac:dyDescent="0.5">
      <c r="B1794" s="502"/>
      <c r="C1794" s="631" t="str">
        <f>IF(SUM(TrialBalance!L241:L245)=0," ",IF(Criteria!F135="Yes",CONCATENATE("Investment property is pledged as security - See Note ",'FS2'!B2296)," "))</f>
        <v xml:space="preserve"> </v>
      </c>
      <c r="D1794" s="648"/>
      <c r="E1794" s="631"/>
      <c r="F1794" s="631"/>
      <c r="G1794" s="631"/>
      <c r="H1794" s="631"/>
      <c r="I1794" s="631"/>
      <c r="J1794" s="631"/>
      <c r="M1794" s="545"/>
      <c r="N1794" s="545"/>
      <c r="O1794" s="545"/>
      <c r="P1794" s="545"/>
      <c r="R1794" s="490" t="str">
        <f>IF(R$1754="DELETE","DELETE",IF(C1794=" ","DELETE"," "))</f>
        <v>DELETE</v>
      </c>
    </row>
    <row r="1795" spans="2:18" ht="36" customHeight="1" x14ac:dyDescent="0.5">
      <c r="B1795" s="502"/>
      <c r="C1795" s="631"/>
      <c r="D1795" s="631"/>
      <c r="E1795" s="631"/>
      <c r="F1795" s="631"/>
      <c r="G1795" s="631"/>
      <c r="H1795" s="631"/>
      <c r="I1795" s="631"/>
      <c r="J1795" s="631"/>
      <c r="M1795" s="545"/>
      <c r="N1795" s="545"/>
      <c r="O1795" s="545"/>
      <c r="P1795" s="545"/>
      <c r="R1795" s="490" t="str">
        <f t="shared" si="81"/>
        <v>DELETE</v>
      </c>
    </row>
    <row r="1796" spans="2:18" ht="36" customHeight="1" x14ac:dyDescent="0.5">
      <c r="B1796" s="502"/>
      <c r="C1796" s="631"/>
      <c r="D1796" s="631"/>
      <c r="E1796" s="631"/>
      <c r="F1796" s="631"/>
      <c r="G1796" s="631"/>
      <c r="H1796" s="631"/>
      <c r="I1796" s="631"/>
      <c r="J1796" s="631"/>
      <c r="M1796" s="545"/>
      <c r="N1796" s="545"/>
      <c r="O1796" s="545"/>
      <c r="P1796" s="545"/>
      <c r="R1796" s="490" t="str">
        <f t="shared" si="81"/>
        <v>DELETE</v>
      </c>
    </row>
    <row r="1797" spans="2:18" ht="36" customHeight="1" x14ac:dyDescent="0.5">
      <c r="B1797" s="502"/>
      <c r="C1797" s="631"/>
      <c r="D1797" s="631"/>
      <c r="E1797" s="631"/>
      <c r="F1797" s="631"/>
      <c r="G1797" s="631"/>
      <c r="H1797" s="631"/>
      <c r="I1797" s="631"/>
      <c r="J1797" s="631"/>
      <c r="M1797" s="545"/>
      <c r="N1797" s="545"/>
      <c r="O1797" s="545"/>
      <c r="P1797" s="545"/>
      <c r="R1797" s="490" t="str">
        <f t="shared" si="81"/>
        <v>DELETE</v>
      </c>
    </row>
    <row r="1798" spans="2:18" ht="36" customHeight="1" x14ac:dyDescent="0.5">
      <c r="B1798" s="502"/>
      <c r="C1798" s="631"/>
      <c r="D1798" s="631"/>
      <c r="E1798" s="631"/>
      <c r="F1798" s="631"/>
      <c r="G1798" s="631"/>
      <c r="H1798" s="631"/>
      <c r="I1798" s="631"/>
      <c r="J1798" s="631"/>
      <c r="M1798" s="540"/>
      <c r="O1798" s="540"/>
      <c r="R1798" s="490" t="str">
        <f t="shared" si="81"/>
        <v>DELETE</v>
      </c>
    </row>
    <row r="1799" spans="2:18" ht="36" customHeight="1" x14ac:dyDescent="0.5">
      <c r="B1799" s="502"/>
      <c r="C1799" s="631"/>
      <c r="D1799" s="631"/>
      <c r="E1799" s="631"/>
      <c r="F1799" s="631"/>
      <c r="G1799" s="631"/>
      <c r="H1799" s="631"/>
      <c r="I1799" s="631"/>
      <c r="J1799" s="631"/>
      <c r="M1799" s="540"/>
      <c r="O1799" s="454" t="s">
        <v>112</v>
      </c>
      <c r="Q1799" s="450">
        <f>MAX($Q$103:Q1798)+1</f>
        <v>46</v>
      </c>
      <c r="R1799" s="490" t="str">
        <f t="shared" ref="R1799:R1810" si="87">R$1851</f>
        <v>DELETE</v>
      </c>
    </row>
    <row r="1800" spans="2:18" ht="36" customHeight="1" x14ac:dyDescent="0.5">
      <c r="B1800" s="502"/>
      <c r="C1800" s="631"/>
      <c r="D1800" s="630" t="str">
        <f>Criteria!E9</f>
        <v>ABC COMPANY (PROPRIETARY) LIMITED</v>
      </c>
      <c r="E1800" s="631"/>
      <c r="F1800" s="631"/>
      <c r="G1800" s="631"/>
      <c r="H1800" s="631"/>
      <c r="I1800" s="631"/>
      <c r="J1800" s="631"/>
      <c r="M1800" s="540"/>
      <c r="O1800" s="540"/>
      <c r="R1800" s="490" t="str">
        <f t="shared" si="87"/>
        <v>DELETE</v>
      </c>
    </row>
    <row r="1801" spans="2:18" ht="36" customHeight="1" x14ac:dyDescent="0.5">
      <c r="B1801" s="502"/>
      <c r="C1801" s="631"/>
      <c r="D1801" s="630" t="str">
        <f>Criteria!E10</f>
        <v>T/A SEAFRONT HOTEL, ABC RESTAURANT AND RENTAL PROPERTIES</v>
      </c>
      <c r="E1801" s="631"/>
      <c r="F1801" s="631"/>
      <c r="G1801" s="631"/>
      <c r="H1801" s="631"/>
      <c r="I1801" s="631"/>
      <c r="J1801" s="631"/>
      <c r="M1801" s="540"/>
      <c r="O1801" s="540"/>
      <c r="R1801" s="490" t="str">
        <f>IF(R$1851="DELETE","DELETE",IF(D1801=0,"DELETE"," "))</f>
        <v>DELETE</v>
      </c>
    </row>
    <row r="1802" spans="2:18" ht="36" customHeight="1" x14ac:dyDescent="0.5">
      <c r="B1802" s="502"/>
      <c r="C1802" s="631"/>
      <c r="D1802" s="631"/>
      <c r="E1802" s="631"/>
      <c r="F1802" s="631"/>
      <c r="G1802" s="631"/>
      <c r="H1802" s="631"/>
      <c r="I1802" s="631"/>
      <c r="J1802" s="631"/>
      <c r="M1802" s="540"/>
      <c r="O1802" s="540"/>
      <c r="R1802" s="490" t="str">
        <f t="shared" si="87"/>
        <v>DELETE</v>
      </c>
    </row>
    <row r="1803" spans="2:18" ht="36" customHeight="1" x14ac:dyDescent="0.5">
      <c r="B1803" s="502"/>
      <c r="C1803" s="631"/>
      <c r="D1803" s="630" t="s">
        <v>415</v>
      </c>
      <c r="E1803" s="631"/>
      <c r="F1803" s="631"/>
      <c r="G1803" s="631"/>
      <c r="H1803" s="631"/>
      <c r="I1803" s="631"/>
      <c r="J1803" s="631"/>
      <c r="M1803" s="540"/>
      <c r="O1803" s="540"/>
      <c r="R1803" s="490" t="str">
        <f t="shared" si="87"/>
        <v>DELETE</v>
      </c>
    </row>
    <row r="1804" spans="2:18" ht="36" customHeight="1" x14ac:dyDescent="0.5">
      <c r="B1804" s="502"/>
      <c r="C1804" s="631"/>
      <c r="D1804" s="630" t="str">
        <f>Criteria!E20</f>
        <v>28 FEBRUARY 2026</v>
      </c>
      <c r="E1804" s="631"/>
      <c r="F1804" s="631"/>
      <c r="G1804" s="631"/>
      <c r="H1804" s="631"/>
      <c r="I1804" s="631"/>
      <c r="J1804" s="631" t="s">
        <v>282</v>
      </c>
      <c r="M1804" s="540"/>
      <c r="O1804" s="540"/>
      <c r="R1804" s="490" t="str">
        <f t="shared" si="87"/>
        <v>DELETE</v>
      </c>
    </row>
    <row r="1805" spans="2:18" ht="36" customHeight="1" x14ac:dyDescent="0.5">
      <c r="B1805" s="502"/>
      <c r="C1805" s="631"/>
      <c r="D1805" s="631"/>
      <c r="E1805" s="631"/>
      <c r="F1805" s="631"/>
      <c r="G1805" s="631"/>
      <c r="H1805" s="631"/>
      <c r="I1805" s="631"/>
      <c r="J1805" s="631"/>
      <c r="M1805" s="540"/>
      <c r="O1805" s="540"/>
      <c r="R1805" s="490" t="str">
        <f t="shared" si="87"/>
        <v>DELETE</v>
      </c>
    </row>
    <row r="1806" spans="2:18" ht="36" customHeight="1" x14ac:dyDescent="0.5">
      <c r="B1806" s="641"/>
      <c r="C1806" s="649"/>
      <c r="D1806" s="649"/>
      <c r="E1806" s="649"/>
      <c r="F1806" s="649"/>
      <c r="G1806" s="649"/>
      <c r="H1806" s="649"/>
      <c r="I1806" s="649"/>
      <c r="J1806" s="649"/>
      <c r="K1806" s="457"/>
      <c r="L1806" s="457"/>
      <c r="M1806" s="551"/>
      <c r="N1806" s="551"/>
      <c r="O1806" s="551"/>
      <c r="P1806" s="551"/>
      <c r="Q1806" s="457"/>
      <c r="R1806" s="490" t="str">
        <f t="shared" si="87"/>
        <v>DELETE</v>
      </c>
    </row>
    <row r="1807" spans="2:18" ht="36" customHeight="1" x14ac:dyDescent="0.5">
      <c r="B1807" s="502"/>
      <c r="C1807" s="631"/>
      <c r="D1807" s="631"/>
      <c r="E1807" s="631"/>
      <c r="F1807" s="631"/>
      <c r="G1807" s="631"/>
      <c r="H1807" s="631"/>
      <c r="I1807" s="631"/>
      <c r="J1807" s="631"/>
      <c r="M1807" s="545"/>
      <c r="N1807" s="545"/>
      <c r="O1807" s="488">
        <f>Criteria!E22</f>
        <v>2026</v>
      </c>
      <c r="P1807" s="545"/>
      <c r="R1807" s="490" t="str">
        <f t="shared" si="87"/>
        <v>DELETE</v>
      </c>
    </row>
    <row r="1808" spans="2:18" ht="36" customHeight="1" x14ac:dyDescent="0.5">
      <c r="B1808" s="502"/>
      <c r="C1808" s="631"/>
      <c r="D1808" s="631"/>
      <c r="E1808" s="631"/>
      <c r="F1808" s="631"/>
      <c r="G1808" s="631"/>
      <c r="H1808" s="631"/>
      <c r="I1808" s="631"/>
      <c r="J1808" s="631"/>
      <c r="M1808" s="545"/>
      <c r="N1808" s="545"/>
      <c r="O1808" s="545"/>
      <c r="P1808" s="545"/>
      <c r="R1808" s="490" t="str">
        <f t="shared" si="87"/>
        <v>DELETE</v>
      </c>
    </row>
    <row r="1809" spans="2:18" ht="36" customHeight="1" x14ac:dyDescent="0.5">
      <c r="B1809" s="502"/>
      <c r="C1809" s="631" t="s">
        <v>1441</v>
      </c>
      <c r="D1809" s="631"/>
      <c r="E1809" s="631"/>
      <c r="F1809" s="631"/>
      <c r="G1809" s="631"/>
      <c r="H1809" s="631"/>
      <c r="I1809" s="631"/>
      <c r="J1809" s="631"/>
      <c r="M1809" s="545"/>
      <c r="N1809" s="545"/>
      <c r="O1809" s="545"/>
      <c r="P1809" s="545"/>
      <c r="R1809" s="490" t="str">
        <f t="shared" si="87"/>
        <v>DELETE</v>
      </c>
    </row>
    <row r="1810" spans="2:18" ht="36" customHeight="1" x14ac:dyDescent="0.5">
      <c r="B1810" s="502"/>
      <c r="C1810" s="631"/>
      <c r="D1810" s="631"/>
      <c r="E1810" s="631"/>
      <c r="F1810" s="631"/>
      <c r="G1810" s="631"/>
      <c r="H1810" s="631"/>
      <c r="I1810" s="631"/>
      <c r="J1810" s="631"/>
      <c r="M1810" s="545"/>
      <c r="N1810" s="545"/>
      <c r="O1810" s="545"/>
      <c r="P1810" s="545"/>
      <c r="R1810" s="490" t="str">
        <f t="shared" si="87"/>
        <v>DELETE</v>
      </c>
    </row>
    <row r="1811" spans="2:18" ht="36" customHeight="1" x14ac:dyDescent="0.5">
      <c r="B1811" s="502"/>
      <c r="C1811" s="631">
        <f>Criteria!C182</f>
        <v>0</v>
      </c>
      <c r="D1811" s="648"/>
      <c r="E1811" s="631"/>
      <c r="F1811" s="631"/>
      <c r="G1811" s="631"/>
      <c r="H1811" s="631"/>
      <c r="I1811" s="631"/>
      <c r="J1811" s="631"/>
      <c r="M1811" s="545"/>
      <c r="N1811" s="545"/>
      <c r="O1811" s="555">
        <f>Criteria!F182</f>
        <v>0</v>
      </c>
      <c r="P1811" s="545"/>
      <c r="R1811" s="490" t="str">
        <f>IF(O1811=0,"DELETE"," ")</f>
        <v>DELETE</v>
      </c>
    </row>
    <row r="1812" spans="2:18" ht="36" customHeight="1" x14ac:dyDescent="0.5">
      <c r="B1812" s="502"/>
      <c r="C1812" s="631">
        <f>Criteria!C183</f>
        <v>0</v>
      </c>
      <c r="D1812" s="648"/>
      <c r="E1812" s="631"/>
      <c r="F1812" s="631"/>
      <c r="G1812" s="631"/>
      <c r="H1812" s="631"/>
      <c r="I1812" s="631"/>
      <c r="J1812" s="631"/>
      <c r="M1812" s="545"/>
      <c r="N1812" s="545"/>
      <c r="O1812" s="555">
        <f>Criteria!F183</f>
        <v>0</v>
      </c>
      <c r="P1812" s="545"/>
      <c r="R1812" s="490" t="str">
        <f t="shared" ref="R1812:R1848" si="88">IF(O1812=0,"DELETE"," ")</f>
        <v>DELETE</v>
      </c>
    </row>
    <row r="1813" spans="2:18" ht="36" customHeight="1" x14ac:dyDescent="0.5">
      <c r="B1813" s="502"/>
      <c r="C1813" s="631">
        <f>Criteria!C184</f>
        <v>0</v>
      </c>
      <c r="D1813" s="648"/>
      <c r="E1813" s="631"/>
      <c r="F1813" s="631"/>
      <c r="G1813" s="631"/>
      <c r="H1813" s="631"/>
      <c r="I1813" s="631"/>
      <c r="J1813" s="631"/>
      <c r="M1813" s="545"/>
      <c r="N1813" s="545"/>
      <c r="O1813" s="555">
        <f>Criteria!F184</f>
        <v>0</v>
      </c>
      <c r="P1813" s="545"/>
      <c r="R1813" s="490" t="str">
        <f t="shared" si="88"/>
        <v>DELETE</v>
      </c>
    </row>
    <row r="1814" spans="2:18" ht="36" customHeight="1" x14ac:dyDescent="0.5">
      <c r="B1814" s="502"/>
      <c r="C1814" s="631">
        <f>Criteria!C185</f>
        <v>0</v>
      </c>
      <c r="D1814" s="648"/>
      <c r="E1814" s="631"/>
      <c r="F1814" s="631"/>
      <c r="G1814" s="631"/>
      <c r="H1814" s="631"/>
      <c r="I1814" s="631"/>
      <c r="J1814" s="631"/>
      <c r="M1814" s="545"/>
      <c r="N1814" s="545"/>
      <c r="O1814" s="555">
        <f>Criteria!F185</f>
        <v>0</v>
      </c>
      <c r="P1814" s="545"/>
      <c r="R1814" s="490" t="str">
        <f t="shared" si="88"/>
        <v>DELETE</v>
      </c>
    </row>
    <row r="1815" spans="2:18" ht="36" customHeight="1" x14ac:dyDescent="0.5">
      <c r="B1815" s="502"/>
      <c r="C1815" s="631">
        <f>Criteria!C186</f>
        <v>0</v>
      </c>
      <c r="D1815" s="648"/>
      <c r="E1815" s="631"/>
      <c r="F1815" s="631"/>
      <c r="G1815" s="631"/>
      <c r="H1815" s="631"/>
      <c r="I1815" s="631"/>
      <c r="J1815" s="631"/>
      <c r="M1815" s="545"/>
      <c r="N1815" s="545"/>
      <c r="O1815" s="555">
        <f>Criteria!F186</f>
        <v>0</v>
      </c>
      <c r="P1815" s="545"/>
      <c r="R1815" s="490" t="str">
        <f t="shared" si="88"/>
        <v>DELETE</v>
      </c>
    </row>
    <row r="1816" spans="2:18" ht="36" customHeight="1" x14ac:dyDescent="0.5">
      <c r="B1816" s="502"/>
      <c r="C1816" s="631">
        <f>Criteria!C187</f>
        <v>0</v>
      </c>
      <c r="D1816" s="648"/>
      <c r="E1816" s="631"/>
      <c r="F1816" s="631"/>
      <c r="G1816" s="631"/>
      <c r="H1816" s="631"/>
      <c r="I1816" s="631"/>
      <c r="J1816" s="631"/>
      <c r="M1816" s="545"/>
      <c r="N1816" s="545"/>
      <c r="O1816" s="555">
        <f>Criteria!F187</f>
        <v>0</v>
      </c>
      <c r="P1816" s="545"/>
      <c r="R1816" s="490" t="str">
        <f t="shared" si="88"/>
        <v>DELETE</v>
      </c>
    </row>
    <row r="1817" spans="2:18" ht="36" customHeight="1" x14ac:dyDescent="0.5">
      <c r="B1817" s="502"/>
      <c r="C1817" s="631">
        <f>Criteria!C188</f>
        <v>0</v>
      </c>
      <c r="D1817" s="648"/>
      <c r="E1817" s="631"/>
      <c r="F1817" s="631"/>
      <c r="G1817" s="631"/>
      <c r="H1817" s="631"/>
      <c r="I1817" s="631"/>
      <c r="J1817" s="631"/>
      <c r="M1817" s="545"/>
      <c r="N1817" s="545"/>
      <c r="O1817" s="555">
        <f>Criteria!F188</f>
        <v>0</v>
      </c>
      <c r="P1817" s="545"/>
      <c r="R1817" s="490" t="str">
        <f t="shared" si="88"/>
        <v>DELETE</v>
      </c>
    </row>
    <row r="1818" spans="2:18" ht="36" customHeight="1" x14ac:dyDescent="0.5">
      <c r="B1818" s="502"/>
      <c r="C1818" s="631">
        <f>Criteria!C189</f>
        <v>0</v>
      </c>
      <c r="D1818" s="648"/>
      <c r="E1818" s="631"/>
      <c r="F1818" s="631"/>
      <c r="G1818" s="631"/>
      <c r="H1818" s="631"/>
      <c r="I1818" s="631"/>
      <c r="J1818" s="631"/>
      <c r="M1818" s="545"/>
      <c r="N1818" s="545"/>
      <c r="O1818" s="555">
        <f>Criteria!F189</f>
        <v>0</v>
      </c>
      <c r="P1818" s="545"/>
      <c r="R1818" s="490" t="str">
        <f t="shared" si="88"/>
        <v>DELETE</v>
      </c>
    </row>
    <row r="1819" spans="2:18" ht="36" customHeight="1" x14ac:dyDescent="0.5">
      <c r="B1819" s="502"/>
      <c r="C1819" s="631">
        <f>Criteria!C190</f>
        <v>0</v>
      </c>
      <c r="D1819" s="648"/>
      <c r="E1819" s="631"/>
      <c r="F1819" s="631"/>
      <c r="G1819" s="631"/>
      <c r="H1819" s="631"/>
      <c r="I1819" s="631"/>
      <c r="J1819" s="631"/>
      <c r="M1819" s="545"/>
      <c r="N1819" s="545"/>
      <c r="O1819" s="555">
        <f>Criteria!F190</f>
        <v>0</v>
      </c>
      <c r="P1819" s="545"/>
      <c r="R1819" s="490" t="str">
        <f t="shared" si="88"/>
        <v>DELETE</v>
      </c>
    </row>
    <row r="1820" spans="2:18" ht="36" customHeight="1" x14ac:dyDescent="0.5">
      <c r="B1820" s="502"/>
      <c r="C1820" s="631">
        <f>Criteria!C191</f>
        <v>0</v>
      </c>
      <c r="D1820" s="648"/>
      <c r="E1820" s="631"/>
      <c r="F1820" s="631"/>
      <c r="G1820" s="631"/>
      <c r="H1820" s="631"/>
      <c r="I1820" s="631"/>
      <c r="J1820" s="631"/>
      <c r="M1820" s="545"/>
      <c r="N1820" s="545"/>
      <c r="O1820" s="555">
        <f>Criteria!F191</f>
        <v>0</v>
      </c>
      <c r="P1820" s="545"/>
      <c r="R1820" s="490" t="str">
        <f t="shared" si="88"/>
        <v>DELETE</v>
      </c>
    </row>
    <row r="1821" spans="2:18" ht="36" customHeight="1" x14ac:dyDescent="0.5">
      <c r="B1821" s="502"/>
      <c r="C1821" s="631">
        <f>Criteria!C192</f>
        <v>0</v>
      </c>
      <c r="D1821" s="648"/>
      <c r="E1821" s="631"/>
      <c r="F1821" s="631"/>
      <c r="G1821" s="631"/>
      <c r="H1821" s="631"/>
      <c r="I1821" s="631"/>
      <c r="J1821" s="631"/>
      <c r="M1821" s="545"/>
      <c r="N1821" s="545"/>
      <c r="O1821" s="555">
        <f>Criteria!F192</f>
        <v>0</v>
      </c>
      <c r="P1821" s="545"/>
      <c r="R1821" s="490" t="str">
        <f t="shared" si="88"/>
        <v>DELETE</v>
      </c>
    </row>
    <row r="1822" spans="2:18" ht="36" customHeight="1" x14ac:dyDescent="0.5">
      <c r="B1822" s="502"/>
      <c r="C1822" s="631">
        <f>Criteria!C193</f>
        <v>0</v>
      </c>
      <c r="D1822" s="648"/>
      <c r="E1822" s="631"/>
      <c r="F1822" s="631"/>
      <c r="G1822" s="631"/>
      <c r="H1822" s="631"/>
      <c r="I1822" s="631"/>
      <c r="J1822" s="631"/>
      <c r="M1822" s="545"/>
      <c r="N1822" s="545"/>
      <c r="O1822" s="555">
        <f>Criteria!F193</f>
        <v>0</v>
      </c>
      <c r="P1822" s="545"/>
      <c r="R1822" s="490" t="str">
        <f t="shared" si="88"/>
        <v>DELETE</v>
      </c>
    </row>
    <row r="1823" spans="2:18" ht="36" customHeight="1" x14ac:dyDescent="0.5">
      <c r="B1823" s="502"/>
      <c r="C1823" s="631">
        <f>Criteria!C194</f>
        <v>0</v>
      </c>
      <c r="D1823" s="648"/>
      <c r="E1823" s="631"/>
      <c r="F1823" s="631"/>
      <c r="G1823" s="631"/>
      <c r="H1823" s="631"/>
      <c r="I1823" s="631"/>
      <c r="J1823" s="631"/>
      <c r="M1823" s="545"/>
      <c r="N1823" s="545"/>
      <c r="O1823" s="555">
        <f>Criteria!F194</f>
        <v>0</v>
      </c>
      <c r="P1823" s="545"/>
      <c r="R1823" s="490" t="str">
        <f t="shared" si="88"/>
        <v>DELETE</v>
      </c>
    </row>
    <row r="1824" spans="2:18" ht="36" customHeight="1" x14ac:dyDescent="0.5">
      <c r="B1824" s="502"/>
      <c r="C1824" s="631">
        <f>Criteria!C195</f>
        <v>0</v>
      </c>
      <c r="D1824" s="648"/>
      <c r="E1824" s="631"/>
      <c r="F1824" s="631"/>
      <c r="G1824" s="631"/>
      <c r="H1824" s="631"/>
      <c r="I1824" s="631"/>
      <c r="J1824" s="631"/>
      <c r="M1824" s="545"/>
      <c r="N1824" s="545"/>
      <c r="O1824" s="555">
        <f>Criteria!F195</f>
        <v>0</v>
      </c>
      <c r="P1824" s="545"/>
      <c r="R1824" s="490" t="str">
        <f t="shared" si="88"/>
        <v>DELETE</v>
      </c>
    </row>
    <row r="1825" spans="2:18" ht="36" customHeight="1" x14ac:dyDescent="0.5">
      <c r="B1825" s="502"/>
      <c r="C1825" s="631">
        <f>Criteria!C196</f>
        <v>0</v>
      </c>
      <c r="D1825" s="648"/>
      <c r="E1825" s="631"/>
      <c r="F1825" s="631"/>
      <c r="G1825" s="631"/>
      <c r="H1825" s="631"/>
      <c r="I1825" s="631"/>
      <c r="J1825" s="631"/>
      <c r="M1825" s="545"/>
      <c r="N1825" s="545"/>
      <c r="O1825" s="555">
        <f>Criteria!F196</f>
        <v>0</v>
      </c>
      <c r="P1825" s="545"/>
      <c r="R1825" s="490" t="str">
        <f t="shared" si="88"/>
        <v>DELETE</v>
      </c>
    </row>
    <row r="1826" spans="2:18" ht="36" customHeight="1" x14ac:dyDescent="0.5">
      <c r="B1826" s="502"/>
      <c r="C1826" s="631">
        <f>Criteria!C197</f>
        <v>0</v>
      </c>
      <c r="D1826" s="648"/>
      <c r="E1826" s="631"/>
      <c r="F1826" s="631"/>
      <c r="G1826" s="631"/>
      <c r="H1826" s="631"/>
      <c r="I1826" s="631"/>
      <c r="J1826" s="631"/>
      <c r="M1826" s="545"/>
      <c r="N1826" s="545"/>
      <c r="O1826" s="555">
        <f>Criteria!F197</f>
        <v>0</v>
      </c>
      <c r="P1826" s="545"/>
      <c r="R1826" s="490" t="str">
        <f t="shared" si="88"/>
        <v>DELETE</v>
      </c>
    </row>
    <row r="1827" spans="2:18" ht="36" customHeight="1" x14ac:dyDescent="0.5">
      <c r="B1827" s="502"/>
      <c r="C1827" s="631">
        <f>Criteria!C198</f>
        <v>0</v>
      </c>
      <c r="D1827" s="648"/>
      <c r="E1827" s="631"/>
      <c r="F1827" s="631"/>
      <c r="G1827" s="631"/>
      <c r="H1827" s="631"/>
      <c r="I1827" s="631"/>
      <c r="J1827" s="631"/>
      <c r="M1827" s="545"/>
      <c r="N1827" s="545"/>
      <c r="O1827" s="555">
        <f>Criteria!F198</f>
        <v>0</v>
      </c>
      <c r="P1827" s="545"/>
      <c r="R1827" s="490" t="str">
        <f t="shared" si="88"/>
        <v>DELETE</v>
      </c>
    </row>
    <row r="1828" spans="2:18" ht="36" customHeight="1" x14ac:dyDescent="0.5">
      <c r="B1828" s="502"/>
      <c r="C1828" s="631">
        <f>Criteria!C199</f>
        <v>0</v>
      </c>
      <c r="D1828" s="648"/>
      <c r="E1828" s="631"/>
      <c r="F1828" s="631"/>
      <c r="G1828" s="631"/>
      <c r="H1828" s="631"/>
      <c r="I1828" s="631"/>
      <c r="J1828" s="631"/>
      <c r="M1828" s="545"/>
      <c r="N1828" s="545"/>
      <c r="O1828" s="555">
        <f>Criteria!F199</f>
        <v>0</v>
      </c>
      <c r="P1828" s="545"/>
      <c r="R1828" s="490" t="str">
        <f t="shared" si="88"/>
        <v>DELETE</v>
      </c>
    </row>
    <row r="1829" spans="2:18" ht="36" customHeight="1" x14ac:dyDescent="0.5">
      <c r="B1829" s="502"/>
      <c r="C1829" s="631">
        <f>Criteria!C200</f>
        <v>0</v>
      </c>
      <c r="D1829" s="648"/>
      <c r="E1829" s="631"/>
      <c r="F1829" s="631"/>
      <c r="G1829" s="631"/>
      <c r="H1829" s="631"/>
      <c r="I1829" s="631"/>
      <c r="J1829" s="631"/>
      <c r="M1829" s="545"/>
      <c r="N1829" s="545"/>
      <c r="O1829" s="555">
        <f>Criteria!F200</f>
        <v>0</v>
      </c>
      <c r="P1829" s="545"/>
      <c r="R1829" s="490" t="str">
        <f t="shared" si="88"/>
        <v>DELETE</v>
      </c>
    </row>
    <row r="1830" spans="2:18" ht="36" customHeight="1" x14ac:dyDescent="0.5">
      <c r="B1830" s="502"/>
      <c r="C1830" s="631">
        <f>Criteria!C201</f>
        <v>0</v>
      </c>
      <c r="D1830" s="648"/>
      <c r="E1830" s="631"/>
      <c r="F1830" s="631"/>
      <c r="G1830" s="631"/>
      <c r="H1830" s="631"/>
      <c r="I1830" s="631"/>
      <c r="J1830" s="631"/>
      <c r="M1830" s="545"/>
      <c r="N1830" s="545"/>
      <c r="O1830" s="555">
        <f>Criteria!F201</f>
        <v>0</v>
      </c>
      <c r="P1830" s="545"/>
      <c r="R1830" s="490" t="str">
        <f t="shared" si="88"/>
        <v>DELETE</v>
      </c>
    </row>
    <row r="1831" spans="2:18" ht="36" customHeight="1" x14ac:dyDescent="0.5">
      <c r="B1831" s="502"/>
      <c r="C1831" s="631">
        <f>Criteria!C202</f>
        <v>0</v>
      </c>
      <c r="D1831" s="648"/>
      <c r="E1831" s="631"/>
      <c r="F1831" s="631"/>
      <c r="G1831" s="631"/>
      <c r="H1831" s="631"/>
      <c r="I1831" s="631"/>
      <c r="J1831" s="631"/>
      <c r="M1831" s="545"/>
      <c r="N1831" s="545"/>
      <c r="O1831" s="555">
        <f>Criteria!F202</f>
        <v>0</v>
      </c>
      <c r="P1831" s="545"/>
      <c r="R1831" s="490" t="str">
        <f t="shared" si="88"/>
        <v>DELETE</v>
      </c>
    </row>
    <row r="1832" spans="2:18" ht="36" customHeight="1" x14ac:dyDescent="0.5">
      <c r="B1832" s="502"/>
      <c r="C1832" s="631">
        <f>Criteria!C203</f>
        <v>0</v>
      </c>
      <c r="D1832" s="648"/>
      <c r="E1832" s="631"/>
      <c r="F1832" s="631"/>
      <c r="G1832" s="631"/>
      <c r="H1832" s="631"/>
      <c r="I1832" s="631"/>
      <c r="J1832" s="631"/>
      <c r="M1832" s="545"/>
      <c r="N1832" s="545"/>
      <c r="O1832" s="555">
        <f>Criteria!F203</f>
        <v>0</v>
      </c>
      <c r="P1832" s="545"/>
      <c r="R1832" s="490" t="str">
        <f t="shared" si="88"/>
        <v>DELETE</v>
      </c>
    </row>
    <row r="1833" spans="2:18" ht="36" customHeight="1" x14ac:dyDescent="0.5">
      <c r="B1833" s="502"/>
      <c r="C1833" s="631">
        <f>Criteria!C204</f>
        <v>0</v>
      </c>
      <c r="D1833" s="648"/>
      <c r="E1833" s="631"/>
      <c r="F1833" s="631"/>
      <c r="G1833" s="631"/>
      <c r="H1833" s="631"/>
      <c r="I1833" s="631"/>
      <c r="J1833" s="631"/>
      <c r="M1833" s="545"/>
      <c r="N1833" s="545"/>
      <c r="O1833" s="555">
        <f>Criteria!F204</f>
        <v>0</v>
      </c>
      <c r="P1833" s="545"/>
      <c r="R1833" s="490" t="str">
        <f t="shared" si="88"/>
        <v>DELETE</v>
      </c>
    </row>
    <row r="1834" spans="2:18" ht="36" customHeight="1" x14ac:dyDescent="0.5">
      <c r="B1834" s="502"/>
      <c r="C1834" s="631">
        <f>Criteria!C205</f>
        <v>0</v>
      </c>
      <c r="D1834" s="648"/>
      <c r="E1834" s="631"/>
      <c r="F1834" s="631"/>
      <c r="G1834" s="631"/>
      <c r="H1834" s="631"/>
      <c r="I1834" s="631"/>
      <c r="J1834" s="631"/>
      <c r="M1834" s="545"/>
      <c r="N1834" s="545"/>
      <c r="O1834" s="555">
        <f>Criteria!F205</f>
        <v>0</v>
      </c>
      <c r="P1834" s="545"/>
      <c r="R1834" s="490" t="str">
        <f t="shared" si="88"/>
        <v>DELETE</v>
      </c>
    </row>
    <row r="1835" spans="2:18" ht="36" customHeight="1" x14ac:dyDescent="0.5">
      <c r="B1835" s="502"/>
      <c r="C1835" s="631">
        <f>Criteria!C206</f>
        <v>0</v>
      </c>
      <c r="D1835" s="648"/>
      <c r="E1835" s="631"/>
      <c r="F1835" s="631"/>
      <c r="G1835" s="631"/>
      <c r="H1835" s="631"/>
      <c r="I1835" s="631"/>
      <c r="J1835" s="631"/>
      <c r="M1835" s="545"/>
      <c r="N1835" s="545"/>
      <c r="O1835" s="555">
        <f>Criteria!F206</f>
        <v>0</v>
      </c>
      <c r="P1835" s="545"/>
      <c r="R1835" s="490" t="str">
        <f t="shared" si="88"/>
        <v>DELETE</v>
      </c>
    </row>
    <row r="1836" spans="2:18" ht="36" customHeight="1" x14ac:dyDescent="0.5">
      <c r="B1836" s="502"/>
      <c r="C1836" s="631">
        <f>Criteria!C207</f>
        <v>0</v>
      </c>
      <c r="D1836" s="648"/>
      <c r="E1836" s="631"/>
      <c r="F1836" s="631"/>
      <c r="G1836" s="631"/>
      <c r="H1836" s="631"/>
      <c r="I1836" s="631"/>
      <c r="J1836" s="631"/>
      <c r="M1836" s="545"/>
      <c r="N1836" s="545"/>
      <c r="O1836" s="555">
        <f>Criteria!F207</f>
        <v>0</v>
      </c>
      <c r="P1836" s="545"/>
      <c r="R1836" s="490" t="str">
        <f t="shared" si="88"/>
        <v>DELETE</v>
      </c>
    </row>
    <row r="1837" spans="2:18" ht="36" customHeight="1" x14ac:dyDescent="0.5">
      <c r="B1837" s="502"/>
      <c r="C1837" s="631">
        <f>Criteria!C208</f>
        <v>0</v>
      </c>
      <c r="D1837" s="648"/>
      <c r="E1837" s="631"/>
      <c r="F1837" s="631"/>
      <c r="G1837" s="631"/>
      <c r="H1837" s="631"/>
      <c r="I1837" s="631"/>
      <c r="J1837" s="631"/>
      <c r="M1837" s="545"/>
      <c r="N1837" s="545"/>
      <c r="O1837" s="555">
        <f>Criteria!F208</f>
        <v>0</v>
      </c>
      <c r="P1837" s="545"/>
      <c r="R1837" s="490" t="str">
        <f t="shared" si="88"/>
        <v>DELETE</v>
      </c>
    </row>
    <row r="1838" spans="2:18" ht="36" customHeight="1" x14ac:dyDescent="0.5">
      <c r="B1838" s="502"/>
      <c r="C1838" s="631">
        <f>Criteria!C209</f>
        <v>0</v>
      </c>
      <c r="D1838" s="648"/>
      <c r="E1838" s="631"/>
      <c r="F1838" s="631"/>
      <c r="G1838" s="631"/>
      <c r="H1838" s="631"/>
      <c r="I1838" s="631"/>
      <c r="J1838" s="631"/>
      <c r="M1838" s="545"/>
      <c r="N1838" s="545"/>
      <c r="O1838" s="555">
        <f>Criteria!F209</f>
        <v>0</v>
      </c>
      <c r="P1838" s="545"/>
      <c r="R1838" s="490" t="str">
        <f t="shared" si="88"/>
        <v>DELETE</v>
      </c>
    </row>
    <row r="1839" spans="2:18" ht="36" customHeight="1" x14ac:dyDescent="0.5">
      <c r="B1839" s="502"/>
      <c r="C1839" s="631">
        <f>Criteria!C210</f>
        <v>0</v>
      </c>
      <c r="D1839" s="648"/>
      <c r="E1839" s="631"/>
      <c r="F1839" s="631"/>
      <c r="G1839" s="631"/>
      <c r="H1839" s="631"/>
      <c r="I1839" s="631"/>
      <c r="J1839" s="631"/>
      <c r="M1839" s="545"/>
      <c r="N1839" s="545"/>
      <c r="O1839" s="555">
        <f>Criteria!F210</f>
        <v>0</v>
      </c>
      <c r="P1839" s="545"/>
      <c r="R1839" s="490" t="str">
        <f t="shared" si="88"/>
        <v>DELETE</v>
      </c>
    </row>
    <row r="1840" spans="2:18" ht="36" customHeight="1" x14ac:dyDescent="0.5">
      <c r="B1840" s="502"/>
      <c r="C1840" s="631">
        <f>Criteria!C211</f>
        <v>0</v>
      </c>
      <c r="D1840" s="648"/>
      <c r="E1840" s="631"/>
      <c r="F1840" s="631"/>
      <c r="G1840" s="631"/>
      <c r="H1840" s="631"/>
      <c r="I1840" s="631"/>
      <c r="J1840" s="631"/>
      <c r="M1840" s="545"/>
      <c r="N1840" s="545"/>
      <c r="O1840" s="555">
        <f>Criteria!F211</f>
        <v>0</v>
      </c>
      <c r="P1840" s="545"/>
      <c r="R1840" s="490" t="str">
        <f t="shared" si="88"/>
        <v>DELETE</v>
      </c>
    </row>
    <row r="1841" spans="2:21" ht="36" customHeight="1" x14ac:dyDescent="0.5">
      <c r="B1841" s="502"/>
      <c r="C1841" s="631">
        <f>Criteria!C212</f>
        <v>0</v>
      </c>
      <c r="D1841" s="648"/>
      <c r="E1841" s="631"/>
      <c r="F1841" s="631"/>
      <c r="G1841" s="631"/>
      <c r="H1841" s="631"/>
      <c r="I1841" s="631"/>
      <c r="J1841" s="631"/>
      <c r="M1841" s="545"/>
      <c r="N1841" s="545"/>
      <c r="O1841" s="555">
        <f>Criteria!F212</f>
        <v>0</v>
      </c>
      <c r="P1841" s="545"/>
      <c r="R1841" s="490" t="str">
        <f t="shared" si="88"/>
        <v>DELETE</v>
      </c>
    </row>
    <row r="1842" spans="2:21" ht="36" customHeight="1" x14ac:dyDescent="0.5">
      <c r="B1842" s="502"/>
      <c r="C1842" s="631">
        <f>Criteria!C213</f>
        <v>0</v>
      </c>
      <c r="D1842" s="648"/>
      <c r="E1842" s="631"/>
      <c r="F1842" s="631"/>
      <c r="G1842" s="631"/>
      <c r="H1842" s="631"/>
      <c r="I1842" s="631"/>
      <c r="J1842" s="631"/>
      <c r="M1842" s="545"/>
      <c r="N1842" s="545"/>
      <c r="O1842" s="555">
        <f>Criteria!F213</f>
        <v>0</v>
      </c>
      <c r="P1842" s="545"/>
      <c r="R1842" s="490" t="str">
        <f t="shared" si="88"/>
        <v>DELETE</v>
      </c>
    </row>
    <row r="1843" spans="2:21" ht="36" customHeight="1" x14ac:dyDescent="0.5">
      <c r="B1843" s="502"/>
      <c r="C1843" s="631">
        <f>Criteria!C214</f>
        <v>0</v>
      </c>
      <c r="D1843" s="648"/>
      <c r="E1843" s="631"/>
      <c r="F1843" s="631"/>
      <c r="G1843" s="631"/>
      <c r="H1843" s="631"/>
      <c r="I1843" s="631"/>
      <c r="J1843" s="631"/>
      <c r="M1843" s="545"/>
      <c r="N1843" s="545"/>
      <c r="O1843" s="555">
        <f>Criteria!F214</f>
        <v>0</v>
      </c>
      <c r="P1843" s="545"/>
      <c r="R1843" s="490" t="str">
        <f t="shared" si="88"/>
        <v>DELETE</v>
      </c>
    </row>
    <row r="1844" spans="2:21" ht="36" customHeight="1" x14ac:dyDescent="0.5">
      <c r="B1844" s="502"/>
      <c r="C1844" s="631">
        <f>Criteria!C215</f>
        <v>0</v>
      </c>
      <c r="D1844" s="648"/>
      <c r="E1844" s="631"/>
      <c r="F1844" s="631"/>
      <c r="G1844" s="631"/>
      <c r="H1844" s="631"/>
      <c r="I1844" s="631"/>
      <c r="J1844" s="631"/>
      <c r="M1844" s="545"/>
      <c r="N1844" s="545"/>
      <c r="O1844" s="555">
        <f>Criteria!F215</f>
        <v>0</v>
      </c>
      <c r="P1844" s="545"/>
      <c r="R1844" s="490" t="str">
        <f t="shared" si="88"/>
        <v>DELETE</v>
      </c>
    </row>
    <row r="1845" spans="2:21" ht="36" customHeight="1" x14ac:dyDescent="0.5">
      <c r="B1845" s="502"/>
      <c r="C1845" s="631">
        <f>Criteria!C216</f>
        <v>0</v>
      </c>
      <c r="D1845" s="648"/>
      <c r="E1845" s="631"/>
      <c r="F1845" s="631"/>
      <c r="G1845" s="631"/>
      <c r="H1845" s="631"/>
      <c r="I1845" s="631"/>
      <c r="J1845" s="631"/>
      <c r="M1845" s="545"/>
      <c r="N1845" s="545"/>
      <c r="O1845" s="555">
        <f>Criteria!F216</f>
        <v>0</v>
      </c>
      <c r="P1845" s="545"/>
      <c r="R1845" s="490" t="str">
        <f t="shared" si="88"/>
        <v>DELETE</v>
      </c>
    </row>
    <row r="1846" spans="2:21" ht="36" customHeight="1" x14ac:dyDescent="0.5">
      <c r="B1846" s="502"/>
      <c r="C1846" s="631">
        <f>Criteria!C217</f>
        <v>0</v>
      </c>
      <c r="D1846" s="648"/>
      <c r="E1846" s="631"/>
      <c r="F1846" s="631"/>
      <c r="G1846" s="631"/>
      <c r="H1846" s="631"/>
      <c r="I1846" s="631"/>
      <c r="J1846" s="631"/>
      <c r="M1846" s="545"/>
      <c r="N1846" s="545"/>
      <c r="O1846" s="555">
        <f>Criteria!F217</f>
        <v>0</v>
      </c>
      <c r="P1846" s="545"/>
      <c r="R1846" s="490" t="str">
        <f t="shared" si="88"/>
        <v>DELETE</v>
      </c>
    </row>
    <row r="1847" spans="2:21" ht="36" customHeight="1" x14ac:dyDescent="0.5">
      <c r="B1847" s="502"/>
      <c r="C1847" s="631">
        <f>Criteria!C218</f>
        <v>0</v>
      </c>
      <c r="D1847" s="648"/>
      <c r="E1847" s="631"/>
      <c r="F1847" s="631"/>
      <c r="G1847" s="631"/>
      <c r="H1847" s="631"/>
      <c r="I1847" s="631"/>
      <c r="J1847" s="631"/>
      <c r="M1847" s="545"/>
      <c r="N1847" s="545"/>
      <c r="O1847" s="555">
        <f>Criteria!F218</f>
        <v>0</v>
      </c>
      <c r="P1847" s="545"/>
      <c r="R1847" s="490" t="str">
        <f t="shared" si="88"/>
        <v>DELETE</v>
      </c>
    </row>
    <row r="1848" spans="2:21" ht="36" customHeight="1" x14ac:dyDescent="0.5">
      <c r="B1848" s="502"/>
      <c r="C1848" s="631">
        <f>Criteria!C219</f>
        <v>0</v>
      </c>
      <c r="D1848" s="648"/>
      <c r="E1848" s="631"/>
      <c r="F1848" s="631"/>
      <c r="G1848" s="631"/>
      <c r="H1848" s="631"/>
      <c r="I1848" s="631"/>
      <c r="J1848" s="631"/>
      <c r="M1848" s="545"/>
      <c r="N1848" s="545"/>
      <c r="O1848" s="555">
        <f>Criteria!F219</f>
        <v>0</v>
      </c>
      <c r="P1848" s="545"/>
      <c r="R1848" s="490" t="str">
        <f t="shared" si="88"/>
        <v>DELETE</v>
      </c>
    </row>
    <row r="1849" spans="2:21" ht="9" customHeight="1" x14ac:dyDescent="0.5">
      <c r="B1849" s="502"/>
      <c r="C1849" s="631"/>
      <c r="D1849" s="631"/>
      <c r="E1849" s="631"/>
      <c r="F1849" s="631"/>
      <c r="G1849" s="631"/>
      <c r="H1849" s="631"/>
      <c r="I1849" s="631"/>
      <c r="J1849" s="631"/>
      <c r="M1849" s="545"/>
      <c r="N1849" s="545"/>
      <c r="O1849" s="543"/>
      <c r="P1849" s="545"/>
      <c r="R1849" s="490" t="str">
        <f>R$1851</f>
        <v>DELETE</v>
      </c>
    </row>
    <row r="1850" spans="2:21" ht="9" customHeight="1" x14ac:dyDescent="0.5">
      <c r="B1850" s="502"/>
      <c r="C1850" s="631"/>
      <c r="D1850" s="631"/>
      <c r="E1850" s="631"/>
      <c r="F1850" s="631"/>
      <c r="G1850" s="631"/>
      <c r="H1850" s="631"/>
      <c r="I1850" s="631"/>
      <c r="J1850" s="631"/>
      <c r="M1850" s="545"/>
      <c r="N1850" s="545"/>
      <c r="O1850" s="545"/>
      <c r="P1850" s="545"/>
      <c r="R1850" s="490" t="str">
        <f>R$1851</f>
        <v>DELETE</v>
      </c>
    </row>
    <row r="1851" spans="2:21" ht="36.75" customHeight="1" x14ac:dyDescent="0.5">
      <c r="B1851" s="502"/>
      <c r="C1851" s="631"/>
      <c r="D1851" s="631"/>
      <c r="E1851" s="631"/>
      <c r="F1851" s="631"/>
      <c r="G1851" s="631"/>
      <c r="H1851" s="631"/>
      <c r="I1851" s="631"/>
      <c r="J1851" s="631"/>
      <c r="M1851" s="545"/>
      <c r="N1851" s="545"/>
      <c r="O1851" s="555">
        <f>SUM(O1811:O1849)</f>
        <v>0</v>
      </c>
      <c r="P1851" s="545"/>
      <c r="R1851" s="490" t="str">
        <f>IF(O1851=0,"DELETE"," ")</f>
        <v>DELETE</v>
      </c>
      <c r="U1851" s="491" t="b">
        <f>O1851=O1785</f>
        <v>1</v>
      </c>
    </row>
    <row r="1852" spans="2:21" ht="9" customHeight="1" thickBot="1" x14ac:dyDescent="0.55000000000000004">
      <c r="B1852" s="502"/>
      <c r="C1852" s="631"/>
      <c r="D1852" s="631"/>
      <c r="E1852" s="631"/>
      <c r="F1852" s="631"/>
      <c r="G1852" s="631"/>
      <c r="H1852" s="631"/>
      <c r="I1852" s="631"/>
      <c r="J1852" s="631"/>
      <c r="M1852" s="545"/>
      <c r="N1852" s="545"/>
      <c r="O1852" s="553"/>
      <c r="P1852" s="545"/>
      <c r="R1852" s="490" t="str">
        <f t="shared" ref="R1852:R1856" si="89">R$1851</f>
        <v>DELETE</v>
      </c>
    </row>
    <row r="1853" spans="2:21" ht="9" customHeight="1" thickTop="1" x14ac:dyDescent="0.5">
      <c r="B1853" s="502"/>
      <c r="C1853" s="631"/>
      <c r="D1853" s="631"/>
      <c r="E1853" s="631"/>
      <c r="F1853" s="631"/>
      <c r="G1853" s="631"/>
      <c r="H1853" s="631"/>
      <c r="I1853" s="631"/>
      <c r="J1853" s="631"/>
      <c r="M1853" s="545"/>
      <c r="N1853" s="545"/>
      <c r="O1853" s="545"/>
      <c r="P1853" s="545"/>
      <c r="R1853" s="490" t="str">
        <f t="shared" si="89"/>
        <v>DELETE</v>
      </c>
    </row>
    <row r="1854" spans="2:21" ht="36" customHeight="1" x14ac:dyDescent="0.5">
      <c r="B1854" s="502"/>
      <c r="C1854" s="631"/>
      <c r="D1854" s="631"/>
      <c r="E1854" s="631"/>
      <c r="F1854" s="631"/>
      <c r="G1854" s="631"/>
      <c r="H1854" s="631"/>
      <c r="I1854" s="631"/>
      <c r="J1854" s="631"/>
      <c r="M1854" s="545"/>
      <c r="N1854" s="545"/>
      <c r="O1854" s="545"/>
      <c r="P1854" s="545"/>
      <c r="R1854" s="490" t="str">
        <f t="shared" si="89"/>
        <v>DELETE</v>
      </c>
    </row>
    <row r="1855" spans="2:21" ht="36" customHeight="1" x14ac:dyDescent="0.5">
      <c r="B1855" s="502"/>
      <c r="C1855" s="631"/>
      <c r="D1855" s="631"/>
      <c r="E1855" s="631"/>
      <c r="F1855" s="631"/>
      <c r="G1855" s="631"/>
      <c r="H1855" s="631"/>
      <c r="I1855" s="631"/>
      <c r="J1855" s="631"/>
      <c r="M1855" s="545"/>
      <c r="N1855" s="545"/>
      <c r="O1855" s="545"/>
      <c r="P1855" s="545"/>
      <c r="R1855" s="490" t="str">
        <f t="shared" si="89"/>
        <v>DELETE</v>
      </c>
    </row>
    <row r="1856" spans="2:21" ht="36" customHeight="1" x14ac:dyDescent="0.5">
      <c r="B1856" s="502"/>
      <c r="C1856" s="631"/>
      <c r="D1856" s="631"/>
      <c r="E1856" s="631"/>
      <c r="F1856" s="631"/>
      <c r="G1856" s="631"/>
      <c r="H1856" s="631"/>
      <c r="I1856" s="631"/>
      <c r="J1856" s="631"/>
      <c r="M1856" s="540"/>
      <c r="O1856" s="540"/>
      <c r="R1856" s="490" t="str">
        <f t="shared" si="89"/>
        <v>DELETE</v>
      </c>
    </row>
    <row r="1857" spans="2:18" ht="36" customHeight="1" x14ac:dyDescent="0.5">
      <c r="B1857" s="502"/>
      <c r="C1857" s="631"/>
      <c r="D1857" s="631"/>
      <c r="E1857" s="631"/>
      <c r="F1857" s="631"/>
      <c r="G1857" s="631"/>
      <c r="H1857" s="631"/>
      <c r="I1857" s="631"/>
      <c r="J1857" s="631"/>
      <c r="M1857" s="540"/>
      <c r="O1857" s="454" t="s">
        <v>112</v>
      </c>
      <c r="Q1857" s="450">
        <f>MAX($Q$103:Q1856)+1</f>
        <v>47</v>
      </c>
      <c r="R1857" s="490" t="str">
        <f t="shared" ref="R1857:R1865" si="90">R$1867</f>
        <v>DELETE</v>
      </c>
    </row>
    <row r="1858" spans="2:18" ht="36" customHeight="1" x14ac:dyDescent="0.5">
      <c r="B1858" s="502"/>
      <c r="C1858" s="631"/>
      <c r="D1858" s="630" t="str">
        <f>Criteria!E9</f>
        <v>ABC COMPANY (PROPRIETARY) LIMITED</v>
      </c>
      <c r="E1858" s="631"/>
      <c r="F1858" s="631"/>
      <c r="G1858" s="631"/>
      <c r="H1858" s="631"/>
      <c r="I1858" s="631"/>
      <c r="J1858" s="631"/>
      <c r="M1858" s="540"/>
      <c r="O1858" s="540"/>
      <c r="R1858" s="490" t="str">
        <f t="shared" si="90"/>
        <v>DELETE</v>
      </c>
    </row>
    <row r="1859" spans="2:18" ht="36" customHeight="1" x14ac:dyDescent="0.5">
      <c r="B1859" s="502"/>
      <c r="C1859" s="631"/>
      <c r="D1859" s="630" t="str">
        <f>Criteria!E10</f>
        <v>T/A SEAFRONT HOTEL, ABC RESTAURANT AND RENTAL PROPERTIES</v>
      </c>
      <c r="E1859" s="631"/>
      <c r="F1859" s="631"/>
      <c r="G1859" s="631"/>
      <c r="H1859" s="631"/>
      <c r="I1859" s="631"/>
      <c r="J1859" s="631"/>
      <c r="M1859" s="540"/>
      <c r="O1859" s="540"/>
      <c r="R1859" s="490" t="str">
        <f>IF(R$1867="DELETE","DELETE",IF(D1859=0,"DELETE"," "))</f>
        <v>DELETE</v>
      </c>
    </row>
    <row r="1860" spans="2:18" ht="36" customHeight="1" x14ac:dyDescent="0.5">
      <c r="B1860" s="502"/>
      <c r="C1860" s="631"/>
      <c r="D1860" s="631"/>
      <c r="E1860" s="631"/>
      <c r="F1860" s="631"/>
      <c r="G1860" s="631"/>
      <c r="H1860" s="631"/>
      <c r="I1860" s="631"/>
      <c r="J1860" s="631"/>
      <c r="M1860" s="540"/>
      <c r="O1860" s="540"/>
      <c r="R1860" s="490" t="str">
        <f t="shared" si="90"/>
        <v>DELETE</v>
      </c>
    </row>
    <row r="1861" spans="2:18" ht="36" customHeight="1" x14ac:dyDescent="0.5">
      <c r="B1861" s="502"/>
      <c r="C1861" s="631"/>
      <c r="D1861" s="630" t="s">
        <v>415</v>
      </c>
      <c r="E1861" s="631"/>
      <c r="F1861" s="631"/>
      <c r="G1861" s="631"/>
      <c r="H1861" s="631"/>
      <c r="I1861" s="631"/>
      <c r="J1861" s="631"/>
      <c r="M1861" s="540"/>
      <c r="O1861" s="540"/>
      <c r="R1861" s="490" t="str">
        <f t="shared" si="90"/>
        <v>DELETE</v>
      </c>
    </row>
    <row r="1862" spans="2:18" ht="36" customHeight="1" x14ac:dyDescent="0.5">
      <c r="B1862" s="502"/>
      <c r="C1862" s="631"/>
      <c r="D1862" s="630" t="str">
        <f>Criteria!E20</f>
        <v>28 FEBRUARY 2026</v>
      </c>
      <c r="E1862" s="631"/>
      <c r="F1862" s="631"/>
      <c r="G1862" s="631"/>
      <c r="H1862" s="631"/>
      <c r="I1862" s="631"/>
      <c r="J1862" s="631" t="s">
        <v>282</v>
      </c>
      <c r="M1862" s="540"/>
      <c r="O1862" s="540"/>
      <c r="R1862" s="490" t="str">
        <f t="shared" si="90"/>
        <v>DELETE</v>
      </c>
    </row>
    <row r="1863" spans="2:18" ht="36" customHeight="1" x14ac:dyDescent="0.5">
      <c r="B1863" s="502"/>
      <c r="C1863" s="631"/>
      <c r="D1863" s="631"/>
      <c r="E1863" s="631"/>
      <c r="F1863" s="631"/>
      <c r="G1863" s="631"/>
      <c r="H1863" s="631"/>
      <c r="I1863" s="631"/>
      <c r="J1863" s="631"/>
      <c r="M1863" s="540"/>
      <c r="O1863" s="540"/>
      <c r="R1863" s="490" t="str">
        <f t="shared" si="90"/>
        <v>DELETE</v>
      </c>
    </row>
    <row r="1864" spans="2:18" ht="36" customHeight="1" x14ac:dyDescent="0.5">
      <c r="B1864" s="641"/>
      <c r="C1864" s="649"/>
      <c r="D1864" s="649"/>
      <c r="E1864" s="649"/>
      <c r="F1864" s="649"/>
      <c r="G1864" s="649"/>
      <c r="H1864" s="649"/>
      <c r="I1864" s="649"/>
      <c r="J1864" s="649"/>
      <c r="K1864" s="457"/>
      <c r="L1864" s="457"/>
      <c r="M1864" s="551"/>
      <c r="N1864" s="551"/>
      <c r="O1864" s="551"/>
      <c r="P1864" s="551"/>
      <c r="Q1864" s="457"/>
      <c r="R1864" s="490" t="str">
        <f t="shared" si="90"/>
        <v>DELETE</v>
      </c>
    </row>
    <row r="1865" spans="2:18" ht="36" customHeight="1" x14ac:dyDescent="0.5">
      <c r="B1865" s="501"/>
      <c r="C1865" s="630"/>
      <c r="D1865" s="631"/>
      <c r="E1865" s="631"/>
      <c r="F1865" s="631"/>
      <c r="G1865" s="631"/>
      <c r="H1865" s="631"/>
      <c r="I1865" s="631"/>
      <c r="J1865" s="631"/>
      <c r="L1865" s="451"/>
      <c r="M1865" s="448"/>
      <c r="N1865" s="448"/>
      <c r="O1865" s="488">
        <f>Criteria!E22</f>
        <v>2026</v>
      </c>
      <c r="P1865" s="545"/>
      <c r="R1865" s="490" t="str">
        <f t="shared" si="90"/>
        <v>DELETE</v>
      </c>
    </row>
    <row r="1866" spans="2:18" ht="36" customHeight="1" x14ac:dyDescent="0.5">
      <c r="B1866" s="501"/>
      <c r="C1866" s="630"/>
      <c r="D1866" s="631"/>
      <c r="E1866" s="631"/>
      <c r="F1866" s="631"/>
      <c r="G1866" s="631"/>
      <c r="H1866" s="631"/>
      <c r="I1866" s="631"/>
      <c r="J1866" s="631"/>
      <c r="L1866" s="451"/>
      <c r="M1866" s="448"/>
      <c r="N1866" s="448"/>
      <c r="O1866" s="488"/>
      <c r="P1866" s="545"/>
      <c r="R1866" s="490" t="str">
        <f>R$1867</f>
        <v>DELETE</v>
      </c>
    </row>
    <row r="1867" spans="2:18" ht="36" customHeight="1" x14ac:dyDescent="0.5">
      <c r="B1867" s="501">
        <f>MAX($B$873:B1866)+1</f>
        <v>12</v>
      </c>
      <c r="C1867" s="630" t="s">
        <v>1296</v>
      </c>
      <c r="D1867" s="631"/>
      <c r="E1867" s="631"/>
      <c r="F1867" s="631"/>
      <c r="G1867" s="631"/>
      <c r="H1867" s="631"/>
      <c r="I1867" s="631"/>
      <c r="J1867" s="631"/>
      <c r="L1867" s="451"/>
      <c r="M1867" s="451"/>
      <c r="N1867" s="448"/>
      <c r="O1867" s="545"/>
      <c r="P1867" s="545"/>
      <c r="R1867" s="490" t="str">
        <f>IF(O1935=0,"DELETE"," ")</f>
        <v>DELETE</v>
      </c>
    </row>
    <row r="1868" spans="2:18" ht="36" hidden="1" customHeight="1" x14ac:dyDescent="0.5">
      <c r="B1868" s="501"/>
      <c r="C1868" s="631">
        <f>B1867</f>
        <v>12</v>
      </c>
      <c r="D1868" s="631"/>
      <c r="E1868" s="631"/>
      <c r="F1868" s="631"/>
      <c r="G1868" s="631"/>
      <c r="H1868" s="631"/>
      <c r="I1868" s="631"/>
      <c r="J1868" s="631"/>
      <c r="L1868" s="451"/>
      <c r="M1868" s="451"/>
      <c r="N1868" s="448"/>
      <c r="O1868" s="545"/>
      <c r="P1868" s="545"/>
      <c r="R1868" s="490" t="str">
        <f>IF(O1935=0,"DELETE"," ")</f>
        <v>DELETE</v>
      </c>
    </row>
    <row r="1869" spans="2:18" ht="36" customHeight="1" x14ac:dyDescent="0.5">
      <c r="B1869" s="501"/>
      <c r="C1869" s="631"/>
      <c r="D1869" s="631"/>
      <c r="E1869" s="631"/>
      <c r="F1869" s="631"/>
      <c r="G1869" s="631"/>
      <c r="H1869" s="631"/>
      <c r="I1869" s="631"/>
      <c r="J1869" s="631"/>
      <c r="L1869" s="451"/>
      <c r="M1869" s="451"/>
      <c r="N1869" s="448"/>
      <c r="O1869" s="545"/>
      <c r="P1869" s="545"/>
      <c r="R1869" s="490" t="str">
        <f>R1867</f>
        <v>DELETE</v>
      </c>
    </row>
    <row r="1870" spans="2:18" ht="36" customHeight="1" x14ac:dyDescent="0.5">
      <c r="B1870" s="501"/>
      <c r="C1870" s="515">
        <f>MAX(C1867:C1868)+0.1</f>
        <v>12.1</v>
      </c>
      <c r="D1870" s="630" t="s">
        <v>1226</v>
      </c>
      <c r="E1870" s="631"/>
      <c r="F1870" s="631"/>
      <c r="G1870" s="631"/>
      <c r="H1870" s="631"/>
      <c r="I1870" s="631"/>
      <c r="J1870" s="631"/>
      <c r="L1870" s="451"/>
      <c r="M1870" s="451"/>
      <c r="N1870" s="448"/>
      <c r="O1870" s="545"/>
      <c r="P1870" s="545"/>
      <c r="R1870" s="490" t="str">
        <f>IF(O1885=0,"DELETE"," ")</f>
        <v>DELETE</v>
      </c>
    </row>
    <row r="1871" spans="2:18" ht="36" customHeight="1" x14ac:dyDescent="0.5">
      <c r="B1871" s="501"/>
      <c r="C1871" s="515"/>
      <c r="D1871" s="630"/>
      <c r="E1871" s="631"/>
      <c r="F1871" s="631"/>
      <c r="G1871" s="631"/>
      <c r="H1871" s="631"/>
      <c r="I1871" s="631"/>
      <c r="J1871" s="631"/>
      <c r="L1871" s="451"/>
      <c r="M1871" s="451"/>
      <c r="N1871" s="448"/>
      <c r="O1871" s="545"/>
      <c r="P1871" s="545"/>
      <c r="R1871" s="490" t="str">
        <f>R1870</f>
        <v>DELETE</v>
      </c>
    </row>
    <row r="1872" spans="2:18" ht="36" customHeight="1" x14ac:dyDescent="0.5">
      <c r="B1872" s="501"/>
      <c r="C1872" s="516"/>
      <c r="D1872" s="631" t="s">
        <v>1292</v>
      </c>
      <c r="E1872" s="631"/>
      <c r="F1872" s="631"/>
      <c r="G1872" s="631"/>
      <c r="H1872" s="648"/>
      <c r="I1872" s="631"/>
      <c r="J1872" s="631"/>
      <c r="L1872" s="451"/>
      <c r="M1872" s="451"/>
      <c r="N1872" s="448"/>
      <c r="O1872" s="555">
        <f>SUM(S1875:S1877)</f>
        <v>0</v>
      </c>
      <c r="P1872" s="545"/>
      <c r="R1872" s="490" t="str">
        <f>R$1870</f>
        <v>DELETE</v>
      </c>
    </row>
    <row r="1873" spans="2:21" ht="9" customHeight="1" x14ac:dyDescent="0.5">
      <c r="B1873" s="501"/>
      <c r="C1873" s="516"/>
      <c r="D1873" s="631"/>
      <c r="E1873" s="631"/>
      <c r="F1873" s="631"/>
      <c r="G1873" s="631"/>
      <c r="H1873" s="631"/>
      <c r="I1873" s="631"/>
      <c r="J1873" s="631"/>
      <c r="L1873" s="451"/>
      <c r="M1873" s="451"/>
      <c r="N1873" s="448"/>
      <c r="O1873" s="555"/>
      <c r="P1873" s="545"/>
      <c r="R1873" s="490" t="str">
        <f t="shared" ref="R1873:R1893" si="91">R$1870</f>
        <v>DELETE</v>
      </c>
    </row>
    <row r="1874" spans="2:21" ht="9" customHeight="1" x14ac:dyDescent="0.5">
      <c r="B1874" s="501"/>
      <c r="C1874" s="516"/>
      <c r="D1874" s="631"/>
      <c r="E1874" s="631"/>
      <c r="F1874" s="631"/>
      <c r="G1874" s="631"/>
      <c r="H1874" s="631"/>
      <c r="I1874" s="631"/>
      <c r="J1874" s="631"/>
      <c r="L1874" s="451"/>
      <c r="M1874" s="451"/>
      <c r="N1874" s="448"/>
      <c r="O1874" s="597"/>
      <c r="P1874" s="545"/>
      <c r="R1874" s="490" t="str">
        <f t="shared" si="91"/>
        <v>DELETE</v>
      </c>
    </row>
    <row r="1875" spans="2:21" ht="36" customHeight="1" x14ac:dyDescent="0.5">
      <c r="B1875" s="501"/>
      <c r="C1875" s="516"/>
      <c r="D1875" s="631" t="s">
        <v>416</v>
      </c>
      <c r="E1875" s="631"/>
      <c r="F1875" s="631"/>
      <c r="G1875" s="631"/>
      <c r="H1875" s="631"/>
      <c r="I1875" s="631"/>
      <c r="J1875" s="631"/>
      <c r="L1875" s="451"/>
      <c r="M1875" s="451"/>
      <c r="N1875" s="448"/>
      <c r="O1875" s="598">
        <f>TrialBalance!L285</f>
        <v>0</v>
      </c>
      <c r="P1875" s="545"/>
      <c r="R1875" s="490" t="str">
        <f t="shared" si="91"/>
        <v>DELETE</v>
      </c>
      <c r="S1875" s="495">
        <f>O1875</f>
        <v>0</v>
      </c>
    </row>
    <row r="1876" spans="2:21" ht="36" customHeight="1" x14ac:dyDescent="0.5">
      <c r="B1876" s="501"/>
      <c r="C1876" s="516"/>
      <c r="D1876" s="631" t="s">
        <v>1596</v>
      </c>
      <c r="E1876" s="631"/>
      <c r="F1876" s="631"/>
      <c r="G1876" s="631"/>
      <c r="H1876" s="631"/>
      <c r="I1876" s="631"/>
      <c r="J1876" s="631"/>
      <c r="L1876" s="451"/>
      <c r="M1876" s="451"/>
      <c r="N1876" s="448"/>
      <c r="O1876" s="598">
        <f>-TrialBalance!L288</f>
        <v>0</v>
      </c>
      <c r="P1876" s="545"/>
      <c r="R1876" s="490" t="str">
        <f t="shared" si="91"/>
        <v>DELETE</v>
      </c>
      <c r="S1876" s="495">
        <f>-O1876</f>
        <v>0</v>
      </c>
    </row>
    <row r="1877" spans="2:21" ht="36" customHeight="1" x14ac:dyDescent="0.5">
      <c r="B1877" s="501"/>
      <c r="C1877" s="516"/>
      <c r="D1877" s="631" t="s">
        <v>1597</v>
      </c>
      <c r="E1877" s="631"/>
      <c r="F1877" s="631"/>
      <c r="G1877" s="631"/>
      <c r="H1877" s="631"/>
      <c r="I1877" s="631"/>
      <c r="J1877" s="631"/>
      <c r="L1877" s="451"/>
      <c r="M1877" s="451"/>
      <c r="N1877" s="448"/>
      <c r="O1877" s="598">
        <f>-TrialBalance!L291</f>
        <v>0</v>
      </c>
      <c r="P1877" s="545"/>
      <c r="R1877" s="490" t="str">
        <f>IF(O1877=0,"DELETE"," ")</f>
        <v>DELETE</v>
      </c>
      <c r="S1877" s="495">
        <f>-O1877</f>
        <v>0</v>
      </c>
    </row>
    <row r="1878" spans="2:21" ht="9" customHeight="1" x14ac:dyDescent="0.5">
      <c r="B1878" s="501"/>
      <c r="C1878" s="516"/>
      <c r="D1878" s="631"/>
      <c r="E1878" s="631"/>
      <c r="F1878" s="631"/>
      <c r="G1878" s="631"/>
      <c r="H1878" s="631"/>
      <c r="I1878" s="631"/>
      <c r="J1878" s="631"/>
      <c r="L1878" s="451"/>
      <c r="M1878" s="451"/>
      <c r="N1878" s="448"/>
      <c r="O1878" s="599"/>
      <c r="P1878" s="545"/>
      <c r="R1878" s="490" t="str">
        <f t="shared" si="91"/>
        <v>DELETE</v>
      </c>
      <c r="S1878" s="495"/>
    </row>
    <row r="1879" spans="2:21" ht="9" customHeight="1" x14ac:dyDescent="0.5">
      <c r="B1879" s="501"/>
      <c r="C1879" s="516"/>
      <c r="D1879" s="631"/>
      <c r="E1879" s="631"/>
      <c r="F1879" s="631"/>
      <c r="G1879" s="631"/>
      <c r="H1879" s="631"/>
      <c r="I1879" s="631"/>
      <c r="J1879" s="631"/>
      <c r="L1879" s="451"/>
      <c r="M1879" s="451"/>
      <c r="N1879" s="448"/>
      <c r="O1879" s="555"/>
      <c r="P1879" s="545"/>
      <c r="R1879" s="490" t="str">
        <f t="shared" si="91"/>
        <v>DELETE</v>
      </c>
      <c r="S1879" s="495"/>
    </row>
    <row r="1880" spans="2:21" ht="36" customHeight="1" x14ac:dyDescent="0.5">
      <c r="B1880" s="501"/>
      <c r="C1880" s="516"/>
      <c r="D1880" s="631" t="s">
        <v>417</v>
      </c>
      <c r="E1880" s="631"/>
      <c r="F1880" s="631"/>
      <c r="G1880" s="631"/>
      <c r="H1880" s="631"/>
      <c r="I1880" s="631"/>
      <c r="J1880" s="631"/>
      <c r="L1880" s="451"/>
      <c r="M1880" s="451"/>
      <c r="N1880" s="448"/>
      <c r="O1880" s="555">
        <f>TrialBalance!L286</f>
        <v>0</v>
      </c>
      <c r="P1880" s="545"/>
      <c r="R1880" s="490" t="str">
        <f>IF(O1880=0,"DELETE"," ")</f>
        <v>DELETE</v>
      </c>
      <c r="S1880" s="495"/>
    </row>
    <row r="1881" spans="2:21" ht="36" customHeight="1" x14ac:dyDescent="0.5">
      <c r="B1881" s="501"/>
      <c r="C1881" s="516"/>
      <c r="D1881" s="631" t="s">
        <v>1293</v>
      </c>
      <c r="E1881" s="631"/>
      <c r="F1881" s="631"/>
      <c r="G1881" s="631"/>
      <c r="H1881" s="631"/>
      <c r="I1881" s="631"/>
      <c r="J1881" s="631"/>
      <c r="L1881" s="451"/>
      <c r="M1881" s="451"/>
      <c r="N1881" s="448"/>
      <c r="O1881" s="555">
        <f>TrialBalance!L289</f>
        <v>0</v>
      </c>
      <c r="P1881" s="545"/>
      <c r="R1881" s="490" t="str">
        <f t="shared" si="91"/>
        <v>DELETE</v>
      </c>
      <c r="S1881" s="495"/>
    </row>
    <row r="1882" spans="2:21" ht="36" customHeight="1" x14ac:dyDescent="0.5">
      <c r="B1882" s="501"/>
      <c r="C1882" s="516"/>
      <c r="D1882" s="631" t="s">
        <v>1294</v>
      </c>
      <c r="E1882" s="631"/>
      <c r="F1882" s="631"/>
      <c r="G1882" s="631"/>
      <c r="H1882" s="631"/>
      <c r="I1882" s="631"/>
      <c r="J1882" s="631"/>
      <c r="L1882" s="451"/>
      <c r="M1882" s="451"/>
      <c r="N1882" s="448"/>
      <c r="O1882" s="555">
        <f>TrialBalance!L292</f>
        <v>0</v>
      </c>
      <c r="P1882" s="545"/>
      <c r="R1882" s="490" t="str">
        <f>IF(O1882=0,"DELETE"," ")</f>
        <v>DELETE</v>
      </c>
      <c r="S1882" s="495"/>
    </row>
    <row r="1883" spans="2:21" ht="9" customHeight="1" x14ac:dyDescent="0.5">
      <c r="B1883" s="501"/>
      <c r="C1883" s="516"/>
      <c r="D1883" s="631"/>
      <c r="E1883" s="631"/>
      <c r="F1883" s="631"/>
      <c r="G1883" s="631"/>
      <c r="H1883" s="631"/>
      <c r="I1883" s="631"/>
      <c r="J1883" s="631"/>
      <c r="L1883" s="451"/>
      <c r="M1883" s="451"/>
      <c r="N1883" s="448"/>
      <c r="O1883" s="554"/>
      <c r="P1883" s="545"/>
      <c r="R1883" s="490" t="str">
        <f t="shared" si="91"/>
        <v>DELETE</v>
      </c>
      <c r="S1883" s="495"/>
    </row>
    <row r="1884" spans="2:21" ht="9" customHeight="1" x14ac:dyDescent="0.5">
      <c r="B1884" s="501"/>
      <c r="C1884" s="516"/>
      <c r="D1884" s="631"/>
      <c r="E1884" s="631"/>
      <c r="F1884" s="631"/>
      <c r="G1884" s="631"/>
      <c r="H1884" s="631"/>
      <c r="I1884" s="631"/>
      <c r="J1884" s="631"/>
      <c r="L1884" s="451"/>
      <c r="M1884" s="451"/>
      <c r="N1884" s="448"/>
      <c r="O1884" s="555"/>
      <c r="P1884" s="545"/>
      <c r="R1884" s="490" t="str">
        <f t="shared" si="91"/>
        <v>DELETE</v>
      </c>
      <c r="S1884" s="495"/>
    </row>
    <row r="1885" spans="2:21" ht="36.75" customHeight="1" x14ac:dyDescent="0.5">
      <c r="B1885" s="501"/>
      <c r="C1885" s="516"/>
      <c r="D1885" s="631" t="s">
        <v>1295</v>
      </c>
      <c r="E1885" s="631"/>
      <c r="F1885" s="631"/>
      <c r="G1885" s="631"/>
      <c r="H1885" s="631"/>
      <c r="I1885" s="631"/>
      <c r="J1885" s="631"/>
      <c r="L1885" s="451"/>
      <c r="M1885" s="451"/>
      <c r="N1885" s="448"/>
      <c r="O1885" s="555">
        <f>SUM(S1889:S1891)</f>
        <v>0</v>
      </c>
      <c r="P1885" s="545"/>
      <c r="R1885" s="490" t="str">
        <f t="shared" si="91"/>
        <v>DELETE</v>
      </c>
      <c r="S1885" s="495"/>
      <c r="U1885" s="491" t="b">
        <f>O1885=O1872+SUM(O1880:O1882)</f>
        <v>1</v>
      </c>
    </row>
    <row r="1886" spans="2:21" ht="9" customHeight="1" thickBot="1" x14ac:dyDescent="0.55000000000000004">
      <c r="B1886" s="501"/>
      <c r="C1886" s="516"/>
      <c r="D1886" s="631"/>
      <c r="E1886" s="631"/>
      <c r="F1886" s="631"/>
      <c r="G1886" s="631"/>
      <c r="H1886" s="631"/>
      <c r="I1886" s="631"/>
      <c r="J1886" s="631"/>
      <c r="L1886" s="451"/>
      <c r="M1886" s="451"/>
      <c r="N1886" s="448"/>
      <c r="O1886" s="552"/>
      <c r="P1886" s="545"/>
      <c r="R1886" s="490" t="str">
        <f t="shared" si="91"/>
        <v>DELETE</v>
      </c>
      <c r="S1886" s="495"/>
    </row>
    <row r="1887" spans="2:21" ht="9" customHeight="1" thickTop="1" x14ac:dyDescent="0.5">
      <c r="B1887" s="501"/>
      <c r="C1887" s="516"/>
      <c r="D1887" s="631"/>
      <c r="E1887" s="631"/>
      <c r="F1887" s="631"/>
      <c r="G1887" s="631"/>
      <c r="H1887" s="631"/>
      <c r="I1887" s="631"/>
      <c r="J1887" s="631"/>
      <c r="L1887" s="451"/>
      <c r="M1887" s="451"/>
      <c r="N1887" s="448"/>
      <c r="O1887" s="555"/>
      <c r="P1887" s="545"/>
      <c r="R1887" s="490" t="str">
        <f t="shared" si="91"/>
        <v>DELETE</v>
      </c>
      <c r="S1887" s="495"/>
    </row>
    <row r="1888" spans="2:21" ht="9" customHeight="1" x14ac:dyDescent="0.5">
      <c r="B1888" s="501"/>
      <c r="C1888" s="516"/>
      <c r="D1888" s="631"/>
      <c r="E1888" s="631"/>
      <c r="F1888" s="631"/>
      <c r="G1888" s="631"/>
      <c r="H1888" s="631"/>
      <c r="I1888" s="631"/>
      <c r="J1888" s="631"/>
      <c r="L1888" s="451"/>
      <c r="M1888" s="451"/>
      <c r="N1888" s="448"/>
      <c r="O1888" s="597"/>
      <c r="P1888" s="545"/>
      <c r="R1888" s="490" t="str">
        <f t="shared" si="91"/>
        <v>DELETE</v>
      </c>
      <c r="S1888" s="495"/>
    </row>
    <row r="1889" spans="2:19" ht="36" customHeight="1" x14ac:dyDescent="0.5">
      <c r="B1889" s="501"/>
      <c r="C1889" s="516"/>
      <c r="D1889" s="631" t="s">
        <v>416</v>
      </c>
      <c r="E1889" s="631"/>
      <c r="F1889" s="631"/>
      <c r="G1889" s="631"/>
      <c r="H1889" s="631"/>
      <c r="I1889" s="631"/>
      <c r="J1889" s="631"/>
      <c r="L1889" s="451"/>
      <c r="M1889" s="451"/>
      <c r="N1889" s="448"/>
      <c r="O1889" s="598">
        <f>TrialBalance!L285+TrialBalance!L286</f>
        <v>0</v>
      </c>
      <c r="P1889" s="545"/>
      <c r="R1889" s="490" t="str">
        <f t="shared" si="91"/>
        <v>DELETE</v>
      </c>
      <c r="S1889" s="495">
        <f>O1889</f>
        <v>0</v>
      </c>
    </row>
    <row r="1890" spans="2:19" ht="36" customHeight="1" x14ac:dyDescent="0.5">
      <c r="B1890" s="501"/>
      <c r="C1890" s="516"/>
      <c r="D1890" s="631" t="s">
        <v>1596</v>
      </c>
      <c r="E1890" s="631"/>
      <c r="F1890" s="631"/>
      <c r="G1890" s="631"/>
      <c r="H1890" s="631"/>
      <c r="I1890" s="631"/>
      <c r="J1890" s="631"/>
      <c r="L1890" s="451"/>
      <c r="M1890" s="451"/>
      <c r="N1890" s="448"/>
      <c r="O1890" s="598">
        <f>-TrialBalance!L288-TrialBalance!L289</f>
        <v>0</v>
      </c>
      <c r="P1890" s="545"/>
      <c r="R1890" s="490" t="str">
        <f t="shared" si="91"/>
        <v>DELETE</v>
      </c>
      <c r="S1890" s="495">
        <f>-O1890</f>
        <v>0</v>
      </c>
    </row>
    <row r="1891" spans="2:19" ht="36" customHeight="1" x14ac:dyDescent="0.5">
      <c r="B1891" s="501"/>
      <c r="C1891" s="516"/>
      <c r="D1891" s="631" t="s">
        <v>1597</v>
      </c>
      <c r="E1891" s="631"/>
      <c r="F1891" s="631"/>
      <c r="G1891" s="631"/>
      <c r="H1891" s="631"/>
      <c r="I1891" s="631"/>
      <c r="J1891" s="631"/>
      <c r="L1891" s="451"/>
      <c r="M1891" s="451"/>
      <c r="N1891" s="448"/>
      <c r="O1891" s="598">
        <f>-TrialBalance!L291-TrialBalance!L292</f>
        <v>0</v>
      </c>
      <c r="P1891" s="545"/>
      <c r="R1891" s="490" t="str">
        <f>IF(O1891=0,"DELETE"," ")</f>
        <v>DELETE</v>
      </c>
      <c r="S1891" s="495">
        <f>-O1891</f>
        <v>0</v>
      </c>
    </row>
    <row r="1892" spans="2:19" ht="9" customHeight="1" x14ac:dyDescent="0.5">
      <c r="B1892" s="501"/>
      <c r="C1892" s="516"/>
      <c r="D1892" s="631"/>
      <c r="E1892" s="631"/>
      <c r="F1892" s="631"/>
      <c r="G1892" s="631"/>
      <c r="H1892" s="631"/>
      <c r="I1892" s="631"/>
      <c r="J1892" s="631"/>
      <c r="L1892" s="451"/>
      <c r="M1892" s="451"/>
      <c r="N1892" s="448"/>
      <c r="O1892" s="599"/>
      <c r="P1892" s="545"/>
      <c r="R1892" s="490" t="str">
        <f t="shared" si="91"/>
        <v>DELETE</v>
      </c>
      <c r="S1892" s="495"/>
    </row>
    <row r="1893" spans="2:19" ht="9" customHeight="1" x14ac:dyDescent="0.5">
      <c r="B1893" s="501"/>
      <c r="C1893" s="516"/>
      <c r="D1893" s="631"/>
      <c r="E1893" s="631"/>
      <c r="F1893" s="631"/>
      <c r="G1893" s="631"/>
      <c r="H1893" s="631"/>
      <c r="I1893" s="631"/>
      <c r="J1893" s="631"/>
      <c r="L1893" s="451"/>
      <c r="M1893" s="451"/>
      <c r="N1893" s="448"/>
      <c r="O1893" s="555"/>
      <c r="P1893" s="545"/>
      <c r="R1893" s="490" t="str">
        <f t="shared" si="91"/>
        <v>DELETE</v>
      </c>
      <c r="S1893" s="495"/>
    </row>
    <row r="1894" spans="2:19" ht="36" customHeight="1" x14ac:dyDescent="0.5">
      <c r="B1894" s="501"/>
      <c r="C1894" s="516"/>
      <c r="D1894" s="631"/>
      <c r="E1894" s="631"/>
      <c r="F1894" s="631"/>
      <c r="G1894" s="631"/>
      <c r="H1894" s="631"/>
      <c r="I1894" s="631"/>
      <c r="J1894" s="631"/>
      <c r="L1894" s="451"/>
      <c r="M1894" s="451"/>
      <c r="N1894" s="448"/>
      <c r="O1894" s="555"/>
      <c r="P1894" s="545"/>
      <c r="R1894" s="490" t="str">
        <f>IF(R1870="DELETE","DELETE",IF(R1908="DELETE","DELETE"," "))</f>
        <v>DELETE</v>
      </c>
      <c r="S1894" s="495"/>
    </row>
    <row r="1895" spans="2:19" ht="36" customHeight="1" x14ac:dyDescent="0.5">
      <c r="B1895" s="501"/>
      <c r="C1895" s="516"/>
      <c r="D1895" s="631"/>
      <c r="E1895" s="631"/>
      <c r="F1895" s="631"/>
      <c r="G1895" s="631"/>
      <c r="H1895" s="631"/>
      <c r="I1895" s="631"/>
      <c r="J1895" s="631"/>
      <c r="L1895" s="451"/>
      <c r="M1895" s="451"/>
      <c r="N1895" s="448"/>
      <c r="O1895" s="555"/>
      <c r="P1895" s="545"/>
      <c r="R1895" s="490" t="str">
        <f>R$1894</f>
        <v>DELETE</v>
      </c>
      <c r="S1895" s="495"/>
    </row>
    <row r="1896" spans="2:19" ht="36" customHeight="1" x14ac:dyDescent="0.5">
      <c r="B1896" s="501"/>
      <c r="C1896" s="516"/>
      <c r="D1896" s="631"/>
      <c r="E1896" s="631"/>
      <c r="F1896" s="631"/>
      <c r="G1896" s="631"/>
      <c r="H1896" s="631"/>
      <c r="I1896" s="631"/>
      <c r="J1896" s="631"/>
      <c r="L1896" s="451"/>
      <c r="M1896" s="451"/>
      <c r="N1896" s="448"/>
      <c r="O1896" s="555"/>
      <c r="P1896" s="545"/>
      <c r="R1896" s="490" t="str">
        <f t="shared" ref="R1896:R1897" si="92">R$1894</f>
        <v>DELETE</v>
      </c>
      <c r="S1896" s="495"/>
    </row>
    <row r="1897" spans="2:19" ht="36" customHeight="1" x14ac:dyDescent="0.5">
      <c r="B1897" s="501"/>
      <c r="C1897" s="516"/>
      <c r="D1897" s="631"/>
      <c r="E1897" s="631"/>
      <c r="F1897" s="631"/>
      <c r="G1897" s="631"/>
      <c r="H1897" s="631"/>
      <c r="I1897" s="631"/>
      <c r="J1897" s="631"/>
      <c r="L1897" s="451"/>
      <c r="M1897" s="451"/>
      <c r="N1897" s="448"/>
      <c r="O1897" s="555"/>
      <c r="P1897" s="545"/>
      <c r="R1897" s="490" t="str">
        <f t="shared" si="92"/>
        <v>DELETE</v>
      </c>
      <c r="S1897" s="495"/>
    </row>
    <row r="1898" spans="2:19" ht="36" customHeight="1" x14ac:dyDescent="0.5">
      <c r="B1898" s="501"/>
      <c r="C1898" s="516"/>
      <c r="D1898" s="631"/>
      <c r="E1898" s="631"/>
      <c r="F1898" s="631"/>
      <c r="G1898" s="631"/>
      <c r="H1898" s="631"/>
      <c r="I1898" s="631"/>
      <c r="J1898" s="631"/>
      <c r="L1898" s="451"/>
      <c r="M1898" s="451"/>
      <c r="N1898" s="448"/>
      <c r="O1898" s="454" t="s">
        <v>112</v>
      </c>
      <c r="Q1898" s="450">
        <f>MAX($Q$103:Q1897)+1</f>
        <v>48</v>
      </c>
      <c r="R1898" s="490" t="str">
        <f>IF(R1908="DELETE","DELETE",IF(R1870="DELETE","DELETE"," "))</f>
        <v>DELETE</v>
      </c>
      <c r="S1898" s="495"/>
    </row>
    <row r="1899" spans="2:19" ht="36" customHeight="1" x14ac:dyDescent="0.5">
      <c r="B1899" s="501"/>
      <c r="C1899" s="516"/>
      <c r="D1899" s="630" t="str">
        <f>Criteria!E9</f>
        <v>ABC COMPANY (PROPRIETARY) LIMITED</v>
      </c>
      <c r="E1899" s="631"/>
      <c r="F1899" s="631"/>
      <c r="G1899" s="631"/>
      <c r="H1899" s="631"/>
      <c r="I1899" s="631"/>
      <c r="J1899" s="631"/>
      <c r="M1899" s="540"/>
      <c r="O1899" s="540"/>
      <c r="R1899" s="490" t="str">
        <f>R$1898</f>
        <v>DELETE</v>
      </c>
      <c r="S1899" s="495"/>
    </row>
    <row r="1900" spans="2:19" ht="36" customHeight="1" x14ac:dyDescent="0.5">
      <c r="B1900" s="501"/>
      <c r="C1900" s="516"/>
      <c r="D1900" s="630" t="str">
        <f>Criteria!E10</f>
        <v>T/A SEAFRONT HOTEL, ABC RESTAURANT AND RENTAL PROPERTIES</v>
      </c>
      <c r="E1900" s="631"/>
      <c r="F1900" s="631"/>
      <c r="G1900" s="631"/>
      <c r="H1900" s="631"/>
      <c r="I1900" s="631"/>
      <c r="J1900" s="631"/>
      <c r="M1900" s="540"/>
      <c r="O1900" s="540"/>
      <c r="R1900" s="490" t="str">
        <f>IF(R$1898="DELETE","DELETE",IF(D1900=0,"DELETE"," "))</f>
        <v>DELETE</v>
      </c>
      <c r="S1900" s="495"/>
    </row>
    <row r="1901" spans="2:19" ht="36" customHeight="1" x14ac:dyDescent="0.5">
      <c r="B1901" s="501"/>
      <c r="C1901" s="516"/>
      <c r="D1901" s="631"/>
      <c r="E1901" s="631"/>
      <c r="F1901" s="631"/>
      <c r="G1901" s="631"/>
      <c r="H1901" s="631"/>
      <c r="I1901" s="631"/>
      <c r="J1901" s="631"/>
      <c r="M1901" s="540"/>
      <c r="O1901" s="540"/>
      <c r="R1901" s="490" t="str">
        <f t="shared" ref="R1901:R1907" si="93">R$1898</f>
        <v>DELETE</v>
      </c>
      <c r="S1901" s="495"/>
    </row>
    <row r="1902" spans="2:19" ht="36" customHeight="1" x14ac:dyDescent="0.5">
      <c r="B1902" s="501"/>
      <c r="C1902" s="516"/>
      <c r="D1902" s="630" t="s">
        <v>415</v>
      </c>
      <c r="E1902" s="631"/>
      <c r="F1902" s="631"/>
      <c r="G1902" s="631"/>
      <c r="H1902" s="631"/>
      <c r="I1902" s="631"/>
      <c r="J1902" s="631"/>
      <c r="M1902" s="540"/>
      <c r="O1902" s="540"/>
      <c r="R1902" s="490" t="str">
        <f t="shared" si="93"/>
        <v>DELETE</v>
      </c>
      <c r="S1902" s="495"/>
    </row>
    <row r="1903" spans="2:19" ht="36" customHeight="1" x14ac:dyDescent="0.5">
      <c r="B1903" s="501"/>
      <c r="C1903" s="516"/>
      <c r="D1903" s="630" t="str">
        <f>Criteria!E20</f>
        <v>28 FEBRUARY 2026</v>
      </c>
      <c r="E1903" s="631"/>
      <c r="F1903" s="631"/>
      <c r="G1903" s="631"/>
      <c r="H1903" s="631"/>
      <c r="I1903" s="631"/>
      <c r="J1903" s="631" t="s">
        <v>282</v>
      </c>
      <c r="M1903" s="540"/>
      <c r="O1903" s="540"/>
      <c r="R1903" s="490" t="str">
        <f t="shared" si="93"/>
        <v>DELETE</v>
      </c>
      <c r="S1903" s="495"/>
    </row>
    <row r="1904" spans="2:19" ht="36" customHeight="1" x14ac:dyDescent="0.5">
      <c r="B1904" s="501"/>
      <c r="C1904" s="516"/>
      <c r="D1904" s="631"/>
      <c r="E1904" s="631"/>
      <c r="F1904" s="631"/>
      <c r="G1904" s="631"/>
      <c r="H1904" s="631"/>
      <c r="I1904" s="631"/>
      <c r="J1904" s="631"/>
      <c r="L1904" s="451"/>
      <c r="M1904" s="451"/>
      <c r="N1904" s="448"/>
      <c r="O1904" s="555"/>
      <c r="P1904" s="545"/>
      <c r="R1904" s="490" t="str">
        <f t="shared" si="93"/>
        <v>DELETE</v>
      </c>
      <c r="S1904" s="495"/>
    </row>
    <row r="1905" spans="2:19" ht="36" customHeight="1" x14ac:dyDescent="0.5">
      <c r="B1905" s="640"/>
      <c r="C1905" s="517"/>
      <c r="D1905" s="649"/>
      <c r="E1905" s="649"/>
      <c r="F1905" s="649"/>
      <c r="G1905" s="649"/>
      <c r="H1905" s="649"/>
      <c r="I1905" s="649"/>
      <c r="J1905" s="649"/>
      <c r="K1905" s="457"/>
      <c r="L1905" s="572"/>
      <c r="M1905" s="572"/>
      <c r="N1905" s="457"/>
      <c r="O1905" s="557"/>
      <c r="P1905" s="551"/>
      <c r="Q1905" s="457"/>
      <c r="R1905" s="490" t="str">
        <f t="shared" si="93"/>
        <v>DELETE</v>
      </c>
      <c r="S1905" s="495"/>
    </row>
    <row r="1906" spans="2:19" ht="36" customHeight="1" x14ac:dyDescent="0.5">
      <c r="B1906" s="501"/>
      <c r="C1906" s="516"/>
      <c r="D1906" s="631"/>
      <c r="E1906" s="631"/>
      <c r="F1906" s="631"/>
      <c r="G1906" s="631"/>
      <c r="H1906" s="631"/>
      <c r="I1906" s="631"/>
      <c r="J1906" s="631"/>
      <c r="L1906" s="451"/>
      <c r="M1906" s="451"/>
      <c r="N1906" s="448"/>
      <c r="O1906" s="488">
        <f>Criteria!E22</f>
        <v>2026</v>
      </c>
      <c r="P1906" s="545"/>
      <c r="R1906" s="490" t="str">
        <f t="shared" si="93"/>
        <v>DELETE</v>
      </c>
      <c r="S1906" s="495"/>
    </row>
    <row r="1907" spans="2:19" ht="36" customHeight="1" x14ac:dyDescent="0.5">
      <c r="B1907" s="501"/>
      <c r="C1907" s="516"/>
      <c r="D1907" s="631"/>
      <c r="E1907" s="631"/>
      <c r="F1907" s="631"/>
      <c r="G1907" s="631"/>
      <c r="H1907" s="631"/>
      <c r="I1907" s="631"/>
      <c r="J1907" s="631"/>
      <c r="L1907" s="451"/>
      <c r="M1907" s="451"/>
      <c r="N1907" s="448"/>
      <c r="O1907" s="555"/>
      <c r="P1907" s="545"/>
      <c r="R1907" s="490" t="str">
        <f t="shared" si="93"/>
        <v>DELETE</v>
      </c>
      <c r="S1907" s="495"/>
    </row>
    <row r="1908" spans="2:19" ht="36" customHeight="1" x14ac:dyDescent="0.5">
      <c r="B1908" s="501"/>
      <c r="C1908" s="515">
        <f>MAX(C1867:C1907)+0.1</f>
        <v>12.2</v>
      </c>
      <c r="D1908" s="630" t="s">
        <v>1524</v>
      </c>
      <c r="E1908" s="631"/>
      <c r="F1908" s="631"/>
      <c r="G1908" s="631"/>
      <c r="H1908" s="631"/>
      <c r="I1908" s="631"/>
      <c r="J1908" s="631"/>
      <c r="L1908" s="451"/>
      <c r="M1908" s="451"/>
      <c r="N1908" s="448"/>
      <c r="O1908" s="555"/>
      <c r="P1908" s="545"/>
      <c r="R1908" s="490" t="str">
        <f>IF(O1923=0,"DELETE"," ")</f>
        <v>DELETE</v>
      </c>
      <c r="S1908" s="495"/>
    </row>
    <row r="1909" spans="2:19" ht="36" customHeight="1" x14ac:dyDescent="0.5">
      <c r="B1909" s="501"/>
      <c r="C1909" s="515"/>
      <c r="D1909" s="630"/>
      <c r="E1909" s="631"/>
      <c r="F1909" s="631"/>
      <c r="G1909" s="631"/>
      <c r="H1909" s="631"/>
      <c r="I1909" s="631"/>
      <c r="J1909" s="631"/>
      <c r="L1909" s="451"/>
      <c r="M1909" s="451"/>
      <c r="N1909" s="448"/>
      <c r="O1909" s="555"/>
      <c r="P1909" s="545"/>
      <c r="R1909" s="490" t="str">
        <f>R1908</f>
        <v>DELETE</v>
      </c>
      <c r="S1909" s="495"/>
    </row>
    <row r="1910" spans="2:19" ht="36" customHeight="1" x14ac:dyDescent="0.5">
      <c r="B1910" s="501"/>
      <c r="C1910" s="515"/>
      <c r="D1910" s="631" t="s">
        <v>1292</v>
      </c>
      <c r="E1910" s="631"/>
      <c r="F1910" s="631"/>
      <c r="G1910" s="631"/>
      <c r="H1910" s="648"/>
      <c r="I1910" s="631"/>
      <c r="J1910" s="631"/>
      <c r="L1910" s="451"/>
      <c r="M1910" s="451"/>
      <c r="N1910" s="448"/>
      <c r="O1910" s="555">
        <f>SUM(S1913:S1915)</f>
        <v>0</v>
      </c>
      <c r="P1910" s="545"/>
      <c r="R1910" s="490" t="str">
        <f>R$1908</f>
        <v>DELETE</v>
      </c>
      <c r="S1910" s="495"/>
    </row>
    <row r="1911" spans="2:19" ht="9" customHeight="1" x14ac:dyDescent="0.5">
      <c r="B1911" s="501"/>
      <c r="C1911" s="515"/>
      <c r="D1911" s="631"/>
      <c r="E1911" s="631"/>
      <c r="F1911" s="631"/>
      <c r="G1911" s="631"/>
      <c r="H1911" s="631"/>
      <c r="I1911" s="631"/>
      <c r="J1911" s="631"/>
      <c r="L1911" s="451"/>
      <c r="M1911" s="451"/>
      <c r="N1911" s="448"/>
      <c r="O1911" s="555"/>
      <c r="P1911" s="545"/>
      <c r="R1911" s="490" t="str">
        <f t="shared" ref="R1911:R1932" si="94">R$1908</f>
        <v>DELETE</v>
      </c>
      <c r="S1911" s="495"/>
    </row>
    <row r="1912" spans="2:19" ht="9" customHeight="1" x14ac:dyDescent="0.5">
      <c r="B1912" s="501"/>
      <c r="C1912" s="515"/>
      <c r="D1912" s="631"/>
      <c r="E1912" s="631"/>
      <c r="F1912" s="631"/>
      <c r="G1912" s="631"/>
      <c r="H1912" s="631"/>
      <c r="I1912" s="631"/>
      <c r="J1912" s="631"/>
      <c r="L1912" s="451"/>
      <c r="M1912" s="451"/>
      <c r="N1912" s="448"/>
      <c r="O1912" s="597"/>
      <c r="P1912" s="545"/>
      <c r="R1912" s="490" t="str">
        <f t="shared" si="94"/>
        <v>DELETE</v>
      </c>
      <c r="S1912" s="495"/>
    </row>
    <row r="1913" spans="2:19" ht="36" customHeight="1" x14ac:dyDescent="0.5">
      <c r="B1913" s="501"/>
      <c r="C1913" s="515"/>
      <c r="D1913" s="631" t="s">
        <v>416</v>
      </c>
      <c r="E1913" s="631"/>
      <c r="F1913" s="631"/>
      <c r="G1913" s="631"/>
      <c r="H1913" s="631"/>
      <c r="I1913" s="631"/>
      <c r="J1913" s="631"/>
      <c r="L1913" s="451"/>
      <c r="M1913" s="451"/>
      <c r="N1913" s="448"/>
      <c r="O1913" s="598">
        <f>TrialBalance!L294</f>
        <v>0</v>
      </c>
      <c r="P1913" s="545"/>
      <c r="R1913" s="490" t="str">
        <f t="shared" si="94"/>
        <v>DELETE</v>
      </c>
      <c r="S1913" s="495">
        <f>O1913</f>
        <v>0</v>
      </c>
    </row>
    <row r="1914" spans="2:19" ht="36" customHeight="1" x14ac:dyDescent="0.5">
      <c r="B1914" s="501"/>
      <c r="C1914" s="515"/>
      <c r="D1914" s="631" t="s">
        <v>1596</v>
      </c>
      <c r="E1914" s="631"/>
      <c r="F1914" s="631"/>
      <c r="G1914" s="631"/>
      <c r="H1914" s="631"/>
      <c r="I1914" s="631"/>
      <c r="J1914" s="631"/>
      <c r="L1914" s="451"/>
      <c r="M1914" s="451"/>
      <c r="N1914" s="448"/>
      <c r="O1914" s="598">
        <f>-TrialBalance!L297</f>
        <v>0</v>
      </c>
      <c r="P1914" s="545"/>
      <c r="R1914" s="490" t="str">
        <f t="shared" si="94"/>
        <v>DELETE</v>
      </c>
      <c r="S1914" s="495">
        <f>-O1914</f>
        <v>0</v>
      </c>
    </row>
    <row r="1915" spans="2:19" ht="36" customHeight="1" x14ac:dyDescent="0.5">
      <c r="B1915" s="501"/>
      <c r="C1915" s="515"/>
      <c r="D1915" s="631" t="s">
        <v>1597</v>
      </c>
      <c r="E1915" s="631"/>
      <c r="F1915" s="631"/>
      <c r="G1915" s="631"/>
      <c r="H1915" s="631"/>
      <c r="I1915" s="631"/>
      <c r="J1915" s="631"/>
      <c r="L1915" s="451"/>
      <c r="M1915" s="451"/>
      <c r="N1915" s="448"/>
      <c r="O1915" s="598">
        <f>-TrialBalance!L300</f>
        <v>0</v>
      </c>
      <c r="P1915" s="545"/>
      <c r="R1915" s="490" t="str">
        <f>IF(O1915=0,"DELETE"," ")</f>
        <v>DELETE</v>
      </c>
      <c r="S1915" s="495">
        <f>-O1915</f>
        <v>0</v>
      </c>
    </row>
    <row r="1916" spans="2:19" ht="9" customHeight="1" x14ac:dyDescent="0.5">
      <c r="B1916" s="501"/>
      <c r="C1916" s="515"/>
      <c r="D1916" s="631"/>
      <c r="E1916" s="631"/>
      <c r="F1916" s="631"/>
      <c r="G1916" s="631"/>
      <c r="H1916" s="631"/>
      <c r="I1916" s="631"/>
      <c r="J1916" s="631"/>
      <c r="L1916" s="451"/>
      <c r="M1916" s="451"/>
      <c r="N1916" s="448"/>
      <c r="O1916" s="599"/>
      <c r="P1916" s="545"/>
      <c r="R1916" s="490" t="str">
        <f t="shared" si="94"/>
        <v>DELETE</v>
      </c>
      <c r="S1916" s="495"/>
    </row>
    <row r="1917" spans="2:19" ht="9" customHeight="1" x14ac:dyDescent="0.5">
      <c r="B1917" s="501"/>
      <c r="C1917" s="515"/>
      <c r="D1917" s="631"/>
      <c r="E1917" s="631"/>
      <c r="F1917" s="631"/>
      <c r="G1917" s="631"/>
      <c r="H1917" s="631"/>
      <c r="I1917" s="631"/>
      <c r="J1917" s="631"/>
      <c r="L1917" s="451"/>
      <c r="M1917" s="451"/>
      <c r="N1917" s="448"/>
      <c r="O1917" s="555"/>
      <c r="P1917" s="545"/>
      <c r="R1917" s="490" t="str">
        <f t="shared" si="94"/>
        <v>DELETE</v>
      </c>
      <c r="S1917" s="495"/>
    </row>
    <row r="1918" spans="2:19" ht="36" customHeight="1" x14ac:dyDescent="0.5">
      <c r="B1918" s="501"/>
      <c r="C1918" s="515"/>
      <c r="D1918" s="631" t="s">
        <v>417</v>
      </c>
      <c r="E1918" s="631"/>
      <c r="F1918" s="631"/>
      <c r="G1918" s="631"/>
      <c r="H1918" s="631"/>
      <c r="I1918" s="631"/>
      <c r="J1918" s="631"/>
      <c r="L1918" s="451"/>
      <c r="M1918" s="451"/>
      <c r="N1918" s="448"/>
      <c r="O1918" s="555">
        <f>TrialBalance!L295</f>
        <v>0</v>
      </c>
      <c r="P1918" s="545"/>
      <c r="R1918" s="490" t="str">
        <f>IF(O1918=0,"DELETE"," ")</f>
        <v>DELETE</v>
      </c>
      <c r="S1918" s="495"/>
    </row>
    <row r="1919" spans="2:19" ht="36" customHeight="1" x14ac:dyDescent="0.5">
      <c r="B1919" s="501"/>
      <c r="C1919" s="515"/>
      <c r="D1919" s="631" t="s">
        <v>1293</v>
      </c>
      <c r="E1919" s="631"/>
      <c r="F1919" s="631"/>
      <c r="G1919" s="631"/>
      <c r="H1919" s="631"/>
      <c r="I1919" s="631"/>
      <c r="J1919" s="631"/>
      <c r="L1919" s="451"/>
      <c r="M1919" s="451"/>
      <c r="N1919" s="448"/>
      <c r="O1919" s="555">
        <f>TrialBalance!L298</f>
        <v>0</v>
      </c>
      <c r="P1919" s="545"/>
      <c r="R1919" s="490" t="str">
        <f t="shared" si="94"/>
        <v>DELETE</v>
      </c>
      <c r="S1919" s="495"/>
    </row>
    <row r="1920" spans="2:19" ht="36" customHeight="1" x14ac:dyDescent="0.5">
      <c r="B1920" s="501"/>
      <c r="C1920" s="515"/>
      <c r="D1920" s="631" t="s">
        <v>1294</v>
      </c>
      <c r="E1920" s="631"/>
      <c r="F1920" s="631"/>
      <c r="G1920" s="631"/>
      <c r="H1920" s="631"/>
      <c r="I1920" s="631"/>
      <c r="J1920" s="631"/>
      <c r="L1920" s="451"/>
      <c r="M1920" s="451"/>
      <c r="N1920" s="448"/>
      <c r="O1920" s="555">
        <f>TrialBalance!L301</f>
        <v>0</v>
      </c>
      <c r="P1920" s="545"/>
      <c r="R1920" s="490" t="str">
        <f>IF(O1920=0,"DELETE"," ")</f>
        <v>DELETE</v>
      </c>
      <c r="S1920" s="495"/>
    </row>
    <row r="1921" spans="2:21" ht="9" customHeight="1" x14ac:dyDescent="0.5">
      <c r="B1921" s="501"/>
      <c r="C1921" s="515"/>
      <c r="D1921" s="631"/>
      <c r="E1921" s="631"/>
      <c r="F1921" s="631"/>
      <c r="G1921" s="631"/>
      <c r="H1921" s="631"/>
      <c r="I1921" s="631"/>
      <c r="J1921" s="631"/>
      <c r="L1921" s="451"/>
      <c r="M1921" s="451"/>
      <c r="N1921" s="448"/>
      <c r="O1921" s="554"/>
      <c r="P1921" s="545"/>
      <c r="R1921" s="490" t="str">
        <f t="shared" si="94"/>
        <v>DELETE</v>
      </c>
      <c r="S1921" s="495"/>
    </row>
    <row r="1922" spans="2:21" ht="9" customHeight="1" x14ac:dyDescent="0.5">
      <c r="B1922" s="501"/>
      <c r="C1922" s="515"/>
      <c r="D1922" s="631"/>
      <c r="E1922" s="631"/>
      <c r="F1922" s="631"/>
      <c r="G1922" s="631"/>
      <c r="H1922" s="631"/>
      <c r="I1922" s="631"/>
      <c r="J1922" s="631"/>
      <c r="L1922" s="451"/>
      <c r="M1922" s="451"/>
      <c r="N1922" s="448"/>
      <c r="O1922" s="555"/>
      <c r="P1922" s="545"/>
      <c r="R1922" s="490" t="str">
        <f t="shared" si="94"/>
        <v>DELETE</v>
      </c>
      <c r="S1922" s="495"/>
    </row>
    <row r="1923" spans="2:21" ht="36.75" customHeight="1" x14ac:dyDescent="0.5">
      <c r="B1923" s="501"/>
      <c r="C1923" s="515"/>
      <c r="D1923" s="631" t="s">
        <v>1295</v>
      </c>
      <c r="E1923" s="631"/>
      <c r="F1923" s="631"/>
      <c r="G1923" s="631"/>
      <c r="H1923" s="631"/>
      <c r="I1923" s="631"/>
      <c r="J1923" s="631"/>
      <c r="L1923" s="451"/>
      <c r="M1923" s="451"/>
      <c r="N1923" s="448"/>
      <c r="O1923" s="555">
        <f>SUM(S1927:S1929)</f>
        <v>0</v>
      </c>
      <c r="P1923" s="545"/>
      <c r="R1923" s="490" t="str">
        <f t="shared" si="94"/>
        <v>DELETE</v>
      </c>
      <c r="S1923" s="495"/>
      <c r="U1923" s="491" t="b">
        <f>O1923=O1910+SUM(O1918:O1920)</f>
        <v>1</v>
      </c>
    </row>
    <row r="1924" spans="2:21" ht="9" customHeight="1" thickBot="1" x14ac:dyDescent="0.55000000000000004">
      <c r="B1924" s="501"/>
      <c r="C1924" s="515"/>
      <c r="D1924" s="631"/>
      <c r="E1924" s="631"/>
      <c r="F1924" s="631"/>
      <c r="G1924" s="631"/>
      <c r="H1924" s="631"/>
      <c r="I1924" s="631"/>
      <c r="J1924" s="631"/>
      <c r="L1924" s="451"/>
      <c r="M1924" s="451"/>
      <c r="N1924" s="448"/>
      <c r="O1924" s="552"/>
      <c r="P1924" s="545"/>
      <c r="R1924" s="490" t="str">
        <f t="shared" si="94"/>
        <v>DELETE</v>
      </c>
      <c r="S1924" s="495"/>
    </row>
    <row r="1925" spans="2:21" ht="9" customHeight="1" thickTop="1" x14ac:dyDescent="0.5">
      <c r="B1925" s="501"/>
      <c r="C1925" s="515"/>
      <c r="D1925" s="631"/>
      <c r="E1925" s="631"/>
      <c r="F1925" s="631"/>
      <c r="G1925" s="631"/>
      <c r="H1925" s="631"/>
      <c r="I1925" s="631"/>
      <c r="J1925" s="631"/>
      <c r="L1925" s="451"/>
      <c r="M1925" s="451"/>
      <c r="N1925" s="448"/>
      <c r="O1925" s="555"/>
      <c r="P1925" s="545"/>
      <c r="R1925" s="490" t="str">
        <f t="shared" si="94"/>
        <v>DELETE</v>
      </c>
      <c r="S1925" s="495"/>
    </row>
    <row r="1926" spans="2:21" ht="9" customHeight="1" x14ac:dyDescent="0.5">
      <c r="B1926" s="501"/>
      <c r="C1926" s="515"/>
      <c r="D1926" s="631"/>
      <c r="E1926" s="631"/>
      <c r="F1926" s="631"/>
      <c r="G1926" s="631"/>
      <c r="H1926" s="631"/>
      <c r="I1926" s="631"/>
      <c r="J1926" s="631"/>
      <c r="L1926" s="451"/>
      <c r="M1926" s="451"/>
      <c r="N1926" s="448"/>
      <c r="O1926" s="597"/>
      <c r="P1926" s="545"/>
      <c r="R1926" s="490" t="str">
        <f t="shared" si="94"/>
        <v>DELETE</v>
      </c>
      <c r="S1926" s="495"/>
    </row>
    <row r="1927" spans="2:21" ht="36" customHeight="1" x14ac:dyDescent="0.5">
      <c r="B1927" s="501"/>
      <c r="C1927" s="515"/>
      <c r="D1927" s="631" t="s">
        <v>416</v>
      </c>
      <c r="E1927" s="631"/>
      <c r="F1927" s="631"/>
      <c r="G1927" s="631"/>
      <c r="H1927" s="631"/>
      <c r="I1927" s="631"/>
      <c r="J1927" s="631"/>
      <c r="L1927" s="451"/>
      <c r="M1927" s="451"/>
      <c r="N1927" s="448"/>
      <c r="O1927" s="598">
        <f>TrialBalance!L294+TrialBalance!L295</f>
        <v>0</v>
      </c>
      <c r="P1927" s="545"/>
      <c r="R1927" s="490" t="str">
        <f t="shared" si="94"/>
        <v>DELETE</v>
      </c>
      <c r="S1927" s="495">
        <f>O1927</f>
        <v>0</v>
      </c>
    </row>
    <row r="1928" spans="2:21" ht="36" customHeight="1" x14ac:dyDescent="0.5">
      <c r="B1928" s="501"/>
      <c r="C1928" s="515"/>
      <c r="D1928" s="631" t="s">
        <v>1596</v>
      </c>
      <c r="E1928" s="631"/>
      <c r="F1928" s="631"/>
      <c r="G1928" s="631"/>
      <c r="H1928" s="631"/>
      <c r="I1928" s="631"/>
      <c r="J1928" s="631"/>
      <c r="L1928" s="451"/>
      <c r="M1928" s="451"/>
      <c r="N1928" s="448"/>
      <c r="O1928" s="598">
        <f>-TrialBalance!L297-TrialBalance!L298</f>
        <v>0</v>
      </c>
      <c r="P1928" s="545"/>
      <c r="R1928" s="490" t="str">
        <f t="shared" si="94"/>
        <v>DELETE</v>
      </c>
      <c r="S1928" s="495">
        <f>-O1928</f>
        <v>0</v>
      </c>
    </row>
    <row r="1929" spans="2:21" ht="36" customHeight="1" x14ac:dyDescent="0.5">
      <c r="B1929" s="501"/>
      <c r="C1929" s="515"/>
      <c r="D1929" s="631" t="s">
        <v>1597</v>
      </c>
      <c r="E1929" s="631"/>
      <c r="F1929" s="631"/>
      <c r="G1929" s="631"/>
      <c r="H1929" s="631"/>
      <c r="I1929" s="631"/>
      <c r="J1929" s="631"/>
      <c r="L1929" s="451"/>
      <c r="M1929" s="451"/>
      <c r="N1929" s="448"/>
      <c r="O1929" s="598">
        <f>-TrialBalance!L300-TrialBalance!L301</f>
        <v>0</v>
      </c>
      <c r="P1929" s="545"/>
      <c r="R1929" s="490" t="str">
        <f>IF(O1929=0,"DELETE"," ")</f>
        <v>DELETE</v>
      </c>
      <c r="S1929" s="495">
        <f>-O1929</f>
        <v>0</v>
      </c>
    </row>
    <row r="1930" spans="2:21" ht="9" customHeight="1" x14ac:dyDescent="0.5">
      <c r="B1930" s="501"/>
      <c r="C1930" s="515"/>
      <c r="D1930" s="631"/>
      <c r="E1930" s="631"/>
      <c r="F1930" s="631"/>
      <c r="G1930" s="631"/>
      <c r="H1930" s="631"/>
      <c r="I1930" s="631"/>
      <c r="J1930" s="631"/>
      <c r="L1930" s="451"/>
      <c r="M1930" s="451"/>
      <c r="N1930" s="448"/>
      <c r="O1930" s="599"/>
      <c r="P1930" s="545"/>
      <c r="R1930" s="490" t="str">
        <f t="shared" si="94"/>
        <v>DELETE</v>
      </c>
      <c r="S1930" s="495"/>
    </row>
    <row r="1931" spans="2:21" ht="9" customHeight="1" x14ac:dyDescent="0.5">
      <c r="B1931" s="501"/>
      <c r="C1931" s="515"/>
      <c r="D1931" s="631"/>
      <c r="E1931" s="631"/>
      <c r="F1931" s="631"/>
      <c r="G1931" s="631"/>
      <c r="H1931" s="631"/>
      <c r="I1931" s="631"/>
      <c r="J1931" s="631"/>
      <c r="L1931" s="451"/>
      <c r="M1931" s="451"/>
      <c r="N1931" s="448"/>
      <c r="O1931" s="555"/>
      <c r="P1931" s="545"/>
      <c r="R1931" s="490" t="str">
        <f t="shared" si="94"/>
        <v>DELETE</v>
      </c>
    </row>
    <row r="1932" spans="2:21" ht="36.75" customHeight="1" x14ac:dyDescent="0.5">
      <c r="B1932" s="501"/>
      <c r="C1932" s="515"/>
      <c r="D1932" s="631"/>
      <c r="E1932" s="631"/>
      <c r="F1932" s="631"/>
      <c r="G1932" s="631"/>
      <c r="H1932" s="631"/>
      <c r="I1932" s="631"/>
      <c r="J1932" s="631"/>
      <c r="L1932" s="451"/>
      <c r="M1932" s="451"/>
      <c r="N1932" s="448"/>
      <c r="O1932" s="555"/>
      <c r="P1932" s="545"/>
      <c r="R1932" s="490" t="str">
        <f t="shared" si="94"/>
        <v>DELETE</v>
      </c>
    </row>
    <row r="1933" spans="2:21" ht="9" customHeight="1" x14ac:dyDescent="0.5">
      <c r="B1933" s="501"/>
      <c r="C1933" s="515"/>
      <c r="D1933" s="631"/>
      <c r="E1933" s="631"/>
      <c r="F1933" s="631"/>
      <c r="G1933" s="631"/>
      <c r="H1933" s="631"/>
      <c r="I1933" s="631"/>
      <c r="J1933" s="631"/>
      <c r="L1933" s="451"/>
      <c r="M1933" s="451"/>
      <c r="N1933" s="448"/>
      <c r="O1933" s="554"/>
      <c r="P1933" s="545"/>
      <c r="R1933" s="490" t="str">
        <f t="shared" ref="R1933:R1941" si="95">R$1867</f>
        <v>DELETE</v>
      </c>
    </row>
    <row r="1934" spans="2:21" ht="9" customHeight="1" x14ac:dyDescent="0.5">
      <c r="B1934" s="501"/>
      <c r="C1934" s="515"/>
      <c r="D1934" s="631"/>
      <c r="E1934" s="631"/>
      <c r="F1934" s="631"/>
      <c r="G1934" s="631"/>
      <c r="H1934" s="631"/>
      <c r="I1934" s="631"/>
      <c r="J1934" s="631"/>
      <c r="L1934" s="451"/>
      <c r="M1934" s="451"/>
      <c r="N1934" s="448"/>
      <c r="O1934" s="555"/>
      <c r="P1934" s="545"/>
      <c r="R1934" s="490" t="str">
        <f t="shared" si="95"/>
        <v>DELETE</v>
      </c>
    </row>
    <row r="1935" spans="2:21" ht="36.75" customHeight="1" x14ac:dyDescent="0.5">
      <c r="B1935" s="501"/>
      <c r="C1935" s="515"/>
      <c r="D1935" s="631" t="s">
        <v>420</v>
      </c>
      <c r="E1935" s="631"/>
      <c r="F1935" s="631"/>
      <c r="G1935" s="631"/>
      <c r="H1935" s="631"/>
      <c r="I1935" s="631"/>
      <c r="J1935" s="631"/>
      <c r="L1935" s="451"/>
      <c r="M1935" s="451"/>
      <c r="N1935" s="448"/>
      <c r="O1935" s="555">
        <f>SUM(TrialBalance!L285:L301)</f>
        <v>0</v>
      </c>
      <c r="P1935" s="545"/>
      <c r="R1935" s="490" t="str">
        <f t="shared" si="95"/>
        <v>DELETE</v>
      </c>
    </row>
    <row r="1936" spans="2:21" ht="9" customHeight="1" thickBot="1" x14ac:dyDescent="0.55000000000000004">
      <c r="B1936" s="501"/>
      <c r="C1936" s="515"/>
      <c r="D1936" s="631"/>
      <c r="E1936" s="631"/>
      <c r="F1936" s="631"/>
      <c r="G1936" s="631"/>
      <c r="H1936" s="631"/>
      <c r="I1936" s="631"/>
      <c r="J1936" s="631"/>
      <c r="L1936" s="451"/>
      <c r="M1936" s="451"/>
      <c r="N1936" s="448"/>
      <c r="O1936" s="552"/>
      <c r="P1936" s="545"/>
      <c r="R1936" s="490" t="str">
        <f t="shared" si="95"/>
        <v>DELETE</v>
      </c>
    </row>
    <row r="1937" spans="2:18" ht="9" customHeight="1" thickTop="1" x14ac:dyDescent="0.5">
      <c r="B1937" s="501"/>
      <c r="C1937" s="515"/>
      <c r="D1937" s="631"/>
      <c r="E1937" s="631"/>
      <c r="F1937" s="631"/>
      <c r="G1937" s="631"/>
      <c r="H1937" s="631"/>
      <c r="I1937" s="631"/>
      <c r="J1937" s="631"/>
      <c r="L1937" s="451"/>
      <c r="M1937" s="451"/>
      <c r="N1937" s="448"/>
      <c r="O1937" s="555"/>
      <c r="P1937" s="545"/>
      <c r="R1937" s="490" t="str">
        <f t="shared" si="95"/>
        <v>DELETE</v>
      </c>
    </row>
    <row r="1938" spans="2:18" ht="36" customHeight="1" x14ac:dyDescent="0.5">
      <c r="B1938" s="501"/>
      <c r="C1938" s="449"/>
      <c r="D1938" s="631"/>
      <c r="E1938" s="631"/>
      <c r="F1938" s="631"/>
      <c r="G1938" s="631"/>
      <c r="H1938" s="631"/>
      <c r="I1938" s="631"/>
      <c r="J1938" s="631"/>
      <c r="L1938" s="451"/>
      <c r="M1938" s="448"/>
      <c r="N1938" s="448"/>
      <c r="O1938" s="555"/>
      <c r="P1938" s="545"/>
      <c r="R1938" s="490" t="str">
        <f t="shared" si="95"/>
        <v>DELETE</v>
      </c>
    </row>
    <row r="1939" spans="2:18" ht="36" customHeight="1" x14ac:dyDescent="0.5">
      <c r="B1939" s="501"/>
      <c r="C1939" s="449"/>
      <c r="D1939" s="631"/>
      <c r="E1939" s="631"/>
      <c r="F1939" s="631"/>
      <c r="G1939" s="631"/>
      <c r="H1939" s="631"/>
      <c r="I1939" s="631"/>
      <c r="J1939" s="631"/>
      <c r="M1939" s="475"/>
      <c r="N1939" s="475"/>
      <c r="O1939" s="475"/>
      <c r="P1939" s="545"/>
      <c r="R1939" s="490" t="str">
        <f t="shared" si="95"/>
        <v>DELETE</v>
      </c>
    </row>
    <row r="1940" spans="2:18" ht="36" customHeight="1" x14ac:dyDescent="0.5">
      <c r="B1940" s="501"/>
      <c r="C1940" s="449"/>
      <c r="D1940" s="631"/>
      <c r="E1940" s="631"/>
      <c r="F1940" s="631"/>
      <c r="G1940" s="631"/>
      <c r="H1940" s="631"/>
      <c r="I1940" s="631"/>
      <c r="J1940" s="631"/>
      <c r="M1940" s="475"/>
      <c r="N1940" s="475"/>
      <c r="O1940" s="475"/>
      <c r="P1940" s="545"/>
      <c r="R1940" s="490" t="str">
        <f t="shared" si="95"/>
        <v>DELETE</v>
      </c>
    </row>
    <row r="1941" spans="2:18" ht="36" customHeight="1" x14ac:dyDescent="0.5">
      <c r="B1941" s="502"/>
      <c r="D1941" s="631"/>
      <c r="E1941" s="631"/>
      <c r="F1941" s="631"/>
      <c r="G1941" s="631"/>
      <c r="H1941" s="631"/>
      <c r="I1941" s="631"/>
      <c r="J1941" s="631"/>
      <c r="M1941" s="540"/>
      <c r="O1941" s="540"/>
      <c r="R1941" s="490" t="str">
        <f t="shared" si="95"/>
        <v>DELETE</v>
      </c>
    </row>
    <row r="1942" spans="2:18" ht="36" customHeight="1" x14ac:dyDescent="0.5">
      <c r="B1942" s="501"/>
      <c r="C1942" s="449"/>
      <c r="D1942" s="631"/>
      <c r="E1942" s="631"/>
      <c r="F1942" s="631"/>
      <c r="G1942" s="631"/>
      <c r="H1942" s="631"/>
      <c r="I1942" s="631"/>
      <c r="J1942" s="631"/>
      <c r="M1942" s="458"/>
      <c r="N1942" s="458"/>
      <c r="O1942" s="475" t="s">
        <v>112</v>
      </c>
      <c r="P1942" s="545"/>
      <c r="Q1942" s="450">
        <f>MAX($Q$103:Q1941)+1</f>
        <v>49</v>
      </c>
      <c r="R1942" s="490" t="str">
        <f>R$1959</f>
        <v>DELETE</v>
      </c>
    </row>
    <row r="1943" spans="2:18" ht="36" customHeight="1" x14ac:dyDescent="0.5">
      <c r="B1943" s="501"/>
      <c r="C1943" s="449"/>
      <c r="D1943" s="630" t="str">
        <f>Criteria!E9</f>
        <v>ABC COMPANY (PROPRIETARY) LIMITED</v>
      </c>
      <c r="E1943" s="631"/>
      <c r="F1943" s="631"/>
      <c r="G1943" s="631"/>
      <c r="H1943" s="631"/>
      <c r="I1943" s="631"/>
      <c r="J1943" s="631"/>
      <c r="M1943" s="555"/>
      <c r="N1943" s="555"/>
      <c r="O1943" s="540"/>
      <c r="R1943" s="490" t="str">
        <f t="shared" ref="R1943:R1953" si="96">R$1959</f>
        <v>DELETE</v>
      </c>
    </row>
    <row r="1944" spans="2:18" ht="36" customHeight="1" x14ac:dyDescent="0.5">
      <c r="B1944" s="501"/>
      <c r="C1944" s="449"/>
      <c r="D1944" s="630" t="str">
        <f>Criteria!E10</f>
        <v>T/A SEAFRONT HOTEL, ABC RESTAURANT AND RENTAL PROPERTIES</v>
      </c>
      <c r="E1944" s="631"/>
      <c r="F1944" s="631"/>
      <c r="G1944" s="631"/>
      <c r="H1944" s="631"/>
      <c r="I1944" s="631"/>
      <c r="J1944" s="631"/>
      <c r="M1944" s="555"/>
      <c r="N1944" s="555"/>
      <c r="O1944" s="555"/>
      <c r="P1944" s="545"/>
      <c r="R1944" s="490" t="str">
        <f>IF(R$1959="DELETE","DELETE",IF(D1944=0,"DELETE"," "))</f>
        <v>DELETE</v>
      </c>
    </row>
    <row r="1945" spans="2:18" ht="36" customHeight="1" x14ac:dyDescent="0.5">
      <c r="B1945" s="501"/>
      <c r="C1945" s="449"/>
      <c r="D1945" s="631"/>
      <c r="E1945" s="631"/>
      <c r="F1945" s="631"/>
      <c r="G1945" s="631"/>
      <c r="H1945" s="631"/>
      <c r="I1945" s="631"/>
      <c r="J1945" s="631"/>
      <c r="M1945" s="555"/>
      <c r="N1945" s="555"/>
      <c r="O1945" s="555"/>
      <c r="P1945" s="545"/>
      <c r="R1945" s="490" t="str">
        <f t="shared" si="96"/>
        <v>DELETE</v>
      </c>
    </row>
    <row r="1946" spans="2:18" ht="36" customHeight="1" x14ac:dyDescent="0.5">
      <c r="B1946" s="501"/>
      <c r="C1946" s="449"/>
      <c r="D1946" s="630" t="s">
        <v>415</v>
      </c>
      <c r="E1946" s="631"/>
      <c r="F1946" s="631"/>
      <c r="G1946" s="631"/>
      <c r="H1946" s="631"/>
      <c r="I1946" s="631"/>
      <c r="J1946" s="631"/>
      <c r="M1946" s="555"/>
      <c r="N1946" s="555"/>
      <c r="O1946" s="555"/>
      <c r="P1946" s="545"/>
      <c r="R1946" s="490" t="str">
        <f t="shared" si="96"/>
        <v>DELETE</v>
      </c>
    </row>
    <row r="1947" spans="2:18" ht="36" customHeight="1" x14ac:dyDescent="0.5">
      <c r="B1947" s="501"/>
      <c r="C1947" s="449"/>
      <c r="D1947" s="630" t="str">
        <f>Criteria!E20</f>
        <v>28 FEBRUARY 2026</v>
      </c>
      <c r="E1947" s="631"/>
      <c r="F1947" s="631"/>
      <c r="G1947" s="631"/>
      <c r="H1947" s="631"/>
      <c r="I1947" s="631"/>
      <c r="J1947" s="631" t="s">
        <v>282</v>
      </c>
      <c r="M1947" s="555"/>
      <c r="N1947" s="555"/>
      <c r="O1947" s="555"/>
      <c r="P1947" s="545"/>
      <c r="R1947" s="490" t="str">
        <f t="shared" si="96"/>
        <v>DELETE</v>
      </c>
    </row>
    <row r="1948" spans="2:18" ht="36" customHeight="1" x14ac:dyDescent="0.5">
      <c r="B1948" s="501"/>
      <c r="C1948" s="449"/>
      <c r="D1948" s="631"/>
      <c r="E1948" s="631"/>
      <c r="F1948" s="631"/>
      <c r="G1948" s="631"/>
      <c r="H1948" s="631"/>
      <c r="I1948" s="631"/>
      <c r="J1948" s="631"/>
      <c r="M1948" s="458"/>
      <c r="N1948" s="458"/>
      <c r="O1948" s="458"/>
      <c r="R1948" s="490" t="str">
        <f t="shared" si="96"/>
        <v>DELETE</v>
      </c>
    </row>
    <row r="1949" spans="2:18" ht="36" customHeight="1" x14ac:dyDescent="0.5">
      <c r="B1949" s="640"/>
      <c r="C1949" s="484"/>
      <c r="D1949" s="649"/>
      <c r="E1949" s="649"/>
      <c r="F1949" s="649"/>
      <c r="G1949" s="649"/>
      <c r="H1949" s="649"/>
      <c r="I1949" s="649"/>
      <c r="J1949" s="649"/>
      <c r="K1949" s="457"/>
      <c r="L1949" s="457"/>
      <c r="M1949" s="459"/>
      <c r="N1949" s="459"/>
      <c r="O1949" s="459"/>
      <c r="P1949" s="551"/>
      <c r="Q1949" s="457"/>
      <c r="R1949" s="490" t="str">
        <f t="shared" si="96"/>
        <v>DELETE</v>
      </c>
    </row>
    <row r="1950" spans="2:18" ht="36" customHeight="1" x14ac:dyDescent="0.5">
      <c r="B1950" s="501"/>
      <c r="C1950" s="449"/>
      <c r="D1950" s="631"/>
      <c r="E1950" s="631"/>
      <c r="F1950" s="631"/>
      <c r="G1950" s="631"/>
      <c r="H1950" s="631"/>
      <c r="I1950" s="631"/>
      <c r="J1950" s="631"/>
      <c r="M1950" s="475"/>
      <c r="N1950" s="475"/>
      <c r="O1950" s="488">
        <f>Criteria!E22</f>
        <v>2026</v>
      </c>
      <c r="P1950" s="545"/>
      <c r="R1950" s="490" t="str">
        <f t="shared" si="96"/>
        <v>DELETE</v>
      </c>
    </row>
    <row r="1951" spans="2:18" ht="36" customHeight="1" x14ac:dyDescent="0.5">
      <c r="B1951" s="501"/>
      <c r="C1951" s="449"/>
      <c r="D1951" s="631"/>
      <c r="E1951" s="631"/>
      <c r="F1951" s="631"/>
      <c r="G1951" s="631"/>
      <c r="H1951" s="631"/>
      <c r="I1951" s="631"/>
      <c r="J1951" s="631"/>
      <c r="M1951" s="475"/>
      <c r="N1951" s="475"/>
      <c r="O1951" s="475"/>
      <c r="P1951" s="545"/>
      <c r="R1951" s="490" t="str">
        <f t="shared" si="96"/>
        <v>DELETE</v>
      </c>
    </row>
    <row r="1952" spans="2:18" ht="36" customHeight="1" x14ac:dyDescent="0.5">
      <c r="B1952" s="501">
        <f>MAX($B$873:B1951)+1</f>
        <v>13</v>
      </c>
      <c r="C1952" s="630" t="str">
        <f>IF(COUNTIF(TrialBalance!L304:L306,"&gt;0")&gt;1,"Investments in associates","Investment in associate")</f>
        <v>Investment in associate</v>
      </c>
      <c r="D1952" s="631"/>
      <c r="E1952" s="631"/>
      <c r="F1952" s="631"/>
      <c r="G1952" s="631"/>
      <c r="H1952" s="631"/>
      <c r="I1952" s="631"/>
      <c r="J1952" s="631"/>
      <c r="M1952" s="475"/>
      <c r="N1952" s="475"/>
      <c r="O1952" s="475"/>
      <c r="P1952" s="545"/>
      <c r="R1952" s="490" t="str">
        <f t="shared" si="96"/>
        <v>DELETE</v>
      </c>
    </row>
    <row r="1953" spans="2:18" ht="36" customHeight="1" x14ac:dyDescent="0.5">
      <c r="B1953" s="501"/>
      <c r="C1953" s="630"/>
      <c r="D1953" s="631"/>
      <c r="E1953" s="631"/>
      <c r="F1953" s="631"/>
      <c r="G1953" s="631"/>
      <c r="H1953" s="631"/>
      <c r="I1953" s="631"/>
      <c r="J1953" s="631"/>
      <c r="M1953" s="475"/>
      <c r="N1953" s="475"/>
      <c r="O1953" s="475"/>
      <c r="P1953" s="545"/>
      <c r="R1953" s="490" t="str">
        <f t="shared" si="96"/>
        <v>DELETE</v>
      </c>
    </row>
    <row r="1954" spans="2:18" ht="36" customHeight="1" x14ac:dyDescent="0.5">
      <c r="B1954" s="501"/>
      <c r="C1954" s="631" t="str">
        <f>TrialBalance!C304</f>
        <v>30 Shares in ABC Company (Pty) Ltd - 30% interest</v>
      </c>
      <c r="D1954" s="648"/>
      <c r="E1954" s="631"/>
      <c r="F1954" s="631"/>
      <c r="G1954" s="631"/>
      <c r="H1954" s="631"/>
      <c r="I1954" s="631"/>
      <c r="J1954" s="631"/>
      <c r="M1954" s="475"/>
      <c r="N1954" s="475"/>
      <c r="O1954" s="475">
        <f>TrialBalance!L304</f>
        <v>0</v>
      </c>
      <c r="P1954" s="545"/>
      <c r="R1954" s="490" t="str">
        <f t="shared" ref="R1954:R1956" si="97">IF(O1954=0,"DELETE"," ")</f>
        <v>DELETE</v>
      </c>
    </row>
    <row r="1955" spans="2:18" ht="36" customHeight="1" x14ac:dyDescent="0.5">
      <c r="B1955" s="501"/>
      <c r="C1955" s="631">
        <f>TrialBalance!C305</f>
        <v>0</v>
      </c>
      <c r="D1955" s="648"/>
      <c r="E1955" s="631"/>
      <c r="F1955" s="631"/>
      <c r="G1955" s="631"/>
      <c r="H1955" s="631"/>
      <c r="I1955" s="631"/>
      <c r="J1955" s="631"/>
      <c r="M1955" s="475"/>
      <c r="N1955" s="475"/>
      <c r="O1955" s="475">
        <f>TrialBalance!L305</f>
        <v>0</v>
      </c>
      <c r="P1955" s="545"/>
      <c r="R1955" s="490" t="str">
        <f t="shared" si="97"/>
        <v>DELETE</v>
      </c>
    </row>
    <row r="1956" spans="2:18" ht="36" customHeight="1" x14ac:dyDescent="0.5">
      <c r="B1956" s="501"/>
      <c r="C1956" s="631">
        <f>TrialBalance!C306</f>
        <v>0</v>
      </c>
      <c r="D1956" s="648"/>
      <c r="E1956" s="631"/>
      <c r="F1956" s="631"/>
      <c r="G1956" s="631"/>
      <c r="H1956" s="631"/>
      <c r="I1956" s="631"/>
      <c r="J1956" s="631"/>
      <c r="M1956" s="475"/>
      <c r="N1956" s="475"/>
      <c r="O1956" s="475">
        <f>TrialBalance!L306</f>
        <v>0</v>
      </c>
      <c r="P1956" s="545"/>
      <c r="R1956" s="490" t="str">
        <f t="shared" si="97"/>
        <v>DELETE</v>
      </c>
    </row>
    <row r="1957" spans="2:18" ht="9" customHeight="1" x14ac:dyDescent="0.5">
      <c r="B1957" s="501"/>
      <c r="C1957" s="630"/>
      <c r="D1957" s="631"/>
      <c r="E1957" s="631"/>
      <c r="F1957" s="631"/>
      <c r="G1957" s="631"/>
      <c r="H1957" s="631"/>
      <c r="I1957" s="631"/>
      <c r="J1957" s="631"/>
      <c r="M1957" s="475"/>
      <c r="N1957" s="475"/>
      <c r="O1957" s="461"/>
      <c r="P1957" s="545"/>
      <c r="R1957" s="490" t="str">
        <f t="shared" ref="R1957:R1966" si="98">R$1959</f>
        <v>DELETE</v>
      </c>
    </row>
    <row r="1958" spans="2:18" ht="9" customHeight="1" x14ac:dyDescent="0.5">
      <c r="B1958" s="501"/>
      <c r="C1958" s="630"/>
      <c r="D1958" s="631"/>
      <c r="E1958" s="631"/>
      <c r="F1958" s="631"/>
      <c r="G1958" s="631"/>
      <c r="H1958" s="631"/>
      <c r="I1958" s="631"/>
      <c r="J1958" s="631"/>
      <c r="M1958" s="475"/>
      <c r="N1958" s="475"/>
      <c r="O1958" s="475"/>
      <c r="P1958" s="545"/>
      <c r="R1958" s="490" t="str">
        <f t="shared" si="98"/>
        <v>DELETE</v>
      </c>
    </row>
    <row r="1959" spans="2:18" ht="36.75" customHeight="1" x14ac:dyDescent="0.5">
      <c r="B1959" s="501"/>
      <c r="C1959" s="630"/>
      <c r="D1959" s="631"/>
      <c r="E1959" s="631"/>
      <c r="F1959" s="631"/>
      <c r="G1959" s="631"/>
      <c r="H1959" s="631"/>
      <c r="I1959" s="631"/>
      <c r="J1959" s="631"/>
      <c r="M1959" s="475"/>
      <c r="N1959" s="475"/>
      <c r="O1959" s="475">
        <f>SUM(O1954:O1958)</f>
        <v>0</v>
      </c>
      <c r="P1959" s="545"/>
      <c r="R1959" s="490" t="str">
        <f t="shared" ref="R1959" si="99">IF(O1959=0,"DELETE"," ")</f>
        <v>DELETE</v>
      </c>
    </row>
    <row r="1960" spans="2:18" ht="9" customHeight="1" thickBot="1" x14ac:dyDescent="0.55000000000000004">
      <c r="B1960" s="501"/>
      <c r="C1960" s="630"/>
      <c r="D1960" s="631"/>
      <c r="E1960" s="631"/>
      <c r="F1960" s="631"/>
      <c r="G1960" s="631"/>
      <c r="H1960" s="631"/>
      <c r="I1960" s="631"/>
      <c r="J1960" s="631"/>
      <c r="M1960" s="475"/>
      <c r="N1960" s="475"/>
      <c r="O1960" s="462"/>
      <c r="P1960" s="545"/>
      <c r="R1960" s="490" t="str">
        <f t="shared" si="98"/>
        <v>DELETE</v>
      </c>
    </row>
    <row r="1961" spans="2:18" ht="9" customHeight="1" thickTop="1" x14ac:dyDescent="0.5">
      <c r="B1961" s="501"/>
      <c r="C1961" s="630"/>
      <c r="D1961" s="631"/>
      <c r="E1961" s="631"/>
      <c r="F1961" s="631"/>
      <c r="G1961" s="631"/>
      <c r="H1961" s="631"/>
      <c r="I1961" s="631"/>
      <c r="J1961" s="631"/>
      <c r="M1961" s="475"/>
      <c r="N1961" s="475"/>
      <c r="O1961" s="475"/>
      <c r="P1961" s="545"/>
      <c r="R1961" s="490" t="str">
        <f t="shared" si="98"/>
        <v>DELETE</v>
      </c>
    </row>
    <row r="1962" spans="2:18" ht="36" customHeight="1" x14ac:dyDescent="0.5">
      <c r="B1962" s="501"/>
      <c r="C1962" s="631" t="str">
        <f>IF(COUNTIF(TrialBalance!L304:L306,"&gt;0")&gt;1,"The shares of the associates are not publicly traded.","The shares of the associate are not publicly traded.")</f>
        <v>The shares of the associate are not publicly traded.</v>
      </c>
      <c r="D1962" s="631"/>
      <c r="E1962" s="631"/>
      <c r="F1962" s="631"/>
      <c r="G1962" s="631"/>
      <c r="H1962" s="631"/>
      <c r="I1962" s="631"/>
      <c r="J1962" s="631"/>
      <c r="M1962" s="475"/>
      <c r="N1962" s="475"/>
      <c r="O1962" s="475"/>
      <c r="P1962" s="545"/>
      <c r="R1962" s="490" t="str">
        <f t="shared" si="98"/>
        <v>DELETE</v>
      </c>
    </row>
    <row r="1963" spans="2:18" ht="36" customHeight="1" x14ac:dyDescent="0.5">
      <c r="B1963" s="501"/>
      <c r="C1963" s="630"/>
      <c r="D1963" s="631"/>
      <c r="E1963" s="631"/>
      <c r="F1963" s="631"/>
      <c r="G1963" s="631"/>
      <c r="H1963" s="631"/>
      <c r="I1963" s="631"/>
      <c r="J1963" s="631"/>
      <c r="M1963" s="475"/>
      <c r="N1963" s="475"/>
      <c r="O1963" s="475"/>
      <c r="P1963" s="545"/>
      <c r="R1963" s="490" t="str">
        <f t="shared" si="98"/>
        <v>DELETE</v>
      </c>
    </row>
    <row r="1964" spans="2:18" ht="36" customHeight="1" x14ac:dyDescent="0.5">
      <c r="B1964" s="501"/>
      <c r="C1964" s="630"/>
      <c r="D1964" s="631"/>
      <c r="E1964" s="631"/>
      <c r="F1964" s="631"/>
      <c r="G1964" s="631"/>
      <c r="H1964" s="631"/>
      <c r="I1964" s="631"/>
      <c r="J1964" s="631"/>
      <c r="M1964" s="475"/>
      <c r="N1964" s="475"/>
      <c r="O1964" s="475"/>
      <c r="P1964" s="545"/>
      <c r="R1964" s="490" t="str">
        <f t="shared" si="98"/>
        <v>DELETE</v>
      </c>
    </row>
    <row r="1965" spans="2:18" ht="36" customHeight="1" x14ac:dyDescent="0.5">
      <c r="B1965" s="501"/>
      <c r="C1965" s="630"/>
      <c r="D1965" s="631"/>
      <c r="E1965" s="631"/>
      <c r="F1965" s="631"/>
      <c r="G1965" s="631"/>
      <c r="H1965" s="631"/>
      <c r="I1965" s="631"/>
      <c r="J1965" s="631"/>
      <c r="M1965" s="475"/>
      <c r="N1965" s="475"/>
      <c r="O1965" s="475"/>
      <c r="P1965" s="545"/>
      <c r="R1965" s="490" t="str">
        <f t="shared" si="98"/>
        <v>DELETE</v>
      </c>
    </row>
    <row r="1966" spans="2:18" ht="36" customHeight="1" x14ac:dyDescent="0.5">
      <c r="B1966" s="501"/>
      <c r="C1966" s="630"/>
      <c r="D1966" s="631"/>
      <c r="E1966" s="631"/>
      <c r="F1966" s="631"/>
      <c r="G1966" s="631"/>
      <c r="H1966" s="631"/>
      <c r="I1966" s="631"/>
      <c r="J1966" s="631"/>
      <c r="M1966" s="458"/>
      <c r="N1966" s="458"/>
      <c r="O1966" s="458"/>
      <c r="R1966" s="490" t="str">
        <f t="shared" si="98"/>
        <v>DELETE</v>
      </c>
    </row>
    <row r="1967" spans="2:18" ht="36" customHeight="1" x14ac:dyDescent="0.5">
      <c r="B1967" s="502"/>
      <c r="C1967" s="631"/>
      <c r="D1967" s="631"/>
      <c r="E1967" s="631"/>
      <c r="F1967" s="631"/>
      <c r="G1967" s="631"/>
      <c r="H1967" s="631"/>
      <c r="I1967" s="631"/>
      <c r="J1967" s="631"/>
      <c r="M1967" s="540"/>
      <c r="O1967" s="454" t="s">
        <v>112</v>
      </c>
      <c r="Q1967" s="450">
        <f>MAX($Q$103:Q1966)+1</f>
        <v>50</v>
      </c>
      <c r="R1967" s="490" t="str">
        <f>R$1986</f>
        <v>DELETE</v>
      </c>
    </row>
    <row r="1968" spans="2:18" ht="36" customHeight="1" x14ac:dyDescent="0.5">
      <c r="B1968" s="502"/>
      <c r="C1968" s="631"/>
      <c r="D1968" s="630" t="str">
        <f>Criteria!E9</f>
        <v>ABC COMPANY (PROPRIETARY) LIMITED</v>
      </c>
      <c r="E1968" s="631"/>
      <c r="F1968" s="631"/>
      <c r="G1968" s="631"/>
      <c r="H1968" s="631"/>
      <c r="I1968" s="631"/>
      <c r="J1968" s="631"/>
      <c r="M1968" s="540"/>
      <c r="O1968" s="540"/>
      <c r="R1968" s="490" t="str">
        <f t="shared" ref="R1968:R1978" si="100">R$1986</f>
        <v>DELETE</v>
      </c>
    </row>
    <row r="1969" spans="2:18" ht="36" customHeight="1" x14ac:dyDescent="0.5">
      <c r="B1969" s="502"/>
      <c r="C1969" s="631"/>
      <c r="D1969" s="630" t="str">
        <f>Criteria!E10</f>
        <v>T/A SEAFRONT HOTEL, ABC RESTAURANT AND RENTAL PROPERTIES</v>
      </c>
      <c r="E1969" s="631"/>
      <c r="F1969" s="631"/>
      <c r="G1969" s="631"/>
      <c r="H1969" s="631"/>
      <c r="I1969" s="631"/>
      <c r="J1969" s="631"/>
      <c r="M1969" s="540"/>
      <c r="O1969" s="540"/>
      <c r="R1969" s="490" t="str">
        <f>IF(R$1986="DELETE","DELETE",IF(D1969=0,"DELETE"," "))</f>
        <v>DELETE</v>
      </c>
    </row>
    <row r="1970" spans="2:18" ht="36" customHeight="1" x14ac:dyDescent="0.5">
      <c r="B1970" s="502"/>
      <c r="C1970" s="631"/>
      <c r="D1970" s="631"/>
      <c r="E1970" s="631"/>
      <c r="F1970" s="631"/>
      <c r="G1970" s="631"/>
      <c r="H1970" s="631"/>
      <c r="I1970" s="631"/>
      <c r="J1970" s="631"/>
      <c r="M1970" s="540"/>
      <c r="O1970" s="540"/>
      <c r="R1970" s="490" t="str">
        <f t="shared" si="100"/>
        <v>DELETE</v>
      </c>
    </row>
    <row r="1971" spans="2:18" ht="36" customHeight="1" x14ac:dyDescent="0.5">
      <c r="B1971" s="502"/>
      <c r="C1971" s="631"/>
      <c r="D1971" s="630" t="s">
        <v>415</v>
      </c>
      <c r="E1971" s="631"/>
      <c r="F1971" s="631"/>
      <c r="G1971" s="631"/>
      <c r="H1971" s="631"/>
      <c r="I1971" s="631"/>
      <c r="J1971" s="631"/>
      <c r="M1971" s="540"/>
      <c r="O1971" s="540"/>
      <c r="R1971" s="490" t="str">
        <f t="shared" si="100"/>
        <v>DELETE</v>
      </c>
    </row>
    <row r="1972" spans="2:18" ht="36" customHeight="1" x14ac:dyDescent="0.5">
      <c r="B1972" s="502"/>
      <c r="C1972" s="631"/>
      <c r="D1972" s="630" t="str">
        <f>Criteria!E20</f>
        <v>28 FEBRUARY 2026</v>
      </c>
      <c r="E1972" s="631"/>
      <c r="F1972" s="631"/>
      <c r="G1972" s="631"/>
      <c r="H1972" s="631"/>
      <c r="I1972" s="631"/>
      <c r="J1972" s="631" t="s">
        <v>282</v>
      </c>
      <c r="M1972" s="540"/>
      <c r="O1972" s="540"/>
      <c r="R1972" s="490" t="str">
        <f t="shared" si="100"/>
        <v>DELETE</v>
      </c>
    </row>
    <row r="1973" spans="2:18" ht="36" customHeight="1" x14ac:dyDescent="0.5">
      <c r="B1973" s="502"/>
      <c r="C1973" s="631"/>
      <c r="D1973" s="631"/>
      <c r="E1973" s="631"/>
      <c r="F1973" s="631"/>
      <c r="G1973" s="631"/>
      <c r="H1973" s="631"/>
      <c r="I1973" s="631"/>
      <c r="J1973" s="631"/>
      <c r="M1973" s="540"/>
      <c r="O1973" s="540"/>
      <c r="R1973" s="490" t="str">
        <f t="shared" si="100"/>
        <v>DELETE</v>
      </c>
    </row>
    <row r="1974" spans="2:18" ht="36" customHeight="1" x14ac:dyDescent="0.5">
      <c r="B1974" s="641"/>
      <c r="C1974" s="649"/>
      <c r="D1974" s="649"/>
      <c r="E1974" s="649"/>
      <c r="F1974" s="649"/>
      <c r="G1974" s="649"/>
      <c r="H1974" s="649"/>
      <c r="I1974" s="649"/>
      <c r="J1974" s="649"/>
      <c r="K1974" s="457"/>
      <c r="L1974" s="457"/>
      <c r="M1974" s="551"/>
      <c r="N1974" s="551"/>
      <c r="O1974" s="551"/>
      <c r="P1974" s="551"/>
      <c r="Q1974" s="457"/>
      <c r="R1974" s="490" t="str">
        <f t="shared" si="100"/>
        <v>DELETE</v>
      </c>
    </row>
    <row r="1975" spans="2:18" ht="36" customHeight="1" x14ac:dyDescent="0.5">
      <c r="B1975" s="502"/>
      <c r="C1975" s="631"/>
      <c r="D1975" s="631"/>
      <c r="E1975" s="631"/>
      <c r="F1975" s="631"/>
      <c r="G1975" s="631"/>
      <c r="H1975" s="631"/>
      <c r="I1975" s="631"/>
      <c r="J1975" s="631"/>
      <c r="L1975" s="451"/>
      <c r="M1975" s="448"/>
      <c r="N1975" s="448"/>
      <c r="O1975" s="453">
        <f>Criteria!E22</f>
        <v>2026</v>
      </c>
      <c r="R1975" s="490" t="str">
        <f t="shared" si="100"/>
        <v>DELETE</v>
      </c>
    </row>
    <row r="1976" spans="2:18" ht="36" customHeight="1" x14ac:dyDescent="0.5">
      <c r="B1976" s="502"/>
      <c r="C1976" s="631"/>
      <c r="D1976" s="631"/>
      <c r="E1976" s="631"/>
      <c r="F1976" s="631"/>
      <c r="G1976" s="631"/>
      <c r="H1976" s="631"/>
      <c r="I1976" s="631"/>
      <c r="J1976" s="631"/>
      <c r="L1976" s="451"/>
      <c r="M1976" s="448"/>
      <c r="N1976" s="448"/>
      <c r="O1976" s="540"/>
      <c r="R1976" s="490" t="str">
        <f t="shared" si="100"/>
        <v>DELETE</v>
      </c>
    </row>
    <row r="1977" spans="2:18" ht="36" customHeight="1" x14ac:dyDescent="0.5">
      <c r="B1977" s="501">
        <f>MAX($B$873:B1976)+1</f>
        <v>14</v>
      </c>
      <c r="C1977" s="630" t="str">
        <f>IF(COUNTIF(TrialBalance!L308:L312,"&gt;0")&gt;1,"Listed investments","Listed investment")</f>
        <v>Listed investment</v>
      </c>
      <c r="D1977" s="631"/>
      <c r="E1977" s="631"/>
      <c r="F1977" s="631"/>
      <c r="G1977" s="631"/>
      <c r="H1977" s="631"/>
      <c r="I1977" s="631"/>
      <c r="J1977" s="631"/>
      <c r="L1977" s="451"/>
      <c r="M1977" s="448"/>
      <c r="N1977" s="448"/>
      <c r="O1977" s="541"/>
      <c r="R1977" s="490" t="str">
        <f t="shared" si="100"/>
        <v>DELETE</v>
      </c>
    </row>
    <row r="1978" spans="2:18" ht="36" customHeight="1" x14ac:dyDescent="0.5">
      <c r="B1978" s="501"/>
      <c r="C1978" s="630"/>
      <c r="D1978" s="631"/>
      <c r="E1978" s="631"/>
      <c r="F1978" s="631"/>
      <c r="G1978" s="631"/>
      <c r="H1978" s="631"/>
      <c r="I1978" s="631"/>
      <c r="J1978" s="631"/>
      <c r="L1978" s="451"/>
      <c r="M1978" s="448"/>
      <c r="N1978" s="448"/>
      <c r="O1978" s="541"/>
      <c r="R1978" s="490" t="str">
        <f t="shared" si="100"/>
        <v>DELETE</v>
      </c>
    </row>
    <row r="1979" spans="2:18" ht="36" customHeight="1" x14ac:dyDescent="0.5">
      <c r="B1979" s="501"/>
      <c r="C1979" s="631">
        <f>TrialBalance!C308</f>
        <v>0</v>
      </c>
      <c r="D1979" s="648"/>
      <c r="E1979" s="631"/>
      <c r="F1979" s="631"/>
      <c r="G1979" s="631"/>
      <c r="H1979" s="631"/>
      <c r="I1979" s="631"/>
      <c r="J1979" s="631"/>
      <c r="L1979" s="451"/>
      <c r="M1979" s="448"/>
      <c r="N1979" s="448"/>
      <c r="O1979" s="458">
        <f>TrialBalance!L308</f>
        <v>0</v>
      </c>
      <c r="R1979" s="490" t="str">
        <f t="shared" ref="R1979:R1983" si="101">IF(O1979=0,"DELETE"," ")</f>
        <v>DELETE</v>
      </c>
    </row>
    <row r="1980" spans="2:18" ht="36" customHeight="1" x14ac:dyDescent="0.5">
      <c r="B1980" s="501"/>
      <c r="C1980" s="631">
        <f>TrialBalance!C309</f>
        <v>0</v>
      </c>
      <c r="D1980" s="648"/>
      <c r="E1980" s="631"/>
      <c r="F1980" s="631"/>
      <c r="G1980" s="631"/>
      <c r="H1980" s="631"/>
      <c r="I1980" s="631"/>
      <c r="J1980" s="631"/>
      <c r="L1980" s="451"/>
      <c r="M1980" s="448"/>
      <c r="N1980" s="448"/>
      <c r="O1980" s="458">
        <f>TrialBalance!L309</f>
        <v>0</v>
      </c>
      <c r="R1980" s="490" t="str">
        <f t="shared" si="101"/>
        <v>DELETE</v>
      </c>
    </row>
    <row r="1981" spans="2:18" ht="36" customHeight="1" x14ac:dyDescent="0.5">
      <c r="B1981" s="501"/>
      <c r="C1981" s="631">
        <f>TrialBalance!C310</f>
        <v>0</v>
      </c>
      <c r="D1981" s="648"/>
      <c r="E1981" s="631"/>
      <c r="F1981" s="631"/>
      <c r="G1981" s="631"/>
      <c r="H1981" s="631"/>
      <c r="I1981" s="631"/>
      <c r="J1981" s="631"/>
      <c r="L1981" s="451"/>
      <c r="M1981" s="448"/>
      <c r="N1981" s="448"/>
      <c r="O1981" s="458">
        <f>TrialBalance!L310</f>
        <v>0</v>
      </c>
      <c r="R1981" s="490" t="str">
        <f t="shared" si="101"/>
        <v>DELETE</v>
      </c>
    </row>
    <row r="1982" spans="2:18" ht="36" customHeight="1" x14ac:dyDescent="0.5">
      <c r="B1982" s="501"/>
      <c r="C1982" s="631">
        <f>TrialBalance!C311</f>
        <v>0</v>
      </c>
      <c r="D1982" s="648"/>
      <c r="E1982" s="631"/>
      <c r="F1982" s="631"/>
      <c r="G1982" s="631"/>
      <c r="H1982" s="631"/>
      <c r="I1982" s="631"/>
      <c r="J1982" s="631"/>
      <c r="L1982" s="451"/>
      <c r="M1982" s="448"/>
      <c r="N1982" s="448"/>
      <c r="O1982" s="458">
        <f>TrialBalance!L311</f>
        <v>0</v>
      </c>
      <c r="R1982" s="490" t="str">
        <f t="shared" si="101"/>
        <v>DELETE</v>
      </c>
    </row>
    <row r="1983" spans="2:18" ht="36" customHeight="1" x14ac:dyDescent="0.5">
      <c r="B1983" s="501"/>
      <c r="C1983" s="631">
        <f>TrialBalance!C312</f>
        <v>0</v>
      </c>
      <c r="D1983" s="648"/>
      <c r="E1983" s="631"/>
      <c r="F1983" s="631"/>
      <c r="G1983" s="631"/>
      <c r="H1983" s="631"/>
      <c r="I1983" s="631"/>
      <c r="J1983" s="631"/>
      <c r="L1983" s="451"/>
      <c r="M1983" s="448"/>
      <c r="N1983" s="448"/>
      <c r="O1983" s="458">
        <f>TrialBalance!L312</f>
        <v>0</v>
      </c>
      <c r="R1983" s="490" t="str">
        <f t="shared" si="101"/>
        <v>DELETE</v>
      </c>
    </row>
    <row r="1984" spans="2:18" ht="9" customHeight="1" x14ac:dyDescent="0.5">
      <c r="B1984" s="501"/>
      <c r="C1984" s="630"/>
      <c r="D1984" s="631"/>
      <c r="E1984" s="631"/>
      <c r="F1984" s="631"/>
      <c r="G1984" s="631"/>
      <c r="H1984" s="631"/>
      <c r="I1984" s="631"/>
      <c r="J1984" s="631"/>
      <c r="L1984" s="451"/>
      <c r="M1984" s="448"/>
      <c r="N1984" s="448"/>
      <c r="O1984" s="461"/>
      <c r="R1984" s="490" t="str">
        <f>R1986</f>
        <v>DELETE</v>
      </c>
    </row>
    <row r="1985" spans="2:18" ht="9" customHeight="1" x14ac:dyDescent="0.5">
      <c r="B1985" s="501"/>
      <c r="C1985" s="630"/>
      <c r="D1985" s="631"/>
      <c r="E1985" s="631"/>
      <c r="F1985" s="631"/>
      <c r="G1985" s="631"/>
      <c r="H1985" s="631"/>
      <c r="I1985" s="631"/>
      <c r="J1985" s="631"/>
      <c r="L1985" s="451"/>
      <c r="M1985" s="448"/>
      <c r="N1985" s="448"/>
      <c r="O1985" s="458"/>
      <c r="R1985" s="490" t="str">
        <f>R1986</f>
        <v>DELETE</v>
      </c>
    </row>
    <row r="1986" spans="2:18" ht="36.75" customHeight="1" x14ac:dyDescent="0.5">
      <c r="B1986" s="501"/>
      <c r="C1986" s="630"/>
      <c r="D1986" s="631"/>
      <c r="E1986" s="631"/>
      <c r="F1986" s="631"/>
      <c r="G1986" s="631"/>
      <c r="H1986" s="631"/>
      <c r="I1986" s="631"/>
      <c r="J1986" s="631"/>
      <c r="L1986" s="451"/>
      <c r="M1986" s="448"/>
      <c r="N1986" s="448"/>
      <c r="O1986" s="458">
        <f>SUM(O1979:O1985)</f>
        <v>0</v>
      </c>
      <c r="R1986" s="490" t="str">
        <f t="shared" ref="R1986" si="102">IF(O1986=0,"DELETE"," ")</f>
        <v>DELETE</v>
      </c>
    </row>
    <row r="1987" spans="2:18" ht="9" customHeight="1" thickBot="1" x14ac:dyDescent="0.55000000000000004">
      <c r="B1987" s="501"/>
      <c r="C1987" s="630"/>
      <c r="D1987" s="631"/>
      <c r="E1987" s="631"/>
      <c r="F1987" s="631"/>
      <c r="G1987" s="631"/>
      <c r="H1987" s="631"/>
      <c r="I1987" s="631"/>
      <c r="J1987" s="631"/>
      <c r="L1987" s="451"/>
      <c r="M1987" s="448"/>
      <c r="N1987" s="448"/>
      <c r="O1987" s="462"/>
      <c r="R1987" s="490" t="str">
        <f>R1986</f>
        <v>DELETE</v>
      </c>
    </row>
    <row r="1988" spans="2:18" ht="9" customHeight="1" thickTop="1" x14ac:dyDescent="0.5">
      <c r="B1988" s="501"/>
      <c r="C1988" s="630"/>
      <c r="D1988" s="631"/>
      <c r="E1988" s="631"/>
      <c r="F1988" s="631"/>
      <c r="G1988" s="631"/>
      <c r="H1988" s="631"/>
      <c r="I1988" s="631"/>
      <c r="J1988" s="631"/>
      <c r="L1988" s="451"/>
      <c r="M1988" s="448"/>
      <c r="N1988" s="448"/>
      <c r="O1988" s="475"/>
      <c r="R1988" s="490" t="str">
        <f>R1987</f>
        <v>DELETE</v>
      </c>
    </row>
    <row r="1989" spans="2:18" ht="36.75" customHeight="1" x14ac:dyDescent="0.5">
      <c r="B1989" s="501"/>
      <c r="C1989" s="630"/>
      <c r="D1989" s="631"/>
      <c r="E1989" s="631"/>
      <c r="F1989" s="631"/>
      <c r="G1989" s="631"/>
      <c r="H1989" s="631"/>
      <c r="I1989" s="631"/>
      <c r="J1989" s="631"/>
      <c r="L1989" s="451"/>
      <c r="M1989" s="448"/>
      <c r="N1989" s="448"/>
      <c r="O1989" s="475"/>
      <c r="R1989" s="490" t="str">
        <f t="shared" ref="R1989:R1996" si="103">R$1986</f>
        <v>DELETE</v>
      </c>
    </row>
    <row r="1990" spans="2:18" ht="9" customHeight="1" x14ac:dyDescent="0.5">
      <c r="B1990" s="501"/>
      <c r="C1990" s="630"/>
      <c r="D1990" s="631"/>
      <c r="E1990" s="631"/>
      <c r="F1990" s="631"/>
      <c r="G1990" s="631"/>
      <c r="H1990" s="631"/>
      <c r="I1990" s="631"/>
      <c r="J1990" s="631"/>
      <c r="L1990" s="451"/>
      <c r="M1990" s="448"/>
      <c r="N1990" s="448"/>
      <c r="O1990" s="461"/>
      <c r="R1990" s="490" t="str">
        <f>R1991</f>
        <v>DELETE</v>
      </c>
    </row>
    <row r="1991" spans="2:18" ht="9" customHeight="1" x14ac:dyDescent="0.5">
      <c r="B1991" s="501"/>
      <c r="C1991" s="630"/>
      <c r="D1991" s="631"/>
      <c r="E1991" s="631"/>
      <c r="F1991" s="631"/>
      <c r="G1991" s="631"/>
      <c r="H1991" s="631"/>
      <c r="I1991" s="631"/>
      <c r="J1991" s="631"/>
      <c r="L1991" s="451"/>
      <c r="M1991" s="448"/>
      <c r="N1991" s="448"/>
      <c r="O1991" s="475"/>
      <c r="R1991" s="490" t="str">
        <f>R1992</f>
        <v>DELETE</v>
      </c>
    </row>
    <row r="1992" spans="2:18" ht="36.75" customHeight="1" x14ac:dyDescent="0.5">
      <c r="B1992" s="501"/>
      <c r="C1992" s="631" t="s">
        <v>894</v>
      </c>
      <c r="D1992" s="648"/>
      <c r="E1992" s="631"/>
      <c r="F1992" s="631"/>
      <c r="G1992" s="631"/>
      <c r="H1992" s="631"/>
      <c r="I1992" s="631"/>
      <c r="J1992" s="631"/>
      <c r="L1992" s="451"/>
      <c r="M1992" s="448"/>
      <c r="N1992" s="448"/>
      <c r="O1992" s="475">
        <f>Criteria!G251</f>
        <v>0</v>
      </c>
      <c r="R1992" s="490" t="str">
        <f t="shared" ref="R1992" si="104">IF(O1992=0,"DELETE"," ")</f>
        <v>DELETE</v>
      </c>
    </row>
    <row r="1993" spans="2:18" ht="9" customHeight="1" thickBot="1" x14ac:dyDescent="0.55000000000000004">
      <c r="B1993" s="501"/>
      <c r="C1993" s="630"/>
      <c r="D1993" s="631"/>
      <c r="E1993" s="631"/>
      <c r="F1993" s="631"/>
      <c r="G1993" s="631"/>
      <c r="H1993" s="631"/>
      <c r="I1993" s="631"/>
      <c r="J1993" s="631"/>
      <c r="L1993" s="451"/>
      <c r="M1993" s="448"/>
      <c r="N1993" s="448"/>
      <c r="O1993" s="462"/>
      <c r="R1993" s="490" t="str">
        <f>R1992</f>
        <v>DELETE</v>
      </c>
    </row>
    <row r="1994" spans="2:18" ht="9" customHeight="1" thickTop="1" x14ac:dyDescent="0.5">
      <c r="B1994" s="501"/>
      <c r="C1994" s="630"/>
      <c r="D1994" s="631"/>
      <c r="E1994" s="631"/>
      <c r="F1994" s="631"/>
      <c r="G1994" s="631"/>
      <c r="H1994" s="631"/>
      <c r="I1994" s="631"/>
      <c r="J1994" s="631"/>
      <c r="L1994" s="451"/>
      <c r="M1994" s="448"/>
      <c r="N1994" s="448"/>
      <c r="O1994" s="475"/>
      <c r="R1994" s="490" t="str">
        <f>R1993</f>
        <v>DELETE</v>
      </c>
    </row>
    <row r="1995" spans="2:18" ht="36" customHeight="1" x14ac:dyDescent="0.5">
      <c r="B1995" s="501"/>
      <c r="C1995" s="630"/>
      <c r="D1995" s="631"/>
      <c r="E1995" s="631"/>
      <c r="F1995" s="631"/>
      <c r="G1995" s="631"/>
      <c r="H1995" s="631"/>
      <c r="I1995" s="631"/>
      <c r="J1995" s="631"/>
      <c r="L1995" s="451"/>
      <c r="M1995" s="448"/>
      <c r="N1995" s="448"/>
      <c r="O1995" s="475"/>
      <c r="R1995" s="490" t="str">
        <f t="shared" si="103"/>
        <v>DELETE</v>
      </c>
    </row>
    <row r="1996" spans="2:18" ht="36" customHeight="1" x14ac:dyDescent="0.5">
      <c r="B1996" s="501"/>
      <c r="C1996" s="630"/>
      <c r="D1996" s="631"/>
      <c r="E1996" s="631"/>
      <c r="F1996" s="631"/>
      <c r="G1996" s="631"/>
      <c r="H1996" s="631"/>
      <c r="I1996" s="631"/>
      <c r="J1996" s="631"/>
      <c r="M1996" s="475"/>
      <c r="N1996" s="475"/>
      <c r="O1996" s="475"/>
      <c r="R1996" s="490" t="str">
        <f t="shared" si="103"/>
        <v>DELETE</v>
      </c>
    </row>
    <row r="1997" spans="2:18" ht="36" customHeight="1" x14ac:dyDescent="0.5">
      <c r="B1997" s="501"/>
      <c r="C1997" s="630"/>
      <c r="D1997" s="631"/>
      <c r="E1997" s="631"/>
      <c r="F1997" s="631"/>
      <c r="G1997" s="631"/>
      <c r="H1997" s="631"/>
      <c r="I1997" s="631"/>
      <c r="J1997" s="631"/>
      <c r="M1997" s="475"/>
      <c r="N1997" s="475"/>
      <c r="O1997" s="475"/>
      <c r="P1997" s="545"/>
      <c r="R1997" s="490" t="str">
        <f>R$1986</f>
        <v>DELETE</v>
      </c>
    </row>
    <row r="1998" spans="2:18" ht="36" customHeight="1" x14ac:dyDescent="0.5">
      <c r="B1998" s="501"/>
      <c r="C1998" s="630"/>
      <c r="D1998" s="631"/>
      <c r="E1998" s="631"/>
      <c r="F1998" s="631"/>
      <c r="G1998" s="631"/>
      <c r="H1998" s="631"/>
      <c r="I1998" s="631"/>
      <c r="J1998" s="631"/>
      <c r="M1998" s="458"/>
      <c r="N1998" s="458"/>
      <c r="O1998" s="458"/>
      <c r="R1998" s="490" t="str">
        <f>R$1986</f>
        <v>DELETE</v>
      </c>
    </row>
    <row r="1999" spans="2:18" ht="36" customHeight="1" x14ac:dyDescent="0.5">
      <c r="B1999" s="501"/>
      <c r="C1999" s="630"/>
      <c r="D1999" s="631"/>
      <c r="E1999" s="631"/>
      <c r="F1999" s="631"/>
      <c r="G1999" s="631"/>
      <c r="H1999" s="631"/>
      <c r="I1999" s="631"/>
      <c r="J1999" s="631"/>
      <c r="M1999" s="458"/>
      <c r="N1999" s="458"/>
      <c r="O1999" s="454" t="s">
        <v>112</v>
      </c>
      <c r="Q1999" s="450">
        <f>MAX($Q$103:Q1998)+1</f>
        <v>51</v>
      </c>
      <c r="R1999" s="490" t="str">
        <f>R$2018</f>
        <v>DELETE</v>
      </c>
    </row>
    <row r="2000" spans="2:18" ht="36" customHeight="1" x14ac:dyDescent="0.5">
      <c r="B2000" s="502"/>
      <c r="C2000" s="631"/>
      <c r="D2000" s="630" t="str">
        <f>Criteria!E9</f>
        <v>ABC COMPANY (PROPRIETARY) LIMITED</v>
      </c>
      <c r="E2000" s="631"/>
      <c r="F2000" s="631"/>
      <c r="G2000" s="631"/>
      <c r="H2000" s="631"/>
      <c r="I2000" s="631"/>
      <c r="J2000" s="631"/>
      <c r="M2000" s="540"/>
      <c r="O2000" s="540"/>
      <c r="R2000" s="490" t="str">
        <f>R$2018</f>
        <v>DELETE</v>
      </c>
    </row>
    <row r="2001" spans="2:22" ht="36" customHeight="1" x14ac:dyDescent="0.5">
      <c r="B2001" s="502"/>
      <c r="C2001" s="631"/>
      <c r="D2001" s="630" t="str">
        <f>Criteria!E10</f>
        <v>T/A SEAFRONT HOTEL, ABC RESTAURANT AND RENTAL PROPERTIES</v>
      </c>
      <c r="E2001" s="631"/>
      <c r="F2001" s="631"/>
      <c r="G2001" s="631"/>
      <c r="H2001" s="631"/>
      <c r="I2001" s="631"/>
      <c r="J2001" s="631"/>
      <c r="M2001" s="540"/>
      <c r="O2001" s="540"/>
      <c r="R2001" s="490" t="str">
        <f>IF(R$2018="DELETE","DELETE",IF(D2001=0,"DELETE"," "))</f>
        <v>DELETE</v>
      </c>
    </row>
    <row r="2002" spans="2:22" ht="36" customHeight="1" x14ac:dyDescent="0.5">
      <c r="B2002" s="502"/>
      <c r="C2002" s="631"/>
      <c r="D2002" s="631"/>
      <c r="E2002" s="631"/>
      <c r="F2002" s="631"/>
      <c r="G2002" s="631"/>
      <c r="H2002" s="631"/>
      <c r="I2002" s="631"/>
      <c r="J2002" s="631"/>
      <c r="M2002" s="540"/>
      <c r="O2002" s="540"/>
      <c r="R2002" s="490" t="str">
        <f t="shared" ref="R2002:R2010" si="105">R$2018</f>
        <v>DELETE</v>
      </c>
    </row>
    <row r="2003" spans="2:22" ht="36" customHeight="1" x14ac:dyDescent="0.5">
      <c r="B2003" s="502"/>
      <c r="C2003" s="631"/>
      <c r="D2003" s="630" t="s">
        <v>415</v>
      </c>
      <c r="E2003" s="631"/>
      <c r="F2003" s="631"/>
      <c r="G2003" s="631"/>
      <c r="H2003" s="631"/>
      <c r="I2003" s="631"/>
      <c r="J2003" s="631"/>
      <c r="M2003" s="540"/>
      <c r="O2003" s="540"/>
      <c r="R2003" s="490" t="str">
        <f t="shared" si="105"/>
        <v>DELETE</v>
      </c>
    </row>
    <row r="2004" spans="2:22" ht="36" customHeight="1" x14ac:dyDescent="0.5">
      <c r="B2004" s="502"/>
      <c r="C2004" s="631"/>
      <c r="D2004" s="630" t="str">
        <f>Criteria!E20</f>
        <v>28 FEBRUARY 2026</v>
      </c>
      <c r="E2004" s="631"/>
      <c r="F2004" s="631"/>
      <c r="G2004" s="631"/>
      <c r="H2004" s="631"/>
      <c r="I2004" s="631"/>
      <c r="J2004" s="631" t="s">
        <v>282</v>
      </c>
      <c r="M2004" s="540"/>
      <c r="O2004" s="540"/>
      <c r="R2004" s="490" t="str">
        <f t="shared" si="105"/>
        <v>DELETE</v>
      </c>
    </row>
    <row r="2005" spans="2:22" ht="36" customHeight="1" x14ac:dyDescent="0.5">
      <c r="B2005" s="502"/>
      <c r="C2005" s="631"/>
      <c r="D2005" s="631"/>
      <c r="E2005" s="631"/>
      <c r="F2005" s="631"/>
      <c r="G2005" s="631"/>
      <c r="H2005" s="631"/>
      <c r="I2005" s="631"/>
      <c r="J2005" s="631"/>
      <c r="M2005" s="540"/>
      <c r="O2005" s="540"/>
      <c r="R2005" s="490" t="str">
        <f t="shared" si="105"/>
        <v>DELETE</v>
      </c>
    </row>
    <row r="2006" spans="2:22" ht="36" customHeight="1" x14ac:dyDescent="0.5">
      <c r="B2006" s="641"/>
      <c r="C2006" s="649"/>
      <c r="D2006" s="649"/>
      <c r="E2006" s="649"/>
      <c r="F2006" s="649"/>
      <c r="G2006" s="649"/>
      <c r="H2006" s="649"/>
      <c r="I2006" s="649"/>
      <c r="J2006" s="649"/>
      <c r="K2006" s="457"/>
      <c r="L2006" s="457"/>
      <c r="M2006" s="551"/>
      <c r="N2006" s="551"/>
      <c r="O2006" s="551"/>
      <c r="P2006" s="551"/>
      <c r="Q2006" s="457"/>
      <c r="R2006" s="490" t="str">
        <f t="shared" si="105"/>
        <v>DELETE</v>
      </c>
    </row>
    <row r="2007" spans="2:22" ht="36" customHeight="1" x14ac:dyDescent="0.5">
      <c r="B2007" s="502"/>
      <c r="C2007" s="631"/>
      <c r="D2007" s="631"/>
      <c r="E2007" s="631"/>
      <c r="F2007" s="631"/>
      <c r="G2007" s="631"/>
      <c r="H2007" s="631"/>
      <c r="I2007" s="631"/>
      <c r="J2007" s="631"/>
      <c r="L2007" s="451"/>
      <c r="M2007" s="448"/>
      <c r="N2007" s="448"/>
      <c r="O2007" s="453">
        <f>Criteria!E22</f>
        <v>2026</v>
      </c>
      <c r="R2007" s="490" t="str">
        <f t="shared" si="105"/>
        <v>DELETE</v>
      </c>
    </row>
    <row r="2008" spans="2:22" ht="36" customHeight="1" x14ac:dyDescent="0.5">
      <c r="B2008" s="501"/>
      <c r="C2008" s="630"/>
      <c r="D2008" s="631"/>
      <c r="E2008" s="631"/>
      <c r="F2008" s="631"/>
      <c r="G2008" s="631"/>
      <c r="H2008" s="631"/>
      <c r="I2008" s="631"/>
      <c r="J2008" s="631"/>
      <c r="L2008" s="451"/>
      <c r="M2008" s="448"/>
      <c r="N2008" s="448"/>
      <c r="O2008" s="458"/>
      <c r="R2008" s="490" t="str">
        <f t="shared" si="105"/>
        <v>DELETE</v>
      </c>
    </row>
    <row r="2009" spans="2:22" ht="36" customHeight="1" x14ac:dyDescent="0.5">
      <c r="B2009" s="501">
        <f>MAX($B$873:B2008)+1</f>
        <v>15</v>
      </c>
      <c r="C2009" s="630" t="str">
        <f>IF(COUNTIF(TrialBalance!L314:L318,"&gt;0")&gt;1,"Other investments","Other investment")</f>
        <v>Other investment</v>
      </c>
      <c r="D2009" s="648"/>
      <c r="E2009" s="631"/>
      <c r="F2009" s="631"/>
      <c r="G2009" s="631"/>
      <c r="H2009" s="631"/>
      <c r="I2009" s="631"/>
      <c r="J2009" s="631"/>
      <c r="L2009" s="451"/>
      <c r="M2009" s="448"/>
      <c r="N2009" s="448"/>
      <c r="O2009" s="458"/>
      <c r="R2009" s="490" t="str">
        <f t="shared" si="105"/>
        <v>DELETE</v>
      </c>
      <c r="S2009" s="496"/>
      <c r="T2009" s="496"/>
      <c r="U2009" s="496"/>
      <c r="V2009" s="496"/>
    </row>
    <row r="2010" spans="2:22" ht="36" customHeight="1" x14ac:dyDescent="0.5">
      <c r="B2010" s="501"/>
      <c r="C2010" s="630"/>
      <c r="D2010" s="648"/>
      <c r="E2010" s="631"/>
      <c r="F2010" s="631"/>
      <c r="G2010" s="631"/>
      <c r="H2010" s="631"/>
      <c r="I2010" s="631"/>
      <c r="J2010" s="631"/>
      <c r="L2010" s="451"/>
      <c r="M2010" s="448"/>
      <c r="N2010" s="448"/>
      <c r="O2010" s="458"/>
      <c r="R2010" s="490" t="str">
        <f t="shared" si="105"/>
        <v>DELETE</v>
      </c>
      <c r="S2010" s="496"/>
      <c r="T2010" s="496"/>
      <c r="U2010" s="496"/>
      <c r="V2010" s="496"/>
    </row>
    <row r="2011" spans="2:22" ht="36" customHeight="1" x14ac:dyDescent="0.5">
      <c r="B2011" s="501"/>
      <c r="C2011" s="631">
        <f>TrialBalance!C314</f>
        <v>0</v>
      </c>
      <c r="D2011" s="648"/>
      <c r="E2011" s="631"/>
      <c r="F2011" s="631"/>
      <c r="G2011" s="631"/>
      <c r="H2011" s="631"/>
      <c r="I2011" s="631"/>
      <c r="J2011" s="631"/>
      <c r="L2011" s="451"/>
      <c r="M2011" s="448"/>
      <c r="N2011" s="448"/>
      <c r="O2011" s="458">
        <f>TrialBalance!L314</f>
        <v>0</v>
      </c>
      <c r="R2011" s="490" t="str">
        <f t="shared" ref="R2011:R2015" si="106">IF(O2011=0,"DELETE"," ")</f>
        <v>DELETE</v>
      </c>
    </row>
    <row r="2012" spans="2:22" ht="36" customHeight="1" x14ac:dyDescent="0.5">
      <c r="B2012" s="501"/>
      <c r="C2012" s="631">
        <f>TrialBalance!C315</f>
        <v>0</v>
      </c>
      <c r="D2012" s="648"/>
      <c r="E2012" s="631"/>
      <c r="F2012" s="631"/>
      <c r="G2012" s="631"/>
      <c r="H2012" s="631"/>
      <c r="I2012" s="631"/>
      <c r="J2012" s="631"/>
      <c r="L2012" s="451"/>
      <c r="M2012" s="448"/>
      <c r="N2012" s="448"/>
      <c r="O2012" s="458">
        <f>TrialBalance!L315</f>
        <v>0</v>
      </c>
      <c r="R2012" s="490" t="str">
        <f t="shared" si="106"/>
        <v>DELETE</v>
      </c>
    </row>
    <row r="2013" spans="2:22" ht="36" customHeight="1" x14ac:dyDescent="0.5">
      <c r="B2013" s="501"/>
      <c r="C2013" s="631">
        <f>TrialBalance!C316</f>
        <v>0</v>
      </c>
      <c r="D2013" s="648"/>
      <c r="E2013" s="631"/>
      <c r="F2013" s="631"/>
      <c r="G2013" s="631"/>
      <c r="H2013" s="631"/>
      <c r="I2013" s="631"/>
      <c r="J2013" s="631"/>
      <c r="L2013" s="451"/>
      <c r="M2013" s="448"/>
      <c r="N2013" s="448"/>
      <c r="O2013" s="458">
        <f>TrialBalance!L316</f>
        <v>0</v>
      </c>
      <c r="R2013" s="490" t="str">
        <f t="shared" si="106"/>
        <v>DELETE</v>
      </c>
    </row>
    <row r="2014" spans="2:22" ht="36" customHeight="1" x14ac:dyDescent="0.5">
      <c r="B2014" s="501"/>
      <c r="C2014" s="631">
        <f>TrialBalance!C317</f>
        <v>0</v>
      </c>
      <c r="D2014" s="648"/>
      <c r="E2014" s="631"/>
      <c r="F2014" s="631"/>
      <c r="G2014" s="631"/>
      <c r="H2014" s="631"/>
      <c r="I2014" s="631"/>
      <c r="J2014" s="631"/>
      <c r="L2014" s="451"/>
      <c r="M2014" s="448"/>
      <c r="N2014" s="448"/>
      <c r="O2014" s="458">
        <f>TrialBalance!L317</f>
        <v>0</v>
      </c>
      <c r="R2014" s="490" t="str">
        <f t="shared" si="106"/>
        <v>DELETE</v>
      </c>
    </row>
    <row r="2015" spans="2:22" ht="36" customHeight="1" x14ac:dyDescent="0.5">
      <c r="B2015" s="501"/>
      <c r="C2015" s="631">
        <f>TrialBalance!C318</f>
        <v>0</v>
      </c>
      <c r="D2015" s="648"/>
      <c r="E2015" s="631"/>
      <c r="F2015" s="631"/>
      <c r="G2015" s="631"/>
      <c r="H2015" s="631"/>
      <c r="I2015" s="631"/>
      <c r="J2015" s="631"/>
      <c r="L2015" s="451"/>
      <c r="M2015" s="448"/>
      <c r="N2015" s="448"/>
      <c r="O2015" s="458">
        <f>TrialBalance!L318</f>
        <v>0</v>
      </c>
      <c r="R2015" s="490" t="str">
        <f t="shared" si="106"/>
        <v>DELETE</v>
      </c>
    </row>
    <row r="2016" spans="2:22" ht="9" customHeight="1" x14ac:dyDescent="0.5">
      <c r="B2016" s="501"/>
      <c r="C2016" s="630"/>
      <c r="D2016" s="631"/>
      <c r="E2016" s="631"/>
      <c r="F2016" s="631"/>
      <c r="G2016" s="631"/>
      <c r="H2016" s="631"/>
      <c r="I2016" s="631"/>
      <c r="J2016" s="631"/>
      <c r="L2016" s="451"/>
      <c r="M2016" s="448"/>
      <c r="N2016" s="448"/>
      <c r="O2016" s="461"/>
      <c r="R2016" s="490" t="str">
        <f>R2018</f>
        <v>DELETE</v>
      </c>
    </row>
    <row r="2017" spans="2:22" ht="9" customHeight="1" x14ac:dyDescent="0.5">
      <c r="B2017" s="501"/>
      <c r="C2017" s="630"/>
      <c r="D2017" s="631"/>
      <c r="E2017" s="631"/>
      <c r="F2017" s="631"/>
      <c r="G2017" s="631"/>
      <c r="H2017" s="631"/>
      <c r="I2017" s="631"/>
      <c r="J2017" s="631"/>
      <c r="L2017" s="451"/>
      <c r="M2017" s="448"/>
      <c r="N2017" s="448"/>
      <c r="O2017" s="458"/>
      <c r="R2017" s="490" t="str">
        <f>R2018</f>
        <v>DELETE</v>
      </c>
    </row>
    <row r="2018" spans="2:22" ht="36.75" customHeight="1" x14ac:dyDescent="0.5">
      <c r="B2018" s="501"/>
      <c r="C2018" s="630"/>
      <c r="D2018" s="631"/>
      <c r="E2018" s="631"/>
      <c r="F2018" s="631"/>
      <c r="G2018" s="631"/>
      <c r="H2018" s="631"/>
      <c r="I2018" s="631"/>
      <c r="J2018" s="631"/>
      <c r="L2018" s="451"/>
      <c r="M2018" s="448"/>
      <c r="N2018" s="448"/>
      <c r="O2018" s="458">
        <f>SUM(O2011:O2017)</f>
        <v>0</v>
      </c>
      <c r="R2018" s="490" t="str">
        <f t="shared" ref="R2018" si="107">IF(O2018=0,"DELETE"," ")</f>
        <v>DELETE</v>
      </c>
      <c r="U2018" s="499"/>
      <c r="V2018" s="499"/>
    </row>
    <row r="2019" spans="2:22" ht="9" customHeight="1" thickBot="1" x14ac:dyDescent="0.55000000000000004">
      <c r="B2019" s="501"/>
      <c r="C2019" s="630"/>
      <c r="D2019" s="631"/>
      <c r="E2019" s="631"/>
      <c r="F2019" s="631"/>
      <c r="G2019" s="631"/>
      <c r="H2019" s="631"/>
      <c r="I2019" s="631"/>
      <c r="J2019" s="631"/>
      <c r="L2019" s="451"/>
      <c r="M2019" s="448"/>
      <c r="N2019" s="448"/>
      <c r="O2019" s="462"/>
      <c r="R2019" s="490" t="str">
        <f>R2018</f>
        <v>DELETE</v>
      </c>
    </row>
    <row r="2020" spans="2:22" ht="9" customHeight="1" thickTop="1" x14ac:dyDescent="0.5">
      <c r="B2020" s="501"/>
      <c r="C2020" s="630"/>
      <c r="D2020" s="631"/>
      <c r="E2020" s="631"/>
      <c r="F2020" s="631"/>
      <c r="G2020" s="631"/>
      <c r="H2020" s="631"/>
      <c r="I2020" s="631"/>
      <c r="J2020" s="631"/>
      <c r="L2020" s="451"/>
      <c r="M2020" s="448"/>
      <c r="N2020" s="448"/>
      <c r="O2020" s="475"/>
      <c r="R2020" s="490" t="str">
        <f>R2019</f>
        <v>DELETE</v>
      </c>
    </row>
    <row r="2021" spans="2:22" ht="36.75" customHeight="1" x14ac:dyDescent="0.5">
      <c r="B2021" s="501"/>
      <c r="C2021" s="630"/>
      <c r="D2021" s="631"/>
      <c r="E2021" s="631"/>
      <c r="F2021" s="631"/>
      <c r="G2021" s="631"/>
      <c r="H2021" s="631"/>
      <c r="I2021" s="631"/>
      <c r="J2021" s="631"/>
      <c r="L2021" s="451"/>
      <c r="M2021" s="448"/>
      <c r="N2021" s="448"/>
      <c r="O2021" s="458"/>
      <c r="R2021" s="490" t="str">
        <f t="shared" ref="R2021:R2029" si="108">R$2018</f>
        <v>DELETE</v>
      </c>
    </row>
    <row r="2022" spans="2:22" ht="9" customHeight="1" x14ac:dyDescent="0.5">
      <c r="B2022" s="501"/>
      <c r="C2022" s="630"/>
      <c r="D2022" s="631"/>
      <c r="E2022" s="631"/>
      <c r="F2022" s="631"/>
      <c r="G2022" s="631"/>
      <c r="H2022" s="631"/>
      <c r="I2022" s="631"/>
      <c r="J2022" s="631"/>
      <c r="L2022" s="451"/>
      <c r="M2022" s="448"/>
      <c r="N2022" s="448"/>
      <c r="O2022" s="461"/>
      <c r="R2022" s="490" t="str">
        <f>R2023</f>
        <v>DELETE</v>
      </c>
    </row>
    <row r="2023" spans="2:22" ht="9" customHeight="1" x14ac:dyDescent="0.5">
      <c r="B2023" s="501"/>
      <c r="C2023" s="630"/>
      <c r="D2023" s="631"/>
      <c r="E2023" s="631"/>
      <c r="F2023" s="631"/>
      <c r="G2023" s="631"/>
      <c r="H2023" s="631"/>
      <c r="I2023" s="631"/>
      <c r="J2023" s="631"/>
      <c r="L2023" s="451"/>
      <c r="M2023" s="448"/>
      <c r="N2023" s="448"/>
      <c r="O2023" s="458"/>
      <c r="R2023" s="490" t="str">
        <f>R2024</f>
        <v>DELETE</v>
      </c>
    </row>
    <row r="2024" spans="2:22" ht="36.75" customHeight="1" x14ac:dyDescent="0.5">
      <c r="B2024" s="501"/>
      <c r="C2024" s="631" t="str">
        <f>IF(MAX(Criteria!I41:I45)&gt;1,"Directors' valuation","Director's valuation")</f>
        <v>Directors' valuation</v>
      </c>
      <c r="D2024" s="631"/>
      <c r="E2024" s="631"/>
      <c r="F2024" s="631"/>
      <c r="G2024" s="631"/>
      <c r="H2024" s="631"/>
      <c r="I2024" s="631"/>
      <c r="J2024" s="631"/>
      <c r="L2024" s="451"/>
      <c r="M2024" s="448"/>
      <c r="N2024" s="448"/>
      <c r="O2024" s="458">
        <f>Criteria!G254</f>
        <v>0</v>
      </c>
      <c r="R2024" s="490" t="str">
        <f t="shared" ref="R2024" si="109">IF(O2024=0,"DELETE"," ")</f>
        <v>DELETE</v>
      </c>
    </row>
    <row r="2025" spans="2:22" ht="9" customHeight="1" thickBot="1" x14ac:dyDescent="0.55000000000000004">
      <c r="B2025" s="501"/>
      <c r="C2025" s="630"/>
      <c r="D2025" s="631"/>
      <c r="E2025" s="631"/>
      <c r="F2025" s="631"/>
      <c r="G2025" s="631"/>
      <c r="H2025" s="631"/>
      <c r="I2025" s="631"/>
      <c r="J2025" s="631"/>
      <c r="L2025" s="451"/>
      <c r="M2025" s="448"/>
      <c r="N2025" s="448"/>
      <c r="O2025" s="462"/>
      <c r="R2025" s="490" t="str">
        <f>R2024</f>
        <v>DELETE</v>
      </c>
    </row>
    <row r="2026" spans="2:22" ht="9" customHeight="1" thickTop="1" x14ac:dyDescent="0.5">
      <c r="B2026" s="501"/>
      <c r="C2026" s="630"/>
      <c r="D2026" s="631"/>
      <c r="E2026" s="631"/>
      <c r="F2026" s="631"/>
      <c r="G2026" s="631"/>
      <c r="H2026" s="631"/>
      <c r="I2026" s="631"/>
      <c r="J2026" s="631"/>
      <c r="L2026" s="451"/>
      <c r="M2026" s="448"/>
      <c r="N2026" s="448"/>
      <c r="O2026" s="458"/>
      <c r="R2026" s="490" t="str">
        <f>R2025</f>
        <v>DELETE</v>
      </c>
    </row>
    <row r="2027" spans="2:22" ht="36" customHeight="1" x14ac:dyDescent="0.5">
      <c r="B2027" s="501"/>
      <c r="C2027" s="630"/>
      <c r="D2027" s="631"/>
      <c r="E2027" s="631"/>
      <c r="F2027" s="631"/>
      <c r="G2027" s="631"/>
      <c r="H2027" s="631"/>
      <c r="I2027" s="631"/>
      <c r="J2027" s="631"/>
      <c r="M2027" s="458"/>
      <c r="N2027" s="458"/>
      <c r="O2027" s="458"/>
      <c r="R2027" s="490" t="str">
        <f t="shared" si="108"/>
        <v>DELETE</v>
      </c>
    </row>
    <row r="2028" spans="2:22" ht="36" customHeight="1" x14ac:dyDescent="0.5">
      <c r="B2028" s="501"/>
      <c r="C2028" s="630"/>
      <c r="D2028" s="631"/>
      <c r="E2028" s="631"/>
      <c r="F2028" s="631"/>
      <c r="G2028" s="631"/>
      <c r="H2028" s="631"/>
      <c r="I2028" s="631"/>
      <c r="J2028" s="631"/>
      <c r="M2028" s="475"/>
      <c r="N2028" s="475"/>
      <c r="O2028" s="475"/>
      <c r="P2028" s="545"/>
      <c r="R2028" s="490" t="str">
        <f t="shared" si="108"/>
        <v>DELETE</v>
      </c>
    </row>
    <row r="2029" spans="2:22" ht="36" customHeight="1" x14ac:dyDescent="0.5">
      <c r="B2029" s="501"/>
      <c r="C2029" s="630"/>
      <c r="D2029" s="631"/>
      <c r="E2029" s="631"/>
      <c r="F2029" s="631"/>
      <c r="G2029" s="631"/>
      <c r="H2029" s="631"/>
      <c r="I2029" s="631"/>
      <c r="J2029" s="631"/>
      <c r="M2029" s="458"/>
      <c r="N2029" s="458"/>
      <c r="O2029" s="458"/>
      <c r="R2029" s="490" t="str">
        <f t="shared" si="108"/>
        <v>DELETE</v>
      </c>
    </row>
    <row r="2030" spans="2:22" ht="36" customHeight="1" x14ac:dyDescent="0.5">
      <c r="B2030" s="502"/>
      <c r="C2030" s="631"/>
      <c r="D2030" s="631"/>
      <c r="E2030" s="631"/>
      <c r="F2030" s="631"/>
      <c r="G2030" s="631"/>
      <c r="H2030" s="631"/>
      <c r="I2030" s="631"/>
      <c r="J2030" s="631"/>
      <c r="M2030" s="541"/>
      <c r="N2030" s="541"/>
      <c r="O2030" s="458" t="s">
        <v>112</v>
      </c>
      <c r="Q2030" s="450">
        <f>MAX($Q$103:Q2029)+1</f>
        <v>52</v>
      </c>
      <c r="R2030" s="490" t="str">
        <f>R$2082</f>
        <v>DELETE</v>
      </c>
    </row>
    <row r="2031" spans="2:22" ht="36" customHeight="1" x14ac:dyDescent="0.5">
      <c r="B2031" s="502"/>
      <c r="C2031" s="631"/>
      <c r="D2031" s="630" t="str">
        <f>Criteria!E9</f>
        <v>ABC COMPANY (PROPRIETARY) LIMITED</v>
      </c>
      <c r="E2031" s="631"/>
      <c r="F2031" s="631"/>
      <c r="G2031" s="631"/>
      <c r="H2031" s="631"/>
      <c r="I2031" s="631"/>
      <c r="J2031" s="631"/>
      <c r="M2031" s="541"/>
      <c r="N2031" s="541"/>
      <c r="O2031" s="540"/>
      <c r="R2031" s="490" t="str">
        <f t="shared" ref="R2031:R2041" si="110">R$2082</f>
        <v>DELETE</v>
      </c>
    </row>
    <row r="2032" spans="2:22" ht="36" customHeight="1" x14ac:dyDescent="0.5">
      <c r="B2032" s="502"/>
      <c r="C2032" s="631"/>
      <c r="D2032" s="630" t="str">
        <f>Criteria!E10</f>
        <v>T/A SEAFRONT HOTEL, ABC RESTAURANT AND RENTAL PROPERTIES</v>
      </c>
      <c r="E2032" s="631"/>
      <c r="F2032" s="631"/>
      <c r="G2032" s="631"/>
      <c r="H2032" s="631"/>
      <c r="I2032" s="631"/>
      <c r="J2032" s="631"/>
      <c r="M2032" s="541"/>
      <c r="N2032" s="541"/>
      <c r="O2032" s="541"/>
      <c r="R2032" s="490" t="str">
        <f>IF(R$2082="DELETE","DELETE",IF(D2032=0,"DELETE"," "))</f>
        <v>DELETE</v>
      </c>
    </row>
    <row r="2033" spans="2:19" ht="36" customHeight="1" x14ac:dyDescent="0.5">
      <c r="B2033" s="502"/>
      <c r="C2033" s="631"/>
      <c r="D2033" s="631"/>
      <c r="E2033" s="631"/>
      <c r="F2033" s="631"/>
      <c r="G2033" s="631"/>
      <c r="H2033" s="631"/>
      <c r="I2033" s="631"/>
      <c r="J2033" s="631"/>
      <c r="M2033" s="541"/>
      <c r="N2033" s="541"/>
      <c r="O2033" s="541"/>
      <c r="R2033" s="490" t="str">
        <f t="shared" si="110"/>
        <v>DELETE</v>
      </c>
    </row>
    <row r="2034" spans="2:19" ht="36" customHeight="1" x14ac:dyDescent="0.5">
      <c r="B2034" s="502"/>
      <c r="C2034" s="631"/>
      <c r="D2034" s="630" t="s">
        <v>415</v>
      </c>
      <c r="E2034" s="631"/>
      <c r="F2034" s="631"/>
      <c r="G2034" s="631"/>
      <c r="H2034" s="631"/>
      <c r="I2034" s="631"/>
      <c r="J2034" s="631"/>
      <c r="M2034" s="541"/>
      <c r="N2034" s="541"/>
      <c r="O2034" s="541"/>
      <c r="R2034" s="490" t="str">
        <f t="shared" si="110"/>
        <v>DELETE</v>
      </c>
    </row>
    <row r="2035" spans="2:19" ht="36" customHeight="1" x14ac:dyDescent="0.5">
      <c r="B2035" s="502"/>
      <c r="C2035" s="631"/>
      <c r="D2035" s="630" t="str">
        <f>Criteria!E20</f>
        <v>28 FEBRUARY 2026</v>
      </c>
      <c r="E2035" s="631"/>
      <c r="F2035" s="631"/>
      <c r="G2035" s="631"/>
      <c r="H2035" s="631"/>
      <c r="I2035" s="631"/>
      <c r="J2035" s="631" t="s">
        <v>282</v>
      </c>
      <c r="M2035" s="541"/>
      <c r="N2035" s="541"/>
      <c r="O2035" s="541"/>
      <c r="R2035" s="490" t="str">
        <f t="shared" si="110"/>
        <v>DELETE</v>
      </c>
    </row>
    <row r="2036" spans="2:19" ht="36" customHeight="1" x14ac:dyDescent="0.5">
      <c r="B2036" s="502"/>
      <c r="C2036" s="631"/>
      <c r="D2036" s="631"/>
      <c r="E2036" s="631"/>
      <c r="F2036" s="631"/>
      <c r="G2036" s="631"/>
      <c r="H2036" s="631"/>
      <c r="I2036" s="631"/>
      <c r="J2036" s="631"/>
      <c r="M2036" s="554"/>
      <c r="N2036" s="554"/>
      <c r="O2036" s="554"/>
      <c r="R2036" s="490" t="str">
        <f t="shared" si="110"/>
        <v>DELETE</v>
      </c>
    </row>
    <row r="2037" spans="2:19" ht="36" customHeight="1" x14ac:dyDescent="0.5">
      <c r="B2037" s="641"/>
      <c r="C2037" s="649"/>
      <c r="D2037" s="649"/>
      <c r="E2037" s="649"/>
      <c r="F2037" s="649"/>
      <c r="G2037" s="649"/>
      <c r="H2037" s="649"/>
      <c r="I2037" s="649"/>
      <c r="J2037" s="649"/>
      <c r="K2037" s="457"/>
      <c r="L2037" s="457"/>
      <c r="M2037" s="557"/>
      <c r="N2037" s="557"/>
      <c r="O2037" s="557"/>
      <c r="P2037" s="551"/>
      <c r="Q2037" s="457"/>
      <c r="R2037" s="490" t="str">
        <f t="shared" si="110"/>
        <v>DELETE</v>
      </c>
    </row>
    <row r="2038" spans="2:19" ht="36" customHeight="1" x14ac:dyDescent="0.5">
      <c r="B2038" s="501"/>
      <c r="C2038" s="630"/>
      <c r="D2038" s="631"/>
      <c r="E2038" s="631"/>
      <c r="F2038" s="631"/>
      <c r="G2038" s="631"/>
      <c r="H2038" s="631"/>
      <c r="I2038" s="631"/>
      <c r="J2038" s="631"/>
      <c r="L2038" s="451"/>
      <c r="M2038" s="448"/>
      <c r="N2038" s="448"/>
      <c r="O2038" s="453">
        <f>Criteria!E22</f>
        <v>2026</v>
      </c>
      <c r="R2038" s="490" t="str">
        <f t="shared" si="110"/>
        <v>DELETE</v>
      </c>
    </row>
    <row r="2039" spans="2:19" ht="36" customHeight="1" x14ac:dyDescent="0.5">
      <c r="B2039" s="501"/>
      <c r="C2039" s="630"/>
      <c r="D2039" s="631"/>
      <c r="E2039" s="631"/>
      <c r="F2039" s="631"/>
      <c r="G2039" s="631"/>
      <c r="H2039" s="631"/>
      <c r="I2039" s="631"/>
      <c r="J2039" s="631"/>
      <c r="L2039" s="451"/>
      <c r="M2039" s="448"/>
      <c r="N2039" s="448"/>
      <c r="O2039" s="458"/>
      <c r="R2039" s="490" t="str">
        <f t="shared" si="110"/>
        <v>DELETE</v>
      </c>
    </row>
    <row r="2040" spans="2:19" ht="36" customHeight="1" x14ac:dyDescent="0.5">
      <c r="B2040" s="501">
        <f>MAX($B$873:B2039)+1</f>
        <v>16</v>
      </c>
      <c r="C2040" s="630" t="str">
        <f>IF(COUNTIF(TrialBalance!L320:L353,"&gt;0")&gt;1,"Non-current receivables","Non-current receivable")</f>
        <v>Non-current receivable</v>
      </c>
      <c r="D2040" s="631"/>
      <c r="E2040" s="631"/>
      <c r="F2040" s="631"/>
      <c r="G2040" s="631"/>
      <c r="H2040" s="631"/>
      <c r="I2040" s="631"/>
      <c r="J2040" s="631"/>
      <c r="L2040" s="451"/>
      <c r="M2040" s="448"/>
      <c r="N2040" s="448"/>
      <c r="O2040" s="458"/>
      <c r="R2040" s="490" t="str">
        <f t="shared" si="110"/>
        <v>DELETE</v>
      </c>
    </row>
    <row r="2041" spans="2:19" ht="36" customHeight="1" x14ac:dyDescent="0.5">
      <c r="B2041" s="501"/>
      <c r="C2041" s="630"/>
      <c r="D2041" s="631"/>
      <c r="E2041" s="631"/>
      <c r="F2041" s="631"/>
      <c r="G2041" s="631"/>
      <c r="H2041" s="631"/>
      <c r="I2041" s="631"/>
      <c r="J2041" s="631"/>
      <c r="L2041" s="451"/>
      <c r="M2041" s="448"/>
      <c r="N2041" s="448"/>
      <c r="O2041" s="458"/>
      <c r="R2041" s="490" t="str">
        <f t="shared" si="110"/>
        <v>DELETE</v>
      </c>
    </row>
    <row r="2042" spans="2:19" ht="36" customHeight="1" x14ac:dyDescent="0.5">
      <c r="B2042" s="501"/>
      <c r="C2042" s="631" t="str">
        <f>IF(COUNTIF(O2045:O2058,"&gt;0")&gt;1,"Interest bearing non-current receivables","Interest bearing non-current receivable")</f>
        <v>Interest bearing non-current receivable</v>
      </c>
      <c r="D2042" s="648"/>
      <c r="E2042" s="631"/>
      <c r="F2042" s="631"/>
      <c r="G2042" s="631"/>
      <c r="H2042" s="631"/>
      <c r="I2042" s="631"/>
      <c r="J2042" s="631"/>
      <c r="L2042" s="451"/>
      <c r="M2042" s="448"/>
      <c r="N2042" s="448"/>
      <c r="O2042" s="458">
        <f>SUM(O2044:O2059)</f>
        <v>0</v>
      </c>
      <c r="R2042" s="490" t="str">
        <f t="shared" ref="R2042" si="111">IF(O2042=0,"DELETE"," ")</f>
        <v>DELETE</v>
      </c>
      <c r="S2042" s="495">
        <f>O2042</f>
        <v>0</v>
      </c>
    </row>
    <row r="2043" spans="2:19" ht="9" customHeight="1" x14ac:dyDescent="0.5">
      <c r="B2043" s="501"/>
      <c r="C2043" s="631"/>
      <c r="D2043" s="648"/>
      <c r="E2043" s="631"/>
      <c r="F2043" s="631"/>
      <c r="G2043" s="631"/>
      <c r="H2043" s="631"/>
      <c r="I2043" s="631"/>
      <c r="J2043" s="631"/>
      <c r="L2043" s="451"/>
      <c r="M2043" s="448"/>
      <c r="N2043" s="448"/>
      <c r="O2043" s="458"/>
      <c r="R2043" s="490" t="str">
        <f>R2042</f>
        <v>DELETE</v>
      </c>
    </row>
    <row r="2044" spans="2:19" ht="9" customHeight="1" x14ac:dyDescent="0.5">
      <c r="B2044" s="501"/>
      <c r="C2044" s="631"/>
      <c r="D2044" s="648"/>
      <c r="E2044" s="631"/>
      <c r="F2044" s="631"/>
      <c r="G2044" s="631"/>
      <c r="H2044" s="631"/>
      <c r="I2044" s="631"/>
      <c r="J2044" s="631"/>
      <c r="L2044" s="451"/>
      <c r="M2044" s="448"/>
      <c r="N2044" s="448"/>
      <c r="O2044" s="587"/>
      <c r="R2044" s="490" t="str">
        <f>R2043</f>
        <v>DELETE</v>
      </c>
    </row>
    <row r="2045" spans="2:19" ht="36" customHeight="1" x14ac:dyDescent="0.5">
      <c r="B2045" s="501"/>
      <c r="C2045" s="631">
        <f>TrialBalance!C321</f>
        <v>0</v>
      </c>
      <c r="D2045" s="648"/>
      <c r="E2045" s="631"/>
      <c r="F2045" s="631"/>
      <c r="G2045" s="631"/>
      <c r="H2045" s="631"/>
      <c r="I2045" s="631"/>
      <c r="J2045" s="631"/>
      <c r="L2045" s="451"/>
      <c r="M2045" s="448"/>
      <c r="N2045" s="448"/>
      <c r="O2045" s="588">
        <f>TrialBalance!L321</f>
        <v>0</v>
      </c>
      <c r="R2045" s="490" t="str">
        <f t="shared" ref="R2045:R2058" si="112">IF(O2045=0,"DELETE"," ")</f>
        <v>DELETE</v>
      </c>
    </row>
    <row r="2046" spans="2:19" ht="36" customHeight="1" x14ac:dyDescent="0.5">
      <c r="B2046" s="501"/>
      <c r="C2046" s="631">
        <f>TrialBalance!C322</f>
        <v>0</v>
      </c>
      <c r="D2046" s="648"/>
      <c r="E2046" s="631"/>
      <c r="F2046" s="631"/>
      <c r="G2046" s="631"/>
      <c r="H2046" s="631"/>
      <c r="I2046" s="631"/>
      <c r="J2046" s="631"/>
      <c r="L2046" s="451"/>
      <c r="M2046" s="448"/>
      <c r="N2046" s="448"/>
      <c r="O2046" s="588">
        <f>TrialBalance!L322</f>
        <v>0</v>
      </c>
      <c r="R2046" s="490" t="str">
        <f t="shared" ref="R2046:R2047" si="113">IF(O2046=0,"DELETE"," ")</f>
        <v>DELETE</v>
      </c>
    </row>
    <row r="2047" spans="2:19" ht="36" customHeight="1" x14ac:dyDescent="0.5">
      <c r="B2047" s="501"/>
      <c r="C2047" s="631">
        <f>TrialBalance!C323</f>
        <v>0</v>
      </c>
      <c r="D2047" s="648"/>
      <c r="E2047" s="631"/>
      <c r="F2047" s="631"/>
      <c r="G2047" s="631"/>
      <c r="H2047" s="631"/>
      <c r="I2047" s="631"/>
      <c r="J2047" s="631"/>
      <c r="L2047" s="451"/>
      <c r="M2047" s="448"/>
      <c r="N2047" s="448"/>
      <c r="O2047" s="588">
        <f>TrialBalance!L323</f>
        <v>0</v>
      </c>
      <c r="R2047" s="490" t="str">
        <f t="shared" si="113"/>
        <v>DELETE</v>
      </c>
    </row>
    <row r="2048" spans="2:19" ht="36" customHeight="1" x14ac:dyDescent="0.5">
      <c r="B2048" s="501"/>
      <c r="C2048" s="631">
        <f>TrialBalance!C324</f>
        <v>0</v>
      </c>
      <c r="D2048" s="648"/>
      <c r="E2048" s="631"/>
      <c r="F2048" s="631"/>
      <c r="G2048" s="631"/>
      <c r="H2048" s="631"/>
      <c r="I2048" s="631"/>
      <c r="J2048" s="631"/>
      <c r="L2048" s="451"/>
      <c r="M2048" s="448"/>
      <c r="N2048" s="448"/>
      <c r="O2048" s="588">
        <f>TrialBalance!L324</f>
        <v>0</v>
      </c>
      <c r="R2048" s="490" t="str">
        <f t="shared" ref="R2048:R2053" si="114">IF(O2048=0,"DELETE"," ")</f>
        <v>DELETE</v>
      </c>
    </row>
    <row r="2049" spans="2:19" ht="36" customHeight="1" x14ac:dyDescent="0.5">
      <c r="B2049" s="501"/>
      <c r="C2049" s="631">
        <f>TrialBalance!C325</f>
        <v>0</v>
      </c>
      <c r="D2049" s="648"/>
      <c r="E2049" s="631"/>
      <c r="F2049" s="631"/>
      <c r="G2049" s="631"/>
      <c r="H2049" s="631"/>
      <c r="I2049" s="631"/>
      <c r="J2049" s="631"/>
      <c r="L2049" s="451"/>
      <c r="M2049" s="448"/>
      <c r="N2049" s="448"/>
      <c r="O2049" s="588">
        <f>TrialBalance!L325</f>
        <v>0</v>
      </c>
      <c r="R2049" s="490" t="str">
        <f t="shared" si="114"/>
        <v>DELETE</v>
      </c>
    </row>
    <row r="2050" spans="2:19" ht="36" customHeight="1" x14ac:dyDescent="0.5">
      <c r="B2050" s="501"/>
      <c r="C2050" s="631">
        <f>TrialBalance!C326</f>
        <v>0</v>
      </c>
      <c r="D2050" s="648"/>
      <c r="E2050" s="631"/>
      <c r="F2050" s="631"/>
      <c r="G2050" s="631"/>
      <c r="H2050" s="631"/>
      <c r="I2050" s="631"/>
      <c r="J2050" s="631"/>
      <c r="L2050" s="451"/>
      <c r="M2050" s="448"/>
      <c r="N2050" s="448"/>
      <c r="O2050" s="588">
        <f>TrialBalance!L326</f>
        <v>0</v>
      </c>
      <c r="R2050" s="490" t="str">
        <f t="shared" si="114"/>
        <v>DELETE</v>
      </c>
    </row>
    <row r="2051" spans="2:19" ht="36" customHeight="1" x14ac:dyDescent="0.5">
      <c r="B2051" s="501"/>
      <c r="C2051" s="631">
        <f>TrialBalance!C327</f>
        <v>0</v>
      </c>
      <c r="D2051" s="648"/>
      <c r="E2051" s="631"/>
      <c r="F2051" s="631"/>
      <c r="G2051" s="631"/>
      <c r="H2051" s="631"/>
      <c r="I2051" s="631"/>
      <c r="J2051" s="631"/>
      <c r="L2051" s="451"/>
      <c r="M2051" s="448"/>
      <c r="N2051" s="448"/>
      <c r="O2051" s="588">
        <f>TrialBalance!L327</f>
        <v>0</v>
      </c>
      <c r="R2051" s="490" t="str">
        <f t="shared" si="114"/>
        <v>DELETE</v>
      </c>
    </row>
    <row r="2052" spans="2:19" ht="36" customHeight="1" x14ac:dyDescent="0.5">
      <c r="B2052" s="501"/>
      <c r="C2052" s="631">
        <f>TrialBalance!C328</f>
        <v>0</v>
      </c>
      <c r="D2052" s="648"/>
      <c r="E2052" s="631"/>
      <c r="F2052" s="631"/>
      <c r="G2052" s="631"/>
      <c r="H2052" s="631"/>
      <c r="I2052" s="631"/>
      <c r="J2052" s="631"/>
      <c r="L2052" s="451"/>
      <c r="M2052" s="448"/>
      <c r="N2052" s="448"/>
      <c r="O2052" s="588">
        <f>TrialBalance!L328</f>
        <v>0</v>
      </c>
      <c r="R2052" s="490" t="str">
        <f t="shared" si="114"/>
        <v>DELETE</v>
      </c>
    </row>
    <row r="2053" spans="2:19" ht="36" customHeight="1" x14ac:dyDescent="0.5">
      <c r="B2053" s="501"/>
      <c r="C2053" s="631">
        <f>TrialBalance!C329</f>
        <v>0</v>
      </c>
      <c r="D2053" s="648"/>
      <c r="E2053" s="631"/>
      <c r="F2053" s="631"/>
      <c r="G2053" s="631"/>
      <c r="H2053" s="631"/>
      <c r="I2053" s="631"/>
      <c r="J2053" s="631"/>
      <c r="L2053" s="451"/>
      <c r="M2053" s="448"/>
      <c r="N2053" s="448"/>
      <c r="O2053" s="588">
        <f>TrialBalance!L329</f>
        <v>0</v>
      </c>
      <c r="R2053" s="490" t="str">
        <f t="shared" si="114"/>
        <v>DELETE</v>
      </c>
    </row>
    <row r="2054" spans="2:19" ht="36" customHeight="1" x14ac:dyDescent="0.5">
      <c r="B2054" s="501"/>
      <c r="C2054" s="631">
        <f>TrialBalance!C330</f>
        <v>0</v>
      </c>
      <c r="D2054" s="648"/>
      <c r="E2054" s="631"/>
      <c r="F2054" s="631"/>
      <c r="G2054" s="631"/>
      <c r="H2054" s="631"/>
      <c r="I2054" s="631"/>
      <c r="J2054" s="631"/>
      <c r="L2054" s="451"/>
      <c r="M2054" s="448"/>
      <c r="N2054" s="448"/>
      <c r="O2054" s="588">
        <f>TrialBalance!L330</f>
        <v>0</v>
      </c>
      <c r="R2054" s="490" t="str">
        <f t="shared" si="112"/>
        <v>DELETE</v>
      </c>
    </row>
    <row r="2055" spans="2:19" ht="36" customHeight="1" x14ac:dyDescent="0.5">
      <c r="B2055" s="501"/>
      <c r="C2055" s="631">
        <f>TrialBalance!C344</f>
        <v>0</v>
      </c>
      <c r="D2055" s="648"/>
      <c r="E2055" s="631"/>
      <c r="F2055" s="631"/>
      <c r="G2055" s="631"/>
      <c r="H2055" s="631"/>
      <c r="I2055" s="631"/>
      <c r="J2055" s="631"/>
      <c r="L2055" s="451"/>
      <c r="M2055" s="448"/>
      <c r="N2055" s="448"/>
      <c r="O2055" s="588">
        <f>TrialBalance!L344</f>
        <v>0</v>
      </c>
      <c r="R2055" s="490" t="str">
        <f t="shared" si="112"/>
        <v>DELETE</v>
      </c>
    </row>
    <row r="2056" spans="2:19" ht="36" customHeight="1" x14ac:dyDescent="0.5">
      <c r="B2056" s="501"/>
      <c r="C2056" s="631">
        <f>TrialBalance!C345</f>
        <v>0</v>
      </c>
      <c r="D2056" s="648"/>
      <c r="E2056" s="631"/>
      <c r="F2056" s="631"/>
      <c r="G2056" s="631"/>
      <c r="H2056" s="631"/>
      <c r="I2056" s="631"/>
      <c r="J2056" s="631"/>
      <c r="L2056" s="451"/>
      <c r="M2056" s="448"/>
      <c r="N2056" s="448"/>
      <c r="O2056" s="588">
        <f>TrialBalance!L345</f>
        <v>0</v>
      </c>
      <c r="R2056" s="490" t="str">
        <f t="shared" si="112"/>
        <v>DELETE</v>
      </c>
    </row>
    <row r="2057" spans="2:19" ht="36" customHeight="1" x14ac:dyDescent="0.5">
      <c r="B2057" s="501"/>
      <c r="C2057" s="631">
        <f>TrialBalance!C346</f>
        <v>0</v>
      </c>
      <c r="D2057" s="648"/>
      <c r="E2057" s="631"/>
      <c r="F2057" s="631"/>
      <c r="G2057" s="631"/>
      <c r="H2057" s="631"/>
      <c r="I2057" s="631"/>
      <c r="J2057" s="631"/>
      <c r="L2057" s="451"/>
      <c r="M2057" s="448"/>
      <c r="N2057" s="448"/>
      <c r="O2057" s="588">
        <f>TrialBalance!L346</f>
        <v>0</v>
      </c>
      <c r="R2057" s="490" t="str">
        <f t="shared" ref="R2057" si="115">IF(O2057=0,"DELETE"," ")</f>
        <v>DELETE</v>
      </c>
    </row>
    <row r="2058" spans="2:19" ht="36" customHeight="1" x14ac:dyDescent="0.5">
      <c r="B2058" s="501"/>
      <c r="C2058" s="631">
        <f>TrialBalance!C347</f>
        <v>0</v>
      </c>
      <c r="D2058" s="648"/>
      <c r="E2058" s="631"/>
      <c r="F2058" s="631"/>
      <c r="G2058" s="631"/>
      <c r="H2058" s="631"/>
      <c r="I2058" s="631"/>
      <c r="J2058" s="631"/>
      <c r="L2058" s="451"/>
      <c r="M2058" s="448"/>
      <c r="N2058" s="448"/>
      <c r="O2058" s="588">
        <f>TrialBalance!L347</f>
        <v>0</v>
      </c>
      <c r="R2058" s="490" t="str">
        <f t="shared" si="112"/>
        <v>DELETE</v>
      </c>
    </row>
    <row r="2059" spans="2:19" ht="9" customHeight="1" x14ac:dyDescent="0.5">
      <c r="B2059" s="501"/>
      <c r="C2059" s="631"/>
      <c r="D2059" s="648"/>
      <c r="E2059" s="631"/>
      <c r="F2059" s="631"/>
      <c r="G2059" s="631"/>
      <c r="H2059" s="631"/>
      <c r="I2059" s="631"/>
      <c r="J2059" s="631"/>
      <c r="L2059" s="451"/>
      <c r="M2059" s="448"/>
      <c r="N2059" s="448"/>
      <c r="O2059" s="589"/>
      <c r="R2059" s="490" t="str">
        <f>R2042</f>
        <v>DELETE</v>
      </c>
    </row>
    <row r="2060" spans="2:19" ht="9" customHeight="1" x14ac:dyDescent="0.5">
      <c r="B2060" s="501"/>
      <c r="C2060" s="631"/>
      <c r="D2060" s="648"/>
      <c r="E2060" s="631"/>
      <c r="F2060" s="631"/>
      <c r="G2060" s="631"/>
      <c r="H2060" s="631"/>
      <c r="I2060" s="631"/>
      <c r="J2060" s="631"/>
      <c r="L2060" s="451"/>
      <c r="M2060" s="448"/>
      <c r="N2060" s="448"/>
      <c r="O2060" s="458"/>
      <c r="R2060" s="490" t="str">
        <f>R2059</f>
        <v>DELETE</v>
      </c>
    </row>
    <row r="2061" spans="2:19" ht="36.75" customHeight="1" x14ac:dyDescent="0.5">
      <c r="B2061" s="501"/>
      <c r="C2061" s="631" t="str">
        <f>IF(COUNTIF(O2064:O2078,"&gt;0")&gt;1,"Interest free non-current receivables","Interest free non-current receivable")</f>
        <v>Interest free non-current receivable</v>
      </c>
      <c r="D2061" s="648"/>
      <c r="E2061" s="631"/>
      <c r="F2061" s="631"/>
      <c r="G2061" s="631"/>
      <c r="H2061" s="631"/>
      <c r="I2061" s="631"/>
      <c r="J2061" s="631"/>
      <c r="L2061" s="451"/>
      <c r="M2061" s="448"/>
      <c r="N2061" s="448"/>
      <c r="O2061" s="458">
        <f>SUM(O2063:O2079)</f>
        <v>0</v>
      </c>
      <c r="R2061" s="490" t="str">
        <f t="shared" ref="R2061" si="116">IF(O2061=0,"DELETE"," ")</f>
        <v>DELETE</v>
      </c>
      <c r="S2061" s="495">
        <f>O2061</f>
        <v>0</v>
      </c>
    </row>
    <row r="2062" spans="2:19" ht="9" customHeight="1" x14ac:dyDescent="0.5">
      <c r="B2062" s="501"/>
      <c r="C2062" s="631"/>
      <c r="D2062" s="648"/>
      <c r="E2062" s="631"/>
      <c r="F2062" s="631"/>
      <c r="G2062" s="631"/>
      <c r="H2062" s="631"/>
      <c r="I2062" s="631"/>
      <c r="J2062" s="631"/>
      <c r="L2062" s="451"/>
      <c r="M2062" s="448"/>
      <c r="N2062" s="448"/>
      <c r="O2062" s="458"/>
      <c r="R2062" s="490" t="str">
        <f>R2061</f>
        <v>DELETE</v>
      </c>
    </row>
    <row r="2063" spans="2:19" ht="9" customHeight="1" x14ac:dyDescent="0.5">
      <c r="B2063" s="501"/>
      <c r="C2063" s="631"/>
      <c r="D2063" s="648"/>
      <c r="E2063" s="631"/>
      <c r="F2063" s="631"/>
      <c r="G2063" s="631"/>
      <c r="H2063" s="631"/>
      <c r="I2063" s="631"/>
      <c r="J2063" s="631"/>
      <c r="L2063" s="451"/>
      <c r="M2063" s="448"/>
      <c r="N2063" s="448"/>
      <c r="O2063" s="587"/>
      <c r="R2063" s="490" t="str">
        <f>R2062</f>
        <v>DELETE</v>
      </c>
    </row>
    <row r="2064" spans="2:19" ht="36" customHeight="1" x14ac:dyDescent="0.5">
      <c r="B2064" s="501"/>
      <c r="C2064" s="631">
        <f>TrialBalance!C332</f>
        <v>0</v>
      </c>
      <c r="D2064" s="648"/>
      <c r="E2064" s="631"/>
      <c r="F2064" s="631"/>
      <c r="G2064" s="631"/>
      <c r="H2064" s="631"/>
      <c r="I2064" s="631"/>
      <c r="J2064" s="631"/>
      <c r="L2064" s="451"/>
      <c r="M2064" s="448"/>
      <c r="N2064" s="448"/>
      <c r="O2064" s="588">
        <f>TrialBalance!L332</f>
        <v>0</v>
      </c>
      <c r="R2064" s="490" t="str">
        <f t="shared" ref="R2064:R2078" si="117">IF(O2064=0,"DELETE"," ")</f>
        <v>DELETE</v>
      </c>
    </row>
    <row r="2065" spans="2:18" ht="36" customHeight="1" x14ac:dyDescent="0.5">
      <c r="B2065" s="501"/>
      <c r="C2065" s="631">
        <f>TrialBalance!C333</f>
        <v>0</v>
      </c>
      <c r="D2065" s="648"/>
      <c r="E2065" s="631"/>
      <c r="F2065" s="631"/>
      <c r="G2065" s="631"/>
      <c r="H2065" s="631"/>
      <c r="I2065" s="631"/>
      <c r="J2065" s="631"/>
      <c r="L2065" s="451"/>
      <c r="M2065" s="448"/>
      <c r="N2065" s="448"/>
      <c r="O2065" s="588">
        <f>TrialBalance!L333</f>
        <v>0</v>
      </c>
      <c r="R2065" s="490" t="str">
        <f t="shared" ref="R2065" si="118">IF(O2065=0,"DELETE"," ")</f>
        <v>DELETE</v>
      </c>
    </row>
    <row r="2066" spans="2:18" ht="36" customHeight="1" x14ac:dyDescent="0.5">
      <c r="B2066" s="501"/>
      <c r="C2066" s="631">
        <f>TrialBalance!C334</f>
        <v>0</v>
      </c>
      <c r="D2066" s="648"/>
      <c r="E2066" s="631"/>
      <c r="F2066" s="631"/>
      <c r="G2066" s="631"/>
      <c r="H2066" s="631"/>
      <c r="I2066" s="631"/>
      <c r="J2066" s="631"/>
      <c r="L2066" s="451"/>
      <c r="M2066" s="448"/>
      <c r="N2066" s="448"/>
      <c r="O2066" s="588">
        <f>TrialBalance!L334</f>
        <v>0</v>
      </c>
      <c r="R2066" s="490" t="str">
        <f t="shared" si="117"/>
        <v>DELETE</v>
      </c>
    </row>
    <row r="2067" spans="2:18" ht="36" customHeight="1" x14ac:dyDescent="0.5">
      <c r="B2067" s="501"/>
      <c r="C2067" s="631">
        <f>TrialBalance!C335</f>
        <v>0</v>
      </c>
      <c r="D2067" s="648"/>
      <c r="E2067" s="631"/>
      <c r="F2067" s="631"/>
      <c r="G2067" s="631"/>
      <c r="H2067" s="631"/>
      <c r="I2067" s="631"/>
      <c r="J2067" s="631"/>
      <c r="L2067" s="451"/>
      <c r="M2067" s="448"/>
      <c r="N2067" s="448"/>
      <c r="O2067" s="588">
        <f>TrialBalance!L335</f>
        <v>0</v>
      </c>
      <c r="R2067" s="490" t="str">
        <f t="shared" ref="R2067:R2072" si="119">IF(O2067=0,"DELETE"," ")</f>
        <v>DELETE</v>
      </c>
    </row>
    <row r="2068" spans="2:18" ht="36" customHeight="1" x14ac:dyDescent="0.5">
      <c r="B2068" s="501"/>
      <c r="C2068" s="631">
        <f>TrialBalance!C336</f>
        <v>0</v>
      </c>
      <c r="D2068" s="648"/>
      <c r="E2068" s="631"/>
      <c r="F2068" s="631"/>
      <c r="G2068" s="631"/>
      <c r="H2068" s="631"/>
      <c r="I2068" s="631"/>
      <c r="J2068" s="631"/>
      <c r="L2068" s="451"/>
      <c r="M2068" s="448"/>
      <c r="N2068" s="448"/>
      <c r="O2068" s="588">
        <f>TrialBalance!L336</f>
        <v>0</v>
      </c>
      <c r="R2068" s="490" t="str">
        <f t="shared" si="119"/>
        <v>DELETE</v>
      </c>
    </row>
    <row r="2069" spans="2:18" ht="36" customHeight="1" x14ac:dyDescent="0.5">
      <c r="B2069" s="501"/>
      <c r="C2069" s="631">
        <f>TrialBalance!C337</f>
        <v>0</v>
      </c>
      <c r="D2069" s="648"/>
      <c r="E2069" s="631"/>
      <c r="F2069" s="631"/>
      <c r="G2069" s="631"/>
      <c r="H2069" s="631"/>
      <c r="I2069" s="631"/>
      <c r="J2069" s="631"/>
      <c r="L2069" s="451"/>
      <c r="M2069" s="448"/>
      <c r="N2069" s="448"/>
      <c r="O2069" s="588">
        <f>TrialBalance!L337</f>
        <v>0</v>
      </c>
      <c r="R2069" s="490" t="str">
        <f t="shared" si="119"/>
        <v>DELETE</v>
      </c>
    </row>
    <row r="2070" spans="2:18" ht="36" customHeight="1" x14ac:dyDescent="0.5">
      <c r="B2070" s="501"/>
      <c r="C2070" s="631">
        <f>TrialBalance!C338</f>
        <v>0</v>
      </c>
      <c r="D2070" s="648"/>
      <c r="E2070" s="631"/>
      <c r="F2070" s="631"/>
      <c r="G2070" s="631"/>
      <c r="H2070" s="631"/>
      <c r="I2070" s="631"/>
      <c r="J2070" s="631"/>
      <c r="L2070" s="451"/>
      <c r="M2070" s="448"/>
      <c r="N2070" s="448"/>
      <c r="O2070" s="588">
        <f>TrialBalance!L338</f>
        <v>0</v>
      </c>
      <c r="R2070" s="490" t="str">
        <f t="shared" si="119"/>
        <v>DELETE</v>
      </c>
    </row>
    <row r="2071" spans="2:18" ht="36" customHeight="1" x14ac:dyDescent="0.5">
      <c r="B2071" s="501"/>
      <c r="C2071" s="631">
        <f>TrialBalance!C339</f>
        <v>0</v>
      </c>
      <c r="D2071" s="648"/>
      <c r="E2071" s="631"/>
      <c r="F2071" s="631"/>
      <c r="G2071" s="631"/>
      <c r="H2071" s="631"/>
      <c r="I2071" s="631"/>
      <c r="J2071" s="631"/>
      <c r="L2071" s="451"/>
      <c r="M2071" s="448"/>
      <c r="N2071" s="448"/>
      <c r="O2071" s="588">
        <f>TrialBalance!L339</f>
        <v>0</v>
      </c>
      <c r="R2071" s="490" t="str">
        <f t="shared" si="119"/>
        <v>DELETE</v>
      </c>
    </row>
    <row r="2072" spans="2:18" ht="36" customHeight="1" x14ac:dyDescent="0.5">
      <c r="B2072" s="501"/>
      <c r="C2072" s="631">
        <f>TrialBalance!C340</f>
        <v>0</v>
      </c>
      <c r="D2072" s="648"/>
      <c r="E2072" s="631"/>
      <c r="F2072" s="631"/>
      <c r="G2072" s="631"/>
      <c r="H2072" s="631"/>
      <c r="I2072" s="631"/>
      <c r="J2072" s="631"/>
      <c r="L2072" s="451"/>
      <c r="M2072" s="448"/>
      <c r="N2072" s="448"/>
      <c r="O2072" s="588">
        <f>TrialBalance!L340</f>
        <v>0</v>
      </c>
      <c r="R2072" s="490" t="str">
        <f t="shared" si="119"/>
        <v>DELETE</v>
      </c>
    </row>
    <row r="2073" spans="2:18" ht="36" customHeight="1" x14ac:dyDescent="0.5">
      <c r="B2073" s="501"/>
      <c r="C2073" s="631">
        <f>TrialBalance!C341</f>
        <v>0</v>
      </c>
      <c r="D2073" s="648"/>
      <c r="E2073" s="631"/>
      <c r="F2073" s="631"/>
      <c r="G2073" s="631"/>
      <c r="H2073" s="631"/>
      <c r="I2073" s="631"/>
      <c r="J2073" s="631"/>
      <c r="L2073" s="451"/>
      <c r="M2073" s="448"/>
      <c r="N2073" s="448"/>
      <c r="O2073" s="588">
        <f>TrialBalance!L341</f>
        <v>0</v>
      </c>
      <c r="R2073" s="490" t="str">
        <f t="shared" si="117"/>
        <v>DELETE</v>
      </c>
    </row>
    <row r="2074" spans="2:18" ht="36" customHeight="1" x14ac:dyDescent="0.5">
      <c r="B2074" s="501"/>
      <c r="C2074" s="631">
        <f>TrialBalance!C349</f>
        <v>0</v>
      </c>
      <c r="D2074" s="648"/>
      <c r="E2074" s="631"/>
      <c r="F2074" s="631"/>
      <c r="G2074" s="631"/>
      <c r="H2074" s="631"/>
      <c r="I2074" s="631"/>
      <c r="J2074" s="631"/>
      <c r="L2074" s="451"/>
      <c r="M2074" s="448"/>
      <c r="N2074" s="448"/>
      <c r="O2074" s="588">
        <f>TrialBalance!L349</f>
        <v>0</v>
      </c>
      <c r="R2074" s="490" t="str">
        <f t="shared" si="117"/>
        <v>DELETE</v>
      </c>
    </row>
    <row r="2075" spans="2:18" ht="36" customHeight="1" x14ac:dyDescent="0.5">
      <c r="B2075" s="501"/>
      <c r="C2075" s="631">
        <f>TrialBalance!C350</f>
        <v>0</v>
      </c>
      <c r="D2075" s="648"/>
      <c r="E2075" s="631"/>
      <c r="F2075" s="631"/>
      <c r="G2075" s="631"/>
      <c r="H2075" s="631"/>
      <c r="I2075" s="631"/>
      <c r="J2075" s="631"/>
      <c r="L2075" s="451"/>
      <c r="M2075" s="448"/>
      <c r="N2075" s="448"/>
      <c r="O2075" s="588">
        <f>TrialBalance!L350</f>
        <v>0</v>
      </c>
      <c r="R2075" s="490" t="str">
        <f t="shared" si="117"/>
        <v>DELETE</v>
      </c>
    </row>
    <row r="2076" spans="2:18" ht="36" customHeight="1" x14ac:dyDescent="0.5">
      <c r="B2076" s="501"/>
      <c r="C2076" s="631">
        <f>TrialBalance!C351</f>
        <v>0</v>
      </c>
      <c r="D2076" s="648"/>
      <c r="E2076" s="631"/>
      <c r="F2076" s="631"/>
      <c r="G2076" s="631"/>
      <c r="H2076" s="631"/>
      <c r="I2076" s="631"/>
      <c r="J2076" s="631"/>
      <c r="L2076" s="451"/>
      <c r="M2076" s="448"/>
      <c r="N2076" s="448"/>
      <c r="O2076" s="588">
        <f>TrialBalance!L351</f>
        <v>0</v>
      </c>
      <c r="R2076" s="490" t="str">
        <f t="shared" si="117"/>
        <v>DELETE</v>
      </c>
    </row>
    <row r="2077" spans="2:18" ht="36" customHeight="1" x14ac:dyDescent="0.5">
      <c r="B2077" s="501"/>
      <c r="C2077" s="631">
        <f>TrialBalance!C352</f>
        <v>0</v>
      </c>
      <c r="D2077" s="648"/>
      <c r="E2077" s="631"/>
      <c r="F2077" s="631"/>
      <c r="G2077" s="631"/>
      <c r="H2077" s="631"/>
      <c r="I2077" s="631"/>
      <c r="J2077" s="631"/>
      <c r="L2077" s="451"/>
      <c r="M2077" s="448"/>
      <c r="N2077" s="448"/>
      <c r="O2077" s="588">
        <f>TrialBalance!L352</f>
        <v>0</v>
      </c>
      <c r="R2077" s="490" t="str">
        <f t="shared" si="117"/>
        <v>DELETE</v>
      </c>
    </row>
    <row r="2078" spans="2:18" ht="36" customHeight="1" x14ac:dyDescent="0.5">
      <c r="B2078" s="501"/>
      <c r="C2078" s="631">
        <f>TrialBalance!C353</f>
        <v>0</v>
      </c>
      <c r="D2078" s="648"/>
      <c r="E2078" s="631"/>
      <c r="F2078" s="631"/>
      <c r="G2078" s="631"/>
      <c r="H2078" s="631"/>
      <c r="I2078" s="631"/>
      <c r="J2078" s="631"/>
      <c r="L2078" s="451"/>
      <c r="M2078" s="448"/>
      <c r="N2078" s="448"/>
      <c r="O2078" s="588">
        <f>TrialBalance!L353</f>
        <v>0</v>
      </c>
      <c r="R2078" s="490" t="str">
        <f t="shared" si="117"/>
        <v>DELETE</v>
      </c>
    </row>
    <row r="2079" spans="2:18" ht="9" customHeight="1" x14ac:dyDescent="0.5">
      <c r="B2079" s="501"/>
      <c r="C2079" s="630"/>
      <c r="D2079" s="631"/>
      <c r="E2079" s="631"/>
      <c r="F2079" s="631"/>
      <c r="G2079" s="631"/>
      <c r="H2079" s="631"/>
      <c r="I2079" s="631"/>
      <c r="J2079" s="631"/>
      <c r="L2079" s="451"/>
      <c r="M2079" s="448"/>
      <c r="N2079" s="448"/>
      <c r="O2079" s="589"/>
      <c r="R2079" s="490" t="str">
        <f>R2061</f>
        <v>DELETE</v>
      </c>
    </row>
    <row r="2080" spans="2:18" ht="9" customHeight="1" x14ac:dyDescent="0.5">
      <c r="B2080" s="501"/>
      <c r="C2080" s="630"/>
      <c r="D2080" s="631"/>
      <c r="E2080" s="631"/>
      <c r="F2080" s="631"/>
      <c r="G2080" s="631"/>
      <c r="H2080" s="631"/>
      <c r="I2080" s="631"/>
      <c r="J2080" s="631"/>
      <c r="L2080" s="451"/>
      <c r="M2080" s="448"/>
      <c r="N2080" s="448"/>
      <c r="O2080" s="461"/>
      <c r="R2080" s="490" t="str">
        <f t="shared" ref="R2080" si="120">R$2082</f>
        <v>DELETE</v>
      </c>
    </row>
    <row r="2081" spans="2:18" ht="9" customHeight="1" x14ac:dyDescent="0.5">
      <c r="B2081" s="501"/>
      <c r="C2081" s="630"/>
      <c r="D2081" s="631"/>
      <c r="E2081" s="631"/>
      <c r="F2081" s="631"/>
      <c r="G2081" s="631"/>
      <c r="H2081" s="631"/>
      <c r="I2081" s="631"/>
      <c r="J2081" s="631"/>
      <c r="L2081" s="451"/>
      <c r="M2081" s="448"/>
      <c r="N2081" s="448"/>
      <c r="O2081" s="458"/>
      <c r="R2081" s="490" t="str">
        <f>R$2082</f>
        <v>DELETE</v>
      </c>
    </row>
    <row r="2082" spans="2:18" ht="36.75" customHeight="1" x14ac:dyDescent="0.5">
      <c r="B2082" s="501"/>
      <c r="C2082" s="630"/>
      <c r="D2082" s="631"/>
      <c r="E2082" s="631"/>
      <c r="F2082" s="631"/>
      <c r="G2082" s="631"/>
      <c r="H2082" s="631"/>
      <c r="I2082" s="631"/>
      <c r="J2082" s="631"/>
      <c r="L2082" s="451"/>
      <c r="M2082" s="448"/>
      <c r="N2082" s="448"/>
      <c r="O2082" s="458">
        <f>SUM(S2042:S2080)</f>
        <v>0</v>
      </c>
      <c r="R2082" s="490" t="str">
        <f t="shared" ref="R2082" si="121">IF(O2082=0,"DELETE"," ")</f>
        <v>DELETE</v>
      </c>
    </row>
    <row r="2083" spans="2:18" ht="9" customHeight="1" thickBot="1" x14ac:dyDescent="0.55000000000000004">
      <c r="B2083" s="501"/>
      <c r="C2083" s="630"/>
      <c r="D2083" s="631"/>
      <c r="E2083" s="631"/>
      <c r="F2083" s="631"/>
      <c r="G2083" s="631"/>
      <c r="H2083" s="631"/>
      <c r="I2083" s="631"/>
      <c r="J2083" s="631"/>
      <c r="L2083" s="451"/>
      <c r="M2083" s="448"/>
      <c r="N2083" s="448"/>
      <c r="O2083" s="462"/>
      <c r="R2083" s="490" t="str">
        <f t="shared" ref="R2083:R2088" si="122">R$2082</f>
        <v>DELETE</v>
      </c>
    </row>
    <row r="2084" spans="2:18" ht="9" customHeight="1" thickTop="1" x14ac:dyDescent="0.5">
      <c r="B2084" s="501"/>
      <c r="C2084" s="630"/>
      <c r="D2084" s="631"/>
      <c r="E2084" s="631"/>
      <c r="F2084" s="631"/>
      <c r="G2084" s="631"/>
      <c r="H2084" s="631"/>
      <c r="I2084" s="631"/>
      <c r="J2084" s="631"/>
      <c r="L2084" s="451"/>
      <c r="M2084" s="448"/>
      <c r="N2084" s="448"/>
      <c r="O2084" s="475"/>
      <c r="R2084" s="490" t="str">
        <f t="shared" si="122"/>
        <v>DELETE</v>
      </c>
    </row>
    <row r="2085" spans="2:18" ht="36" customHeight="1" x14ac:dyDescent="0.5">
      <c r="B2085" s="501"/>
      <c r="C2085" s="630"/>
      <c r="D2085" s="631"/>
      <c r="E2085" s="631"/>
      <c r="F2085" s="631"/>
      <c r="G2085" s="631"/>
      <c r="H2085" s="631"/>
      <c r="I2085" s="631"/>
      <c r="J2085" s="631"/>
      <c r="L2085" s="451"/>
      <c r="M2085" s="448"/>
      <c r="N2085" s="448"/>
      <c r="O2085" s="458"/>
      <c r="R2085" s="490" t="str">
        <f t="shared" si="122"/>
        <v>DELETE</v>
      </c>
    </row>
    <row r="2086" spans="2:18" ht="36" customHeight="1" x14ac:dyDescent="0.5">
      <c r="B2086" s="501"/>
      <c r="C2086" s="630"/>
      <c r="D2086" s="631"/>
      <c r="E2086" s="631"/>
      <c r="F2086" s="631"/>
      <c r="G2086" s="631"/>
      <c r="H2086" s="631"/>
      <c r="I2086" s="631"/>
      <c r="J2086" s="631"/>
      <c r="M2086" s="458"/>
      <c r="N2086" s="458"/>
      <c r="O2086" s="458"/>
      <c r="R2086" s="490" t="str">
        <f t="shared" si="122"/>
        <v>DELETE</v>
      </c>
    </row>
    <row r="2087" spans="2:18" ht="36" customHeight="1" x14ac:dyDescent="0.5">
      <c r="B2087" s="501"/>
      <c r="C2087" s="630"/>
      <c r="D2087" s="631"/>
      <c r="E2087" s="631"/>
      <c r="F2087" s="631"/>
      <c r="G2087" s="631"/>
      <c r="H2087" s="631"/>
      <c r="I2087" s="631"/>
      <c r="J2087" s="631"/>
      <c r="M2087" s="475"/>
      <c r="N2087" s="475"/>
      <c r="O2087" s="475"/>
      <c r="P2087" s="545"/>
      <c r="R2087" s="490" t="str">
        <f t="shared" si="122"/>
        <v>DELETE</v>
      </c>
    </row>
    <row r="2088" spans="2:18" ht="36" customHeight="1" x14ac:dyDescent="0.5">
      <c r="B2088" s="502"/>
      <c r="C2088" s="631"/>
      <c r="D2088" s="631"/>
      <c r="E2088" s="631"/>
      <c r="F2088" s="631"/>
      <c r="G2088" s="631"/>
      <c r="H2088" s="631"/>
      <c r="I2088" s="631"/>
      <c r="J2088" s="631"/>
      <c r="M2088" s="541"/>
      <c r="N2088" s="541"/>
      <c r="O2088" s="541"/>
      <c r="R2088" s="490" t="str">
        <f t="shared" si="122"/>
        <v>DELETE</v>
      </c>
    </row>
    <row r="2089" spans="2:18" ht="36" customHeight="1" x14ac:dyDescent="0.5">
      <c r="B2089" s="502"/>
      <c r="C2089" s="631"/>
      <c r="D2089" s="631"/>
      <c r="E2089" s="631"/>
      <c r="F2089" s="631"/>
      <c r="G2089" s="631"/>
      <c r="H2089" s="631"/>
      <c r="I2089" s="631"/>
      <c r="J2089" s="631"/>
      <c r="M2089" s="541"/>
      <c r="N2089" s="541"/>
      <c r="O2089" s="458" t="s">
        <v>112</v>
      </c>
      <c r="Q2089" s="450">
        <f>MAX($Q$103:Q2088)+1</f>
        <v>53</v>
      </c>
      <c r="R2089" s="490" t="str">
        <f>R$2108</f>
        <v>DELETE</v>
      </c>
    </row>
    <row r="2090" spans="2:18" ht="36" customHeight="1" x14ac:dyDescent="0.5">
      <c r="B2090" s="502"/>
      <c r="C2090" s="631"/>
      <c r="D2090" s="630" t="str">
        <f>Criteria!E9</f>
        <v>ABC COMPANY (PROPRIETARY) LIMITED</v>
      </c>
      <c r="E2090" s="631"/>
      <c r="F2090" s="631"/>
      <c r="G2090" s="631"/>
      <c r="H2090" s="631"/>
      <c r="I2090" s="631"/>
      <c r="J2090" s="631"/>
      <c r="M2090" s="541"/>
      <c r="N2090" s="541"/>
      <c r="O2090" s="540"/>
      <c r="R2090" s="490" t="str">
        <f>R$2108</f>
        <v>DELETE</v>
      </c>
    </row>
    <row r="2091" spans="2:18" ht="36" customHeight="1" x14ac:dyDescent="0.5">
      <c r="B2091" s="502"/>
      <c r="C2091" s="631"/>
      <c r="D2091" s="630" t="str">
        <f>Criteria!E10</f>
        <v>T/A SEAFRONT HOTEL, ABC RESTAURANT AND RENTAL PROPERTIES</v>
      </c>
      <c r="E2091" s="631"/>
      <c r="F2091" s="631"/>
      <c r="G2091" s="631"/>
      <c r="H2091" s="631"/>
      <c r="I2091" s="631"/>
      <c r="J2091" s="631"/>
      <c r="M2091" s="541"/>
      <c r="N2091" s="541"/>
      <c r="O2091" s="541"/>
      <c r="R2091" s="490" t="str">
        <f>IF(R$2108="DELETE","DELETE",IF(D2091=0,"DELETE"," "))</f>
        <v>DELETE</v>
      </c>
    </row>
    <row r="2092" spans="2:18" ht="36" customHeight="1" x14ac:dyDescent="0.5">
      <c r="B2092" s="502"/>
      <c r="C2092" s="631"/>
      <c r="D2092" s="631"/>
      <c r="E2092" s="631"/>
      <c r="F2092" s="631"/>
      <c r="G2092" s="631"/>
      <c r="H2092" s="631"/>
      <c r="I2092" s="631"/>
      <c r="J2092" s="631"/>
      <c r="M2092" s="541"/>
      <c r="N2092" s="541"/>
      <c r="O2092" s="541"/>
      <c r="R2092" s="490" t="str">
        <f t="shared" ref="R2092:R2101" si="123">R$2108</f>
        <v>DELETE</v>
      </c>
    </row>
    <row r="2093" spans="2:18" ht="36" customHeight="1" x14ac:dyDescent="0.5">
      <c r="B2093" s="502"/>
      <c r="C2093" s="631"/>
      <c r="D2093" s="630" t="s">
        <v>415</v>
      </c>
      <c r="E2093" s="631"/>
      <c r="F2093" s="631"/>
      <c r="G2093" s="631"/>
      <c r="H2093" s="631"/>
      <c r="I2093" s="631"/>
      <c r="J2093" s="631"/>
      <c r="M2093" s="541"/>
      <c r="N2093" s="541"/>
      <c r="O2093" s="541"/>
      <c r="R2093" s="490" t="str">
        <f t="shared" si="123"/>
        <v>DELETE</v>
      </c>
    </row>
    <row r="2094" spans="2:18" ht="36" customHeight="1" x14ac:dyDescent="0.5">
      <c r="B2094" s="502"/>
      <c r="C2094" s="631"/>
      <c r="D2094" s="630" t="str">
        <f>Criteria!E20</f>
        <v>28 FEBRUARY 2026</v>
      </c>
      <c r="E2094" s="631"/>
      <c r="F2094" s="631"/>
      <c r="G2094" s="631"/>
      <c r="H2094" s="631"/>
      <c r="I2094" s="631"/>
      <c r="J2094" s="631" t="s">
        <v>282</v>
      </c>
      <c r="M2094" s="541"/>
      <c r="N2094" s="541"/>
      <c r="O2094" s="541"/>
      <c r="R2094" s="490" t="str">
        <f t="shared" si="123"/>
        <v>DELETE</v>
      </c>
    </row>
    <row r="2095" spans="2:18" ht="36" customHeight="1" x14ac:dyDescent="0.5">
      <c r="B2095" s="502"/>
      <c r="C2095" s="631"/>
      <c r="D2095" s="630"/>
      <c r="E2095" s="631"/>
      <c r="F2095" s="631"/>
      <c r="G2095" s="631"/>
      <c r="H2095" s="631"/>
      <c r="I2095" s="631"/>
      <c r="J2095" s="631"/>
      <c r="M2095" s="541"/>
      <c r="N2095" s="541"/>
      <c r="O2095" s="541"/>
      <c r="R2095" s="490" t="str">
        <f t="shared" si="123"/>
        <v>DELETE</v>
      </c>
    </row>
    <row r="2096" spans="2:18" ht="36" customHeight="1" x14ac:dyDescent="0.5">
      <c r="B2096" s="640"/>
      <c r="C2096" s="652"/>
      <c r="D2096" s="649"/>
      <c r="E2096" s="649"/>
      <c r="F2096" s="649"/>
      <c r="G2096" s="649"/>
      <c r="H2096" s="649"/>
      <c r="I2096" s="649"/>
      <c r="J2096" s="649"/>
      <c r="K2096" s="457"/>
      <c r="L2096" s="457"/>
      <c r="M2096" s="459"/>
      <c r="N2096" s="459"/>
      <c r="O2096" s="459"/>
      <c r="P2096" s="551"/>
      <c r="Q2096" s="457"/>
      <c r="R2096" s="490" t="str">
        <f t="shared" si="123"/>
        <v>DELETE</v>
      </c>
    </row>
    <row r="2097" spans="2:18" ht="36" customHeight="1" x14ac:dyDescent="0.5">
      <c r="B2097" s="501"/>
      <c r="C2097" s="630"/>
      <c r="D2097" s="631"/>
      <c r="E2097" s="631"/>
      <c r="F2097" s="631"/>
      <c r="G2097" s="631"/>
      <c r="H2097" s="631"/>
      <c r="I2097" s="631"/>
      <c r="J2097" s="631"/>
      <c r="L2097" s="451"/>
      <c r="M2097" s="448"/>
      <c r="N2097" s="448"/>
      <c r="O2097" s="453">
        <f>Criteria!E22</f>
        <v>2026</v>
      </c>
      <c r="R2097" s="490" t="str">
        <f t="shared" si="123"/>
        <v>DELETE</v>
      </c>
    </row>
    <row r="2098" spans="2:18" ht="36" customHeight="1" x14ac:dyDescent="0.5">
      <c r="B2098" s="501"/>
      <c r="C2098" s="630"/>
      <c r="D2098" s="631"/>
      <c r="E2098" s="631"/>
      <c r="F2098" s="631"/>
      <c r="G2098" s="631"/>
      <c r="H2098" s="631"/>
      <c r="I2098" s="631"/>
      <c r="J2098" s="631"/>
      <c r="L2098" s="451"/>
      <c r="M2098" s="448"/>
      <c r="N2098" s="448"/>
      <c r="O2098" s="458"/>
      <c r="R2098" s="490" t="str">
        <f t="shared" si="123"/>
        <v>DELETE</v>
      </c>
    </row>
    <row r="2099" spans="2:18" ht="36" customHeight="1" x14ac:dyDescent="0.5">
      <c r="B2099" s="501">
        <f>MAX($B$873:B2098)+1</f>
        <v>17</v>
      </c>
      <c r="C2099" s="630" t="s">
        <v>1202</v>
      </c>
      <c r="D2099" s="631"/>
      <c r="E2099" s="631"/>
      <c r="F2099" s="631"/>
      <c r="G2099" s="631"/>
      <c r="H2099" s="631"/>
      <c r="I2099" s="631"/>
      <c r="J2099" s="631"/>
      <c r="L2099" s="451"/>
      <c r="M2099" s="448"/>
      <c r="N2099" s="448"/>
      <c r="O2099" s="458"/>
      <c r="R2099" s="490" t="str">
        <f t="shared" si="123"/>
        <v>DELETE</v>
      </c>
    </row>
    <row r="2100" spans="2:18" ht="36" customHeight="1" x14ac:dyDescent="0.5">
      <c r="B2100" s="501"/>
      <c r="C2100" s="630"/>
      <c r="D2100" s="631"/>
      <c r="E2100" s="631"/>
      <c r="F2100" s="631"/>
      <c r="G2100" s="631"/>
      <c r="H2100" s="631"/>
      <c r="I2100" s="631"/>
      <c r="J2100" s="631"/>
      <c r="L2100" s="451"/>
      <c r="M2100" s="448"/>
      <c r="N2100" s="448"/>
      <c r="O2100" s="458"/>
      <c r="R2100" s="490" t="str">
        <f t="shared" si="123"/>
        <v>DELETE</v>
      </c>
    </row>
    <row r="2101" spans="2:18" ht="36" customHeight="1" x14ac:dyDescent="0.5">
      <c r="B2101" s="501"/>
      <c r="C2101" s="631" t="s">
        <v>1564</v>
      </c>
      <c r="D2101" s="631"/>
      <c r="E2101" s="648"/>
      <c r="F2101" s="631"/>
      <c r="G2101" s="631"/>
      <c r="H2101" s="631"/>
      <c r="I2101" s="631"/>
      <c r="J2101" s="631"/>
      <c r="L2101" s="451"/>
      <c r="M2101" s="448"/>
      <c r="N2101" s="448"/>
      <c r="O2101" s="458"/>
      <c r="R2101" s="490" t="str">
        <f t="shared" si="123"/>
        <v>DELETE</v>
      </c>
    </row>
    <row r="2102" spans="2:18" ht="36" customHeight="1" x14ac:dyDescent="0.5">
      <c r="B2102" s="501"/>
      <c r="C2102" s="631" t="s">
        <v>458</v>
      </c>
      <c r="D2102" s="631"/>
      <c r="E2102" s="648"/>
      <c r="F2102" s="631"/>
      <c r="G2102" s="631"/>
      <c r="H2102" s="631"/>
      <c r="I2102" s="631"/>
      <c r="J2102" s="631"/>
      <c r="L2102" s="451"/>
      <c r="M2102" s="448"/>
      <c r="N2102" s="448"/>
      <c r="O2102" s="458">
        <f>TrialBalance!L355</f>
        <v>0</v>
      </c>
      <c r="R2102" s="490" t="str">
        <f t="shared" ref="R2102:R2105" si="124">IF(O2102=0,"DELETE"," ")</f>
        <v>DELETE</v>
      </c>
    </row>
    <row r="2103" spans="2:18" ht="36" customHeight="1" x14ac:dyDescent="0.5">
      <c r="B2103" s="501"/>
      <c r="C2103" s="631" t="s">
        <v>22</v>
      </c>
      <c r="D2103" s="631"/>
      <c r="E2103" s="648"/>
      <c r="F2103" s="631"/>
      <c r="G2103" s="631"/>
      <c r="H2103" s="631"/>
      <c r="I2103" s="631"/>
      <c r="J2103" s="631"/>
      <c r="L2103" s="451"/>
      <c r="M2103" s="448"/>
      <c r="N2103" s="448"/>
      <c r="O2103" s="458">
        <f>TrialBalance!L356</f>
        <v>0</v>
      </c>
      <c r="R2103" s="490" t="str">
        <f t="shared" si="124"/>
        <v>DELETE</v>
      </c>
    </row>
    <row r="2104" spans="2:18" ht="36" customHeight="1" x14ac:dyDescent="0.5">
      <c r="B2104" s="501"/>
      <c r="C2104" s="631" t="s">
        <v>24</v>
      </c>
      <c r="D2104" s="631"/>
      <c r="E2104" s="648"/>
      <c r="F2104" s="631"/>
      <c r="G2104" s="631"/>
      <c r="H2104" s="631"/>
      <c r="I2104" s="631"/>
      <c r="J2104" s="631"/>
      <c r="L2104" s="451"/>
      <c r="M2104" s="448"/>
      <c r="N2104" s="448"/>
      <c r="O2104" s="458">
        <f>TrialBalance!L357</f>
        <v>0</v>
      </c>
      <c r="R2104" s="490" t="str">
        <f t="shared" si="124"/>
        <v>DELETE</v>
      </c>
    </row>
    <row r="2105" spans="2:18" ht="36" customHeight="1" x14ac:dyDescent="0.5">
      <c r="B2105" s="501"/>
      <c r="C2105" s="631" t="s">
        <v>28</v>
      </c>
      <c r="D2105" s="631"/>
      <c r="E2105" s="648"/>
      <c r="F2105" s="631"/>
      <c r="G2105" s="631"/>
      <c r="H2105" s="631"/>
      <c r="I2105" s="631"/>
      <c r="J2105" s="631"/>
      <c r="L2105" s="451"/>
      <c r="M2105" s="448"/>
      <c r="N2105" s="448"/>
      <c r="O2105" s="458">
        <f>TrialBalance!L358</f>
        <v>0</v>
      </c>
      <c r="R2105" s="490" t="str">
        <f t="shared" si="124"/>
        <v>DELETE</v>
      </c>
    </row>
    <row r="2106" spans="2:18" ht="9" customHeight="1" x14ac:dyDescent="0.5">
      <c r="B2106" s="501"/>
      <c r="C2106" s="630"/>
      <c r="D2106" s="631"/>
      <c r="E2106" s="631"/>
      <c r="F2106" s="631"/>
      <c r="G2106" s="631"/>
      <c r="H2106" s="631"/>
      <c r="I2106" s="631"/>
      <c r="J2106" s="631"/>
      <c r="L2106" s="451"/>
      <c r="M2106" s="448"/>
      <c r="N2106" s="448"/>
      <c r="O2106" s="461"/>
      <c r="R2106" s="490" t="str">
        <f t="shared" ref="R2106:R2113" si="125">R$2108</f>
        <v>DELETE</v>
      </c>
    </row>
    <row r="2107" spans="2:18" ht="9" customHeight="1" x14ac:dyDescent="0.5">
      <c r="B2107" s="501"/>
      <c r="C2107" s="630"/>
      <c r="D2107" s="631"/>
      <c r="E2107" s="631"/>
      <c r="F2107" s="631"/>
      <c r="G2107" s="631"/>
      <c r="H2107" s="631"/>
      <c r="I2107" s="631"/>
      <c r="J2107" s="631"/>
      <c r="L2107" s="451"/>
      <c r="M2107" s="448"/>
      <c r="N2107" s="448"/>
      <c r="O2107" s="458"/>
      <c r="R2107" s="490" t="str">
        <f t="shared" si="125"/>
        <v>DELETE</v>
      </c>
    </row>
    <row r="2108" spans="2:18" ht="36.75" customHeight="1" x14ac:dyDescent="0.5">
      <c r="B2108" s="501"/>
      <c r="C2108" s="630"/>
      <c r="D2108" s="631"/>
      <c r="E2108" s="631"/>
      <c r="F2108" s="631"/>
      <c r="G2108" s="631"/>
      <c r="H2108" s="631"/>
      <c r="I2108" s="631"/>
      <c r="J2108" s="631"/>
      <c r="L2108" s="451"/>
      <c r="M2108" s="448"/>
      <c r="N2108" s="448"/>
      <c r="O2108" s="458">
        <f>SUM(O2102:O2107)</f>
        <v>0</v>
      </c>
      <c r="R2108" s="490" t="str">
        <f t="shared" ref="R2108" si="126">IF(O2108=0,"DELETE"," ")</f>
        <v>DELETE</v>
      </c>
    </row>
    <row r="2109" spans="2:18" ht="9" customHeight="1" thickBot="1" x14ac:dyDescent="0.55000000000000004">
      <c r="B2109" s="501"/>
      <c r="C2109" s="630"/>
      <c r="D2109" s="631"/>
      <c r="E2109" s="631"/>
      <c r="F2109" s="631"/>
      <c r="G2109" s="631"/>
      <c r="H2109" s="631"/>
      <c r="I2109" s="631"/>
      <c r="J2109" s="631"/>
      <c r="L2109" s="451"/>
      <c r="M2109" s="448"/>
      <c r="N2109" s="448"/>
      <c r="O2109" s="462"/>
      <c r="R2109" s="490" t="str">
        <f t="shared" si="125"/>
        <v>DELETE</v>
      </c>
    </row>
    <row r="2110" spans="2:18" ht="9" customHeight="1" thickTop="1" x14ac:dyDescent="0.5">
      <c r="B2110" s="501"/>
      <c r="C2110" s="630"/>
      <c r="D2110" s="631"/>
      <c r="E2110" s="631"/>
      <c r="F2110" s="631"/>
      <c r="G2110" s="631"/>
      <c r="H2110" s="631"/>
      <c r="I2110" s="631"/>
      <c r="J2110" s="631"/>
      <c r="L2110" s="451"/>
      <c r="M2110" s="448"/>
      <c r="N2110" s="448"/>
      <c r="O2110" s="475"/>
      <c r="R2110" s="490" t="str">
        <f t="shared" si="125"/>
        <v>DELETE</v>
      </c>
    </row>
    <row r="2111" spans="2:18" ht="36" customHeight="1" x14ac:dyDescent="0.5">
      <c r="B2111" s="501"/>
      <c r="C2111" s="630"/>
      <c r="D2111" s="631"/>
      <c r="E2111" s="631"/>
      <c r="F2111" s="631"/>
      <c r="G2111" s="631"/>
      <c r="H2111" s="631"/>
      <c r="I2111" s="631"/>
      <c r="J2111" s="631"/>
      <c r="L2111" s="451"/>
      <c r="M2111" s="448"/>
      <c r="N2111" s="448"/>
      <c r="O2111" s="458"/>
      <c r="R2111" s="490" t="str">
        <f t="shared" si="125"/>
        <v>DELETE</v>
      </c>
    </row>
    <row r="2112" spans="2:18" ht="36" customHeight="1" x14ac:dyDescent="0.5">
      <c r="B2112" s="501"/>
      <c r="C2112" s="630"/>
      <c r="D2112" s="631"/>
      <c r="E2112" s="631"/>
      <c r="F2112" s="631"/>
      <c r="G2112" s="631"/>
      <c r="H2112" s="631"/>
      <c r="I2112" s="631"/>
      <c r="J2112" s="631"/>
      <c r="M2112" s="475"/>
      <c r="N2112" s="475"/>
      <c r="O2112" s="475"/>
      <c r="P2112" s="545"/>
      <c r="R2112" s="490" t="str">
        <f t="shared" si="125"/>
        <v>DELETE</v>
      </c>
    </row>
    <row r="2113" spans="2:22" ht="36" customHeight="1" x14ac:dyDescent="0.5">
      <c r="B2113" s="501"/>
      <c r="C2113" s="630"/>
      <c r="D2113" s="631"/>
      <c r="E2113" s="631"/>
      <c r="F2113" s="631"/>
      <c r="G2113" s="631"/>
      <c r="H2113" s="631"/>
      <c r="I2113" s="631"/>
      <c r="J2113" s="631"/>
      <c r="M2113" s="458"/>
      <c r="N2113" s="458"/>
      <c r="O2113" s="458"/>
      <c r="R2113" s="490" t="str">
        <f t="shared" si="125"/>
        <v>DELETE</v>
      </c>
    </row>
    <row r="2114" spans="2:22" ht="36" customHeight="1" x14ac:dyDescent="0.5">
      <c r="B2114" s="502"/>
      <c r="C2114" s="631"/>
      <c r="D2114" s="631"/>
      <c r="E2114" s="631"/>
      <c r="F2114" s="631"/>
      <c r="G2114" s="631"/>
      <c r="H2114" s="631"/>
      <c r="I2114" s="631"/>
      <c r="J2114" s="631"/>
      <c r="M2114" s="541"/>
      <c r="N2114" s="541"/>
      <c r="O2114" s="458" t="s">
        <v>112</v>
      </c>
      <c r="Q2114" s="450">
        <f>MAX($Q$103:Q2113)+1</f>
        <v>54</v>
      </c>
      <c r="R2114" s="490" t="str">
        <f>R$2138</f>
        <v>DELETE</v>
      </c>
    </row>
    <row r="2115" spans="2:22" ht="36" customHeight="1" x14ac:dyDescent="0.5">
      <c r="B2115" s="502"/>
      <c r="C2115" s="631"/>
      <c r="D2115" s="630" t="str">
        <f>Criteria!E9</f>
        <v>ABC COMPANY (PROPRIETARY) LIMITED</v>
      </c>
      <c r="E2115" s="631"/>
      <c r="F2115" s="631"/>
      <c r="G2115" s="631"/>
      <c r="H2115" s="631"/>
      <c r="I2115" s="631"/>
      <c r="J2115" s="631"/>
      <c r="M2115" s="541"/>
      <c r="N2115" s="541"/>
      <c r="O2115" s="540"/>
      <c r="R2115" s="490" t="str">
        <f t="shared" ref="R2115:R2125" si="127">R$2138</f>
        <v>DELETE</v>
      </c>
    </row>
    <row r="2116" spans="2:22" ht="36" customHeight="1" x14ac:dyDescent="0.5">
      <c r="B2116" s="502"/>
      <c r="C2116" s="631"/>
      <c r="D2116" s="630" t="str">
        <f>Criteria!E10</f>
        <v>T/A SEAFRONT HOTEL, ABC RESTAURANT AND RENTAL PROPERTIES</v>
      </c>
      <c r="E2116" s="631"/>
      <c r="F2116" s="631"/>
      <c r="G2116" s="631"/>
      <c r="H2116" s="631"/>
      <c r="I2116" s="631"/>
      <c r="J2116" s="631"/>
      <c r="M2116" s="541"/>
      <c r="N2116" s="541"/>
      <c r="O2116" s="541"/>
      <c r="R2116" s="490" t="str">
        <f>IF(R$2138="DELETE","DELETE",IF(D2116=0,"DELETE"," "))</f>
        <v>DELETE</v>
      </c>
    </row>
    <row r="2117" spans="2:22" ht="36" customHeight="1" x14ac:dyDescent="0.5">
      <c r="B2117" s="502"/>
      <c r="C2117" s="631"/>
      <c r="D2117" s="631"/>
      <c r="E2117" s="631"/>
      <c r="F2117" s="631"/>
      <c r="G2117" s="631"/>
      <c r="H2117" s="631"/>
      <c r="I2117" s="631"/>
      <c r="J2117" s="631"/>
      <c r="M2117" s="541"/>
      <c r="N2117" s="541"/>
      <c r="O2117" s="541"/>
      <c r="R2117" s="490" t="str">
        <f t="shared" si="127"/>
        <v>DELETE</v>
      </c>
    </row>
    <row r="2118" spans="2:22" ht="36" customHeight="1" x14ac:dyDescent="0.5">
      <c r="B2118" s="502"/>
      <c r="C2118" s="631"/>
      <c r="D2118" s="630" t="s">
        <v>415</v>
      </c>
      <c r="E2118" s="631"/>
      <c r="F2118" s="631"/>
      <c r="G2118" s="631"/>
      <c r="H2118" s="631"/>
      <c r="I2118" s="631"/>
      <c r="J2118" s="631"/>
      <c r="M2118" s="541"/>
      <c r="N2118" s="541"/>
      <c r="O2118" s="541"/>
      <c r="R2118" s="490" t="str">
        <f t="shared" si="127"/>
        <v>DELETE</v>
      </c>
    </row>
    <row r="2119" spans="2:22" ht="36" customHeight="1" x14ac:dyDescent="0.5">
      <c r="B2119" s="502"/>
      <c r="C2119" s="631"/>
      <c r="D2119" s="630" t="str">
        <f>Criteria!E20</f>
        <v>28 FEBRUARY 2026</v>
      </c>
      <c r="E2119" s="631"/>
      <c r="F2119" s="631"/>
      <c r="G2119" s="631"/>
      <c r="H2119" s="631"/>
      <c r="I2119" s="631"/>
      <c r="J2119" s="631" t="s">
        <v>282</v>
      </c>
      <c r="M2119" s="541"/>
      <c r="N2119" s="541"/>
      <c r="O2119" s="541"/>
      <c r="R2119" s="490" t="str">
        <f t="shared" si="127"/>
        <v>DELETE</v>
      </c>
    </row>
    <row r="2120" spans="2:22" ht="36" customHeight="1" x14ac:dyDescent="0.5">
      <c r="B2120" s="502"/>
      <c r="C2120" s="631"/>
      <c r="D2120" s="631"/>
      <c r="E2120" s="631"/>
      <c r="F2120" s="631"/>
      <c r="G2120" s="631"/>
      <c r="H2120" s="631"/>
      <c r="I2120" s="631"/>
      <c r="J2120" s="631"/>
      <c r="M2120" s="554"/>
      <c r="N2120" s="554"/>
      <c r="O2120" s="554"/>
      <c r="R2120" s="490" t="str">
        <f t="shared" si="127"/>
        <v>DELETE</v>
      </c>
    </row>
    <row r="2121" spans="2:22" ht="36" customHeight="1" x14ac:dyDescent="0.5">
      <c r="B2121" s="641"/>
      <c r="C2121" s="649"/>
      <c r="D2121" s="649"/>
      <c r="E2121" s="649"/>
      <c r="F2121" s="649"/>
      <c r="G2121" s="649"/>
      <c r="H2121" s="649"/>
      <c r="I2121" s="649"/>
      <c r="J2121" s="649"/>
      <c r="K2121" s="457"/>
      <c r="L2121" s="457"/>
      <c r="M2121" s="557"/>
      <c r="N2121" s="557"/>
      <c r="O2121" s="557"/>
      <c r="P2121" s="551"/>
      <c r="Q2121" s="457"/>
      <c r="R2121" s="490" t="str">
        <f t="shared" si="127"/>
        <v>DELETE</v>
      </c>
    </row>
    <row r="2122" spans="2:22" ht="36" customHeight="1" x14ac:dyDescent="0.5">
      <c r="B2122" s="502"/>
      <c r="C2122" s="631"/>
      <c r="D2122" s="631"/>
      <c r="E2122" s="631"/>
      <c r="F2122" s="631"/>
      <c r="G2122" s="631"/>
      <c r="H2122" s="631"/>
      <c r="I2122" s="631"/>
      <c r="J2122" s="631"/>
      <c r="L2122" s="451"/>
      <c r="M2122" s="448"/>
      <c r="N2122" s="448"/>
      <c r="O2122" s="453">
        <f>Criteria!E22</f>
        <v>2026</v>
      </c>
      <c r="R2122" s="490" t="str">
        <f t="shared" si="127"/>
        <v>DELETE</v>
      </c>
    </row>
    <row r="2123" spans="2:22" ht="36" customHeight="1" x14ac:dyDescent="0.5">
      <c r="B2123" s="501"/>
      <c r="C2123" s="630"/>
      <c r="D2123" s="631"/>
      <c r="E2123" s="631"/>
      <c r="F2123" s="631"/>
      <c r="G2123" s="631"/>
      <c r="H2123" s="631"/>
      <c r="I2123" s="631"/>
      <c r="J2123" s="631"/>
      <c r="L2123" s="451"/>
      <c r="M2123" s="448"/>
      <c r="N2123" s="448"/>
      <c r="O2123" s="458"/>
      <c r="R2123" s="490" t="str">
        <f t="shared" si="127"/>
        <v>DELETE</v>
      </c>
    </row>
    <row r="2124" spans="2:22" ht="36" customHeight="1" x14ac:dyDescent="0.5">
      <c r="B2124" s="501">
        <f>MAX($B$873:B2123)+1</f>
        <v>18</v>
      </c>
      <c r="C2124" s="630" t="s">
        <v>869</v>
      </c>
      <c r="D2124" s="631"/>
      <c r="E2124" s="631"/>
      <c r="F2124" s="631"/>
      <c r="G2124" s="631"/>
      <c r="H2124" s="631"/>
      <c r="I2124" s="631"/>
      <c r="J2124" s="631"/>
      <c r="L2124" s="451"/>
      <c r="M2124" s="448"/>
      <c r="N2124" s="448"/>
      <c r="O2124" s="458"/>
      <c r="R2124" s="490" t="str">
        <f t="shared" si="127"/>
        <v>DELETE</v>
      </c>
    </row>
    <row r="2125" spans="2:22" ht="36" customHeight="1" x14ac:dyDescent="0.5">
      <c r="B2125" s="501"/>
      <c r="C2125" s="630"/>
      <c r="D2125" s="631"/>
      <c r="E2125" s="631"/>
      <c r="F2125" s="631"/>
      <c r="G2125" s="631"/>
      <c r="H2125" s="631"/>
      <c r="I2125" s="631"/>
      <c r="J2125" s="631"/>
      <c r="L2125" s="451"/>
      <c r="M2125" s="448"/>
      <c r="N2125" s="448"/>
      <c r="O2125" s="458"/>
      <c r="R2125" s="490" t="str">
        <f t="shared" si="127"/>
        <v>DELETE</v>
      </c>
    </row>
    <row r="2126" spans="2:22" ht="36" customHeight="1" x14ac:dyDescent="0.5">
      <c r="B2126" s="501"/>
      <c r="C2126" s="631" t="s">
        <v>604</v>
      </c>
      <c r="D2126" s="648"/>
      <c r="E2126" s="631"/>
      <c r="F2126" s="631"/>
      <c r="G2126" s="631"/>
      <c r="H2126" s="631"/>
      <c r="I2126" s="631"/>
      <c r="J2126" s="631"/>
      <c r="L2126" s="451"/>
      <c r="M2126" s="448"/>
      <c r="N2126" s="448"/>
      <c r="O2126" s="458">
        <f>TrialBalance!L360</f>
        <v>0</v>
      </c>
      <c r="R2126" s="490" t="str">
        <f t="shared" ref="R2126:R2127" si="128">IF(O2126=0,"DELETE"," ")</f>
        <v>DELETE</v>
      </c>
      <c r="S2126" s="496">
        <f>O2126</f>
        <v>0</v>
      </c>
      <c r="T2126" s="496"/>
      <c r="U2126" s="496"/>
      <c r="V2126" s="496"/>
    </row>
    <row r="2127" spans="2:22" ht="36" customHeight="1" x14ac:dyDescent="0.5">
      <c r="B2127" s="501"/>
      <c r="C2127" s="631" t="s">
        <v>710</v>
      </c>
      <c r="D2127" s="648"/>
      <c r="E2127" s="631"/>
      <c r="F2127" s="631"/>
      <c r="G2127" s="631"/>
      <c r="H2127" s="631"/>
      <c r="I2127" s="631"/>
      <c r="J2127" s="631"/>
      <c r="L2127" s="451"/>
      <c r="M2127" s="448"/>
      <c r="N2127" s="448"/>
      <c r="O2127" s="458">
        <f>TrialBalance!L361</f>
        <v>0</v>
      </c>
      <c r="R2127" s="490" t="str">
        <f t="shared" si="128"/>
        <v>DELETE</v>
      </c>
      <c r="S2127" s="496">
        <f>O2127</f>
        <v>0</v>
      </c>
      <c r="T2127" s="496"/>
      <c r="U2127" s="496"/>
      <c r="V2127" s="496"/>
    </row>
    <row r="2128" spans="2:22" ht="9" customHeight="1" x14ac:dyDescent="0.5">
      <c r="B2128" s="501"/>
      <c r="C2128" s="631"/>
      <c r="D2128" s="648"/>
      <c r="E2128" s="631"/>
      <c r="F2128" s="631"/>
      <c r="G2128" s="631"/>
      <c r="H2128" s="631"/>
      <c r="I2128" s="631"/>
      <c r="J2128" s="631"/>
      <c r="L2128" s="451"/>
      <c r="M2128" s="448"/>
      <c r="N2128" s="448"/>
      <c r="O2128" s="461"/>
      <c r="R2128" s="490" t="str">
        <f>R$2130</f>
        <v>DELETE</v>
      </c>
    </row>
    <row r="2129" spans="2:22" ht="9" customHeight="1" x14ac:dyDescent="0.5">
      <c r="B2129" s="501"/>
      <c r="C2129" s="631"/>
      <c r="D2129" s="648"/>
      <c r="E2129" s="631"/>
      <c r="F2129" s="631"/>
      <c r="G2129" s="631"/>
      <c r="H2129" s="631"/>
      <c r="I2129" s="631"/>
      <c r="J2129" s="631"/>
      <c r="L2129" s="451"/>
      <c r="M2129" s="448"/>
      <c r="N2129" s="448"/>
      <c r="O2129" s="458"/>
      <c r="R2129" s="490" t="str">
        <f>R$2130</f>
        <v>DELETE</v>
      </c>
    </row>
    <row r="2130" spans="2:22" ht="36" customHeight="1" x14ac:dyDescent="0.5">
      <c r="B2130" s="501"/>
      <c r="C2130" s="631"/>
      <c r="D2130" s="648"/>
      <c r="E2130" s="631"/>
      <c r="F2130" s="631"/>
      <c r="G2130" s="631"/>
      <c r="H2130" s="631"/>
      <c r="I2130" s="631"/>
      <c r="J2130" s="631"/>
      <c r="L2130" s="451"/>
      <c r="M2130" s="448"/>
      <c r="N2130" s="448"/>
      <c r="O2130" s="458">
        <f>SUM(O2126:O2129)</f>
        <v>0</v>
      </c>
      <c r="R2130" s="490" t="str">
        <f>IF(R2138="DELETE","DELETE",IF(O2127=0,"DELETE",IF(O2130=0,"DELETE",IF(O2130=O2138,"DELETE"," "))))</f>
        <v>DELETE</v>
      </c>
    </row>
    <row r="2131" spans="2:22" ht="36" customHeight="1" x14ac:dyDescent="0.5">
      <c r="B2131" s="501"/>
      <c r="C2131" s="631" t="s">
        <v>359</v>
      </c>
      <c r="D2131" s="648"/>
      <c r="E2131" s="631"/>
      <c r="F2131" s="631"/>
      <c r="G2131" s="631"/>
      <c r="H2131" s="631"/>
      <c r="I2131" s="631"/>
      <c r="J2131" s="631"/>
      <c r="L2131" s="451"/>
      <c r="M2131" s="448"/>
      <c r="N2131" s="448"/>
      <c r="O2131" s="458">
        <f>TrialBalance!L362</f>
        <v>0</v>
      </c>
      <c r="R2131" s="490" t="str">
        <f t="shared" ref="R2131:R2135" si="129">IF(O2131=0,"DELETE"," ")</f>
        <v>DELETE</v>
      </c>
      <c r="S2131" s="496">
        <f>O2131</f>
        <v>0</v>
      </c>
      <c r="T2131" s="496"/>
      <c r="U2131" s="496"/>
      <c r="V2131" s="496"/>
    </row>
    <row r="2132" spans="2:22" ht="36" customHeight="1" x14ac:dyDescent="0.5">
      <c r="B2132" s="501"/>
      <c r="C2132" s="631" t="s">
        <v>325</v>
      </c>
      <c r="D2132" s="648"/>
      <c r="E2132" s="631"/>
      <c r="F2132" s="631"/>
      <c r="G2132" s="631"/>
      <c r="H2132" s="631"/>
      <c r="I2132" s="631"/>
      <c r="J2132" s="631"/>
      <c r="L2132" s="451"/>
      <c r="M2132" s="448"/>
      <c r="N2132" s="448"/>
      <c r="O2132" s="458">
        <f>TrialBalance!L363</f>
        <v>0</v>
      </c>
      <c r="R2132" s="490" t="str">
        <f t="shared" si="129"/>
        <v>DELETE</v>
      </c>
      <c r="S2132" s="496">
        <f>O2132</f>
        <v>0</v>
      </c>
      <c r="T2132" s="496"/>
      <c r="U2132" s="496"/>
      <c r="V2132" s="496"/>
    </row>
    <row r="2133" spans="2:22" ht="36" customHeight="1" x14ac:dyDescent="0.5">
      <c r="B2133" s="501"/>
      <c r="C2133" s="631" t="s">
        <v>414</v>
      </c>
      <c r="D2133" s="648"/>
      <c r="E2133" s="631"/>
      <c r="F2133" s="631"/>
      <c r="G2133" s="631"/>
      <c r="H2133" s="631"/>
      <c r="I2133" s="631"/>
      <c r="J2133" s="631"/>
      <c r="L2133" s="451"/>
      <c r="M2133" s="448"/>
      <c r="N2133" s="448"/>
      <c r="O2133" s="458">
        <f>TrialBalance!L364</f>
        <v>0</v>
      </c>
      <c r="R2133" s="490" t="str">
        <f t="shared" si="129"/>
        <v>DELETE</v>
      </c>
      <c r="S2133" s="496">
        <f>O2133</f>
        <v>0</v>
      </c>
      <c r="T2133" s="496"/>
      <c r="U2133" s="496"/>
      <c r="V2133" s="496"/>
    </row>
    <row r="2134" spans="2:22" ht="36" customHeight="1" x14ac:dyDescent="0.5">
      <c r="B2134" s="501"/>
      <c r="C2134" s="631" t="s">
        <v>606</v>
      </c>
      <c r="D2134" s="648"/>
      <c r="E2134" s="631"/>
      <c r="F2134" s="631"/>
      <c r="G2134" s="631"/>
      <c r="H2134" s="631"/>
      <c r="I2134" s="631"/>
      <c r="J2134" s="631"/>
      <c r="L2134" s="451"/>
      <c r="M2134" s="448"/>
      <c r="N2134" s="448"/>
      <c r="O2134" s="458">
        <f>TrialBalance!L365</f>
        <v>0</v>
      </c>
      <c r="R2134" s="490" t="str">
        <f t="shared" si="129"/>
        <v>DELETE</v>
      </c>
      <c r="S2134" s="496">
        <f>O2134</f>
        <v>0</v>
      </c>
      <c r="T2134" s="496"/>
      <c r="U2134" s="496"/>
      <c r="V2134" s="496"/>
    </row>
    <row r="2135" spans="2:22" ht="36" customHeight="1" x14ac:dyDescent="0.5">
      <c r="B2135" s="501"/>
      <c r="C2135" s="631" t="s">
        <v>605</v>
      </c>
      <c r="D2135" s="648"/>
      <c r="E2135" s="631"/>
      <c r="F2135" s="631"/>
      <c r="G2135" s="631"/>
      <c r="H2135" s="631"/>
      <c r="I2135" s="631"/>
      <c r="J2135" s="631"/>
      <c r="L2135" s="451"/>
      <c r="M2135" s="448"/>
      <c r="N2135" s="448"/>
      <c r="O2135" s="458">
        <f>IF(TrialBalance!L399&gt;0,TrialBalance!L399,0)+IF(TrialBalance!L398&gt;0,TrialBalance!L398,0)</f>
        <v>0</v>
      </c>
      <c r="R2135" s="490" t="str">
        <f t="shared" si="129"/>
        <v>DELETE</v>
      </c>
      <c r="S2135" s="496">
        <f>O2135</f>
        <v>0</v>
      </c>
      <c r="T2135" s="496"/>
      <c r="U2135" s="496"/>
      <c r="V2135" s="496"/>
    </row>
    <row r="2136" spans="2:22" ht="9" customHeight="1" x14ac:dyDescent="0.5">
      <c r="B2136" s="501"/>
      <c r="C2136" s="630"/>
      <c r="D2136" s="631"/>
      <c r="E2136" s="631"/>
      <c r="F2136" s="631"/>
      <c r="G2136" s="631"/>
      <c r="H2136" s="631"/>
      <c r="I2136" s="631"/>
      <c r="J2136" s="631"/>
      <c r="L2136" s="451"/>
      <c r="M2136" s="448"/>
      <c r="N2136" s="448"/>
      <c r="O2136" s="461"/>
      <c r="R2136" s="490" t="str">
        <f t="shared" ref="R2136:R2145" si="130">R$2138</f>
        <v>DELETE</v>
      </c>
    </row>
    <row r="2137" spans="2:22" ht="9" customHeight="1" x14ac:dyDescent="0.5">
      <c r="B2137" s="501"/>
      <c r="C2137" s="630"/>
      <c r="D2137" s="631"/>
      <c r="E2137" s="631"/>
      <c r="F2137" s="631"/>
      <c r="G2137" s="631"/>
      <c r="H2137" s="631"/>
      <c r="I2137" s="631"/>
      <c r="J2137" s="631"/>
      <c r="L2137" s="451"/>
      <c r="M2137" s="448"/>
      <c r="N2137" s="448"/>
      <c r="O2137" s="458"/>
      <c r="R2137" s="490" t="str">
        <f t="shared" si="130"/>
        <v>DELETE</v>
      </c>
    </row>
    <row r="2138" spans="2:22" ht="36.75" customHeight="1" x14ac:dyDescent="0.5">
      <c r="B2138" s="501"/>
      <c r="C2138" s="630"/>
      <c r="D2138" s="631"/>
      <c r="E2138" s="631"/>
      <c r="F2138" s="631"/>
      <c r="G2138" s="631"/>
      <c r="H2138" s="631"/>
      <c r="I2138" s="631"/>
      <c r="J2138" s="631"/>
      <c r="L2138" s="451"/>
      <c r="M2138" s="448"/>
      <c r="N2138" s="448"/>
      <c r="O2138" s="458">
        <f>SUM(S2126:S2135)</f>
        <v>0</v>
      </c>
      <c r="R2138" s="490" t="str">
        <f t="shared" ref="R2138" si="131">IF(O2138=0,"DELETE"," ")</f>
        <v>DELETE</v>
      </c>
      <c r="S2138" s="495"/>
      <c r="T2138" s="495"/>
    </row>
    <row r="2139" spans="2:22" ht="9" customHeight="1" thickBot="1" x14ac:dyDescent="0.55000000000000004">
      <c r="B2139" s="501"/>
      <c r="C2139" s="630"/>
      <c r="D2139" s="631"/>
      <c r="E2139" s="631"/>
      <c r="F2139" s="631"/>
      <c r="G2139" s="631"/>
      <c r="H2139" s="631"/>
      <c r="I2139" s="631"/>
      <c r="J2139" s="631"/>
      <c r="L2139" s="451"/>
      <c r="M2139" s="448"/>
      <c r="N2139" s="448"/>
      <c r="O2139" s="462"/>
      <c r="R2139" s="490" t="str">
        <f t="shared" si="130"/>
        <v>DELETE</v>
      </c>
    </row>
    <row r="2140" spans="2:22" ht="9" customHeight="1" thickTop="1" x14ac:dyDescent="0.5">
      <c r="B2140" s="501"/>
      <c r="C2140" s="630"/>
      <c r="D2140" s="631"/>
      <c r="E2140" s="631"/>
      <c r="F2140" s="631"/>
      <c r="G2140" s="631"/>
      <c r="H2140" s="631"/>
      <c r="I2140" s="631"/>
      <c r="J2140" s="631"/>
      <c r="L2140" s="451"/>
      <c r="M2140" s="448"/>
      <c r="N2140" s="448"/>
      <c r="O2140" s="475"/>
      <c r="R2140" s="490" t="str">
        <f t="shared" si="130"/>
        <v>DELETE</v>
      </c>
    </row>
    <row r="2141" spans="2:22" ht="36" customHeight="1" x14ac:dyDescent="0.5">
      <c r="B2141" s="501"/>
      <c r="C2141" s="631" t="str">
        <f>IF(Criteria!G302="Yes",Criteria!G304," ")</f>
        <v xml:space="preserve"> </v>
      </c>
      <c r="D2141" s="648"/>
      <c r="E2141" s="631"/>
      <c r="F2141" s="631"/>
      <c r="G2141" s="631"/>
      <c r="H2141" s="631"/>
      <c r="I2141" s="631"/>
      <c r="J2141" s="631"/>
      <c r="L2141" s="451"/>
      <c r="M2141" s="448"/>
      <c r="N2141" s="448"/>
      <c r="O2141" s="458"/>
      <c r="R2141" s="490" t="str">
        <f>IF(C2141=" ","DELETE",IF(C2141=0,"DELETE"," "))</f>
        <v>DELETE</v>
      </c>
    </row>
    <row r="2142" spans="2:22" ht="36" customHeight="1" x14ac:dyDescent="0.5">
      <c r="B2142" s="501"/>
      <c r="C2142" s="631" t="str">
        <f>IF(Criteria!G302="Yes",Criteria!G305," ")</f>
        <v xml:space="preserve"> </v>
      </c>
      <c r="D2142" s="648"/>
      <c r="E2142" s="631"/>
      <c r="F2142" s="631"/>
      <c r="G2142" s="631"/>
      <c r="H2142" s="631"/>
      <c r="I2142" s="631"/>
      <c r="J2142" s="631"/>
      <c r="M2142" s="458"/>
      <c r="N2142" s="458"/>
      <c r="O2142" s="458"/>
      <c r="R2142" s="490" t="str">
        <f>IF(C2142=" ","DELETE",IF(C2142=0,"DELETE"," "))</f>
        <v>DELETE</v>
      </c>
    </row>
    <row r="2143" spans="2:22" ht="36" customHeight="1" x14ac:dyDescent="0.5">
      <c r="B2143" s="501"/>
      <c r="C2143" s="630"/>
      <c r="D2143" s="631"/>
      <c r="E2143" s="631"/>
      <c r="F2143" s="631"/>
      <c r="G2143" s="631"/>
      <c r="H2143" s="631"/>
      <c r="I2143" s="631"/>
      <c r="J2143" s="631"/>
      <c r="M2143" s="458"/>
      <c r="N2143" s="458"/>
      <c r="O2143" s="458"/>
      <c r="R2143" s="490" t="str">
        <f t="shared" si="130"/>
        <v>DELETE</v>
      </c>
    </row>
    <row r="2144" spans="2:22" ht="36" customHeight="1" x14ac:dyDescent="0.5">
      <c r="B2144" s="501"/>
      <c r="C2144" s="630"/>
      <c r="D2144" s="631"/>
      <c r="E2144" s="631"/>
      <c r="F2144" s="631"/>
      <c r="G2144" s="631"/>
      <c r="H2144" s="631"/>
      <c r="I2144" s="631"/>
      <c r="J2144" s="631"/>
      <c r="M2144" s="475"/>
      <c r="N2144" s="475"/>
      <c r="O2144" s="475"/>
      <c r="P2144" s="545"/>
      <c r="R2144" s="490" t="str">
        <f t="shared" si="130"/>
        <v>DELETE</v>
      </c>
    </row>
    <row r="2145" spans="2:18" ht="36" customHeight="1" x14ac:dyDescent="0.5">
      <c r="B2145" s="502"/>
      <c r="C2145" s="631"/>
      <c r="D2145" s="631"/>
      <c r="E2145" s="631"/>
      <c r="F2145" s="631"/>
      <c r="G2145" s="631"/>
      <c r="H2145" s="631"/>
      <c r="I2145" s="631"/>
      <c r="J2145" s="631"/>
      <c r="M2145" s="541"/>
      <c r="N2145" s="541"/>
      <c r="O2145" s="541"/>
      <c r="R2145" s="490" t="str">
        <f t="shared" si="130"/>
        <v>DELETE</v>
      </c>
    </row>
    <row r="2146" spans="2:18" ht="36" customHeight="1" x14ac:dyDescent="0.5">
      <c r="B2146" s="502"/>
      <c r="C2146" s="631"/>
      <c r="D2146" s="631"/>
      <c r="E2146" s="631"/>
      <c r="F2146" s="631"/>
      <c r="G2146" s="631"/>
      <c r="H2146" s="631"/>
      <c r="I2146" s="631"/>
      <c r="J2146" s="631"/>
      <c r="M2146" s="541"/>
      <c r="N2146" s="541"/>
      <c r="O2146" s="458" t="s">
        <v>112</v>
      </c>
      <c r="Q2146" s="450">
        <f>MAX($Q$103:Q2145)+1</f>
        <v>55</v>
      </c>
    </row>
    <row r="2147" spans="2:18" ht="36" customHeight="1" x14ac:dyDescent="0.5">
      <c r="B2147" s="502"/>
      <c r="C2147" s="631"/>
      <c r="D2147" s="630" t="str">
        <f>Criteria!E9</f>
        <v>ABC COMPANY (PROPRIETARY) LIMITED</v>
      </c>
      <c r="E2147" s="631"/>
      <c r="F2147" s="631"/>
      <c r="G2147" s="631"/>
      <c r="H2147" s="631"/>
      <c r="I2147" s="631"/>
      <c r="J2147" s="631"/>
      <c r="M2147" s="541"/>
      <c r="N2147" s="541"/>
      <c r="O2147" s="540"/>
    </row>
    <row r="2148" spans="2:18" ht="36" customHeight="1" x14ac:dyDescent="0.5">
      <c r="B2148" s="502"/>
      <c r="C2148" s="631"/>
      <c r="D2148" s="630" t="str">
        <f>Criteria!E10</f>
        <v>T/A SEAFRONT HOTEL, ABC RESTAURANT AND RENTAL PROPERTIES</v>
      </c>
      <c r="E2148" s="631"/>
      <c r="F2148" s="631"/>
      <c r="G2148" s="631"/>
      <c r="H2148" s="631"/>
      <c r="I2148" s="631"/>
      <c r="J2148" s="631"/>
      <c r="M2148" s="541"/>
      <c r="N2148" s="541"/>
      <c r="O2148" s="541"/>
      <c r="R2148" s="490" t="str">
        <f>IF(D2148=0,"DELETE"," ")</f>
        <v xml:space="preserve"> </v>
      </c>
    </row>
    <row r="2149" spans="2:18" ht="36" customHeight="1" x14ac:dyDescent="0.5">
      <c r="B2149" s="502"/>
      <c r="C2149" s="631"/>
      <c r="D2149" s="631"/>
      <c r="E2149" s="631"/>
      <c r="F2149" s="631"/>
      <c r="G2149" s="631"/>
      <c r="H2149" s="631"/>
      <c r="I2149" s="631"/>
      <c r="J2149" s="631"/>
      <c r="M2149" s="541"/>
      <c r="N2149" s="541"/>
      <c r="O2149" s="541"/>
    </row>
    <row r="2150" spans="2:18" ht="36" customHeight="1" x14ac:dyDescent="0.5">
      <c r="B2150" s="502"/>
      <c r="C2150" s="631"/>
      <c r="D2150" s="630" t="s">
        <v>415</v>
      </c>
      <c r="E2150" s="631"/>
      <c r="F2150" s="631"/>
      <c r="G2150" s="631"/>
      <c r="H2150" s="631"/>
      <c r="I2150" s="631"/>
      <c r="J2150" s="631"/>
      <c r="M2150" s="541"/>
      <c r="N2150" s="541"/>
      <c r="O2150" s="541"/>
    </row>
    <row r="2151" spans="2:18" ht="36" customHeight="1" x14ac:dyDescent="0.5">
      <c r="B2151" s="502"/>
      <c r="C2151" s="631"/>
      <c r="D2151" s="630" t="str">
        <f>Criteria!E20</f>
        <v>28 FEBRUARY 2026</v>
      </c>
      <c r="E2151" s="631"/>
      <c r="F2151" s="631"/>
      <c r="G2151" s="631"/>
      <c r="H2151" s="631"/>
      <c r="I2151" s="631"/>
      <c r="J2151" s="631" t="s">
        <v>282</v>
      </c>
      <c r="M2151" s="541"/>
      <c r="N2151" s="541"/>
      <c r="O2151" s="541"/>
    </row>
    <row r="2152" spans="2:18" ht="36" customHeight="1" x14ac:dyDescent="0.5">
      <c r="B2152" s="502"/>
      <c r="C2152" s="631"/>
      <c r="D2152" s="630"/>
      <c r="E2152" s="631"/>
      <c r="F2152" s="631"/>
      <c r="G2152" s="631"/>
      <c r="H2152" s="631"/>
      <c r="I2152" s="631"/>
      <c r="J2152" s="631"/>
      <c r="M2152" s="541"/>
      <c r="N2152" s="541"/>
      <c r="O2152" s="541"/>
    </row>
    <row r="2153" spans="2:18" ht="36" customHeight="1" x14ac:dyDescent="0.5">
      <c r="B2153" s="640"/>
      <c r="C2153" s="652"/>
      <c r="D2153" s="649"/>
      <c r="E2153" s="649"/>
      <c r="F2153" s="649"/>
      <c r="G2153" s="649"/>
      <c r="H2153" s="649"/>
      <c r="I2153" s="649"/>
      <c r="J2153" s="649"/>
      <c r="K2153" s="457"/>
      <c r="L2153" s="457"/>
      <c r="M2153" s="459"/>
      <c r="N2153" s="459"/>
      <c r="O2153" s="459"/>
      <c r="P2153" s="551"/>
      <c r="Q2153" s="457"/>
    </row>
    <row r="2154" spans="2:18" ht="36" customHeight="1" x14ac:dyDescent="0.5">
      <c r="B2154" s="501"/>
      <c r="C2154" s="630"/>
      <c r="D2154" s="631"/>
      <c r="E2154" s="631"/>
      <c r="F2154" s="631"/>
      <c r="G2154" s="631"/>
      <c r="H2154" s="631"/>
      <c r="I2154" s="631"/>
      <c r="J2154" s="631"/>
      <c r="L2154" s="451"/>
      <c r="M2154" s="448"/>
      <c r="N2154" s="448"/>
      <c r="O2154" s="453">
        <f>Criteria!E22</f>
        <v>2026</v>
      </c>
    </row>
    <row r="2155" spans="2:18" ht="36" customHeight="1" x14ac:dyDescent="0.5">
      <c r="B2155" s="501"/>
      <c r="C2155" s="630"/>
      <c r="D2155" s="631"/>
      <c r="E2155" s="631"/>
      <c r="F2155" s="631"/>
      <c r="G2155" s="631"/>
      <c r="H2155" s="631"/>
      <c r="I2155" s="631"/>
      <c r="J2155" s="631"/>
      <c r="L2155" s="451"/>
      <c r="M2155" s="448"/>
      <c r="N2155" s="448"/>
      <c r="O2155" s="458"/>
    </row>
    <row r="2156" spans="2:18" ht="36" customHeight="1" x14ac:dyDescent="0.5">
      <c r="B2156" s="501">
        <f>MAX($B$873:B2155)+1</f>
        <v>19</v>
      </c>
      <c r="C2156" s="630" t="s">
        <v>750</v>
      </c>
      <c r="D2156" s="631"/>
      <c r="E2156" s="631"/>
      <c r="F2156" s="631"/>
      <c r="G2156" s="631"/>
      <c r="H2156" s="631"/>
      <c r="I2156" s="631"/>
      <c r="J2156" s="631"/>
      <c r="L2156" s="451"/>
      <c r="M2156" s="448"/>
      <c r="N2156" s="448"/>
      <c r="O2156" s="458"/>
    </row>
    <row r="2157" spans="2:18" ht="36" customHeight="1" x14ac:dyDescent="0.5">
      <c r="B2157" s="501"/>
      <c r="C2157" s="630"/>
      <c r="D2157" s="631"/>
      <c r="E2157" s="631"/>
      <c r="F2157" s="631"/>
      <c r="G2157" s="631"/>
      <c r="H2157" s="631"/>
      <c r="I2157" s="631"/>
      <c r="J2157" s="631"/>
      <c r="L2157" s="451"/>
      <c r="M2157" s="448"/>
      <c r="N2157" s="448"/>
      <c r="O2157" s="458"/>
    </row>
    <row r="2158" spans="2:18" ht="36" customHeight="1" x14ac:dyDescent="0.5">
      <c r="B2158" s="501"/>
      <c r="C2158" s="631">
        <f>TrialBalance!C367</f>
        <v>0</v>
      </c>
      <c r="D2158" s="648"/>
      <c r="E2158" s="631"/>
      <c r="F2158" s="631"/>
      <c r="G2158" s="631"/>
      <c r="H2158" s="631"/>
      <c r="I2158" s="631"/>
      <c r="J2158" s="631"/>
      <c r="L2158" s="451"/>
      <c r="M2158" s="448"/>
      <c r="N2158" s="448"/>
      <c r="O2158" s="458">
        <f>IF(TrialBalance!L367&gt;0,TrialBalance!L367,0)</f>
        <v>0</v>
      </c>
      <c r="R2158" s="490" t="str">
        <f t="shared" ref="R2158:R2164" si="132">IF(O2158=0,"DELETE"," ")</f>
        <v>DELETE</v>
      </c>
    </row>
    <row r="2159" spans="2:18" ht="36" customHeight="1" x14ac:dyDescent="0.5">
      <c r="B2159" s="501"/>
      <c r="C2159" s="631">
        <f>TrialBalance!C368</f>
        <v>0</v>
      </c>
      <c r="D2159" s="648"/>
      <c r="E2159" s="631"/>
      <c r="F2159" s="631"/>
      <c r="G2159" s="631"/>
      <c r="H2159" s="631"/>
      <c r="I2159" s="631"/>
      <c r="J2159" s="631"/>
      <c r="L2159" s="451"/>
      <c r="M2159" s="448"/>
      <c r="N2159" s="448"/>
      <c r="O2159" s="458">
        <f>IF(TrialBalance!L368&gt;0,TrialBalance!L368,0)</f>
        <v>0</v>
      </c>
      <c r="R2159" s="490" t="str">
        <f t="shared" si="132"/>
        <v>DELETE</v>
      </c>
    </row>
    <row r="2160" spans="2:18" ht="36" customHeight="1" x14ac:dyDescent="0.5">
      <c r="B2160" s="501"/>
      <c r="C2160" s="631">
        <f>TrialBalance!C369</f>
        <v>0</v>
      </c>
      <c r="D2160" s="648"/>
      <c r="E2160" s="631"/>
      <c r="F2160" s="631"/>
      <c r="G2160" s="631"/>
      <c r="H2160" s="631"/>
      <c r="I2160" s="631"/>
      <c r="J2160" s="631"/>
      <c r="L2160" s="451"/>
      <c r="M2160" s="448"/>
      <c r="N2160" s="448"/>
      <c r="O2160" s="458">
        <f>IF(TrialBalance!L369&gt;0,TrialBalance!L369,0)</f>
        <v>0</v>
      </c>
      <c r="R2160" s="490" t="str">
        <f t="shared" si="132"/>
        <v>DELETE</v>
      </c>
    </row>
    <row r="2161" spans="2:21" ht="36" customHeight="1" x14ac:dyDescent="0.5">
      <c r="B2161" s="501"/>
      <c r="C2161" s="631">
        <f>TrialBalance!C370</f>
        <v>0</v>
      </c>
      <c r="D2161" s="648"/>
      <c r="E2161" s="631"/>
      <c r="F2161" s="631"/>
      <c r="G2161" s="631"/>
      <c r="H2161" s="631"/>
      <c r="I2161" s="631"/>
      <c r="J2161" s="631"/>
      <c r="L2161" s="451"/>
      <c r="M2161" s="448"/>
      <c r="N2161" s="448"/>
      <c r="O2161" s="458">
        <f>IF(TrialBalance!L370&gt;0,TrialBalance!L370,0)</f>
        <v>0</v>
      </c>
      <c r="R2161" s="490" t="str">
        <f t="shared" si="132"/>
        <v>DELETE</v>
      </c>
    </row>
    <row r="2162" spans="2:21" ht="36" customHeight="1" x14ac:dyDescent="0.5">
      <c r="B2162" s="501"/>
      <c r="C2162" s="631">
        <f>TrialBalance!C371</f>
        <v>0</v>
      </c>
      <c r="D2162" s="648"/>
      <c r="E2162" s="631"/>
      <c r="F2162" s="631"/>
      <c r="G2162" s="631"/>
      <c r="H2162" s="631"/>
      <c r="I2162" s="631"/>
      <c r="J2162" s="631"/>
      <c r="L2162" s="451"/>
      <c r="M2162" s="448"/>
      <c r="N2162" s="448"/>
      <c r="O2162" s="458">
        <f>IF(TrialBalance!L371&gt;0,TrialBalance!L371,0)</f>
        <v>0</v>
      </c>
      <c r="R2162" s="490" t="str">
        <f t="shared" si="132"/>
        <v>DELETE</v>
      </c>
    </row>
    <row r="2163" spans="2:21" ht="36" customHeight="1" x14ac:dyDescent="0.5">
      <c r="B2163" s="501"/>
      <c r="C2163" s="631">
        <f>TrialBalance!C372</f>
        <v>0</v>
      </c>
      <c r="D2163" s="648"/>
      <c r="E2163" s="631"/>
      <c r="F2163" s="631"/>
      <c r="G2163" s="631"/>
      <c r="H2163" s="631"/>
      <c r="I2163" s="631"/>
      <c r="J2163" s="631"/>
      <c r="L2163" s="451"/>
      <c r="M2163" s="448"/>
      <c r="N2163" s="448"/>
      <c r="O2163" s="458">
        <f>IF(TrialBalance!L372&gt;0,TrialBalance!L372,0)</f>
        <v>0</v>
      </c>
      <c r="R2163" s="490" t="str">
        <f t="shared" si="132"/>
        <v>DELETE</v>
      </c>
    </row>
    <row r="2164" spans="2:21" ht="36" customHeight="1" x14ac:dyDescent="0.5">
      <c r="B2164" s="501"/>
      <c r="C2164" s="631" t="s">
        <v>464</v>
      </c>
      <c r="D2164" s="648"/>
      <c r="E2164" s="631"/>
      <c r="F2164" s="631"/>
      <c r="G2164" s="631"/>
      <c r="H2164" s="631"/>
      <c r="I2164" s="631"/>
      <c r="J2164" s="631"/>
      <c r="L2164" s="451"/>
      <c r="M2164" s="448"/>
      <c r="N2164" s="448"/>
      <c r="O2164" s="458">
        <f>TrialBalance!L373</f>
        <v>0</v>
      </c>
      <c r="R2164" s="490" t="str">
        <f t="shared" si="132"/>
        <v>DELETE</v>
      </c>
    </row>
    <row r="2165" spans="2:21" ht="9" customHeight="1" x14ac:dyDescent="0.5">
      <c r="B2165" s="501"/>
      <c r="C2165" s="630"/>
      <c r="D2165" s="631"/>
      <c r="E2165" s="631"/>
      <c r="F2165" s="631"/>
      <c r="G2165" s="631"/>
      <c r="H2165" s="631"/>
      <c r="I2165" s="631"/>
      <c r="J2165" s="631"/>
      <c r="L2165" s="451"/>
      <c r="M2165" s="448"/>
      <c r="N2165" s="448"/>
      <c r="O2165" s="461"/>
      <c r="R2165" s="490" t="str">
        <f t="shared" ref="R2165:R2182" si="133">R$2167</f>
        <v>DELETE</v>
      </c>
    </row>
    <row r="2166" spans="2:21" ht="9" customHeight="1" x14ac:dyDescent="0.5">
      <c r="B2166" s="501"/>
      <c r="C2166" s="630"/>
      <c r="D2166" s="631"/>
      <c r="E2166" s="631"/>
      <c r="F2166" s="631"/>
      <c r="G2166" s="631"/>
      <c r="H2166" s="631"/>
      <c r="I2166" s="631"/>
      <c r="J2166" s="631"/>
      <c r="L2166" s="451"/>
      <c r="M2166" s="448"/>
      <c r="N2166" s="448"/>
      <c r="O2166" s="458"/>
      <c r="R2166" s="490" t="str">
        <f t="shared" si="133"/>
        <v>DELETE</v>
      </c>
    </row>
    <row r="2167" spans="2:21" ht="36.75" customHeight="1" x14ac:dyDescent="0.5">
      <c r="B2167" s="501"/>
      <c r="C2167" s="630"/>
      <c r="D2167" s="631"/>
      <c r="E2167" s="631"/>
      <c r="F2167" s="631"/>
      <c r="G2167" s="631"/>
      <c r="H2167" s="631"/>
      <c r="I2167" s="631"/>
      <c r="J2167" s="631"/>
      <c r="L2167" s="451"/>
      <c r="M2167" s="448"/>
      <c r="N2167" s="448"/>
      <c r="O2167" s="458">
        <f>SUM(O2158:O2166)</f>
        <v>0</v>
      </c>
      <c r="R2167" s="490" t="str">
        <f t="shared" ref="R2167" si="134">IF(O2167=0,"DELETE"," ")</f>
        <v>DELETE</v>
      </c>
      <c r="U2167" s="496"/>
    </row>
    <row r="2168" spans="2:21" ht="9" customHeight="1" thickBot="1" x14ac:dyDescent="0.55000000000000004">
      <c r="B2168" s="501"/>
      <c r="C2168" s="630"/>
      <c r="D2168" s="631"/>
      <c r="E2168" s="631"/>
      <c r="F2168" s="631"/>
      <c r="G2168" s="631"/>
      <c r="H2168" s="631"/>
      <c r="I2168" s="631"/>
      <c r="J2168" s="631"/>
      <c r="L2168" s="451"/>
      <c r="M2168" s="448"/>
      <c r="N2168" s="448"/>
      <c r="O2168" s="462"/>
      <c r="R2168" s="490" t="str">
        <f t="shared" si="133"/>
        <v>DELETE</v>
      </c>
    </row>
    <row r="2169" spans="2:21" ht="9" customHeight="1" thickTop="1" x14ac:dyDescent="0.5">
      <c r="B2169" s="501"/>
      <c r="C2169" s="630"/>
      <c r="D2169" s="631"/>
      <c r="E2169" s="631"/>
      <c r="F2169" s="631"/>
      <c r="G2169" s="631"/>
      <c r="H2169" s="631"/>
      <c r="I2169" s="631"/>
      <c r="J2169" s="631"/>
      <c r="L2169" s="451"/>
      <c r="M2169" s="448"/>
      <c r="N2169" s="448"/>
      <c r="O2169" s="475"/>
      <c r="R2169" s="490" t="str">
        <f t="shared" si="133"/>
        <v>DELETE</v>
      </c>
    </row>
    <row r="2170" spans="2:21" ht="36" customHeight="1" x14ac:dyDescent="0.5">
      <c r="B2170" s="501"/>
      <c r="C2170" s="630"/>
      <c r="D2170" s="631"/>
      <c r="E2170" s="631"/>
      <c r="F2170" s="631"/>
      <c r="G2170" s="631"/>
      <c r="H2170" s="631"/>
      <c r="I2170" s="631"/>
      <c r="J2170" s="631"/>
      <c r="L2170" s="451"/>
      <c r="M2170" s="448"/>
      <c r="N2170" s="448"/>
      <c r="O2170" s="458"/>
      <c r="R2170" s="490" t="str">
        <f t="shared" si="133"/>
        <v>DELETE</v>
      </c>
    </row>
    <row r="2171" spans="2:21" ht="36" customHeight="1" x14ac:dyDescent="0.5">
      <c r="B2171" s="501"/>
      <c r="C2171" s="630"/>
      <c r="D2171" s="631"/>
      <c r="E2171" s="631"/>
      <c r="F2171" s="631"/>
      <c r="G2171" s="631"/>
      <c r="H2171" s="631"/>
      <c r="I2171" s="631"/>
      <c r="J2171" s="631"/>
      <c r="M2171" s="458"/>
      <c r="N2171" s="458"/>
      <c r="O2171" s="458"/>
      <c r="R2171" s="490" t="str">
        <f t="shared" si="133"/>
        <v>DELETE</v>
      </c>
    </row>
    <row r="2172" spans="2:21" ht="36" customHeight="1" x14ac:dyDescent="0.5">
      <c r="B2172" s="501"/>
      <c r="C2172" s="630"/>
      <c r="D2172" s="631"/>
      <c r="E2172" s="631"/>
      <c r="F2172" s="631"/>
      <c r="G2172" s="631"/>
      <c r="H2172" s="631"/>
      <c r="I2172" s="631"/>
      <c r="J2172" s="631"/>
      <c r="M2172" s="475"/>
      <c r="N2172" s="475"/>
      <c r="O2172" s="475"/>
      <c r="P2172" s="545"/>
      <c r="R2172" s="490" t="str">
        <f t="shared" si="133"/>
        <v>DELETE</v>
      </c>
    </row>
    <row r="2173" spans="2:21" ht="36" customHeight="1" x14ac:dyDescent="0.5">
      <c r="B2173" s="501"/>
      <c r="C2173" s="630"/>
      <c r="D2173" s="631"/>
      <c r="E2173" s="631"/>
      <c r="F2173" s="631"/>
      <c r="G2173" s="631"/>
      <c r="H2173" s="631"/>
      <c r="I2173" s="631"/>
      <c r="J2173" s="631"/>
      <c r="M2173" s="458"/>
      <c r="N2173" s="458"/>
      <c r="O2173" s="458"/>
      <c r="R2173" s="490" t="str">
        <f t="shared" si="133"/>
        <v>DELETE</v>
      </c>
    </row>
    <row r="2174" spans="2:21" ht="36" customHeight="1" x14ac:dyDescent="0.5">
      <c r="B2174" s="501"/>
      <c r="C2174" s="630"/>
      <c r="D2174" s="631"/>
      <c r="E2174" s="631"/>
      <c r="F2174" s="631"/>
      <c r="G2174" s="631"/>
      <c r="H2174" s="631"/>
      <c r="I2174" s="631"/>
      <c r="J2174" s="631"/>
      <c r="M2174" s="458"/>
      <c r="N2174" s="458"/>
      <c r="O2174" s="458" t="s">
        <v>112</v>
      </c>
      <c r="Q2174" s="450">
        <f>MAX($Q$103:Q2173)+1</f>
        <v>56</v>
      </c>
      <c r="R2174" s="490" t="str">
        <f t="shared" si="133"/>
        <v>DELETE</v>
      </c>
    </row>
    <row r="2175" spans="2:21" ht="36" customHeight="1" x14ac:dyDescent="0.5">
      <c r="B2175" s="501"/>
      <c r="C2175" s="630"/>
      <c r="D2175" s="630" t="str">
        <f>Criteria!E9</f>
        <v>ABC COMPANY (PROPRIETARY) LIMITED</v>
      </c>
      <c r="E2175" s="631"/>
      <c r="F2175" s="631"/>
      <c r="G2175" s="631"/>
      <c r="H2175" s="631"/>
      <c r="I2175" s="631"/>
      <c r="J2175" s="631"/>
      <c r="M2175" s="541"/>
      <c r="N2175" s="541"/>
      <c r="O2175" s="540"/>
      <c r="R2175" s="490" t="str">
        <f t="shared" si="133"/>
        <v>DELETE</v>
      </c>
    </row>
    <row r="2176" spans="2:21" ht="36" customHeight="1" x14ac:dyDescent="0.5">
      <c r="B2176" s="501"/>
      <c r="C2176" s="630"/>
      <c r="D2176" s="630" t="str">
        <f>Criteria!E10</f>
        <v>T/A SEAFRONT HOTEL, ABC RESTAURANT AND RENTAL PROPERTIES</v>
      </c>
      <c r="E2176" s="631"/>
      <c r="F2176" s="631"/>
      <c r="G2176" s="631"/>
      <c r="H2176" s="631"/>
      <c r="I2176" s="631"/>
      <c r="J2176" s="631"/>
      <c r="M2176" s="541"/>
      <c r="N2176" s="541"/>
      <c r="O2176" s="541"/>
      <c r="R2176" s="490" t="str">
        <f>IF(R$2167="DELETE","DELETE",IF(D2176=0,"DELETE"," "))</f>
        <v>DELETE</v>
      </c>
    </row>
    <row r="2177" spans="2:18" ht="36" customHeight="1" x14ac:dyDescent="0.5">
      <c r="B2177" s="501"/>
      <c r="C2177" s="630"/>
      <c r="D2177" s="631"/>
      <c r="E2177" s="631"/>
      <c r="F2177" s="631"/>
      <c r="G2177" s="631"/>
      <c r="H2177" s="631"/>
      <c r="I2177" s="631"/>
      <c r="J2177" s="631"/>
      <c r="M2177" s="541"/>
      <c r="N2177" s="541"/>
      <c r="O2177" s="541"/>
      <c r="R2177" s="490" t="str">
        <f t="shared" si="133"/>
        <v>DELETE</v>
      </c>
    </row>
    <row r="2178" spans="2:18" ht="36" customHeight="1" x14ac:dyDescent="0.5">
      <c r="B2178" s="501"/>
      <c r="C2178" s="630"/>
      <c r="D2178" s="630" t="s">
        <v>415</v>
      </c>
      <c r="E2178" s="631"/>
      <c r="F2178" s="631"/>
      <c r="G2178" s="631"/>
      <c r="H2178" s="631"/>
      <c r="I2178" s="631"/>
      <c r="J2178" s="631"/>
      <c r="M2178" s="541"/>
      <c r="N2178" s="541"/>
      <c r="O2178" s="541"/>
      <c r="R2178" s="490" t="str">
        <f t="shared" si="133"/>
        <v>DELETE</v>
      </c>
    </row>
    <row r="2179" spans="2:18" ht="36" customHeight="1" x14ac:dyDescent="0.5">
      <c r="B2179" s="501"/>
      <c r="C2179" s="630"/>
      <c r="D2179" s="630" t="str">
        <f>Criteria!E20</f>
        <v>28 FEBRUARY 2026</v>
      </c>
      <c r="E2179" s="631"/>
      <c r="F2179" s="631"/>
      <c r="G2179" s="631"/>
      <c r="H2179" s="631"/>
      <c r="I2179" s="631"/>
      <c r="J2179" s="631" t="s">
        <v>282</v>
      </c>
      <c r="M2179" s="541"/>
      <c r="N2179" s="541"/>
      <c r="O2179" s="541"/>
      <c r="R2179" s="490" t="str">
        <f t="shared" si="133"/>
        <v>DELETE</v>
      </c>
    </row>
    <row r="2180" spans="2:18" ht="36" customHeight="1" x14ac:dyDescent="0.5">
      <c r="B2180" s="501"/>
      <c r="C2180" s="630"/>
      <c r="D2180" s="631"/>
      <c r="E2180" s="631"/>
      <c r="F2180" s="631"/>
      <c r="G2180" s="631"/>
      <c r="H2180" s="631"/>
      <c r="I2180" s="631"/>
      <c r="J2180" s="631"/>
      <c r="M2180" s="458"/>
      <c r="N2180" s="458"/>
      <c r="O2180" s="458"/>
      <c r="R2180" s="490" t="str">
        <f t="shared" si="133"/>
        <v>DELETE</v>
      </c>
    </row>
    <row r="2181" spans="2:18" ht="36" customHeight="1" x14ac:dyDescent="0.5">
      <c r="B2181" s="640"/>
      <c r="C2181" s="652"/>
      <c r="D2181" s="649"/>
      <c r="E2181" s="649"/>
      <c r="F2181" s="649"/>
      <c r="G2181" s="649"/>
      <c r="H2181" s="649"/>
      <c r="I2181" s="649"/>
      <c r="J2181" s="649"/>
      <c r="K2181" s="457"/>
      <c r="L2181" s="457"/>
      <c r="M2181" s="459"/>
      <c r="N2181" s="459"/>
      <c r="O2181" s="459"/>
      <c r="P2181" s="551"/>
      <c r="Q2181" s="457"/>
      <c r="R2181" s="490" t="str">
        <f t="shared" si="133"/>
        <v>DELETE</v>
      </c>
    </row>
    <row r="2182" spans="2:18" ht="36" customHeight="1" x14ac:dyDescent="0.5">
      <c r="B2182" s="501"/>
      <c r="C2182" s="630"/>
      <c r="D2182" s="631"/>
      <c r="E2182" s="631"/>
      <c r="F2182" s="631"/>
      <c r="G2182" s="631"/>
      <c r="H2182" s="631"/>
      <c r="I2182" s="631"/>
      <c r="J2182" s="631"/>
      <c r="M2182" s="475"/>
      <c r="N2182" s="475"/>
      <c r="O2182" s="453">
        <f>Criteria!E22</f>
        <v>2026</v>
      </c>
      <c r="P2182" s="545"/>
      <c r="R2182" s="490" t="str">
        <f t="shared" si="133"/>
        <v>DELETE</v>
      </c>
    </row>
    <row r="2183" spans="2:18" ht="36" customHeight="1" x14ac:dyDescent="0.5">
      <c r="B2183" s="501"/>
      <c r="C2183" s="630"/>
      <c r="D2183" s="631"/>
      <c r="E2183" s="631"/>
      <c r="F2183" s="631"/>
      <c r="G2183" s="631"/>
      <c r="H2183" s="631"/>
      <c r="I2183" s="631"/>
      <c r="J2183" s="631"/>
      <c r="M2183" s="475"/>
      <c r="N2183" s="475"/>
      <c r="O2183" s="475"/>
      <c r="P2183" s="545"/>
      <c r="R2183" s="490" t="str">
        <f>R2196</f>
        <v>DELETE</v>
      </c>
    </row>
    <row r="2184" spans="2:18" ht="36" customHeight="1" x14ac:dyDescent="0.5">
      <c r="B2184" s="501"/>
      <c r="C2184" s="631" t="str">
        <f>IF(SUM(TrialBalance!L367:L373)=0,"There were no Cash and cash equivalents balances at year end.","For the purpose of the Statement of Cash Flows, Cash and cash equivalents include the")</f>
        <v>There were no Cash and cash equivalents balances at year end.</v>
      </c>
      <c r="D2184" s="631"/>
      <c r="E2184" s="631"/>
      <c r="F2184" s="631"/>
      <c r="G2184" s="631"/>
      <c r="H2184" s="631"/>
      <c r="I2184" s="631"/>
      <c r="J2184" s="631"/>
      <c r="M2184" s="475"/>
      <c r="N2184" s="475"/>
      <c r="O2184" s="475"/>
      <c r="P2184" s="545"/>
    </row>
    <row r="2185" spans="2:18" ht="36" customHeight="1" x14ac:dyDescent="0.5">
      <c r="B2185" s="501"/>
      <c r="C2185" s="631" t="str">
        <f>IF(SUM(TrialBalance!L367:L373)=0," ","following:")</f>
        <v xml:space="preserve"> </v>
      </c>
      <c r="D2185" s="631"/>
      <c r="E2185" s="631"/>
      <c r="F2185" s="631"/>
      <c r="G2185" s="631"/>
      <c r="H2185" s="631"/>
      <c r="I2185" s="631"/>
      <c r="J2185" s="631"/>
      <c r="M2185" s="475"/>
      <c r="N2185" s="475"/>
      <c r="O2185" s="475"/>
      <c r="P2185" s="545"/>
      <c r="R2185" s="490" t="str">
        <f>IF(C2185=" ","DELETE",IF(C2185=0,"DELETE"," "))</f>
        <v>DELETE</v>
      </c>
    </row>
    <row r="2186" spans="2:18" ht="36" customHeight="1" x14ac:dyDescent="0.5">
      <c r="B2186" s="501"/>
      <c r="C2186" s="630"/>
      <c r="D2186" s="631"/>
      <c r="E2186" s="631"/>
      <c r="F2186" s="631"/>
      <c r="G2186" s="631"/>
      <c r="H2186" s="631"/>
      <c r="I2186" s="631"/>
      <c r="J2186" s="631"/>
      <c r="M2186" s="475"/>
      <c r="N2186" s="475"/>
      <c r="O2186" s="475"/>
      <c r="P2186" s="545"/>
    </row>
    <row r="2187" spans="2:18" ht="36" customHeight="1" x14ac:dyDescent="0.5">
      <c r="B2187" s="501"/>
      <c r="C2187" s="631">
        <f>TrialBalance!C367</f>
        <v>0</v>
      </c>
      <c r="D2187" s="648"/>
      <c r="E2187" s="631"/>
      <c r="F2187" s="631"/>
      <c r="G2187" s="631"/>
      <c r="H2187" s="631"/>
      <c r="I2187" s="631"/>
      <c r="J2187" s="631"/>
      <c r="M2187" s="475"/>
      <c r="N2187" s="475"/>
      <c r="O2187" s="475">
        <f>TrialBalance!L367</f>
        <v>0</v>
      </c>
      <c r="P2187" s="545"/>
      <c r="R2187" s="490" t="str">
        <f t="shared" ref="R2187:R2193" si="135">IF(O2187=0,"DELETE"," ")</f>
        <v>DELETE</v>
      </c>
    </row>
    <row r="2188" spans="2:18" ht="36" customHeight="1" x14ac:dyDescent="0.5">
      <c r="B2188" s="501"/>
      <c r="C2188" s="631">
        <f>TrialBalance!C368</f>
        <v>0</v>
      </c>
      <c r="D2188" s="648"/>
      <c r="E2188" s="631"/>
      <c r="F2188" s="631"/>
      <c r="G2188" s="631"/>
      <c r="H2188" s="631"/>
      <c r="I2188" s="631"/>
      <c r="J2188" s="631"/>
      <c r="M2188" s="475"/>
      <c r="N2188" s="475"/>
      <c r="O2188" s="475">
        <f>TrialBalance!L368</f>
        <v>0</v>
      </c>
      <c r="P2188" s="545"/>
      <c r="R2188" s="490" t="str">
        <f t="shared" si="135"/>
        <v>DELETE</v>
      </c>
    </row>
    <row r="2189" spans="2:18" ht="36" customHeight="1" x14ac:dyDescent="0.5">
      <c r="B2189" s="501"/>
      <c r="C2189" s="631">
        <f>TrialBalance!C369</f>
        <v>0</v>
      </c>
      <c r="D2189" s="648"/>
      <c r="E2189" s="631"/>
      <c r="F2189" s="631"/>
      <c r="G2189" s="631"/>
      <c r="H2189" s="631"/>
      <c r="I2189" s="631"/>
      <c r="J2189" s="631"/>
      <c r="M2189" s="475"/>
      <c r="N2189" s="475"/>
      <c r="O2189" s="475">
        <f>TrialBalance!L369</f>
        <v>0</v>
      </c>
      <c r="P2189" s="545"/>
      <c r="R2189" s="490" t="str">
        <f t="shared" si="135"/>
        <v>DELETE</v>
      </c>
    </row>
    <row r="2190" spans="2:18" ht="36" customHeight="1" x14ac:dyDescent="0.5">
      <c r="B2190" s="501"/>
      <c r="C2190" s="631">
        <f>TrialBalance!C370</f>
        <v>0</v>
      </c>
      <c r="D2190" s="648"/>
      <c r="E2190" s="631"/>
      <c r="F2190" s="631"/>
      <c r="G2190" s="631"/>
      <c r="H2190" s="631"/>
      <c r="I2190" s="631"/>
      <c r="J2190" s="631"/>
      <c r="M2190" s="475"/>
      <c r="N2190" s="475"/>
      <c r="O2190" s="475">
        <f>TrialBalance!L370</f>
        <v>0</v>
      </c>
      <c r="P2190" s="545"/>
      <c r="R2190" s="490" t="str">
        <f t="shared" si="135"/>
        <v>DELETE</v>
      </c>
    </row>
    <row r="2191" spans="2:18" ht="36" customHeight="1" x14ac:dyDescent="0.5">
      <c r="B2191" s="501"/>
      <c r="C2191" s="631">
        <f>TrialBalance!C371</f>
        <v>0</v>
      </c>
      <c r="D2191" s="648"/>
      <c r="E2191" s="631"/>
      <c r="F2191" s="631"/>
      <c r="G2191" s="631"/>
      <c r="H2191" s="631"/>
      <c r="I2191" s="631"/>
      <c r="J2191" s="631"/>
      <c r="M2191" s="475"/>
      <c r="N2191" s="475"/>
      <c r="O2191" s="475">
        <f>TrialBalance!L371</f>
        <v>0</v>
      </c>
      <c r="P2191" s="545"/>
      <c r="R2191" s="490" t="str">
        <f t="shared" si="135"/>
        <v>DELETE</v>
      </c>
    </row>
    <row r="2192" spans="2:18" ht="36" customHeight="1" x14ac:dyDescent="0.5">
      <c r="B2192" s="501"/>
      <c r="C2192" s="631">
        <f>TrialBalance!C372</f>
        <v>0</v>
      </c>
      <c r="D2192" s="648"/>
      <c r="E2192" s="631"/>
      <c r="F2192" s="631"/>
      <c r="G2192" s="631"/>
      <c r="H2192" s="631"/>
      <c r="I2192" s="631"/>
      <c r="J2192" s="631"/>
      <c r="M2192" s="475"/>
      <c r="N2192" s="475"/>
      <c r="O2192" s="475">
        <f>TrialBalance!L372</f>
        <v>0</v>
      </c>
      <c r="P2192" s="545"/>
      <c r="R2192" s="490" t="str">
        <f t="shared" si="135"/>
        <v>DELETE</v>
      </c>
    </row>
    <row r="2193" spans="2:21" ht="36" customHeight="1" x14ac:dyDescent="0.5">
      <c r="B2193" s="501"/>
      <c r="C2193" s="631" t="str">
        <f>TrialBalance!C373</f>
        <v>Cash on hand</v>
      </c>
      <c r="D2193" s="648"/>
      <c r="E2193" s="631"/>
      <c r="F2193" s="631"/>
      <c r="G2193" s="631"/>
      <c r="H2193" s="631"/>
      <c r="I2193" s="631"/>
      <c r="J2193" s="631"/>
      <c r="M2193" s="475"/>
      <c r="N2193" s="475"/>
      <c r="O2193" s="475">
        <f>TrialBalance!L373</f>
        <v>0</v>
      </c>
      <c r="P2193" s="545"/>
      <c r="R2193" s="490" t="str">
        <f t="shared" si="135"/>
        <v>DELETE</v>
      </c>
    </row>
    <row r="2194" spans="2:21" ht="9" customHeight="1" x14ac:dyDescent="0.5">
      <c r="B2194" s="501"/>
      <c r="C2194" s="630"/>
      <c r="D2194" s="631"/>
      <c r="E2194" s="631"/>
      <c r="F2194" s="631"/>
      <c r="G2194" s="631"/>
      <c r="H2194" s="631"/>
      <c r="I2194" s="631"/>
      <c r="J2194" s="631"/>
      <c r="M2194" s="475"/>
      <c r="N2194" s="475"/>
      <c r="O2194" s="461"/>
      <c r="P2194" s="545"/>
      <c r="R2194" s="490" t="str">
        <f>R$2196</f>
        <v>DELETE</v>
      </c>
    </row>
    <row r="2195" spans="2:21" ht="9" customHeight="1" x14ac:dyDescent="0.5">
      <c r="B2195" s="501"/>
      <c r="C2195" s="630"/>
      <c r="D2195" s="631"/>
      <c r="E2195" s="631"/>
      <c r="F2195" s="631"/>
      <c r="G2195" s="631"/>
      <c r="H2195" s="631"/>
      <c r="I2195" s="631"/>
      <c r="J2195" s="631"/>
      <c r="M2195" s="475"/>
      <c r="N2195" s="475"/>
      <c r="O2195" s="475"/>
      <c r="P2195" s="545"/>
      <c r="R2195" s="490" t="str">
        <f>R$2196</f>
        <v>DELETE</v>
      </c>
    </row>
    <row r="2196" spans="2:21" ht="36.75" customHeight="1" x14ac:dyDescent="0.5">
      <c r="B2196" s="501"/>
      <c r="C2196" s="630"/>
      <c r="D2196" s="631"/>
      <c r="E2196" s="631"/>
      <c r="F2196" s="631"/>
      <c r="G2196" s="631"/>
      <c r="H2196" s="631"/>
      <c r="I2196" s="631"/>
      <c r="J2196" s="631"/>
      <c r="M2196" s="475"/>
      <c r="N2196" s="475"/>
      <c r="O2196" s="475">
        <f>SUM(O2187:O2194)</f>
        <v>0</v>
      </c>
      <c r="P2196" s="545"/>
      <c r="R2196" s="490" t="str">
        <f t="shared" ref="R2196" si="136">IF(O2196=0,"DELETE"," ")</f>
        <v>DELETE</v>
      </c>
      <c r="U2196" s="491" t="b">
        <f>O2196=O860</f>
        <v>1</v>
      </c>
    </row>
    <row r="2197" spans="2:21" ht="9" customHeight="1" thickBot="1" x14ac:dyDescent="0.55000000000000004">
      <c r="B2197" s="501"/>
      <c r="C2197" s="630"/>
      <c r="D2197" s="631"/>
      <c r="E2197" s="631"/>
      <c r="F2197" s="631"/>
      <c r="G2197" s="631"/>
      <c r="H2197" s="631"/>
      <c r="I2197" s="631"/>
      <c r="J2197" s="631"/>
      <c r="M2197" s="475"/>
      <c r="N2197" s="475"/>
      <c r="O2197" s="462"/>
      <c r="P2197" s="545"/>
      <c r="R2197" s="490" t="str">
        <f t="shared" ref="R2197:R2198" si="137">R$2196</f>
        <v>DELETE</v>
      </c>
    </row>
    <row r="2198" spans="2:21" ht="9" customHeight="1" thickTop="1" x14ac:dyDescent="0.5">
      <c r="B2198" s="501"/>
      <c r="C2198" s="630"/>
      <c r="D2198" s="631"/>
      <c r="E2198" s="631"/>
      <c r="F2198" s="631"/>
      <c r="G2198" s="631"/>
      <c r="H2198" s="631"/>
      <c r="I2198" s="631"/>
      <c r="J2198" s="631"/>
      <c r="M2198" s="475"/>
      <c r="N2198" s="475"/>
      <c r="O2198" s="475"/>
      <c r="P2198" s="545"/>
      <c r="R2198" s="490" t="str">
        <f t="shared" si="137"/>
        <v>DELETE</v>
      </c>
    </row>
    <row r="2199" spans="2:21" ht="36" customHeight="1" x14ac:dyDescent="0.5">
      <c r="B2199" s="501"/>
      <c r="C2199" s="630"/>
      <c r="D2199" s="631"/>
      <c r="E2199" s="631"/>
      <c r="F2199" s="631"/>
      <c r="G2199" s="631"/>
      <c r="H2199" s="631"/>
      <c r="I2199" s="631"/>
      <c r="J2199" s="631"/>
      <c r="M2199" s="475"/>
      <c r="N2199" s="475"/>
      <c r="O2199" s="475"/>
      <c r="P2199" s="545"/>
    </row>
    <row r="2200" spans="2:21" ht="36" customHeight="1" x14ac:dyDescent="0.5">
      <c r="B2200" s="501"/>
      <c r="C2200" s="630"/>
      <c r="D2200" s="631"/>
      <c r="E2200" s="631"/>
      <c r="F2200" s="631"/>
      <c r="G2200" s="631"/>
      <c r="H2200" s="631"/>
      <c r="I2200" s="631"/>
      <c r="J2200" s="631"/>
      <c r="M2200" s="475"/>
      <c r="N2200" s="475"/>
      <c r="O2200" s="475"/>
      <c r="P2200" s="545"/>
    </row>
    <row r="2201" spans="2:21" ht="36" customHeight="1" x14ac:dyDescent="0.5">
      <c r="B2201" s="501"/>
      <c r="C2201" s="630"/>
      <c r="D2201" s="631"/>
      <c r="E2201" s="631"/>
      <c r="F2201" s="631"/>
      <c r="G2201" s="631"/>
      <c r="H2201" s="631"/>
      <c r="I2201" s="631"/>
      <c r="J2201" s="631"/>
      <c r="M2201" s="475"/>
      <c r="N2201" s="475"/>
      <c r="O2201" s="475"/>
      <c r="P2201" s="545"/>
    </row>
    <row r="2202" spans="2:21" ht="36" customHeight="1" x14ac:dyDescent="0.5">
      <c r="B2202" s="501"/>
      <c r="C2202" s="630"/>
      <c r="D2202" s="631"/>
      <c r="E2202" s="631"/>
      <c r="F2202" s="631"/>
      <c r="G2202" s="631"/>
      <c r="H2202" s="631"/>
      <c r="I2202" s="631"/>
      <c r="J2202" s="631"/>
      <c r="M2202" s="458"/>
      <c r="N2202" s="458"/>
      <c r="O2202" s="458"/>
    </row>
    <row r="2203" spans="2:21" ht="36" customHeight="1" x14ac:dyDescent="0.5">
      <c r="B2203" s="501"/>
      <c r="C2203" s="630"/>
      <c r="D2203" s="631"/>
      <c r="E2203" s="631"/>
      <c r="F2203" s="631"/>
      <c r="G2203" s="631"/>
      <c r="H2203" s="631"/>
      <c r="I2203" s="631"/>
      <c r="J2203" s="631"/>
      <c r="M2203" s="458"/>
      <c r="N2203" s="458"/>
      <c r="O2203" s="458" t="s">
        <v>112</v>
      </c>
      <c r="Q2203" s="450">
        <f>MAX($Q$103:Q2202)+1</f>
        <v>57</v>
      </c>
    </row>
    <row r="2204" spans="2:21" ht="36" customHeight="1" x14ac:dyDescent="0.5">
      <c r="B2204" s="502"/>
      <c r="C2204" s="631"/>
      <c r="D2204" s="630" t="str">
        <f>Criteria!E9</f>
        <v>ABC COMPANY (PROPRIETARY) LIMITED</v>
      </c>
      <c r="E2204" s="631"/>
      <c r="F2204" s="631"/>
      <c r="G2204" s="631"/>
      <c r="H2204" s="631"/>
      <c r="I2204" s="631"/>
      <c r="J2204" s="631"/>
      <c r="M2204" s="541"/>
      <c r="N2204" s="541"/>
      <c r="O2204" s="540"/>
    </row>
    <row r="2205" spans="2:21" ht="36" customHeight="1" x14ac:dyDescent="0.5">
      <c r="B2205" s="502"/>
      <c r="C2205" s="631"/>
      <c r="D2205" s="630" t="str">
        <f>Criteria!E10</f>
        <v>T/A SEAFRONT HOTEL, ABC RESTAURANT AND RENTAL PROPERTIES</v>
      </c>
      <c r="E2205" s="631"/>
      <c r="F2205" s="631"/>
      <c r="G2205" s="631"/>
      <c r="H2205" s="631"/>
      <c r="I2205" s="631"/>
      <c r="J2205" s="631"/>
      <c r="M2205" s="541"/>
      <c r="N2205" s="541"/>
      <c r="O2205" s="541"/>
      <c r="R2205" s="490" t="str">
        <f>IF(D2205=0,"DELETE"," ")</f>
        <v xml:space="preserve"> </v>
      </c>
    </row>
    <row r="2206" spans="2:21" ht="36" customHeight="1" x14ac:dyDescent="0.5">
      <c r="B2206" s="502"/>
      <c r="C2206" s="631"/>
      <c r="D2206" s="631"/>
      <c r="E2206" s="631"/>
      <c r="F2206" s="631"/>
      <c r="G2206" s="631"/>
      <c r="H2206" s="631"/>
      <c r="I2206" s="631"/>
      <c r="J2206" s="631"/>
      <c r="M2206" s="541"/>
      <c r="N2206" s="541"/>
      <c r="O2206" s="541"/>
    </row>
    <row r="2207" spans="2:21" ht="36" customHeight="1" x14ac:dyDescent="0.5">
      <c r="B2207" s="502"/>
      <c r="C2207" s="631"/>
      <c r="D2207" s="630" t="s">
        <v>415</v>
      </c>
      <c r="E2207" s="631"/>
      <c r="F2207" s="631"/>
      <c r="G2207" s="631"/>
      <c r="H2207" s="631"/>
      <c r="I2207" s="631"/>
      <c r="J2207" s="631"/>
      <c r="M2207" s="541"/>
      <c r="N2207" s="541"/>
      <c r="O2207" s="541"/>
    </row>
    <row r="2208" spans="2:21" ht="36" customHeight="1" x14ac:dyDescent="0.5">
      <c r="B2208" s="502"/>
      <c r="C2208" s="631"/>
      <c r="D2208" s="630" t="str">
        <f>Criteria!E20</f>
        <v>28 FEBRUARY 2026</v>
      </c>
      <c r="E2208" s="631"/>
      <c r="F2208" s="631"/>
      <c r="G2208" s="631"/>
      <c r="H2208" s="631"/>
      <c r="I2208" s="631"/>
      <c r="J2208" s="631" t="s">
        <v>282</v>
      </c>
      <c r="M2208" s="541"/>
      <c r="N2208" s="541"/>
      <c r="O2208" s="541"/>
    </row>
    <row r="2209" spans="2:17" ht="36" customHeight="1" x14ac:dyDescent="0.5">
      <c r="B2209" s="502"/>
      <c r="C2209" s="631"/>
      <c r="D2209" s="630"/>
      <c r="E2209" s="631"/>
      <c r="F2209" s="631"/>
      <c r="G2209" s="631"/>
      <c r="H2209" s="631"/>
      <c r="I2209" s="631"/>
      <c r="J2209" s="631"/>
      <c r="M2209" s="541"/>
      <c r="N2209" s="541"/>
      <c r="O2209" s="541"/>
    </row>
    <row r="2210" spans="2:17" ht="36" customHeight="1" x14ac:dyDescent="0.5">
      <c r="B2210" s="640"/>
      <c r="C2210" s="652"/>
      <c r="D2210" s="649"/>
      <c r="E2210" s="649"/>
      <c r="F2210" s="649"/>
      <c r="G2210" s="649"/>
      <c r="H2210" s="649"/>
      <c r="I2210" s="649"/>
      <c r="J2210" s="649"/>
      <c r="K2210" s="457"/>
      <c r="L2210" s="457"/>
      <c r="M2210" s="459"/>
      <c r="N2210" s="459"/>
      <c r="O2210" s="459"/>
      <c r="P2210" s="551"/>
      <c r="Q2210" s="457"/>
    </row>
    <row r="2211" spans="2:17" ht="36" customHeight="1" x14ac:dyDescent="0.5">
      <c r="B2211" s="501"/>
      <c r="C2211" s="630"/>
      <c r="D2211" s="631"/>
      <c r="E2211" s="631"/>
      <c r="F2211" s="631"/>
      <c r="G2211" s="631"/>
      <c r="H2211" s="631"/>
      <c r="I2211" s="631"/>
      <c r="J2211" s="631"/>
      <c r="L2211" s="451"/>
      <c r="M2211" s="448"/>
      <c r="N2211" s="448"/>
      <c r="O2211" s="453">
        <f>Criteria!E22</f>
        <v>2026</v>
      </c>
    </row>
    <row r="2212" spans="2:17" ht="36" customHeight="1" x14ac:dyDescent="0.5">
      <c r="B2212" s="501"/>
      <c r="C2212" s="630"/>
      <c r="D2212" s="631"/>
      <c r="E2212" s="631"/>
      <c r="F2212" s="631"/>
      <c r="G2212" s="631"/>
      <c r="H2212" s="631"/>
      <c r="I2212" s="631"/>
      <c r="J2212" s="631"/>
      <c r="L2212" s="451"/>
      <c r="M2212" s="448"/>
      <c r="N2212" s="448"/>
      <c r="O2212" s="458"/>
    </row>
    <row r="2213" spans="2:17" ht="36" customHeight="1" x14ac:dyDescent="0.5">
      <c r="B2213" s="501">
        <f>MAX($B$873:B2212)+1</f>
        <v>20</v>
      </c>
      <c r="C2213" s="630" t="s">
        <v>593</v>
      </c>
      <c r="D2213" s="631"/>
      <c r="E2213" s="631"/>
      <c r="F2213" s="631"/>
      <c r="G2213" s="631"/>
      <c r="H2213" s="631"/>
      <c r="I2213" s="631"/>
      <c r="J2213" s="631"/>
      <c r="L2213" s="451"/>
      <c r="M2213" s="448"/>
      <c r="N2213" s="448"/>
      <c r="O2213" s="458"/>
    </row>
    <row r="2214" spans="2:17" ht="36" customHeight="1" x14ac:dyDescent="0.5">
      <c r="B2214" s="501"/>
      <c r="C2214" s="630"/>
      <c r="D2214" s="631"/>
      <c r="E2214" s="631"/>
      <c r="F2214" s="631"/>
      <c r="G2214" s="631"/>
      <c r="H2214" s="631"/>
      <c r="I2214" s="631"/>
      <c r="J2214" s="631"/>
      <c r="L2214" s="451"/>
      <c r="M2214" s="448"/>
      <c r="N2214" s="448"/>
      <c r="O2214" s="458"/>
    </row>
    <row r="2215" spans="2:17" ht="36" customHeight="1" x14ac:dyDescent="0.5">
      <c r="B2215" s="501"/>
      <c r="C2215" s="631" t="s">
        <v>1254</v>
      </c>
      <c r="D2215" s="648"/>
      <c r="E2215" s="631"/>
      <c r="F2215" s="631"/>
      <c r="G2215" s="631"/>
      <c r="H2215" s="631"/>
      <c r="I2215" s="631"/>
      <c r="J2215" s="631"/>
      <c r="K2215" s="450"/>
      <c r="L2215" s="451"/>
      <c r="M2215" s="448"/>
      <c r="N2215" s="448"/>
      <c r="O2215" s="450"/>
    </row>
    <row r="2216" spans="2:17" ht="36" customHeight="1" x14ac:dyDescent="0.5">
      <c r="B2216" s="501"/>
      <c r="C2216" s="631" t="str">
        <f>Criteria!G114</f>
        <v>1000 Ordinary shares of R1 each</v>
      </c>
      <c r="D2216" s="648"/>
      <c r="E2216" s="631"/>
      <c r="F2216" s="631"/>
      <c r="G2216" s="631"/>
      <c r="H2216" s="657"/>
      <c r="I2216" s="631"/>
      <c r="J2216" s="657"/>
      <c r="K2216" s="483"/>
      <c r="L2216" s="451"/>
      <c r="M2216" s="448"/>
      <c r="N2216" s="448"/>
      <c r="O2216" s="463">
        <f>Criteria!E114*Criteria!E115</f>
        <v>1000</v>
      </c>
    </row>
    <row r="2217" spans="2:17" ht="9" customHeight="1" thickBot="1" x14ac:dyDescent="0.55000000000000004">
      <c r="B2217" s="501"/>
      <c r="C2217" s="631"/>
      <c r="D2217" s="648"/>
      <c r="E2217" s="631"/>
      <c r="F2217" s="631"/>
      <c r="G2217" s="631"/>
      <c r="H2217" s="658"/>
      <c r="I2217" s="631"/>
      <c r="J2217" s="658"/>
      <c r="K2217" s="456"/>
      <c r="L2217" s="451"/>
      <c r="M2217" s="448"/>
      <c r="N2217" s="448"/>
      <c r="O2217" s="473"/>
    </row>
    <row r="2218" spans="2:17" ht="36" customHeight="1" thickTop="1" x14ac:dyDescent="0.5">
      <c r="B2218" s="501"/>
      <c r="C2218" s="631"/>
      <c r="D2218" s="648"/>
      <c r="E2218" s="631"/>
      <c r="F2218" s="631"/>
      <c r="G2218" s="631"/>
      <c r="H2218" s="631"/>
      <c r="I2218" s="631"/>
      <c r="J2218" s="631"/>
      <c r="L2218" s="451"/>
      <c r="M2218" s="448"/>
      <c r="N2218" s="448"/>
      <c r="O2218" s="458"/>
    </row>
    <row r="2219" spans="2:17" ht="36" customHeight="1" x14ac:dyDescent="0.5">
      <c r="B2219" s="501"/>
      <c r="C2219" s="631" t="s">
        <v>925</v>
      </c>
      <c r="D2219" s="648"/>
      <c r="E2219" s="631"/>
      <c r="F2219" s="631"/>
      <c r="G2219" s="631"/>
      <c r="H2219" s="631"/>
      <c r="I2219" s="631"/>
      <c r="J2219" s="631"/>
      <c r="L2219" s="451"/>
      <c r="M2219" s="448"/>
      <c r="N2219" s="448"/>
      <c r="O2219" s="451"/>
    </row>
    <row r="2220" spans="2:17" ht="36" customHeight="1" x14ac:dyDescent="0.5">
      <c r="B2220" s="501"/>
      <c r="C2220" s="631" t="str">
        <f>Criteria!G117</f>
        <v>100 Ordinary shares of R1 each</v>
      </c>
      <c r="D2220" s="648"/>
      <c r="E2220" s="631"/>
      <c r="F2220" s="631"/>
      <c r="G2220" s="631"/>
      <c r="H2220" s="659"/>
      <c r="I2220" s="631"/>
      <c r="J2220" s="658"/>
      <c r="K2220" s="456"/>
      <c r="L2220" s="451"/>
      <c r="M2220" s="448"/>
      <c r="N2220" s="456"/>
      <c r="O2220" s="456">
        <f>-TrialBalance!L170-TrialBalance!L171</f>
        <v>0</v>
      </c>
      <c r="P2220" s="541"/>
    </row>
    <row r="2221" spans="2:17" ht="9" customHeight="1" thickBot="1" x14ac:dyDescent="0.55000000000000004">
      <c r="B2221" s="501"/>
      <c r="C2221" s="630"/>
      <c r="D2221" s="631"/>
      <c r="E2221" s="631"/>
      <c r="F2221" s="631"/>
      <c r="G2221" s="631"/>
      <c r="H2221" s="631"/>
      <c r="I2221" s="631"/>
      <c r="J2221" s="658"/>
      <c r="K2221" s="456"/>
      <c r="L2221" s="451"/>
      <c r="M2221" s="448"/>
      <c r="N2221" s="456"/>
      <c r="O2221" s="473"/>
      <c r="P2221" s="541"/>
    </row>
    <row r="2222" spans="2:17" ht="36" customHeight="1" thickTop="1" x14ac:dyDescent="0.5">
      <c r="B2222" s="501"/>
      <c r="C2222" s="630"/>
      <c r="D2222" s="631"/>
      <c r="E2222" s="631"/>
      <c r="F2222" s="631"/>
      <c r="G2222" s="631"/>
      <c r="H2222" s="659"/>
      <c r="I2222" s="631"/>
      <c r="J2222" s="658"/>
      <c r="K2222" s="456"/>
      <c r="L2222" s="451"/>
      <c r="M2222" s="448"/>
      <c r="N2222" s="456"/>
      <c r="O2222" s="458"/>
      <c r="P2222" s="541"/>
    </row>
    <row r="2223" spans="2:17" ht="36" customHeight="1" x14ac:dyDescent="0.5">
      <c r="B2223" s="501"/>
      <c r="C2223" s="630"/>
      <c r="D2223" s="631"/>
      <c r="E2223" s="631"/>
      <c r="F2223" s="631"/>
      <c r="G2223" s="631"/>
      <c r="H2223" s="659"/>
      <c r="I2223" s="631"/>
      <c r="J2223" s="658"/>
      <c r="K2223" s="456"/>
      <c r="L2223" s="451"/>
      <c r="M2223" s="448"/>
      <c r="N2223" s="456"/>
      <c r="O2223" s="458"/>
      <c r="P2223" s="541"/>
    </row>
    <row r="2224" spans="2:17" ht="36" customHeight="1" x14ac:dyDescent="0.5">
      <c r="B2224" s="501"/>
      <c r="C2224" s="630"/>
      <c r="D2224" s="631"/>
      <c r="E2224" s="631"/>
      <c r="F2224" s="631"/>
      <c r="G2224" s="631"/>
      <c r="H2224" s="660"/>
      <c r="I2224" s="631"/>
      <c r="J2224" s="658"/>
      <c r="K2224" s="456"/>
      <c r="L2224" s="456"/>
      <c r="M2224" s="475"/>
      <c r="N2224" s="475"/>
      <c r="O2224" s="475"/>
      <c r="P2224" s="555"/>
    </row>
    <row r="2225" spans="2:18" ht="36" customHeight="1" x14ac:dyDescent="0.5">
      <c r="B2225" s="501"/>
      <c r="C2225" s="630"/>
      <c r="D2225" s="631"/>
      <c r="E2225" s="631"/>
      <c r="F2225" s="631"/>
      <c r="G2225" s="631"/>
      <c r="H2225" s="631"/>
      <c r="I2225" s="631"/>
      <c r="J2225" s="631"/>
      <c r="M2225" s="458"/>
      <c r="N2225" s="458"/>
      <c r="O2225" s="458"/>
    </row>
    <row r="2226" spans="2:18" ht="36" customHeight="1" x14ac:dyDescent="0.5">
      <c r="B2226" s="501"/>
      <c r="C2226" s="630"/>
      <c r="D2226" s="631"/>
      <c r="E2226" s="631"/>
      <c r="F2226" s="631"/>
      <c r="G2226" s="631"/>
      <c r="H2226" s="631"/>
      <c r="I2226" s="631"/>
      <c r="J2226" s="631"/>
      <c r="M2226" s="458"/>
      <c r="N2226" s="458"/>
      <c r="O2226" s="458" t="s">
        <v>112</v>
      </c>
      <c r="Q2226" s="450">
        <f>MAX($Q$103:Q2225)+1</f>
        <v>58</v>
      </c>
      <c r="R2226" s="490" t="str">
        <f>R$2243</f>
        <v>DELETE</v>
      </c>
    </row>
    <row r="2227" spans="2:18" ht="36" customHeight="1" x14ac:dyDescent="0.5">
      <c r="B2227" s="502"/>
      <c r="C2227" s="631"/>
      <c r="D2227" s="630" t="str">
        <f>Criteria!E9</f>
        <v>ABC COMPANY (PROPRIETARY) LIMITED</v>
      </c>
      <c r="E2227" s="631"/>
      <c r="F2227" s="631"/>
      <c r="G2227" s="631"/>
      <c r="H2227" s="631"/>
      <c r="I2227" s="631"/>
      <c r="J2227" s="631"/>
      <c r="M2227" s="541"/>
      <c r="N2227" s="541"/>
      <c r="O2227" s="540"/>
      <c r="R2227" s="490" t="str">
        <f t="shared" ref="R2227:R2237" si="138">R$2243</f>
        <v>DELETE</v>
      </c>
    </row>
    <row r="2228" spans="2:18" ht="36" customHeight="1" x14ac:dyDescent="0.5">
      <c r="B2228" s="502"/>
      <c r="C2228" s="631"/>
      <c r="D2228" s="630" t="str">
        <f>Criteria!E10</f>
        <v>T/A SEAFRONT HOTEL, ABC RESTAURANT AND RENTAL PROPERTIES</v>
      </c>
      <c r="E2228" s="631"/>
      <c r="F2228" s="631"/>
      <c r="G2228" s="631"/>
      <c r="H2228" s="631"/>
      <c r="I2228" s="631"/>
      <c r="J2228" s="631"/>
      <c r="M2228" s="541"/>
      <c r="N2228" s="541"/>
      <c r="O2228" s="541"/>
      <c r="R2228" s="490" t="str">
        <f>IF(R$2243="DELETE","DELETE",IF(D2228=0,"DELETE"," "))</f>
        <v>DELETE</v>
      </c>
    </row>
    <row r="2229" spans="2:18" ht="36" customHeight="1" x14ac:dyDescent="0.5">
      <c r="B2229" s="502"/>
      <c r="C2229" s="631"/>
      <c r="D2229" s="631"/>
      <c r="E2229" s="631"/>
      <c r="F2229" s="631"/>
      <c r="G2229" s="631"/>
      <c r="H2229" s="631"/>
      <c r="I2229" s="631"/>
      <c r="J2229" s="631"/>
      <c r="M2229" s="541"/>
      <c r="N2229" s="541"/>
      <c r="O2229" s="541"/>
      <c r="R2229" s="490" t="str">
        <f t="shared" si="138"/>
        <v>DELETE</v>
      </c>
    </row>
    <row r="2230" spans="2:18" ht="36" customHeight="1" x14ac:dyDescent="0.5">
      <c r="B2230" s="502"/>
      <c r="C2230" s="631"/>
      <c r="D2230" s="630" t="s">
        <v>415</v>
      </c>
      <c r="E2230" s="631"/>
      <c r="F2230" s="631"/>
      <c r="G2230" s="631"/>
      <c r="H2230" s="631"/>
      <c r="I2230" s="631"/>
      <c r="J2230" s="631"/>
      <c r="M2230" s="541"/>
      <c r="N2230" s="541"/>
      <c r="O2230" s="541"/>
      <c r="R2230" s="490" t="str">
        <f t="shared" si="138"/>
        <v>DELETE</v>
      </c>
    </row>
    <row r="2231" spans="2:18" ht="36" customHeight="1" x14ac:dyDescent="0.5">
      <c r="B2231" s="502"/>
      <c r="C2231" s="631"/>
      <c r="D2231" s="630" t="str">
        <f>Criteria!E20</f>
        <v>28 FEBRUARY 2026</v>
      </c>
      <c r="E2231" s="631"/>
      <c r="F2231" s="631"/>
      <c r="G2231" s="631"/>
      <c r="H2231" s="631"/>
      <c r="I2231" s="631"/>
      <c r="J2231" s="631" t="s">
        <v>282</v>
      </c>
      <c r="M2231" s="541"/>
      <c r="N2231" s="541"/>
      <c r="O2231" s="541"/>
      <c r="R2231" s="490" t="str">
        <f t="shared" si="138"/>
        <v>DELETE</v>
      </c>
    </row>
    <row r="2232" spans="2:18" ht="36" customHeight="1" x14ac:dyDescent="0.5">
      <c r="B2232" s="502"/>
      <c r="C2232" s="631"/>
      <c r="D2232" s="630"/>
      <c r="E2232" s="631"/>
      <c r="F2232" s="631"/>
      <c r="G2232" s="631"/>
      <c r="H2232" s="631"/>
      <c r="I2232" s="631"/>
      <c r="J2232" s="631"/>
      <c r="M2232" s="541"/>
      <c r="N2232" s="541"/>
      <c r="O2232" s="541"/>
      <c r="R2232" s="490" t="str">
        <f t="shared" si="138"/>
        <v>DELETE</v>
      </c>
    </row>
    <row r="2233" spans="2:18" ht="36" customHeight="1" x14ac:dyDescent="0.5">
      <c r="B2233" s="640"/>
      <c r="C2233" s="652"/>
      <c r="D2233" s="649"/>
      <c r="E2233" s="649"/>
      <c r="F2233" s="649"/>
      <c r="G2233" s="649"/>
      <c r="H2233" s="661"/>
      <c r="I2233" s="649"/>
      <c r="J2233" s="662"/>
      <c r="K2233" s="487"/>
      <c r="L2233" s="487"/>
      <c r="M2233" s="459"/>
      <c r="N2233" s="459"/>
      <c r="O2233" s="459"/>
      <c r="P2233" s="557"/>
      <c r="Q2233" s="457"/>
      <c r="R2233" s="490" t="str">
        <f t="shared" si="138"/>
        <v>DELETE</v>
      </c>
    </row>
    <row r="2234" spans="2:18" ht="36" customHeight="1" x14ac:dyDescent="0.5">
      <c r="B2234" s="501"/>
      <c r="C2234" s="630"/>
      <c r="D2234" s="631"/>
      <c r="E2234" s="631"/>
      <c r="F2234" s="631"/>
      <c r="G2234" s="631"/>
      <c r="H2234" s="659"/>
      <c r="I2234" s="631"/>
      <c r="J2234" s="658"/>
      <c r="K2234" s="456"/>
      <c r="L2234" s="451"/>
      <c r="M2234" s="448"/>
      <c r="N2234" s="456"/>
      <c r="O2234" s="453">
        <f>Criteria!E22</f>
        <v>2026</v>
      </c>
      <c r="P2234" s="541"/>
      <c r="R2234" s="490" t="str">
        <f t="shared" si="138"/>
        <v>DELETE</v>
      </c>
    </row>
    <row r="2235" spans="2:18" ht="36" customHeight="1" x14ac:dyDescent="0.5">
      <c r="B2235" s="501"/>
      <c r="C2235" s="630"/>
      <c r="D2235" s="631"/>
      <c r="E2235" s="631"/>
      <c r="F2235" s="631"/>
      <c r="G2235" s="631"/>
      <c r="H2235" s="659"/>
      <c r="I2235" s="631"/>
      <c r="J2235" s="658"/>
      <c r="K2235" s="456"/>
      <c r="L2235" s="451"/>
      <c r="M2235" s="448"/>
      <c r="N2235" s="456"/>
      <c r="O2235" s="458"/>
      <c r="P2235" s="541"/>
      <c r="R2235" s="490" t="str">
        <f t="shared" si="138"/>
        <v>DELETE</v>
      </c>
    </row>
    <row r="2236" spans="2:18" ht="36" customHeight="1" x14ac:dyDescent="0.5">
      <c r="B2236" s="501">
        <f>MAX($B$873:B2235)+1</f>
        <v>21</v>
      </c>
      <c r="C2236" s="630" t="s">
        <v>594</v>
      </c>
      <c r="D2236" s="631"/>
      <c r="E2236" s="631"/>
      <c r="F2236" s="631"/>
      <c r="G2236" s="631"/>
      <c r="H2236" s="659"/>
      <c r="I2236" s="631"/>
      <c r="J2236" s="658"/>
      <c r="K2236" s="456"/>
      <c r="L2236" s="451"/>
      <c r="M2236" s="448"/>
      <c r="N2236" s="456"/>
      <c r="O2236" s="458"/>
      <c r="P2236" s="541"/>
      <c r="R2236" s="490" t="str">
        <f t="shared" si="138"/>
        <v>DELETE</v>
      </c>
    </row>
    <row r="2237" spans="2:18" ht="36" customHeight="1" x14ac:dyDescent="0.5">
      <c r="B2237" s="501"/>
      <c r="C2237" s="630"/>
      <c r="D2237" s="631"/>
      <c r="E2237" s="631"/>
      <c r="F2237" s="631"/>
      <c r="G2237" s="631"/>
      <c r="H2237" s="659"/>
      <c r="I2237" s="631"/>
      <c r="J2237" s="658"/>
      <c r="K2237" s="456"/>
      <c r="L2237" s="451"/>
      <c r="M2237" s="448"/>
      <c r="N2237" s="456"/>
      <c r="O2237" s="458"/>
      <c r="P2237" s="541"/>
      <c r="R2237" s="490" t="str">
        <f t="shared" si="138"/>
        <v>DELETE</v>
      </c>
    </row>
    <row r="2238" spans="2:18" ht="36" customHeight="1" x14ac:dyDescent="0.5">
      <c r="B2238" s="501"/>
      <c r="C2238" s="631" t="s">
        <v>128</v>
      </c>
      <c r="D2238" s="648"/>
      <c r="E2238" s="631"/>
      <c r="F2238" s="631"/>
      <c r="G2238" s="631"/>
      <c r="H2238" s="659"/>
      <c r="I2238" s="631"/>
      <c r="J2238" s="658"/>
      <c r="K2238" s="456"/>
      <c r="L2238" s="451"/>
      <c r="M2238" s="448"/>
      <c r="N2238" s="456"/>
      <c r="O2238" s="458">
        <f>-TrialBalance!L173</f>
        <v>0</v>
      </c>
      <c r="P2238" s="541"/>
      <c r="R2238" s="490" t="str">
        <f>R2243</f>
        <v>DELETE</v>
      </c>
    </row>
    <row r="2239" spans="2:18" ht="36" customHeight="1" x14ac:dyDescent="0.5">
      <c r="B2239" s="501"/>
      <c r="C2239" s="631" t="s">
        <v>535</v>
      </c>
      <c r="D2239" s="648"/>
      <c r="E2239" s="631"/>
      <c r="F2239" s="631"/>
      <c r="G2239" s="631"/>
      <c r="H2239" s="659"/>
      <c r="I2239" s="631"/>
      <c r="J2239" s="658"/>
      <c r="K2239" s="456"/>
      <c r="L2239" s="451"/>
      <c r="M2239" s="448"/>
      <c r="N2239" s="456"/>
      <c r="O2239" s="458">
        <f>-TrialBalance!L174</f>
        <v>0</v>
      </c>
      <c r="P2239" s="541"/>
      <c r="R2239" s="490" t="str">
        <f t="shared" ref="R2239:R2240" si="139">IF(O2239=0,"DELETE"," ")</f>
        <v>DELETE</v>
      </c>
    </row>
    <row r="2240" spans="2:18" ht="36" customHeight="1" x14ac:dyDescent="0.5">
      <c r="B2240" s="501"/>
      <c r="C2240" s="631" t="s">
        <v>536</v>
      </c>
      <c r="D2240" s="648"/>
      <c r="E2240" s="631"/>
      <c r="F2240" s="631"/>
      <c r="G2240" s="631"/>
      <c r="H2240" s="659"/>
      <c r="I2240" s="631"/>
      <c r="J2240" s="658"/>
      <c r="K2240" s="456"/>
      <c r="L2240" s="451"/>
      <c r="M2240" s="448"/>
      <c r="N2240" s="456"/>
      <c r="O2240" s="458">
        <f>-TrialBalance!L175</f>
        <v>0</v>
      </c>
      <c r="P2240" s="541"/>
      <c r="R2240" s="490" t="str">
        <f t="shared" si="139"/>
        <v>DELETE</v>
      </c>
    </row>
    <row r="2241" spans="2:18" ht="9" customHeight="1" x14ac:dyDescent="0.5">
      <c r="B2241" s="501"/>
      <c r="C2241" s="630"/>
      <c r="D2241" s="631"/>
      <c r="E2241" s="631"/>
      <c r="F2241" s="631"/>
      <c r="G2241" s="631"/>
      <c r="H2241" s="659"/>
      <c r="I2241" s="631"/>
      <c r="J2241" s="658"/>
      <c r="K2241" s="456"/>
      <c r="L2241" s="451"/>
      <c r="M2241" s="448"/>
      <c r="N2241" s="456"/>
      <c r="O2241" s="461"/>
      <c r="P2241" s="541"/>
      <c r="R2241" s="490" t="str">
        <f t="shared" ref="R2241:R2249" si="140">R$2243</f>
        <v>DELETE</v>
      </c>
    </row>
    <row r="2242" spans="2:18" ht="9" customHeight="1" x14ac:dyDescent="0.5">
      <c r="B2242" s="501"/>
      <c r="C2242" s="630"/>
      <c r="D2242" s="631"/>
      <c r="E2242" s="631"/>
      <c r="F2242" s="631"/>
      <c r="G2242" s="631"/>
      <c r="H2242" s="659"/>
      <c r="I2242" s="631"/>
      <c r="J2242" s="658"/>
      <c r="K2242" s="456"/>
      <c r="L2242" s="451"/>
      <c r="M2242" s="448"/>
      <c r="N2242" s="456"/>
      <c r="O2242" s="458"/>
      <c r="P2242" s="541"/>
      <c r="R2242" s="490" t="str">
        <f t="shared" si="140"/>
        <v>DELETE</v>
      </c>
    </row>
    <row r="2243" spans="2:18" ht="36.75" customHeight="1" x14ac:dyDescent="0.5">
      <c r="B2243" s="501"/>
      <c r="C2243" s="630"/>
      <c r="D2243" s="631"/>
      <c r="E2243" s="631"/>
      <c r="F2243" s="631"/>
      <c r="G2243" s="631"/>
      <c r="H2243" s="659"/>
      <c r="I2243" s="631"/>
      <c r="J2243" s="658"/>
      <c r="K2243" s="456"/>
      <c r="L2243" s="451"/>
      <c r="M2243" s="448"/>
      <c r="N2243" s="456"/>
      <c r="O2243" s="458">
        <f>SUM(O2238:O2242)</f>
        <v>0</v>
      </c>
      <c r="P2243" s="541"/>
      <c r="R2243" s="490" t="str">
        <f>IF(COUNTIF(O2238:O2240,"&gt;0")&gt;0," ","DELETE")</f>
        <v>DELETE</v>
      </c>
    </row>
    <row r="2244" spans="2:18" ht="9" customHeight="1" thickBot="1" x14ac:dyDescent="0.55000000000000004">
      <c r="B2244" s="501"/>
      <c r="C2244" s="630"/>
      <c r="D2244" s="631"/>
      <c r="E2244" s="631"/>
      <c r="F2244" s="631"/>
      <c r="G2244" s="631"/>
      <c r="H2244" s="659"/>
      <c r="I2244" s="631"/>
      <c r="J2244" s="658"/>
      <c r="K2244" s="456"/>
      <c r="L2244" s="451"/>
      <c r="M2244" s="448"/>
      <c r="N2244" s="456"/>
      <c r="O2244" s="462"/>
      <c r="P2244" s="541"/>
      <c r="R2244" s="490" t="str">
        <f t="shared" si="140"/>
        <v>DELETE</v>
      </c>
    </row>
    <row r="2245" spans="2:18" ht="9" customHeight="1" thickTop="1" x14ac:dyDescent="0.5">
      <c r="B2245" s="501"/>
      <c r="C2245" s="630"/>
      <c r="D2245" s="631"/>
      <c r="E2245" s="631"/>
      <c r="F2245" s="631"/>
      <c r="G2245" s="631"/>
      <c r="H2245" s="659"/>
      <c r="I2245" s="631"/>
      <c r="J2245" s="658"/>
      <c r="K2245" s="456"/>
      <c r="L2245" s="451"/>
      <c r="M2245" s="448"/>
      <c r="N2245" s="456"/>
      <c r="O2245" s="475"/>
      <c r="P2245" s="541"/>
      <c r="R2245" s="490" t="str">
        <f t="shared" si="140"/>
        <v>DELETE</v>
      </c>
    </row>
    <row r="2246" spans="2:18" ht="36" customHeight="1" x14ac:dyDescent="0.5">
      <c r="B2246" s="501"/>
      <c r="C2246" s="630"/>
      <c r="D2246" s="631"/>
      <c r="E2246" s="631"/>
      <c r="F2246" s="631"/>
      <c r="G2246" s="631"/>
      <c r="H2246" s="631"/>
      <c r="I2246" s="631"/>
      <c r="J2246" s="658"/>
      <c r="K2246" s="456"/>
      <c r="L2246" s="451"/>
      <c r="M2246" s="448"/>
      <c r="N2246" s="456"/>
      <c r="O2246" s="458"/>
      <c r="P2246" s="541"/>
      <c r="R2246" s="490" t="str">
        <f t="shared" si="140"/>
        <v>DELETE</v>
      </c>
    </row>
    <row r="2247" spans="2:18" ht="36" customHeight="1" x14ac:dyDescent="0.5">
      <c r="B2247" s="501"/>
      <c r="C2247" s="630"/>
      <c r="D2247" s="631"/>
      <c r="E2247" s="631"/>
      <c r="F2247" s="631"/>
      <c r="G2247" s="631"/>
      <c r="H2247" s="631"/>
      <c r="I2247" s="631"/>
      <c r="J2247" s="658"/>
      <c r="K2247" s="456"/>
      <c r="L2247" s="456"/>
      <c r="M2247" s="458"/>
      <c r="N2247" s="458"/>
      <c r="O2247" s="458"/>
      <c r="P2247" s="541"/>
      <c r="R2247" s="490" t="str">
        <f t="shared" si="140"/>
        <v>DELETE</v>
      </c>
    </row>
    <row r="2248" spans="2:18" ht="36" customHeight="1" x14ac:dyDescent="0.5">
      <c r="B2248" s="501"/>
      <c r="C2248" s="630"/>
      <c r="D2248" s="631"/>
      <c r="E2248" s="631"/>
      <c r="F2248" s="631"/>
      <c r="G2248" s="631"/>
      <c r="H2248" s="631"/>
      <c r="I2248" s="631"/>
      <c r="J2248" s="658"/>
      <c r="K2248" s="456"/>
      <c r="L2248" s="456"/>
      <c r="M2248" s="475"/>
      <c r="N2248" s="475"/>
      <c r="O2248" s="475"/>
      <c r="P2248" s="555"/>
      <c r="R2248" s="490" t="str">
        <f t="shared" si="140"/>
        <v>DELETE</v>
      </c>
    </row>
    <row r="2249" spans="2:18" ht="36" customHeight="1" x14ac:dyDescent="0.5">
      <c r="B2249" s="501"/>
      <c r="C2249" s="630"/>
      <c r="D2249" s="631"/>
      <c r="E2249" s="631"/>
      <c r="F2249" s="631"/>
      <c r="G2249" s="631"/>
      <c r="H2249" s="631"/>
      <c r="I2249" s="631"/>
      <c r="J2249" s="631"/>
      <c r="M2249" s="458"/>
      <c r="N2249" s="458"/>
      <c r="O2249" s="458"/>
      <c r="R2249" s="490" t="str">
        <f t="shared" si="140"/>
        <v>DELETE</v>
      </c>
    </row>
    <row r="2250" spans="2:18" ht="36" customHeight="1" x14ac:dyDescent="0.5">
      <c r="B2250" s="501"/>
      <c r="C2250" s="630"/>
      <c r="D2250" s="631"/>
      <c r="E2250" s="631"/>
      <c r="F2250" s="631"/>
      <c r="G2250" s="631"/>
      <c r="H2250" s="631"/>
      <c r="I2250" s="631"/>
      <c r="J2250" s="631"/>
      <c r="M2250" s="458"/>
      <c r="N2250" s="458"/>
      <c r="O2250" s="458" t="s">
        <v>112</v>
      </c>
      <c r="Q2250" s="450">
        <f>MAX($Q$103:Q2249)+1</f>
        <v>59</v>
      </c>
      <c r="R2250" s="490" t="str">
        <f>R$2279</f>
        <v>DELETE</v>
      </c>
    </row>
    <row r="2251" spans="2:18" ht="36" customHeight="1" x14ac:dyDescent="0.5">
      <c r="B2251" s="502"/>
      <c r="C2251" s="631"/>
      <c r="D2251" s="630" t="str">
        <f>Criteria!E9</f>
        <v>ABC COMPANY (PROPRIETARY) LIMITED</v>
      </c>
      <c r="E2251" s="631"/>
      <c r="F2251" s="631"/>
      <c r="G2251" s="631"/>
      <c r="H2251" s="631"/>
      <c r="I2251" s="631"/>
      <c r="J2251" s="631"/>
      <c r="M2251" s="541"/>
      <c r="N2251" s="541"/>
      <c r="O2251" s="540"/>
      <c r="R2251" s="490" t="str">
        <f t="shared" ref="R2251:R2261" si="141">R$2279</f>
        <v>DELETE</v>
      </c>
    </row>
    <row r="2252" spans="2:18" ht="36" customHeight="1" x14ac:dyDescent="0.5">
      <c r="B2252" s="502"/>
      <c r="C2252" s="631"/>
      <c r="D2252" s="630" t="str">
        <f>Criteria!E10</f>
        <v>T/A SEAFRONT HOTEL, ABC RESTAURANT AND RENTAL PROPERTIES</v>
      </c>
      <c r="E2252" s="631"/>
      <c r="F2252" s="631"/>
      <c r="G2252" s="631"/>
      <c r="H2252" s="631"/>
      <c r="I2252" s="631"/>
      <c r="J2252" s="631"/>
      <c r="M2252" s="541"/>
      <c r="N2252" s="541"/>
      <c r="O2252" s="541"/>
      <c r="R2252" s="490" t="str">
        <f>IF(R$2279="DELETE","DELETE",IF(D2252=0,"DELETE"," "))</f>
        <v>DELETE</v>
      </c>
    </row>
    <row r="2253" spans="2:18" ht="36" customHeight="1" x14ac:dyDescent="0.5">
      <c r="B2253" s="502"/>
      <c r="C2253" s="631"/>
      <c r="D2253" s="631"/>
      <c r="E2253" s="631"/>
      <c r="F2253" s="631"/>
      <c r="G2253" s="631"/>
      <c r="H2253" s="631"/>
      <c r="I2253" s="631"/>
      <c r="J2253" s="631"/>
      <c r="M2253" s="541"/>
      <c r="N2253" s="541"/>
      <c r="O2253" s="541"/>
      <c r="R2253" s="490" t="str">
        <f t="shared" si="141"/>
        <v>DELETE</v>
      </c>
    </row>
    <row r="2254" spans="2:18" ht="36" customHeight="1" x14ac:dyDescent="0.5">
      <c r="B2254" s="502"/>
      <c r="C2254" s="631"/>
      <c r="D2254" s="630" t="s">
        <v>415</v>
      </c>
      <c r="E2254" s="631"/>
      <c r="F2254" s="631"/>
      <c r="G2254" s="631"/>
      <c r="H2254" s="631"/>
      <c r="I2254" s="631"/>
      <c r="J2254" s="631"/>
      <c r="M2254" s="541"/>
      <c r="N2254" s="541"/>
      <c r="O2254" s="541"/>
      <c r="R2254" s="490" t="str">
        <f t="shared" si="141"/>
        <v>DELETE</v>
      </c>
    </row>
    <row r="2255" spans="2:18" ht="36" customHeight="1" x14ac:dyDescent="0.5">
      <c r="B2255" s="502"/>
      <c r="C2255" s="631"/>
      <c r="D2255" s="630" t="str">
        <f>Criteria!E20</f>
        <v>28 FEBRUARY 2026</v>
      </c>
      <c r="E2255" s="631"/>
      <c r="F2255" s="631"/>
      <c r="G2255" s="631"/>
      <c r="H2255" s="631"/>
      <c r="I2255" s="631"/>
      <c r="J2255" s="631" t="s">
        <v>282</v>
      </c>
      <c r="M2255" s="541"/>
      <c r="N2255" s="541"/>
      <c r="O2255" s="541"/>
      <c r="R2255" s="490" t="str">
        <f t="shared" si="141"/>
        <v>DELETE</v>
      </c>
    </row>
    <row r="2256" spans="2:18" ht="36" customHeight="1" x14ac:dyDescent="0.5">
      <c r="B2256" s="502"/>
      <c r="C2256" s="631"/>
      <c r="D2256" s="630"/>
      <c r="E2256" s="631"/>
      <c r="F2256" s="631"/>
      <c r="G2256" s="631"/>
      <c r="H2256" s="631"/>
      <c r="I2256" s="631"/>
      <c r="J2256" s="631"/>
      <c r="M2256" s="541"/>
      <c r="N2256" s="541"/>
      <c r="O2256" s="541"/>
      <c r="R2256" s="490" t="str">
        <f t="shared" si="141"/>
        <v>DELETE</v>
      </c>
    </row>
    <row r="2257" spans="2:22" ht="36" customHeight="1" x14ac:dyDescent="0.5">
      <c r="B2257" s="640"/>
      <c r="C2257" s="652"/>
      <c r="D2257" s="649"/>
      <c r="E2257" s="649"/>
      <c r="F2257" s="649"/>
      <c r="G2257" s="649"/>
      <c r="H2257" s="649"/>
      <c r="I2257" s="649"/>
      <c r="J2257" s="662"/>
      <c r="K2257" s="487"/>
      <c r="L2257" s="487"/>
      <c r="M2257" s="459"/>
      <c r="N2257" s="459"/>
      <c r="O2257" s="459"/>
      <c r="P2257" s="557"/>
      <c r="Q2257" s="457"/>
      <c r="R2257" s="490" t="str">
        <f t="shared" si="141"/>
        <v>DELETE</v>
      </c>
    </row>
    <row r="2258" spans="2:22" ht="36" customHeight="1" x14ac:dyDescent="0.5">
      <c r="B2258" s="501"/>
      <c r="C2258" s="630"/>
      <c r="D2258" s="631"/>
      <c r="E2258" s="631"/>
      <c r="F2258" s="631"/>
      <c r="G2258" s="631"/>
      <c r="H2258" s="631"/>
      <c r="I2258" s="631"/>
      <c r="J2258" s="658"/>
      <c r="K2258" s="456"/>
      <c r="L2258" s="451"/>
      <c r="M2258" s="448"/>
      <c r="N2258" s="456"/>
      <c r="O2258" s="453">
        <f>Criteria!E22</f>
        <v>2026</v>
      </c>
      <c r="P2258" s="541"/>
      <c r="R2258" s="490" t="str">
        <f t="shared" si="141"/>
        <v>DELETE</v>
      </c>
    </row>
    <row r="2259" spans="2:22" ht="36" customHeight="1" x14ac:dyDescent="0.5">
      <c r="B2259" s="501"/>
      <c r="C2259" s="630"/>
      <c r="D2259" s="631"/>
      <c r="E2259" s="631"/>
      <c r="F2259" s="631"/>
      <c r="G2259" s="631"/>
      <c r="H2259" s="631"/>
      <c r="I2259" s="631"/>
      <c r="J2259" s="658"/>
      <c r="K2259" s="456"/>
      <c r="L2259" s="451"/>
      <c r="M2259" s="448"/>
      <c r="N2259" s="456"/>
      <c r="O2259" s="458"/>
      <c r="P2259" s="541"/>
      <c r="R2259" s="490" t="str">
        <f t="shared" si="141"/>
        <v>DELETE</v>
      </c>
    </row>
    <row r="2260" spans="2:22" ht="36" customHeight="1" x14ac:dyDescent="0.5">
      <c r="B2260" s="501">
        <f>MAX($B$873:B2259)+1</f>
        <v>22</v>
      </c>
      <c r="C2260" s="630" t="s">
        <v>13</v>
      </c>
      <c r="D2260" s="631"/>
      <c r="E2260" s="631"/>
      <c r="F2260" s="631"/>
      <c r="G2260" s="631"/>
      <c r="H2260" s="631"/>
      <c r="I2260" s="631"/>
      <c r="J2260" s="631"/>
      <c r="L2260" s="451"/>
      <c r="M2260" s="448"/>
      <c r="N2260" s="448"/>
      <c r="O2260" s="458"/>
      <c r="R2260" s="490" t="str">
        <f t="shared" si="141"/>
        <v>DELETE</v>
      </c>
    </row>
    <row r="2261" spans="2:22" ht="36" customHeight="1" x14ac:dyDescent="0.5">
      <c r="B2261" s="501"/>
      <c r="C2261" s="630"/>
      <c r="D2261" s="631"/>
      <c r="E2261" s="631"/>
      <c r="F2261" s="631"/>
      <c r="G2261" s="631"/>
      <c r="H2261" s="631"/>
      <c r="I2261" s="631"/>
      <c r="J2261" s="631"/>
      <c r="L2261" s="451"/>
      <c r="M2261" s="448"/>
      <c r="N2261" s="448"/>
      <c r="O2261" s="458"/>
      <c r="R2261" s="490" t="str">
        <f t="shared" si="141"/>
        <v>DELETE</v>
      </c>
    </row>
    <row r="2262" spans="2:22" ht="36" customHeight="1" x14ac:dyDescent="0.5">
      <c r="B2262" s="501"/>
      <c r="C2262" s="631" t="s">
        <v>1525</v>
      </c>
      <c r="D2262" s="648"/>
      <c r="E2262" s="631"/>
      <c r="F2262" s="631"/>
      <c r="G2262" s="631"/>
      <c r="H2262" s="631"/>
      <c r="I2262" s="631"/>
      <c r="J2262" s="631"/>
      <c r="L2262" s="451"/>
      <c r="M2262" s="448"/>
      <c r="N2262" s="448"/>
      <c r="O2262" s="458">
        <f>SUM(O2265:O2267)</f>
        <v>0</v>
      </c>
      <c r="R2262" s="490" t="str">
        <f>IF(COUNTIF(O2265:O2267,"&gt;0")&gt;0," ","DELETE")</f>
        <v>DELETE</v>
      </c>
      <c r="S2262" s="495">
        <f>O2262</f>
        <v>0</v>
      </c>
      <c r="T2262" s="495"/>
      <c r="U2262" s="495"/>
      <c r="V2262" s="495"/>
    </row>
    <row r="2263" spans="2:22" ht="9" customHeight="1" x14ac:dyDescent="0.5">
      <c r="B2263" s="501"/>
      <c r="C2263" s="631"/>
      <c r="D2263" s="648"/>
      <c r="E2263" s="631"/>
      <c r="F2263" s="631"/>
      <c r="G2263" s="631"/>
      <c r="H2263" s="631"/>
      <c r="I2263" s="631"/>
      <c r="J2263" s="631"/>
      <c r="L2263" s="451"/>
      <c r="M2263" s="448"/>
      <c r="N2263" s="448"/>
      <c r="O2263" s="458"/>
      <c r="R2263" s="490" t="str">
        <f t="shared" ref="R2263" si="142">R2262</f>
        <v>DELETE</v>
      </c>
    </row>
    <row r="2264" spans="2:22" ht="9" customHeight="1" x14ac:dyDescent="0.5">
      <c r="B2264" s="501"/>
      <c r="C2264" s="631"/>
      <c r="D2264" s="648"/>
      <c r="E2264" s="631"/>
      <c r="F2264" s="631"/>
      <c r="G2264" s="631"/>
      <c r="H2264" s="631"/>
      <c r="I2264" s="631"/>
      <c r="J2264" s="631"/>
      <c r="L2264" s="451"/>
      <c r="M2264" s="448"/>
      <c r="N2264" s="448"/>
      <c r="O2264" s="587"/>
      <c r="R2264" s="490" t="str">
        <f>R2262</f>
        <v>DELETE</v>
      </c>
    </row>
    <row r="2265" spans="2:22" ht="36" customHeight="1" x14ac:dyDescent="0.5">
      <c r="B2265" s="501"/>
      <c r="C2265" s="631" t="s">
        <v>128</v>
      </c>
      <c r="D2265" s="648"/>
      <c r="E2265" s="631"/>
      <c r="F2265" s="631"/>
      <c r="G2265" s="631"/>
      <c r="H2265" s="631"/>
      <c r="I2265" s="631"/>
      <c r="J2265" s="631"/>
      <c r="L2265" s="451"/>
      <c r="M2265" s="448"/>
      <c r="N2265" s="448"/>
      <c r="O2265" s="588">
        <f>-TrialBalance!L177</f>
        <v>0</v>
      </c>
      <c r="R2265" s="490" t="str">
        <f>R2262</f>
        <v>DELETE</v>
      </c>
    </row>
    <row r="2266" spans="2:22" ht="36" customHeight="1" x14ac:dyDescent="0.5">
      <c r="B2266" s="501"/>
      <c r="C2266" s="631" t="s">
        <v>1346</v>
      </c>
      <c r="D2266" s="648"/>
      <c r="E2266" s="631"/>
      <c r="F2266" s="631"/>
      <c r="G2266" s="631"/>
      <c r="H2266" s="631"/>
      <c r="I2266" s="631"/>
      <c r="J2266" s="631"/>
      <c r="L2266" s="451"/>
      <c r="M2266" s="448"/>
      <c r="N2266" s="448"/>
      <c r="O2266" s="588">
        <f>-TrialBalance!L178</f>
        <v>0</v>
      </c>
      <c r="R2266" s="490" t="str">
        <f t="shared" ref="R2266:R2267" si="143">IF(O2266=0,"DELETE"," ")</f>
        <v>DELETE</v>
      </c>
    </row>
    <row r="2267" spans="2:22" ht="36" customHeight="1" x14ac:dyDescent="0.5">
      <c r="B2267" s="501"/>
      <c r="C2267" s="631" t="s">
        <v>1347</v>
      </c>
      <c r="D2267" s="648"/>
      <c r="E2267" s="631"/>
      <c r="F2267" s="631"/>
      <c r="G2267" s="631"/>
      <c r="H2267" s="631"/>
      <c r="I2267" s="631"/>
      <c r="J2267" s="631"/>
      <c r="L2267" s="451"/>
      <c r="M2267" s="448"/>
      <c r="N2267" s="448"/>
      <c r="O2267" s="588">
        <f>-TrialBalance!L179</f>
        <v>0</v>
      </c>
      <c r="R2267" s="490" t="str">
        <f t="shared" si="143"/>
        <v>DELETE</v>
      </c>
    </row>
    <row r="2268" spans="2:22" ht="9" customHeight="1" x14ac:dyDescent="0.5">
      <c r="B2268" s="501"/>
      <c r="C2268" s="631"/>
      <c r="D2268" s="648"/>
      <c r="E2268" s="631"/>
      <c r="F2268" s="631"/>
      <c r="G2268" s="631"/>
      <c r="H2268" s="631"/>
      <c r="I2268" s="631"/>
      <c r="J2268" s="631"/>
      <c r="L2268" s="451"/>
      <c r="M2268" s="448"/>
      <c r="N2268" s="448"/>
      <c r="O2268" s="589"/>
      <c r="R2268" s="490" t="str">
        <f>R2262</f>
        <v>DELETE</v>
      </c>
    </row>
    <row r="2269" spans="2:22" ht="9" customHeight="1" x14ac:dyDescent="0.5">
      <c r="B2269" s="501"/>
      <c r="C2269" s="631"/>
      <c r="D2269" s="648"/>
      <c r="E2269" s="631"/>
      <c r="F2269" s="631"/>
      <c r="G2269" s="631"/>
      <c r="H2269" s="631"/>
      <c r="I2269" s="631"/>
      <c r="J2269" s="631"/>
      <c r="L2269" s="451"/>
      <c r="M2269" s="448"/>
      <c r="N2269" s="448"/>
      <c r="O2269" s="458"/>
      <c r="R2269" s="490" t="str">
        <f>R2262</f>
        <v>DELETE</v>
      </c>
    </row>
    <row r="2270" spans="2:22" ht="36.75" customHeight="1" x14ac:dyDescent="0.5">
      <c r="B2270" s="501"/>
      <c r="C2270" s="631" t="s">
        <v>1526</v>
      </c>
      <c r="D2270" s="648"/>
      <c r="E2270" s="631"/>
      <c r="F2270" s="631"/>
      <c r="G2270" s="631"/>
      <c r="H2270" s="631"/>
      <c r="I2270" s="631"/>
      <c r="J2270" s="631"/>
      <c r="L2270" s="451"/>
      <c r="M2270" s="448"/>
      <c r="N2270" s="448"/>
      <c r="O2270" s="458">
        <f>SUM(O2273:O2275)</f>
        <v>0</v>
      </c>
      <c r="R2270" s="490" t="str">
        <f>IF(COUNTIF(O2273:O2275,"&gt;0")&gt;0," ","DELETE")</f>
        <v>DELETE</v>
      </c>
      <c r="S2270" s="495">
        <f>O2270</f>
        <v>0</v>
      </c>
      <c r="T2270" s="495"/>
      <c r="U2270" s="495"/>
      <c r="V2270" s="495"/>
    </row>
    <row r="2271" spans="2:22" ht="9" customHeight="1" x14ac:dyDescent="0.5">
      <c r="B2271" s="501"/>
      <c r="C2271" s="631"/>
      <c r="D2271" s="648"/>
      <c r="E2271" s="631"/>
      <c r="F2271" s="631"/>
      <c r="G2271" s="631"/>
      <c r="H2271" s="631"/>
      <c r="I2271" s="631"/>
      <c r="J2271" s="631"/>
      <c r="L2271" s="451"/>
      <c r="M2271" s="448"/>
      <c r="N2271" s="448"/>
      <c r="O2271" s="458"/>
      <c r="R2271" s="490" t="str">
        <f>R2270</f>
        <v>DELETE</v>
      </c>
    </row>
    <row r="2272" spans="2:22" ht="9" customHeight="1" x14ac:dyDescent="0.5">
      <c r="B2272" s="501"/>
      <c r="C2272" s="631"/>
      <c r="D2272" s="648"/>
      <c r="E2272" s="631"/>
      <c r="F2272" s="631"/>
      <c r="G2272" s="631"/>
      <c r="H2272" s="631"/>
      <c r="I2272" s="631"/>
      <c r="J2272" s="631"/>
      <c r="L2272" s="451"/>
      <c r="M2272" s="448"/>
      <c r="N2272" s="448"/>
      <c r="O2272" s="587"/>
      <c r="R2272" s="490" t="str">
        <f>R2270</f>
        <v>DELETE</v>
      </c>
    </row>
    <row r="2273" spans="2:18" ht="36" customHeight="1" x14ac:dyDescent="0.5">
      <c r="B2273" s="501"/>
      <c r="C2273" s="631" t="s">
        <v>128</v>
      </c>
      <c r="D2273" s="648"/>
      <c r="E2273" s="631"/>
      <c r="F2273" s="631"/>
      <c r="G2273" s="631"/>
      <c r="H2273" s="631"/>
      <c r="I2273" s="631"/>
      <c r="J2273" s="631"/>
      <c r="L2273" s="451"/>
      <c r="M2273" s="448"/>
      <c r="N2273" s="448"/>
      <c r="O2273" s="588">
        <f>-TrialBalance!L181</f>
        <v>0</v>
      </c>
      <c r="R2273" s="490" t="str">
        <f>R2270</f>
        <v>DELETE</v>
      </c>
    </row>
    <row r="2274" spans="2:18" ht="36" customHeight="1" x14ac:dyDescent="0.5">
      <c r="B2274" s="501"/>
      <c r="C2274" s="631" t="s">
        <v>1348</v>
      </c>
      <c r="D2274" s="648"/>
      <c r="E2274" s="631"/>
      <c r="F2274" s="631"/>
      <c r="G2274" s="631"/>
      <c r="H2274" s="631"/>
      <c r="I2274" s="631"/>
      <c r="J2274" s="631"/>
      <c r="L2274" s="451"/>
      <c r="M2274" s="448"/>
      <c r="N2274" s="448"/>
      <c r="O2274" s="588">
        <f>-TrialBalance!L182</f>
        <v>0</v>
      </c>
      <c r="R2274" s="490" t="str">
        <f t="shared" ref="R2274:R2275" si="144">IF(O2274=0,"DELETE"," ")</f>
        <v>DELETE</v>
      </c>
    </row>
    <row r="2275" spans="2:18" ht="36" customHeight="1" x14ac:dyDescent="0.5">
      <c r="B2275" s="501"/>
      <c r="C2275" s="631" t="s">
        <v>1349</v>
      </c>
      <c r="D2275" s="648"/>
      <c r="E2275" s="631"/>
      <c r="F2275" s="631"/>
      <c r="G2275" s="631"/>
      <c r="H2275" s="631"/>
      <c r="I2275" s="631"/>
      <c r="J2275" s="631"/>
      <c r="L2275" s="451"/>
      <c r="M2275" s="448"/>
      <c r="N2275" s="448"/>
      <c r="O2275" s="588">
        <f>-TrialBalance!L183</f>
        <v>0</v>
      </c>
      <c r="R2275" s="490" t="str">
        <f t="shared" si="144"/>
        <v>DELETE</v>
      </c>
    </row>
    <row r="2276" spans="2:18" ht="9" customHeight="1" x14ac:dyDescent="0.5">
      <c r="B2276" s="501"/>
      <c r="C2276" s="630"/>
      <c r="D2276" s="631"/>
      <c r="E2276" s="631"/>
      <c r="F2276" s="631"/>
      <c r="G2276" s="631"/>
      <c r="H2276" s="631"/>
      <c r="I2276" s="631"/>
      <c r="J2276" s="631"/>
      <c r="L2276" s="451"/>
      <c r="M2276" s="448"/>
      <c r="N2276" s="448"/>
      <c r="O2276" s="589"/>
      <c r="R2276" s="490" t="str">
        <f>R2270</f>
        <v>DELETE</v>
      </c>
    </row>
    <row r="2277" spans="2:18" ht="9" customHeight="1" x14ac:dyDescent="0.5">
      <c r="B2277" s="501"/>
      <c r="C2277" s="630"/>
      <c r="D2277" s="631"/>
      <c r="E2277" s="631"/>
      <c r="F2277" s="631"/>
      <c r="G2277" s="631"/>
      <c r="H2277" s="631"/>
      <c r="I2277" s="631"/>
      <c r="J2277" s="631"/>
      <c r="L2277" s="451"/>
      <c r="M2277" s="448"/>
      <c r="N2277" s="448"/>
      <c r="O2277" s="461"/>
      <c r="R2277" s="490" t="str">
        <f>R2279</f>
        <v>DELETE</v>
      </c>
    </row>
    <row r="2278" spans="2:18" ht="9" customHeight="1" x14ac:dyDescent="0.5">
      <c r="B2278" s="501"/>
      <c r="C2278" s="630"/>
      <c r="D2278" s="631"/>
      <c r="E2278" s="631"/>
      <c r="F2278" s="631"/>
      <c r="G2278" s="631"/>
      <c r="H2278" s="631"/>
      <c r="I2278" s="631"/>
      <c r="J2278" s="631"/>
      <c r="L2278" s="451"/>
      <c r="M2278" s="448"/>
      <c r="N2278" s="448"/>
      <c r="O2278" s="458"/>
      <c r="R2278" s="490" t="str">
        <f>R2279</f>
        <v>DELETE</v>
      </c>
    </row>
    <row r="2279" spans="2:18" ht="36.75" customHeight="1" x14ac:dyDescent="0.5">
      <c r="B2279" s="501"/>
      <c r="C2279" s="630"/>
      <c r="D2279" s="631"/>
      <c r="E2279" s="631"/>
      <c r="F2279" s="631"/>
      <c r="G2279" s="631"/>
      <c r="H2279" s="631"/>
      <c r="I2279" s="631"/>
      <c r="J2279" s="631"/>
      <c r="L2279" s="451"/>
      <c r="M2279" s="448"/>
      <c r="N2279" s="448"/>
      <c r="O2279" s="458">
        <f>SUM(S2262:S2277)</f>
        <v>0</v>
      </c>
      <c r="R2279" s="490" t="str">
        <f>IF(R2262=" "," ",IF(R2270=" "," ","DELETE"))</f>
        <v>DELETE</v>
      </c>
    </row>
    <row r="2280" spans="2:18" ht="9" customHeight="1" thickBot="1" x14ac:dyDescent="0.55000000000000004">
      <c r="B2280" s="501"/>
      <c r="C2280" s="630"/>
      <c r="D2280" s="631"/>
      <c r="E2280" s="631"/>
      <c r="F2280" s="631"/>
      <c r="G2280" s="631"/>
      <c r="H2280" s="631"/>
      <c r="I2280" s="631"/>
      <c r="J2280" s="631"/>
      <c r="L2280" s="451"/>
      <c r="M2280" s="448"/>
      <c r="N2280" s="448"/>
      <c r="O2280" s="462"/>
      <c r="R2280" s="490" t="str">
        <f>R2279</f>
        <v>DELETE</v>
      </c>
    </row>
    <row r="2281" spans="2:18" ht="9" customHeight="1" thickTop="1" x14ac:dyDescent="0.5">
      <c r="B2281" s="501"/>
      <c r="C2281" s="630"/>
      <c r="D2281" s="631"/>
      <c r="E2281" s="631"/>
      <c r="F2281" s="631"/>
      <c r="G2281" s="631"/>
      <c r="H2281" s="631"/>
      <c r="I2281" s="631"/>
      <c r="J2281" s="631"/>
      <c r="L2281" s="451"/>
      <c r="M2281" s="448"/>
      <c r="N2281" s="448"/>
      <c r="O2281" s="458"/>
      <c r="R2281" s="490" t="str">
        <f>R2279</f>
        <v>DELETE</v>
      </c>
    </row>
    <row r="2282" spans="2:18" ht="36" customHeight="1" x14ac:dyDescent="0.5">
      <c r="B2282" s="501"/>
      <c r="C2282" s="630"/>
      <c r="D2282" s="631"/>
      <c r="E2282" s="631"/>
      <c r="F2282" s="631"/>
      <c r="G2282" s="631"/>
      <c r="H2282" s="631"/>
      <c r="I2282" s="631"/>
      <c r="J2282" s="631"/>
      <c r="L2282" s="451"/>
      <c r="M2282" s="448"/>
      <c r="N2282" s="448"/>
      <c r="O2282" s="458"/>
      <c r="R2282" s="490" t="str">
        <f>R$2279</f>
        <v>DELETE</v>
      </c>
    </row>
    <row r="2283" spans="2:18" ht="36" customHeight="1" x14ac:dyDescent="0.5">
      <c r="B2283" s="501"/>
      <c r="C2283" s="630"/>
      <c r="D2283" s="631"/>
      <c r="E2283" s="631"/>
      <c r="F2283" s="631"/>
      <c r="G2283" s="631"/>
      <c r="H2283" s="631"/>
      <c r="I2283" s="631"/>
      <c r="J2283" s="631"/>
      <c r="M2283" s="458"/>
      <c r="N2283" s="458"/>
      <c r="O2283" s="458"/>
      <c r="R2283" s="490" t="str">
        <f>R$2279</f>
        <v>DELETE</v>
      </c>
    </row>
    <row r="2284" spans="2:18" ht="36" customHeight="1" x14ac:dyDescent="0.5">
      <c r="B2284" s="502"/>
      <c r="C2284" s="631"/>
      <c r="D2284" s="631"/>
      <c r="E2284" s="631"/>
      <c r="F2284" s="631"/>
      <c r="G2284" s="631"/>
      <c r="H2284" s="631"/>
      <c r="I2284" s="631"/>
      <c r="J2284" s="631"/>
      <c r="M2284" s="555"/>
      <c r="N2284" s="555"/>
      <c r="O2284" s="555"/>
      <c r="P2284" s="545"/>
      <c r="R2284" s="490" t="str">
        <f>R$2279</f>
        <v>DELETE</v>
      </c>
    </row>
    <row r="2285" spans="2:18" ht="36" customHeight="1" x14ac:dyDescent="0.5">
      <c r="B2285" s="502"/>
      <c r="C2285" s="631"/>
      <c r="D2285" s="631"/>
      <c r="E2285" s="631"/>
      <c r="F2285" s="631"/>
      <c r="G2285" s="631"/>
      <c r="H2285" s="631"/>
      <c r="I2285" s="631"/>
      <c r="J2285" s="631"/>
      <c r="M2285" s="541"/>
      <c r="N2285" s="541"/>
      <c r="O2285" s="541"/>
      <c r="R2285" s="490" t="str">
        <f>R$2279</f>
        <v>DELETE</v>
      </c>
    </row>
    <row r="2286" spans="2:18" ht="36" customHeight="1" x14ac:dyDescent="0.5">
      <c r="B2286" s="502"/>
      <c r="C2286" s="631"/>
      <c r="D2286" s="631"/>
      <c r="E2286" s="631"/>
      <c r="F2286" s="631"/>
      <c r="G2286" s="631"/>
      <c r="H2286" s="631"/>
      <c r="I2286" s="631"/>
      <c r="J2286" s="631"/>
      <c r="M2286" s="541"/>
      <c r="N2286" s="541"/>
      <c r="O2286" s="458" t="s">
        <v>112</v>
      </c>
      <c r="Q2286" s="450">
        <f>MAX($Q$103:Q2285)+1</f>
        <v>60</v>
      </c>
      <c r="R2286" s="490" t="str">
        <f>R$2319</f>
        <v>DELETE</v>
      </c>
    </row>
    <row r="2287" spans="2:18" ht="36" customHeight="1" x14ac:dyDescent="0.5">
      <c r="B2287" s="502"/>
      <c r="C2287" s="631"/>
      <c r="D2287" s="630" t="str">
        <f>Criteria!E9</f>
        <v>ABC COMPANY (PROPRIETARY) LIMITED</v>
      </c>
      <c r="E2287" s="631"/>
      <c r="F2287" s="631"/>
      <c r="G2287" s="631"/>
      <c r="H2287" s="631"/>
      <c r="I2287" s="631"/>
      <c r="J2287" s="631"/>
      <c r="M2287" s="541"/>
      <c r="N2287" s="541"/>
      <c r="O2287" s="540"/>
      <c r="R2287" s="490" t="str">
        <f>R$2319</f>
        <v>DELETE</v>
      </c>
    </row>
    <row r="2288" spans="2:18" ht="36" customHeight="1" x14ac:dyDescent="0.5">
      <c r="B2288" s="502"/>
      <c r="C2288" s="631"/>
      <c r="D2288" s="630" t="str">
        <f>Criteria!E10</f>
        <v>T/A SEAFRONT HOTEL, ABC RESTAURANT AND RENTAL PROPERTIES</v>
      </c>
      <c r="E2288" s="631"/>
      <c r="F2288" s="631"/>
      <c r="G2288" s="631"/>
      <c r="H2288" s="631"/>
      <c r="I2288" s="631"/>
      <c r="J2288" s="631"/>
      <c r="M2288" s="541"/>
      <c r="N2288" s="541"/>
      <c r="O2288" s="541"/>
      <c r="R2288" s="490" t="str">
        <f>IF(R$2319="DELETE","DELETE",IF(D2288=0,"DELETE"," "))</f>
        <v>DELETE</v>
      </c>
    </row>
    <row r="2289" spans="2:20" ht="36" customHeight="1" x14ac:dyDescent="0.5">
      <c r="B2289" s="502"/>
      <c r="C2289" s="631"/>
      <c r="D2289" s="631"/>
      <c r="E2289" s="631"/>
      <c r="F2289" s="631"/>
      <c r="G2289" s="631"/>
      <c r="H2289" s="631"/>
      <c r="I2289" s="631"/>
      <c r="J2289" s="631"/>
      <c r="M2289" s="541"/>
      <c r="N2289" s="541"/>
      <c r="O2289" s="541"/>
      <c r="R2289" s="490" t="str">
        <f t="shared" ref="R2289:R2297" si="145">R$2319</f>
        <v>DELETE</v>
      </c>
    </row>
    <row r="2290" spans="2:20" ht="36" customHeight="1" x14ac:dyDescent="0.5">
      <c r="B2290" s="502"/>
      <c r="C2290" s="631"/>
      <c r="D2290" s="630" t="s">
        <v>415</v>
      </c>
      <c r="E2290" s="631"/>
      <c r="F2290" s="631"/>
      <c r="G2290" s="631"/>
      <c r="H2290" s="631"/>
      <c r="I2290" s="631"/>
      <c r="J2290" s="631"/>
      <c r="M2290" s="541"/>
      <c r="N2290" s="541"/>
      <c r="O2290" s="541"/>
      <c r="R2290" s="490" t="str">
        <f t="shared" si="145"/>
        <v>DELETE</v>
      </c>
    </row>
    <row r="2291" spans="2:20" ht="36" customHeight="1" x14ac:dyDescent="0.5">
      <c r="B2291" s="502"/>
      <c r="C2291" s="631"/>
      <c r="D2291" s="630" t="str">
        <f>Criteria!E20</f>
        <v>28 FEBRUARY 2026</v>
      </c>
      <c r="E2291" s="631"/>
      <c r="F2291" s="631"/>
      <c r="G2291" s="631"/>
      <c r="H2291" s="631"/>
      <c r="I2291" s="631"/>
      <c r="J2291" s="631" t="s">
        <v>282</v>
      </c>
      <c r="M2291" s="541"/>
      <c r="N2291" s="541"/>
      <c r="O2291" s="541"/>
      <c r="R2291" s="490" t="str">
        <f t="shared" si="145"/>
        <v>DELETE</v>
      </c>
    </row>
    <row r="2292" spans="2:20" ht="36" customHeight="1" x14ac:dyDescent="0.5">
      <c r="B2292" s="502"/>
      <c r="C2292" s="631"/>
      <c r="D2292" s="631"/>
      <c r="E2292" s="631"/>
      <c r="F2292" s="631"/>
      <c r="G2292" s="631"/>
      <c r="H2292" s="631"/>
      <c r="I2292" s="631"/>
      <c r="J2292" s="631"/>
      <c r="M2292" s="554"/>
      <c r="N2292" s="554"/>
      <c r="O2292" s="554"/>
      <c r="R2292" s="490" t="str">
        <f t="shared" si="145"/>
        <v>DELETE</v>
      </c>
    </row>
    <row r="2293" spans="2:20" ht="36" customHeight="1" x14ac:dyDescent="0.5">
      <c r="B2293" s="641"/>
      <c r="C2293" s="649"/>
      <c r="D2293" s="649"/>
      <c r="E2293" s="649"/>
      <c r="F2293" s="649"/>
      <c r="G2293" s="649"/>
      <c r="H2293" s="649"/>
      <c r="I2293" s="649"/>
      <c r="J2293" s="649"/>
      <c r="K2293" s="457"/>
      <c r="L2293" s="457"/>
      <c r="M2293" s="557"/>
      <c r="N2293" s="557"/>
      <c r="O2293" s="557"/>
      <c r="P2293" s="551"/>
      <c r="Q2293" s="457"/>
      <c r="R2293" s="490" t="str">
        <f t="shared" si="145"/>
        <v>DELETE</v>
      </c>
    </row>
    <row r="2294" spans="2:20" ht="36" customHeight="1" x14ac:dyDescent="0.5">
      <c r="B2294" s="502"/>
      <c r="C2294" s="631"/>
      <c r="D2294" s="631"/>
      <c r="E2294" s="631"/>
      <c r="F2294" s="631"/>
      <c r="G2294" s="631"/>
      <c r="H2294" s="631"/>
      <c r="I2294" s="631"/>
      <c r="J2294" s="631"/>
      <c r="L2294" s="451"/>
      <c r="M2294" s="448"/>
      <c r="N2294" s="448"/>
      <c r="O2294" s="453">
        <f>Criteria!E22</f>
        <v>2026</v>
      </c>
      <c r="R2294" s="490" t="str">
        <f t="shared" si="145"/>
        <v>DELETE</v>
      </c>
    </row>
    <row r="2295" spans="2:20" ht="36" customHeight="1" x14ac:dyDescent="0.5">
      <c r="B2295" s="501"/>
      <c r="C2295" s="630"/>
      <c r="D2295" s="631"/>
      <c r="E2295" s="631"/>
      <c r="F2295" s="631"/>
      <c r="G2295" s="631"/>
      <c r="H2295" s="631"/>
      <c r="I2295" s="631"/>
      <c r="J2295" s="631"/>
      <c r="L2295" s="451"/>
      <c r="M2295" s="448"/>
      <c r="N2295" s="448"/>
      <c r="O2295" s="458"/>
      <c r="R2295" s="490" t="str">
        <f t="shared" si="145"/>
        <v>DELETE</v>
      </c>
    </row>
    <row r="2296" spans="2:20" ht="36" customHeight="1" x14ac:dyDescent="0.5">
      <c r="B2296" s="501">
        <f>MAX($B$873:B2295)+1</f>
        <v>23</v>
      </c>
      <c r="C2296" s="630" t="str">
        <f>IF(COUNTIF(TrialBalance!L186:L200,"&lt;0")&gt;1,"Interest bearing borrowings","Interest bearing borrowing")</f>
        <v>Interest bearing borrowing</v>
      </c>
      <c r="D2296" s="631"/>
      <c r="E2296" s="631"/>
      <c r="F2296" s="631"/>
      <c r="G2296" s="631"/>
      <c r="H2296" s="631"/>
      <c r="I2296" s="631"/>
      <c r="J2296" s="631"/>
      <c r="L2296" s="451"/>
      <c r="M2296" s="448"/>
      <c r="N2296" s="448"/>
      <c r="O2296" s="458"/>
      <c r="R2296" s="490" t="str">
        <f t="shared" si="145"/>
        <v>DELETE</v>
      </c>
      <c r="S2296" s="495">
        <f>SUM(O2298:O2313)</f>
        <v>0</v>
      </c>
      <c r="T2296" s="495"/>
    </row>
    <row r="2297" spans="2:20" ht="36" customHeight="1" x14ac:dyDescent="0.5">
      <c r="B2297" s="501"/>
      <c r="C2297" s="630"/>
      <c r="D2297" s="631"/>
      <c r="E2297" s="631"/>
      <c r="F2297" s="631"/>
      <c r="G2297" s="631"/>
      <c r="H2297" s="631"/>
      <c r="I2297" s="631"/>
      <c r="J2297" s="631"/>
      <c r="L2297" s="451"/>
      <c r="M2297" s="448"/>
      <c r="N2297" s="448"/>
      <c r="O2297" s="458"/>
      <c r="R2297" s="490" t="str">
        <f t="shared" si="145"/>
        <v>DELETE</v>
      </c>
      <c r="S2297" s="495"/>
      <c r="T2297" s="495"/>
    </row>
    <row r="2298" spans="2:20" ht="36" customHeight="1" x14ac:dyDescent="0.5">
      <c r="B2298" s="501"/>
      <c r="C2298" s="631">
        <f>TrialBalance!C186</f>
        <v>0</v>
      </c>
      <c r="D2298" s="648"/>
      <c r="E2298" s="631"/>
      <c r="F2298" s="631"/>
      <c r="G2298" s="631"/>
      <c r="H2298" s="631"/>
      <c r="I2298" s="631"/>
      <c r="J2298" s="631"/>
      <c r="L2298" s="451"/>
      <c r="M2298" s="448"/>
      <c r="N2298" s="448"/>
      <c r="O2298" s="458">
        <f>-TrialBalance!L186</f>
        <v>0</v>
      </c>
      <c r="R2298" s="490" t="str">
        <f t="shared" ref="R2298" si="146">IF(O2298=0,"DELETE"," ")</f>
        <v>DELETE</v>
      </c>
    </row>
    <row r="2299" spans="2:20" ht="36" customHeight="1" x14ac:dyDescent="0.5">
      <c r="B2299" s="501"/>
      <c r="C2299" s="631">
        <f>TrialBalance!C187</f>
        <v>0</v>
      </c>
      <c r="D2299" s="648"/>
      <c r="E2299" s="631"/>
      <c r="F2299" s="631"/>
      <c r="G2299" s="631"/>
      <c r="H2299" s="631"/>
      <c r="I2299" s="631"/>
      <c r="J2299" s="631"/>
      <c r="L2299" s="451"/>
      <c r="M2299" s="448"/>
      <c r="N2299" s="448"/>
      <c r="O2299" s="458">
        <f>-TrialBalance!L187</f>
        <v>0</v>
      </c>
      <c r="R2299" s="490" t="str">
        <f t="shared" ref="R2299" si="147">IF(O2299=0,"DELETE"," ")</f>
        <v>DELETE</v>
      </c>
    </row>
    <row r="2300" spans="2:20" ht="36" customHeight="1" x14ac:dyDescent="0.5">
      <c r="B2300" s="501"/>
      <c r="C2300" s="631">
        <f>TrialBalance!C188</f>
        <v>0</v>
      </c>
      <c r="D2300" s="648"/>
      <c r="E2300" s="631"/>
      <c r="F2300" s="631"/>
      <c r="G2300" s="631"/>
      <c r="H2300" s="631"/>
      <c r="I2300" s="631"/>
      <c r="J2300" s="631"/>
      <c r="L2300" s="451"/>
      <c r="M2300" s="448"/>
      <c r="N2300" s="448"/>
      <c r="O2300" s="458">
        <f>-TrialBalance!L188</f>
        <v>0</v>
      </c>
      <c r="R2300" s="490" t="str">
        <f t="shared" ref="R2300" si="148">IF(O2300=0,"DELETE"," ")</f>
        <v>DELETE</v>
      </c>
    </row>
    <row r="2301" spans="2:20" ht="36" customHeight="1" x14ac:dyDescent="0.5">
      <c r="B2301" s="501"/>
      <c r="C2301" s="631">
        <f>TrialBalance!C189</f>
        <v>0</v>
      </c>
      <c r="D2301" s="648"/>
      <c r="E2301" s="631"/>
      <c r="F2301" s="631"/>
      <c r="G2301" s="631"/>
      <c r="H2301" s="631"/>
      <c r="I2301" s="631"/>
      <c r="J2301" s="631"/>
      <c r="L2301" s="451"/>
      <c r="M2301" s="448"/>
      <c r="N2301" s="448"/>
      <c r="O2301" s="458">
        <f>-TrialBalance!L189</f>
        <v>0</v>
      </c>
      <c r="R2301" s="490" t="str">
        <f t="shared" ref="R2301" si="149">IF(O2301=0,"DELETE"," ")</f>
        <v>DELETE</v>
      </c>
    </row>
    <row r="2302" spans="2:20" ht="36" customHeight="1" x14ac:dyDescent="0.5">
      <c r="B2302" s="501"/>
      <c r="C2302" s="631">
        <f>TrialBalance!C190</f>
        <v>0</v>
      </c>
      <c r="D2302" s="648"/>
      <c r="E2302" s="631"/>
      <c r="F2302" s="631"/>
      <c r="G2302" s="631"/>
      <c r="H2302" s="631"/>
      <c r="I2302" s="631"/>
      <c r="J2302" s="631"/>
      <c r="L2302" s="451"/>
      <c r="M2302" s="448"/>
      <c r="N2302" s="448"/>
      <c r="O2302" s="458">
        <f>-TrialBalance!L190</f>
        <v>0</v>
      </c>
      <c r="R2302" s="490" t="str">
        <f t="shared" ref="R2302" si="150">IF(O2302=0,"DELETE"," ")</f>
        <v>DELETE</v>
      </c>
    </row>
    <row r="2303" spans="2:20" ht="36" customHeight="1" x14ac:dyDescent="0.5">
      <c r="B2303" s="501"/>
      <c r="C2303" s="631">
        <f>TrialBalance!C191</f>
        <v>0</v>
      </c>
      <c r="D2303" s="648"/>
      <c r="E2303" s="631"/>
      <c r="F2303" s="631"/>
      <c r="G2303" s="631"/>
      <c r="H2303" s="631"/>
      <c r="I2303" s="631"/>
      <c r="J2303" s="631"/>
      <c r="L2303" s="451"/>
      <c r="M2303" s="448"/>
      <c r="N2303" s="448"/>
      <c r="O2303" s="458">
        <f>-TrialBalance!L191</f>
        <v>0</v>
      </c>
      <c r="R2303" s="490" t="str">
        <f t="shared" ref="R2303:R2312" si="151">IF(O2303=0,"DELETE"," ")</f>
        <v>DELETE</v>
      </c>
    </row>
    <row r="2304" spans="2:20" ht="36" customHeight="1" x14ac:dyDescent="0.5">
      <c r="B2304" s="501"/>
      <c r="C2304" s="631">
        <f>TrialBalance!C192</f>
        <v>0</v>
      </c>
      <c r="D2304" s="648"/>
      <c r="E2304" s="631"/>
      <c r="F2304" s="631"/>
      <c r="G2304" s="631"/>
      <c r="H2304" s="631"/>
      <c r="I2304" s="631"/>
      <c r="J2304" s="631"/>
      <c r="L2304" s="451"/>
      <c r="M2304" s="448"/>
      <c r="N2304" s="448"/>
      <c r="O2304" s="458">
        <f>-TrialBalance!L192</f>
        <v>0</v>
      </c>
      <c r="R2304" s="490" t="str">
        <f t="shared" si="151"/>
        <v>DELETE</v>
      </c>
    </row>
    <row r="2305" spans="2:22" ht="36" customHeight="1" x14ac:dyDescent="0.5">
      <c r="B2305" s="501"/>
      <c r="C2305" s="631">
        <f>TrialBalance!C193</f>
        <v>0</v>
      </c>
      <c r="D2305" s="648"/>
      <c r="E2305" s="631"/>
      <c r="F2305" s="631"/>
      <c r="G2305" s="631"/>
      <c r="H2305" s="631"/>
      <c r="I2305" s="631"/>
      <c r="J2305" s="631"/>
      <c r="L2305" s="451"/>
      <c r="M2305" s="448"/>
      <c r="N2305" s="448"/>
      <c r="O2305" s="458">
        <f>-TrialBalance!L193</f>
        <v>0</v>
      </c>
      <c r="R2305" s="490" t="str">
        <f t="shared" si="151"/>
        <v>DELETE</v>
      </c>
    </row>
    <row r="2306" spans="2:22" ht="36" customHeight="1" x14ac:dyDescent="0.5">
      <c r="B2306" s="501"/>
      <c r="C2306" s="631">
        <f>TrialBalance!C194</f>
        <v>0</v>
      </c>
      <c r="D2306" s="648"/>
      <c r="E2306" s="631"/>
      <c r="F2306" s="631"/>
      <c r="G2306" s="631"/>
      <c r="H2306" s="631"/>
      <c r="I2306" s="631"/>
      <c r="J2306" s="631"/>
      <c r="L2306" s="451"/>
      <c r="M2306" s="448"/>
      <c r="N2306" s="448"/>
      <c r="O2306" s="458">
        <f>-TrialBalance!L194</f>
        <v>0</v>
      </c>
      <c r="R2306" s="490" t="str">
        <f t="shared" si="151"/>
        <v>DELETE</v>
      </c>
    </row>
    <row r="2307" spans="2:22" ht="36" customHeight="1" x14ac:dyDescent="0.5">
      <c r="B2307" s="501"/>
      <c r="C2307" s="631">
        <f>TrialBalance!C195</f>
        <v>0</v>
      </c>
      <c r="D2307" s="648"/>
      <c r="E2307" s="631"/>
      <c r="F2307" s="631"/>
      <c r="G2307" s="631"/>
      <c r="H2307" s="631"/>
      <c r="I2307" s="631"/>
      <c r="J2307" s="631"/>
      <c r="L2307" s="451"/>
      <c r="M2307" s="448"/>
      <c r="N2307" s="448"/>
      <c r="O2307" s="458">
        <f>-TrialBalance!L195</f>
        <v>0</v>
      </c>
      <c r="R2307" s="490" t="str">
        <f t="shared" si="151"/>
        <v>DELETE</v>
      </c>
    </row>
    <row r="2308" spans="2:22" ht="36" customHeight="1" x14ac:dyDescent="0.5">
      <c r="B2308" s="501"/>
      <c r="C2308" s="631">
        <f>TrialBalance!C196</f>
        <v>0</v>
      </c>
      <c r="D2308" s="648"/>
      <c r="E2308" s="631"/>
      <c r="F2308" s="631"/>
      <c r="G2308" s="631"/>
      <c r="H2308" s="631"/>
      <c r="I2308" s="631"/>
      <c r="J2308" s="631"/>
      <c r="L2308" s="451"/>
      <c r="M2308" s="448"/>
      <c r="N2308" s="448"/>
      <c r="O2308" s="458">
        <f>-TrialBalance!L196</f>
        <v>0</v>
      </c>
      <c r="R2308" s="490" t="str">
        <f t="shared" si="151"/>
        <v>DELETE</v>
      </c>
    </row>
    <row r="2309" spans="2:22" ht="36" customHeight="1" x14ac:dyDescent="0.5">
      <c r="B2309" s="501"/>
      <c r="C2309" s="631">
        <f>TrialBalance!C197</f>
        <v>0</v>
      </c>
      <c r="D2309" s="648"/>
      <c r="E2309" s="631"/>
      <c r="F2309" s="631"/>
      <c r="G2309" s="631"/>
      <c r="H2309" s="631"/>
      <c r="I2309" s="631"/>
      <c r="J2309" s="631"/>
      <c r="L2309" s="451"/>
      <c r="M2309" s="448"/>
      <c r="N2309" s="448"/>
      <c r="O2309" s="458">
        <f>-TrialBalance!L197</f>
        <v>0</v>
      </c>
      <c r="R2309" s="490" t="str">
        <f t="shared" si="151"/>
        <v>DELETE</v>
      </c>
    </row>
    <row r="2310" spans="2:22" ht="36" customHeight="1" x14ac:dyDescent="0.5">
      <c r="B2310" s="501"/>
      <c r="C2310" s="631">
        <f>TrialBalance!C198</f>
        <v>0</v>
      </c>
      <c r="D2310" s="648"/>
      <c r="E2310" s="631"/>
      <c r="F2310" s="631"/>
      <c r="G2310" s="631"/>
      <c r="H2310" s="631"/>
      <c r="I2310" s="631"/>
      <c r="J2310" s="631"/>
      <c r="L2310" s="451"/>
      <c r="M2310" s="448"/>
      <c r="N2310" s="448"/>
      <c r="O2310" s="458">
        <f>-TrialBalance!L198</f>
        <v>0</v>
      </c>
      <c r="R2310" s="490" t="str">
        <f t="shared" si="151"/>
        <v>DELETE</v>
      </c>
    </row>
    <row r="2311" spans="2:22" ht="36" customHeight="1" x14ac:dyDescent="0.5">
      <c r="B2311" s="501"/>
      <c r="C2311" s="631">
        <f>TrialBalance!C199</f>
        <v>0</v>
      </c>
      <c r="D2311" s="648"/>
      <c r="E2311" s="631"/>
      <c r="F2311" s="631"/>
      <c r="G2311" s="631"/>
      <c r="H2311" s="631"/>
      <c r="I2311" s="631"/>
      <c r="J2311" s="631"/>
      <c r="L2311" s="451"/>
      <c r="M2311" s="448"/>
      <c r="N2311" s="448"/>
      <c r="O2311" s="458">
        <f>-TrialBalance!L199</f>
        <v>0</v>
      </c>
      <c r="R2311" s="490" t="str">
        <f t="shared" si="151"/>
        <v>DELETE</v>
      </c>
    </row>
    <row r="2312" spans="2:22" ht="36" customHeight="1" x14ac:dyDescent="0.5">
      <c r="B2312" s="501"/>
      <c r="C2312" s="631">
        <f>TrialBalance!C200</f>
        <v>0</v>
      </c>
      <c r="D2312" s="648"/>
      <c r="E2312" s="631"/>
      <c r="F2312" s="631"/>
      <c r="G2312" s="631"/>
      <c r="H2312" s="631"/>
      <c r="I2312" s="631"/>
      <c r="J2312" s="631"/>
      <c r="L2312" s="451"/>
      <c r="M2312" s="448"/>
      <c r="N2312" s="448"/>
      <c r="O2312" s="458">
        <f>-TrialBalance!L200</f>
        <v>0</v>
      </c>
      <c r="R2312" s="490" t="str">
        <f t="shared" si="151"/>
        <v>DELETE</v>
      </c>
    </row>
    <row r="2313" spans="2:22" ht="9" customHeight="1" x14ac:dyDescent="0.5">
      <c r="B2313" s="501"/>
      <c r="C2313" s="631"/>
      <c r="D2313" s="648"/>
      <c r="E2313" s="631"/>
      <c r="F2313" s="631"/>
      <c r="G2313" s="631"/>
      <c r="H2313" s="631"/>
      <c r="I2313" s="631"/>
      <c r="J2313" s="631"/>
      <c r="L2313" s="451"/>
      <c r="M2313" s="448"/>
      <c r="N2313" s="448"/>
      <c r="O2313" s="461"/>
      <c r="R2313" s="490" t="str">
        <f>R2316</f>
        <v>DELETE</v>
      </c>
    </row>
    <row r="2314" spans="2:22" ht="9" customHeight="1" x14ac:dyDescent="0.5">
      <c r="B2314" s="501"/>
      <c r="C2314" s="631"/>
      <c r="D2314" s="648"/>
      <c r="E2314" s="631"/>
      <c r="F2314" s="631"/>
      <c r="G2314" s="631"/>
      <c r="H2314" s="631"/>
      <c r="I2314" s="631"/>
      <c r="J2314" s="631"/>
      <c r="L2314" s="451"/>
      <c r="M2314" s="448"/>
      <c r="N2314" s="448"/>
      <c r="O2314" s="458"/>
      <c r="R2314" s="490" t="str">
        <f>R2316</f>
        <v>DELETE</v>
      </c>
    </row>
    <row r="2315" spans="2:22" ht="36" customHeight="1" x14ac:dyDescent="0.5">
      <c r="B2315" s="501"/>
      <c r="C2315" s="631"/>
      <c r="D2315" s="648"/>
      <c r="E2315" s="631"/>
      <c r="F2315" s="631"/>
      <c r="G2315" s="631"/>
      <c r="H2315" s="631"/>
      <c r="I2315" s="631"/>
      <c r="J2315" s="631"/>
      <c r="L2315" s="451"/>
      <c r="M2315" s="448"/>
      <c r="N2315" s="448"/>
      <c r="O2315" s="458">
        <f>SUM(O2298:O2313)</f>
        <v>0</v>
      </c>
      <c r="R2315" s="490" t="str">
        <f>R2316</f>
        <v>DELETE</v>
      </c>
      <c r="S2315" s="496"/>
      <c r="T2315" s="496"/>
      <c r="U2315" s="496"/>
      <c r="V2315" s="496"/>
    </row>
    <row r="2316" spans="2:22" ht="36" customHeight="1" x14ac:dyDescent="0.5">
      <c r="B2316" s="501"/>
      <c r="C2316" s="631" t="s">
        <v>1563</v>
      </c>
      <c r="D2316" s="648"/>
      <c r="E2316" s="631"/>
      <c r="F2316" s="631"/>
      <c r="G2316" s="631"/>
      <c r="H2316" s="631"/>
      <c r="I2316" s="631"/>
      <c r="J2316" s="631"/>
      <c r="L2316" s="451"/>
      <c r="M2316" s="448"/>
      <c r="N2316" s="448"/>
      <c r="O2316" s="458">
        <f>TrialBalance!L201</f>
        <v>0</v>
      </c>
      <c r="R2316" s="490" t="str">
        <f t="shared" ref="R2316" si="152">IF(O2316=0,"DELETE"," ")</f>
        <v>DELETE</v>
      </c>
      <c r="S2316" s="496">
        <f>-O2316</f>
        <v>0</v>
      </c>
      <c r="T2316" s="496"/>
      <c r="U2316" s="496"/>
      <c r="V2316" s="496"/>
    </row>
    <row r="2317" spans="2:22" ht="9" customHeight="1" x14ac:dyDescent="0.5">
      <c r="B2317" s="501"/>
      <c r="C2317" s="630"/>
      <c r="D2317" s="631"/>
      <c r="E2317" s="631"/>
      <c r="F2317" s="631"/>
      <c r="G2317" s="631"/>
      <c r="H2317" s="631"/>
      <c r="I2317" s="631"/>
      <c r="J2317" s="631"/>
      <c r="L2317" s="451"/>
      <c r="M2317" s="448"/>
      <c r="N2317" s="448"/>
      <c r="O2317" s="461"/>
      <c r="R2317" s="490" t="str">
        <f>R$2319</f>
        <v>DELETE</v>
      </c>
    </row>
    <row r="2318" spans="2:22" ht="9" customHeight="1" x14ac:dyDescent="0.5">
      <c r="B2318" s="501"/>
      <c r="C2318" s="630"/>
      <c r="D2318" s="631"/>
      <c r="E2318" s="631"/>
      <c r="F2318" s="631"/>
      <c r="G2318" s="631"/>
      <c r="H2318" s="631"/>
      <c r="I2318" s="631"/>
      <c r="J2318" s="631"/>
      <c r="L2318" s="451"/>
      <c r="M2318" s="448"/>
      <c r="N2318" s="448"/>
      <c r="O2318" s="458"/>
      <c r="R2318" s="490" t="str">
        <f>R$2319</f>
        <v>DELETE</v>
      </c>
    </row>
    <row r="2319" spans="2:22" ht="36.75" customHeight="1" x14ac:dyDescent="0.5">
      <c r="B2319" s="501"/>
      <c r="C2319" s="630"/>
      <c r="D2319" s="631"/>
      <c r="E2319" s="631"/>
      <c r="F2319" s="631"/>
      <c r="G2319" s="631"/>
      <c r="H2319" s="631"/>
      <c r="I2319" s="631"/>
      <c r="J2319" s="631"/>
      <c r="L2319" s="451"/>
      <c r="M2319" s="448"/>
      <c r="N2319" s="448"/>
      <c r="O2319" s="458">
        <f>SUM(S2296:S2317)</f>
        <v>0</v>
      </c>
      <c r="R2319" s="490" t="str">
        <f>IF(SUM(O2298:O2312)&gt;0," ","DELETE")</f>
        <v>DELETE</v>
      </c>
    </row>
    <row r="2320" spans="2:22" ht="9" customHeight="1" thickBot="1" x14ac:dyDescent="0.55000000000000004">
      <c r="B2320" s="501"/>
      <c r="C2320" s="630"/>
      <c r="D2320" s="631"/>
      <c r="E2320" s="631"/>
      <c r="F2320" s="631"/>
      <c r="G2320" s="631"/>
      <c r="H2320" s="631"/>
      <c r="I2320" s="631"/>
      <c r="J2320" s="631"/>
      <c r="L2320" s="451"/>
      <c r="M2320" s="448"/>
      <c r="N2320" s="448"/>
      <c r="O2320" s="462"/>
      <c r="R2320" s="490" t="str">
        <f t="shared" ref="R2320:R2325" si="153">R$2319</f>
        <v>DELETE</v>
      </c>
    </row>
    <row r="2321" spans="2:18" ht="9" customHeight="1" thickTop="1" x14ac:dyDescent="0.5">
      <c r="B2321" s="501"/>
      <c r="C2321" s="630"/>
      <c r="D2321" s="631"/>
      <c r="E2321" s="631"/>
      <c r="F2321" s="631"/>
      <c r="G2321" s="631"/>
      <c r="H2321" s="631"/>
      <c r="I2321" s="631"/>
      <c r="J2321" s="631"/>
      <c r="L2321" s="451"/>
      <c r="M2321" s="448"/>
      <c r="N2321" s="448"/>
      <c r="O2321" s="475"/>
      <c r="R2321" s="490" t="str">
        <f t="shared" si="153"/>
        <v>DELETE</v>
      </c>
    </row>
    <row r="2322" spans="2:18" ht="36" customHeight="1" x14ac:dyDescent="0.5">
      <c r="B2322" s="501"/>
      <c r="C2322" s="630"/>
      <c r="D2322" s="631"/>
      <c r="E2322" s="631"/>
      <c r="F2322" s="631"/>
      <c r="G2322" s="631"/>
      <c r="H2322" s="631"/>
      <c r="I2322" s="631"/>
      <c r="J2322" s="631"/>
      <c r="L2322" s="451"/>
      <c r="M2322" s="448"/>
      <c r="N2322" s="448"/>
      <c r="O2322" s="458"/>
      <c r="R2322" s="490" t="str">
        <f t="shared" si="153"/>
        <v>DELETE</v>
      </c>
    </row>
    <row r="2323" spans="2:18" ht="36" customHeight="1" x14ac:dyDescent="0.5">
      <c r="B2323" s="501"/>
      <c r="C2323" s="630"/>
      <c r="D2323" s="631"/>
      <c r="E2323" s="631"/>
      <c r="F2323" s="631"/>
      <c r="G2323" s="631"/>
      <c r="H2323" s="631"/>
      <c r="I2323" s="631"/>
      <c r="J2323" s="631"/>
      <c r="M2323" s="458"/>
      <c r="N2323" s="458"/>
      <c r="O2323" s="458"/>
      <c r="R2323" s="490" t="str">
        <f t="shared" si="153"/>
        <v>DELETE</v>
      </c>
    </row>
    <row r="2324" spans="2:18" ht="36" customHeight="1" x14ac:dyDescent="0.5">
      <c r="B2324" s="501"/>
      <c r="C2324" s="630"/>
      <c r="D2324" s="631"/>
      <c r="E2324" s="631"/>
      <c r="F2324" s="631"/>
      <c r="G2324" s="631"/>
      <c r="H2324" s="631"/>
      <c r="I2324" s="631"/>
      <c r="J2324" s="631"/>
      <c r="M2324" s="475"/>
      <c r="N2324" s="475"/>
      <c r="O2324" s="475"/>
      <c r="P2324" s="545"/>
      <c r="R2324" s="490" t="str">
        <f t="shared" si="153"/>
        <v>DELETE</v>
      </c>
    </row>
    <row r="2325" spans="2:18" ht="36" customHeight="1" x14ac:dyDescent="0.5">
      <c r="B2325" s="501"/>
      <c r="C2325" s="630"/>
      <c r="D2325" s="631"/>
      <c r="E2325" s="631"/>
      <c r="F2325" s="631"/>
      <c r="G2325" s="631"/>
      <c r="H2325" s="631"/>
      <c r="I2325" s="631"/>
      <c r="J2325" s="631"/>
      <c r="M2325" s="458"/>
      <c r="N2325" s="458"/>
      <c r="O2325" s="458"/>
      <c r="R2325" s="490" t="str">
        <f t="shared" si="153"/>
        <v>DELETE</v>
      </c>
    </row>
    <row r="2326" spans="2:18" ht="36" customHeight="1" x14ac:dyDescent="0.5">
      <c r="B2326" s="501"/>
      <c r="C2326" s="630"/>
      <c r="D2326" s="631"/>
      <c r="E2326" s="631"/>
      <c r="F2326" s="631"/>
      <c r="G2326" s="631"/>
      <c r="H2326" s="631"/>
      <c r="I2326" s="631"/>
      <c r="J2326" s="631"/>
      <c r="M2326" s="458"/>
      <c r="N2326" s="458"/>
      <c r="O2326" s="458" t="s">
        <v>112</v>
      </c>
      <c r="Q2326" s="450">
        <f>MAX($Q$103:Q2325)+1</f>
        <v>61</v>
      </c>
      <c r="R2326" s="490" t="str">
        <f>R$2357</f>
        <v>DELETE</v>
      </c>
    </row>
    <row r="2327" spans="2:18" ht="36" customHeight="1" x14ac:dyDescent="0.5">
      <c r="B2327" s="502"/>
      <c r="C2327" s="631"/>
      <c r="D2327" s="630" t="str">
        <f>Criteria!E9</f>
        <v>ABC COMPANY (PROPRIETARY) LIMITED</v>
      </c>
      <c r="E2327" s="631"/>
      <c r="F2327" s="631"/>
      <c r="G2327" s="631"/>
      <c r="H2327" s="631"/>
      <c r="I2327" s="631"/>
      <c r="J2327" s="631"/>
      <c r="M2327" s="541"/>
      <c r="N2327" s="541"/>
      <c r="O2327" s="540"/>
      <c r="R2327" s="490" t="str">
        <f t="shared" ref="R2327:R2337" si="154">R$2357</f>
        <v>DELETE</v>
      </c>
    </row>
    <row r="2328" spans="2:18" ht="36" customHeight="1" x14ac:dyDescent="0.5">
      <c r="B2328" s="502"/>
      <c r="C2328" s="631"/>
      <c r="D2328" s="630" t="str">
        <f>Criteria!E10</f>
        <v>T/A SEAFRONT HOTEL, ABC RESTAURANT AND RENTAL PROPERTIES</v>
      </c>
      <c r="E2328" s="631"/>
      <c r="F2328" s="631"/>
      <c r="G2328" s="631"/>
      <c r="H2328" s="631"/>
      <c r="I2328" s="631"/>
      <c r="J2328" s="631"/>
      <c r="M2328" s="541"/>
      <c r="N2328" s="541"/>
      <c r="O2328" s="541"/>
      <c r="R2328" s="490" t="str">
        <f>IF(R$2357="DELETE","DELETE",IF(D2328=0,"DELETE"," "))</f>
        <v>DELETE</v>
      </c>
    </row>
    <row r="2329" spans="2:18" ht="36" customHeight="1" x14ac:dyDescent="0.5">
      <c r="B2329" s="502"/>
      <c r="C2329" s="631"/>
      <c r="D2329" s="631"/>
      <c r="E2329" s="631"/>
      <c r="F2329" s="631"/>
      <c r="G2329" s="631"/>
      <c r="H2329" s="631"/>
      <c r="I2329" s="631"/>
      <c r="J2329" s="631"/>
      <c r="M2329" s="541"/>
      <c r="N2329" s="541"/>
      <c r="O2329" s="541"/>
      <c r="R2329" s="490" t="str">
        <f t="shared" si="154"/>
        <v>DELETE</v>
      </c>
    </row>
    <row r="2330" spans="2:18" ht="36" customHeight="1" x14ac:dyDescent="0.5">
      <c r="B2330" s="502"/>
      <c r="C2330" s="631"/>
      <c r="D2330" s="630" t="s">
        <v>415</v>
      </c>
      <c r="E2330" s="631"/>
      <c r="F2330" s="631"/>
      <c r="G2330" s="631"/>
      <c r="H2330" s="631"/>
      <c r="I2330" s="631"/>
      <c r="J2330" s="631"/>
      <c r="M2330" s="541"/>
      <c r="N2330" s="541"/>
      <c r="O2330" s="541"/>
      <c r="R2330" s="490" t="str">
        <f t="shared" si="154"/>
        <v>DELETE</v>
      </c>
    </row>
    <row r="2331" spans="2:18" ht="36" customHeight="1" x14ac:dyDescent="0.5">
      <c r="B2331" s="502"/>
      <c r="C2331" s="631"/>
      <c r="D2331" s="630" t="str">
        <f>Criteria!E20</f>
        <v>28 FEBRUARY 2026</v>
      </c>
      <c r="E2331" s="631"/>
      <c r="F2331" s="631"/>
      <c r="G2331" s="631"/>
      <c r="H2331" s="631"/>
      <c r="I2331" s="631"/>
      <c r="J2331" s="631" t="s">
        <v>282</v>
      </c>
      <c r="M2331" s="541"/>
      <c r="N2331" s="541"/>
      <c r="O2331" s="541"/>
      <c r="R2331" s="490" t="str">
        <f t="shared" si="154"/>
        <v>DELETE</v>
      </c>
    </row>
    <row r="2332" spans="2:18" ht="36" customHeight="1" x14ac:dyDescent="0.5">
      <c r="B2332" s="502"/>
      <c r="C2332" s="631"/>
      <c r="D2332" s="631"/>
      <c r="E2332" s="631"/>
      <c r="F2332" s="631"/>
      <c r="G2332" s="631"/>
      <c r="H2332" s="631"/>
      <c r="I2332" s="631"/>
      <c r="J2332" s="631"/>
      <c r="M2332" s="554"/>
      <c r="N2332" s="554"/>
      <c r="O2332" s="554"/>
      <c r="R2332" s="490" t="str">
        <f t="shared" si="154"/>
        <v>DELETE</v>
      </c>
    </row>
    <row r="2333" spans="2:18" ht="36" customHeight="1" x14ac:dyDescent="0.5">
      <c r="B2333" s="641"/>
      <c r="C2333" s="649"/>
      <c r="D2333" s="649"/>
      <c r="E2333" s="649"/>
      <c r="F2333" s="649"/>
      <c r="G2333" s="649"/>
      <c r="H2333" s="649"/>
      <c r="I2333" s="649"/>
      <c r="J2333" s="649"/>
      <c r="K2333" s="457"/>
      <c r="L2333" s="457"/>
      <c r="M2333" s="557"/>
      <c r="N2333" s="557"/>
      <c r="O2333" s="557"/>
      <c r="P2333" s="551"/>
      <c r="Q2333" s="457"/>
      <c r="R2333" s="490" t="str">
        <f t="shared" si="154"/>
        <v>DELETE</v>
      </c>
    </row>
    <row r="2334" spans="2:18" ht="36" customHeight="1" x14ac:dyDescent="0.5">
      <c r="B2334" s="502"/>
      <c r="C2334" s="631"/>
      <c r="D2334" s="631"/>
      <c r="E2334" s="631"/>
      <c r="F2334" s="631"/>
      <c r="G2334" s="631"/>
      <c r="H2334" s="631"/>
      <c r="I2334" s="631"/>
      <c r="J2334" s="631"/>
      <c r="L2334" s="451"/>
      <c r="M2334" s="448"/>
      <c r="N2334" s="448"/>
      <c r="O2334" s="453">
        <f>Criteria!E22</f>
        <v>2026</v>
      </c>
      <c r="R2334" s="490" t="str">
        <f t="shared" si="154"/>
        <v>DELETE</v>
      </c>
    </row>
    <row r="2335" spans="2:18" ht="36" customHeight="1" x14ac:dyDescent="0.5">
      <c r="B2335" s="501"/>
      <c r="C2335" s="630"/>
      <c r="D2335" s="631"/>
      <c r="E2335" s="631"/>
      <c r="F2335" s="631"/>
      <c r="G2335" s="631"/>
      <c r="H2335" s="631"/>
      <c r="I2335" s="631"/>
      <c r="J2335" s="631"/>
      <c r="L2335" s="451"/>
      <c r="M2335" s="448"/>
      <c r="N2335" s="448"/>
      <c r="O2335" s="458"/>
      <c r="R2335" s="490" t="str">
        <f t="shared" si="154"/>
        <v>DELETE</v>
      </c>
    </row>
    <row r="2336" spans="2:18" ht="36" customHeight="1" x14ac:dyDescent="0.5">
      <c r="B2336" s="501">
        <f>MAX($B$873:B2335)+1</f>
        <v>24</v>
      </c>
      <c r="C2336" s="630" t="str">
        <f>IF(COUNTIF(TrialBalance!L203:L219,"&lt;0")&gt;1,"Interest free borrowings","Interest free borrowing")</f>
        <v>Interest free borrowing</v>
      </c>
      <c r="D2336" s="631"/>
      <c r="E2336" s="631"/>
      <c r="F2336" s="631"/>
      <c r="G2336" s="631"/>
      <c r="H2336" s="631"/>
      <c r="I2336" s="631"/>
      <c r="J2336" s="631"/>
      <c r="L2336" s="451"/>
      <c r="M2336" s="448"/>
      <c r="N2336" s="448"/>
      <c r="O2336" s="458"/>
      <c r="R2336" s="490" t="str">
        <f t="shared" si="154"/>
        <v>DELETE</v>
      </c>
    </row>
    <row r="2337" spans="2:18" ht="36" customHeight="1" x14ac:dyDescent="0.5">
      <c r="B2337" s="501"/>
      <c r="C2337" s="630"/>
      <c r="D2337" s="631"/>
      <c r="E2337" s="631"/>
      <c r="F2337" s="631"/>
      <c r="G2337" s="631"/>
      <c r="H2337" s="631"/>
      <c r="I2337" s="631"/>
      <c r="J2337" s="631"/>
      <c r="L2337" s="451"/>
      <c r="M2337" s="448"/>
      <c r="N2337" s="448"/>
      <c r="O2337" s="458"/>
      <c r="R2337" s="490" t="str">
        <f t="shared" si="154"/>
        <v>DELETE</v>
      </c>
    </row>
    <row r="2338" spans="2:18" ht="36" customHeight="1" x14ac:dyDescent="0.5">
      <c r="B2338" s="501"/>
      <c r="C2338" s="631">
        <f>TrialBalance!C203</f>
        <v>0</v>
      </c>
      <c r="D2338" s="648"/>
      <c r="E2338" s="631"/>
      <c r="F2338" s="631"/>
      <c r="G2338" s="631"/>
      <c r="H2338" s="631"/>
      <c r="I2338" s="631"/>
      <c r="J2338" s="631"/>
      <c r="L2338" s="451"/>
      <c r="M2338" s="448"/>
      <c r="N2338" s="448"/>
      <c r="O2338" s="458">
        <f>-TrialBalance!L203</f>
        <v>0</v>
      </c>
      <c r="R2338" s="490" t="str">
        <f t="shared" ref="R2338:R2354" si="155">IF(O2338=0,"DELETE"," ")</f>
        <v>DELETE</v>
      </c>
    </row>
    <row r="2339" spans="2:18" ht="36" customHeight="1" x14ac:dyDescent="0.5">
      <c r="B2339" s="501"/>
      <c r="C2339" s="631">
        <f>TrialBalance!C204</f>
        <v>0</v>
      </c>
      <c r="D2339" s="648"/>
      <c r="E2339" s="631"/>
      <c r="F2339" s="631"/>
      <c r="G2339" s="631"/>
      <c r="H2339" s="631"/>
      <c r="I2339" s="631"/>
      <c r="J2339" s="631"/>
      <c r="L2339" s="451"/>
      <c r="M2339" s="448"/>
      <c r="N2339" s="448"/>
      <c r="O2339" s="458">
        <f>-TrialBalance!L204</f>
        <v>0</v>
      </c>
      <c r="R2339" s="490" t="str">
        <f t="shared" si="155"/>
        <v>DELETE</v>
      </c>
    </row>
    <row r="2340" spans="2:18" ht="36" customHeight="1" x14ac:dyDescent="0.5">
      <c r="B2340" s="501"/>
      <c r="C2340" s="631">
        <f>TrialBalance!C205</f>
        <v>0</v>
      </c>
      <c r="D2340" s="648"/>
      <c r="E2340" s="631"/>
      <c r="F2340" s="631"/>
      <c r="G2340" s="631"/>
      <c r="H2340" s="631"/>
      <c r="I2340" s="631"/>
      <c r="J2340" s="631"/>
      <c r="L2340" s="451"/>
      <c r="M2340" s="448"/>
      <c r="N2340" s="448"/>
      <c r="O2340" s="458">
        <f>-TrialBalance!L205</f>
        <v>0</v>
      </c>
      <c r="R2340" s="490" t="str">
        <f t="shared" si="155"/>
        <v>DELETE</v>
      </c>
    </row>
    <row r="2341" spans="2:18" ht="36" customHeight="1" x14ac:dyDescent="0.5">
      <c r="B2341" s="501"/>
      <c r="C2341" s="631">
        <f>TrialBalance!C206</f>
        <v>0</v>
      </c>
      <c r="D2341" s="648"/>
      <c r="E2341" s="631"/>
      <c r="F2341" s="631"/>
      <c r="G2341" s="631"/>
      <c r="H2341" s="631"/>
      <c r="I2341" s="631"/>
      <c r="J2341" s="631"/>
      <c r="L2341" s="451"/>
      <c r="M2341" s="448"/>
      <c r="N2341" s="448"/>
      <c r="O2341" s="458">
        <f>-TrialBalance!L206</f>
        <v>0</v>
      </c>
      <c r="R2341" s="490" t="str">
        <f t="shared" si="155"/>
        <v>DELETE</v>
      </c>
    </row>
    <row r="2342" spans="2:18" ht="36" customHeight="1" x14ac:dyDescent="0.5">
      <c r="B2342" s="501"/>
      <c r="C2342" s="631">
        <f>TrialBalance!C207</f>
        <v>0</v>
      </c>
      <c r="D2342" s="648"/>
      <c r="E2342" s="631"/>
      <c r="F2342" s="631"/>
      <c r="G2342" s="631"/>
      <c r="H2342" s="631"/>
      <c r="I2342" s="631"/>
      <c r="J2342" s="631"/>
      <c r="L2342" s="451"/>
      <c r="M2342" s="448"/>
      <c r="N2342" s="448"/>
      <c r="O2342" s="458">
        <f>-TrialBalance!L207</f>
        <v>0</v>
      </c>
      <c r="R2342" s="490" t="str">
        <f t="shared" si="155"/>
        <v>DELETE</v>
      </c>
    </row>
    <row r="2343" spans="2:18" ht="36" customHeight="1" x14ac:dyDescent="0.5">
      <c r="B2343" s="501"/>
      <c r="C2343" s="631">
        <f>TrialBalance!C208</f>
        <v>0</v>
      </c>
      <c r="D2343" s="648"/>
      <c r="E2343" s="631"/>
      <c r="F2343" s="631"/>
      <c r="G2343" s="631"/>
      <c r="H2343" s="631"/>
      <c r="I2343" s="631"/>
      <c r="J2343" s="631"/>
      <c r="L2343" s="451"/>
      <c r="M2343" s="448"/>
      <c r="N2343" s="448"/>
      <c r="O2343" s="458">
        <f>-TrialBalance!L208</f>
        <v>0</v>
      </c>
      <c r="R2343" s="490" t="str">
        <f t="shared" si="155"/>
        <v>DELETE</v>
      </c>
    </row>
    <row r="2344" spans="2:18" ht="36" customHeight="1" x14ac:dyDescent="0.5">
      <c r="B2344" s="501"/>
      <c r="C2344" s="631">
        <f>TrialBalance!C209</f>
        <v>0</v>
      </c>
      <c r="D2344" s="648"/>
      <c r="E2344" s="631"/>
      <c r="F2344" s="631"/>
      <c r="G2344" s="631"/>
      <c r="H2344" s="631"/>
      <c r="I2344" s="631"/>
      <c r="J2344" s="631"/>
      <c r="L2344" s="451"/>
      <c r="M2344" s="448"/>
      <c r="N2344" s="448"/>
      <c r="O2344" s="458">
        <f>-TrialBalance!L209</f>
        <v>0</v>
      </c>
      <c r="R2344" s="490" t="str">
        <f t="shared" si="155"/>
        <v>DELETE</v>
      </c>
    </row>
    <row r="2345" spans="2:18" ht="36" customHeight="1" x14ac:dyDescent="0.5">
      <c r="B2345" s="501"/>
      <c r="C2345" s="631">
        <f>TrialBalance!C210</f>
        <v>0</v>
      </c>
      <c r="D2345" s="648"/>
      <c r="E2345" s="631"/>
      <c r="F2345" s="631"/>
      <c r="G2345" s="631"/>
      <c r="H2345" s="631"/>
      <c r="I2345" s="631"/>
      <c r="J2345" s="631"/>
      <c r="L2345" s="451"/>
      <c r="M2345" s="448"/>
      <c r="N2345" s="448"/>
      <c r="O2345" s="458">
        <f>-TrialBalance!L210</f>
        <v>0</v>
      </c>
      <c r="R2345" s="490" t="str">
        <f t="shared" si="155"/>
        <v>DELETE</v>
      </c>
    </row>
    <row r="2346" spans="2:18" ht="36" customHeight="1" x14ac:dyDescent="0.5">
      <c r="B2346" s="501"/>
      <c r="C2346" s="631">
        <f>TrialBalance!C211</f>
        <v>0</v>
      </c>
      <c r="D2346" s="648"/>
      <c r="E2346" s="631"/>
      <c r="F2346" s="631"/>
      <c r="G2346" s="631"/>
      <c r="H2346" s="631"/>
      <c r="I2346" s="631"/>
      <c r="J2346" s="631"/>
      <c r="L2346" s="451"/>
      <c r="M2346" s="448"/>
      <c r="N2346" s="448"/>
      <c r="O2346" s="458">
        <f>-TrialBalance!L211</f>
        <v>0</v>
      </c>
      <c r="R2346" s="490" t="str">
        <f t="shared" si="155"/>
        <v>DELETE</v>
      </c>
    </row>
    <row r="2347" spans="2:18" ht="36" customHeight="1" x14ac:dyDescent="0.5">
      <c r="B2347" s="501"/>
      <c r="C2347" s="631">
        <f>TrialBalance!C212</f>
        <v>0</v>
      </c>
      <c r="D2347" s="648"/>
      <c r="E2347" s="631"/>
      <c r="F2347" s="631"/>
      <c r="G2347" s="631"/>
      <c r="H2347" s="631"/>
      <c r="I2347" s="631"/>
      <c r="J2347" s="631"/>
      <c r="L2347" s="451"/>
      <c r="M2347" s="448"/>
      <c r="N2347" s="448"/>
      <c r="O2347" s="458">
        <f>-TrialBalance!L212</f>
        <v>0</v>
      </c>
      <c r="R2347" s="490" t="str">
        <f t="shared" si="155"/>
        <v>DELETE</v>
      </c>
    </row>
    <row r="2348" spans="2:18" ht="36" customHeight="1" x14ac:dyDescent="0.5">
      <c r="B2348" s="501"/>
      <c r="C2348" s="631">
        <f>TrialBalance!C213</f>
        <v>0</v>
      </c>
      <c r="D2348" s="648"/>
      <c r="E2348" s="631"/>
      <c r="F2348" s="631"/>
      <c r="G2348" s="631"/>
      <c r="H2348" s="631"/>
      <c r="I2348" s="631"/>
      <c r="J2348" s="631"/>
      <c r="L2348" s="451"/>
      <c r="M2348" s="448"/>
      <c r="N2348" s="448"/>
      <c r="O2348" s="458">
        <f>-TrialBalance!L213</f>
        <v>0</v>
      </c>
      <c r="R2348" s="490" t="str">
        <f t="shared" si="155"/>
        <v>DELETE</v>
      </c>
    </row>
    <row r="2349" spans="2:18" ht="36" customHeight="1" x14ac:dyDescent="0.5">
      <c r="B2349" s="501"/>
      <c r="C2349" s="631">
        <f>TrialBalance!C214</f>
        <v>0</v>
      </c>
      <c r="D2349" s="648"/>
      <c r="E2349" s="631"/>
      <c r="F2349" s="631"/>
      <c r="G2349" s="631"/>
      <c r="H2349" s="631"/>
      <c r="I2349" s="631"/>
      <c r="J2349" s="631"/>
      <c r="L2349" s="451"/>
      <c r="M2349" s="448"/>
      <c r="N2349" s="448"/>
      <c r="O2349" s="458">
        <f>-TrialBalance!L214</f>
        <v>0</v>
      </c>
      <c r="R2349" s="490" t="str">
        <f t="shared" si="155"/>
        <v>DELETE</v>
      </c>
    </row>
    <row r="2350" spans="2:18" ht="36" customHeight="1" x14ac:dyDescent="0.5">
      <c r="B2350" s="501"/>
      <c r="C2350" s="631">
        <f>TrialBalance!C215</f>
        <v>0</v>
      </c>
      <c r="D2350" s="648"/>
      <c r="E2350" s="631"/>
      <c r="F2350" s="631"/>
      <c r="G2350" s="631"/>
      <c r="H2350" s="631"/>
      <c r="I2350" s="631"/>
      <c r="J2350" s="631"/>
      <c r="L2350" s="451"/>
      <c r="M2350" s="448"/>
      <c r="N2350" s="448"/>
      <c r="O2350" s="458">
        <f>-TrialBalance!L215</f>
        <v>0</v>
      </c>
      <c r="R2350" s="490" t="str">
        <f t="shared" si="155"/>
        <v>DELETE</v>
      </c>
    </row>
    <row r="2351" spans="2:18" ht="36" customHeight="1" x14ac:dyDescent="0.5">
      <c r="B2351" s="501"/>
      <c r="C2351" s="631">
        <f>TrialBalance!C216</f>
        <v>0</v>
      </c>
      <c r="D2351" s="648"/>
      <c r="E2351" s="631"/>
      <c r="F2351" s="631"/>
      <c r="G2351" s="631"/>
      <c r="H2351" s="631"/>
      <c r="I2351" s="631"/>
      <c r="J2351" s="631"/>
      <c r="L2351" s="451"/>
      <c r="M2351" s="448"/>
      <c r="N2351" s="448"/>
      <c r="O2351" s="458">
        <f>-TrialBalance!L216</f>
        <v>0</v>
      </c>
      <c r="R2351" s="490" t="str">
        <f t="shared" si="155"/>
        <v>DELETE</v>
      </c>
    </row>
    <row r="2352" spans="2:18" ht="36" customHeight="1" x14ac:dyDescent="0.5">
      <c r="B2352" s="501"/>
      <c r="C2352" s="631">
        <f>TrialBalance!C217</f>
        <v>0</v>
      </c>
      <c r="D2352" s="648"/>
      <c r="E2352" s="631"/>
      <c r="F2352" s="631"/>
      <c r="G2352" s="631"/>
      <c r="H2352" s="631"/>
      <c r="I2352" s="631"/>
      <c r="J2352" s="631"/>
      <c r="L2352" s="451"/>
      <c r="M2352" s="448"/>
      <c r="N2352" s="448"/>
      <c r="O2352" s="458">
        <f>-TrialBalance!L217</f>
        <v>0</v>
      </c>
      <c r="R2352" s="490" t="str">
        <f t="shared" si="155"/>
        <v>DELETE</v>
      </c>
    </row>
    <row r="2353" spans="2:18" ht="36" customHeight="1" x14ac:dyDescent="0.5">
      <c r="B2353" s="501"/>
      <c r="C2353" s="631">
        <f>TrialBalance!C218</f>
        <v>0</v>
      </c>
      <c r="D2353" s="648"/>
      <c r="E2353" s="631"/>
      <c r="F2353" s="631"/>
      <c r="G2353" s="631"/>
      <c r="H2353" s="631"/>
      <c r="I2353" s="631"/>
      <c r="J2353" s="631"/>
      <c r="L2353" s="451"/>
      <c r="M2353" s="448"/>
      <c r="N2353" s="448"/>
      <c r="O2353" s="458">
        <f>-TrialBalance!L218</f>
        <v>0</v>
      </c>
      <c r="R2353" s="490" t="str">
        <f t="shared" si="155"/>
        <v>DELETE</v>
      </c>
    </row>
    <row r="2354" spans="2:18" ht="36" customHeight="1" x14ac:dyDescent="0.5">
      <c r="B2354" s="501"/>
      <c r="C2354" s="631">
        <f>TrialBalance!C219</f>
        <v>0</v>
      </c>
      <c r="D2354" s="648"/>
      <c r="E2354" s="631"/>
      <c r="F2354" s="631"/>
      <c r="G2354" s="631"/>
      <c r="H2354" s="631"/>
      <c r="I2354" s="631"/>
      <c r="J2354" s="631"/>
      <c r="L2354" s="451"/>
      <c r="M2354" s="448"/>
      <c r="N2354" s="448"/>
      <c r="O2354" s="458">
        <f>-TrialBalance!L219</f>
        <v>0</v>
      </c>
      <c r="R2354" s="490" t="str">
        <f t="shared" si="155"/>
        <v>DELETE</v>
      </c>
    </row>
    <row r="2355" spans="2:18" ht="9" customHeight="1" x14ac:dyDescent="0.5">
      <c r="B2355" s="501"/>
      <c r="C2355" s="630"/>
      <c r="D2355" s="631"/>
      <c r="E2355" s="631"/>
      <c r="F2355" s="631"/>
      <c r="G2355" s="631"/>
      <c r="H2355" s="631"/>
      <c r="I2355" s="631"/>
      <c r="J2355" s="631"/>
      <c r="L2355" s="451"/>
      <c r="M2355" s="448"/>
      <c r="N2355" s="448"/>
      <c r="O2355" s="461"/>
      <c r="R2355" s="490" t="str">
        <f t="shared" ref="R2355:R2364" si="156">R$2357</f>
        <v>DELETE</v>
      </c>
    </row>
    <row r="2356" spans="2:18" ht="9" customHeight="1" x14ac:dyDescent="0.5">
      <c r="B2356" s="501"/>
      <c r="C2356" s="630"/>
      <c r="D2356" s="631"/>
      <c r="E2356" s="631"/>
      <c r="F2356" s="631"/>
      <c r="G2356" s="631"/>
      <c r="H2356" s="631"/>
      <c r="I2356" s="631"/>
      <c r="J2356" s="631"/>
      <c r="L2356" s="451"/>
      <c r="M2356" s="448"/>
      <c r="N2356" s="448"/>
      <c r="O2356" s="458"/>
      <c r="R2356" s="490" t="str">
        <f t="shared" si="156"/>
        <v>DELETE</v>
      </c>
    </row>
    <row r="2357" spans="2:18" ht="36.75" customHeight="1" x14ac:dyDescent="0.5">
      <c r="B2357" s="501"/>
      <c r="C2357" s="630"/>
      <c r="D2357" s="631"/>
      <c r="E2357" s="631"/>
      <c r="F2357" s="631"/>
      <c r="G2357" s="631"/>
      <c r="H2357" s="631"/>
      <c r="I2357" s="631"/>
      <c r="J2357" s="631"/>
      <c r="L2357" s="451"/>
      <c r="M2357" s="448"/>
      <c r="N2357" s="448"/>
      <c r="O2357" s="458">
        <f>SUM(O2338:O2356)</f>
        <v>0</v>
      </c>
      <c r="R2357" s="490" t="str">
        <f t="shared" ref="R2357" si="157">IF(O2357=0,"DELETE"," ")</f>
        <v>DELETE</v>
      </c>
    </row>
    <row r="2358" spans="2:18" ht="9" customHeight="1" thickBot="1" x14ac:dyDescent="0.55000000000000004">
      <c r="B2358" s="501"/>
      <c r="C2358" s="630"/>
      <c r="D2358" s="631"/>
      <c r="E2358" s="631"/>
      <c r="F2358" s="631"/>
      <c r="G2358" s="631"/>
      <c r="H2358" s="631"/>
      <c r="I2358" s="631"/>
      <c r="J2358" s="631"/>
      <c r="L2358" s="451"/>
      <c r="M2358" s="448"/>
      <c r="N2358" s="448"/>
      <c r="O2358" s="462"/>
      <c r="R2358" s="490" t="str">
        <f t="shared" si="156"/>
        <v>DELETE</v>
      </c>
    </row>
    <row r="2359" spans="2:18" ht="9" customHeight="1" thickTop="1" x14ac:dyDescent="0.5">
      <c r="B2359" s="501"/>
      <c r="C2359" s="630"/>
      <c r="D2359" s="631"/>
      <c r="E2359" s="631"/>
      <c r="F2359" s="631"/>
      <c r="G2359" s="631"/>
      <c r="H2359" s="631"/>
      <c r="I2359" s="631"/>
      <c r="J2359" s="631"/>
      <c r="L2359" s="451"/>
      <c r="M2359" s="448"/>
      <c r="N2359" s="448"/>
      <c r="O2359" s="475"/>
      <c r="R2359" s="490" t="str">
        <f t="shared" si="156"/>
        <v>DELETE</v>
      </c>
    </row>
    <row r="2360" spans="2:18" ht="36" customHeight="1" x14ac:dyDescent="0.5">
      <c r="B2360" s="501"/>
      <c r="C2360" s="631" t="str">
        <f>IF(COUNTIF(TrialBalance!L203:L219,"&lt;0")=0," ",IF(COUNTIF(TrialBalance!L203:L219,"&lt;0")&gt;1,"Unsecured interest free loans with no fixed repayment terms.","Unsecured interest free loan with no fixed repayment terms."))</f>
        <v xml:space="preserve"> </v>
      </c>
      <c r="D2360" s="648"/>
      <c r="E2360" s="631"/>
      <c r="F2360" s="631"/>
      <c r="G2360" s="631"/>
      <c r="H2360" s="631"/>
      <c r="I2360" s="631"/>
      <c r="J2360" s="631"/>
      <c r="L2360" s="451"/>
      <c r="M2360" s="448"/>
      <c r="N2360" s="448"/>
      <c r="O2360" s="458"/>
      <c r="R2360" s="490" t="str">
        <f t="shared" si="156"/>
        <v>DELETE</v>
      </c>
    </row>
    <row r="2361" spans="2:18" ht="36" customHeight="1" x14ac:dyDescent="0.5">
      <c r="B2361" s="501"/>
      <c r="C2361" s="630"/>
      <c r="D2361" s="631"/>
      <c r="E2361" s="631"/>
      <c r="F2361" s="631"/>
      <c r="G2361" s="631"/>
      <c r="H2361" s="631"/>
      <c r="I2361" s="631"/>
      <c r="J2361" s="631"/>
      <c r="M2361" s="458"/>
      <c r="N2361" s="458"/>
      <c r="O2361" s="458"/>
      <c r="R2361" s="490" t="str">
        <f t="shared" si="156"/>
        <v>DELETE</v>
      </c>
    </row>
    <row r="2362" spans="2:18" ht="36" customHeight="1" x14ac:dyDescent="0.5">
      <c r="B2362" s="501"/>
      <c r="C2362" s="630"/>
      <c r="D2362" s="631"/>
      <c r="E2362" s="631"/>
      <c r="F2362" s="631"/>
      <c r="G2362" s="631"/>
      <c r="H2362" s="631"/>
      <c r="I2362" s="631"/>
      <c r="J2362" s="631"/>
      <c r="M2362" s="458"/>
      <c r="N2362" s="458"/>
      <c r="O2362" s="458"/>
      <c r="R2362" s="490" t="str">
        <f t="shared" si="156"/>
        <v>DELETE</v>
      </c>
    </row>
    <row r="2363" spans="2:18" ht="36" customHeight="1" x14ac:dyDescent="0.5">
      <c r="B2363" s="501"/>
      <c r="C2363" s="630"/>
      <c r="D2363" s="631"/>
      <c r="E2363" s="631"/>
      <c r="F2363" s="631"/>
      <c r="G2363" s="631"/>
      <c r="H2363" s="631"/>
      <c r="I2363" s="631"/>
      <c r="J2363" s="631"/>
      <c r="M2363" s="475"/>
      <c r="N2363" s="475"/>
      <c r="O2363" s="475"/>
      <c r="P2363" s="545"/>
      <c r="R2363" s="490" t="str">
        <f t="shared" si="156"/>
        <v>DELETE</v>
      </c>
    </row>
    <row r="2364" spans="2:18" ht="36" customHeight="1" x14ac:dyDescent="0.5">
      <c r="B2364" s="501"/>
      <c r="C2364" s="630"/>
      <c r="D2364" s="631"/>
      <c r="E2364" s="631"/>
      <c r="F2364" s="631"/>
      <c r="G2364" s="631"/>
      <c r="H2364" s="631"/>
      <c r="I2364" s="631"/>
      <c r="J2364" s="631"/>
      <c r="M2364" s="458"/>
      <c r="N2364" s="458"/>
      <c r="O2364" s="458"/>
      <c r="R2364" s="490" t="str">
        <f t="shared" si="156"/>
        <v>DELETE</v>
      </c>
    </row>
    <row r="2365" spans="2:18" ht="36" customHeight="1" x14ac:dyDescent="0.5">
      <c r="B2365" s="502"/>
      <c r="C2365" s="631"/>
      <c r="D2365" s="631"/>
      <c r="E2365" s="631"/>
      <c r="F2365" s="631"/>
      <c r="G2365" s="631"/>
      <c r="H2365" s="631"/>
      <c r="I2365" s="631"/>
      <c r="J2365" s="631"/>
      <c r="M2365" s="541"/>
      <c r="N2365" s="541"/>
      <c r="O2365" s="458" t="s">
        <v>112</v>
      </c>
      <c r="Q2365" s="450">
        <f>MAX($Q$103:Q2364)+1</f>
        <v>62</v>
      </c>
      <c r="R2365" s="490" t="str">
        <f>R$2384</f>
        <v>DELETE</v>
      </c>
    </row>
    <row r="2366" spans="2:18" ht="36" customHeight="1" x14ac:dyDescent="0.5">
      <c r="B2366" s="502"/>
      <c r="C2366" s="631"/>
      <c r="D2366" s="630" t="str">
        <f>Criteria!E9</f>
        <v>ABC COMPANY (PROPRIETARY) LIMITED</v>
      </c>
      <c r="E2366" s="631"/>
      <c r="F2366" s="631"/>
      <c r="G2366" s="631"/>
      <c r="H2366" s="631"/>
      <c r="I2366" s="631"/>
      <c r="J2366" s="631"/>
      <c r="M2366" s="541"/>
      <c r="N2366" s="541"/>
      <c r="O2366" s="540"/>
      <c r="R2366" s="490" t="str">
        <f>R$2384</f>
        <v>DELETE</v>
      </c>
    </row>
    <row r="2367" spans="2:18" ht="36" customHeight="1" x14ac:dyDescent="0.5">
      <c r="B2367" s="502"/>
      <c r="C2367" s="631"/>
      <c r="D2367" s="630" t="str">
        <f>Criteria!E10</f>
        <v>T/A SEAFRONT HOTEL, ABC RESTAURANT AND RENTAL PROPERTIES</v>
      </c>
      <c r="E2367" s="631"/>
      <c r="F2367" s="631"/>
      <c r="G2367" s="631"/>
      <c r="H2367" s="631"/>
      <c r="I2367" s="631"/>
      <c r="J2367" s="631"/>
      <c r="M2367" s="541"/>
      <c r="N2367" s="541"/>
      <c r="O2367" s="541"/>
      <c r="R2367" s="490" t="str">
        <f>IF(R$2384="DELETE","DELETE",IF(D2367=0,"DELETE"," "))</f>
        <v>DELETE</v>
      </c>
    </row>
    <row r="2368" spans="2:18" ht="36" customHeight="1" x14ac:dyDescent="0.5">
      <c r="B2368" s="502"/>
      <c r="C2368" s="631"/>
      <c r="D2368" s="631"/>
      <c r="E2368" s="631"/>
      <c r="F2368" s="631"/>
      <c r="G2368" s="631"/>
      <c r="H2368" s="631"/>
      <c r="I2368" s="631"/>
      <c r="J2368" s="631"/>
      <c r="M2368" s="541"/>
      <c r="N2368" s="541"/>
      <c r="O2368" s="541"/>
      <c r="R2368" s="490" t="str">
        <f t="shared" ref="R2368:R2378" si="158">R$2384</f>
        <v>DELETE</v>
      </c>
    </row>
    <row r="2369" spans="2:23" ht="36" customHeight="1" x14ac:dyDescent="0.5">
      <c r="B2369" s="502"/>
      <c r="C2369" s="631"/>
      <c r="D2369" s="630" t="s">
        <v>415</v>
      </c>
      <c r="E2369" s="631"/>
      <c r="F2369" s="631"/>
      <c r="G2369" s="631"/>
      <c r="H2369" s="631"/>
      <c r="I2369" s="631"/>
      <c r="J2369" s="631"/>
      <c r="M2369" s="541"/>
      <c r="N2369" s="541"/>
      <c r="O2369" s="541"/>
      <c r="R2369" s="490" t="str">
        <f t="shared" si="158"/>
        <v>DELETE</v>
      </c>
    </row>
    <row r="2370" spans="2:23" ht="36" customHeight="1" x14ac:dyDescent="0.5">
      <c r="B2370" s="502"/>
      <c r="C2370" s="631"/>
      <c r="D2370" s="630" t="str">
        <f>Criteria!E20</f>
        <v>28 FEBRUARY 2026</v>
      </c>
      <c r="E2370" s="631"/>
      <c r="F2370" s="631"/>
      <c r="G2370" s="631"/>
      <c r="H2370" s="631"/>
      <c r="I2370" s="631"/>
      <c r="J2370" s="631" t="s">
        <v>282</v>
      </c>
      <c r="M2370" s="541"/>
      <c r="N2370" s="541"/>
      <c r="O2370" s="541"/>
      <c r="R2370" s="490" t="str">
        <f t="shared" si="158"/>
        <v>DELETE</v>
      </c>
    </row>
    <row r="2371" spans="2:23" ht="36" customHeight="1" x14ac:dyDescent="0.5">
      <c r="B2371" s="502"/>
      <c r="C2371" s="631"/>
      <c r="D2371" s="630"/>
      <c r="E2371" s="631"/>
      <c r="F2371" s="631"/>
      <c r="G2371" s="631"/>
      <c r="H2371" s="631"/>
      <c r="I2371" s="631"/>
      <c r="J2371" s="631"/>
      <c r="M2371" s="541"/>
      <c r="N2371" s="541"/>
      <c r="O2371" s="541"/>
      <c r="R2371" s="490" t="str">
        <f t="shared" si="158"/>
        <v>DELETE</v>
      </c>
    </row>
    <row r="2372" spans="2:23" ht="36" customHeight="1" x14ac:dyDescent="0.5">
      <c r="B2372" s="640"/>
      <c r="C2372" s="652"/>
      <c r="D2372" s="649"/>
      <c r="E2372" s="649"/>
      <c r="F2372" s="649"/>
      <c r="G2372" s="649"/>
      <c r="H2372" s="649"/>
      <c r="I2372" s="649"/>
      <c r="J2372" s="649"/>
      <c r="K2372" s="457"/>
      <c r="L2372" s="457"/>
      <c r="M2372" s="459"/>
      <c r="N2372" s="459"/>
      <c r="O2372" s="459"/>
      <c r="P2372" s="551"/>
      <c r="Q2372" s="457"/>
      <c r="R2372" s="490" t="str">
        <f t="shared" si="158"/>
        <v>DELETE</v>
      </c>
    </row>
    <row r="2373" spans="2:23" ht="36" customHeight="1" x14ac:dyDescent="0.5">
      <c r="B2373" s="501"/>
      <c r="C2373" s="630"/>
      <c r="D2373" s="631"/>
      <c r="E2373" s="631"/>
      <c r="F2373" s="631"/>
      <c r="G2373" s="631"/>
      <c r="H2373" s="631"/>
      <c r="I2373" s="631"/>
      <c r="J2373" s="631"/>
      <c r="L2373" s="451"/>
      <c r="M2373" s="448"/>
      <c r="N2373" s="448"/>
      <c r="O2373" s="488">
        <f>Criteria!E22</f>
        <v>2026</v>
      </c>
      <c r="P2373" s="545"/>
      <c r="R2373" s="490" t="str">
        <f t="shared" si="158"/>
        <v>DELETE</v>
      </c>
    </row>
    <row r="2374" spans="2:23" ht="36" customHeight="1" x14ac:dyDescent="0.5">
      <c r="B2374" s="501"/>
      <c r="C2374" s="630"/>
      <c r="D2374" s="631"/>
      <c r="E2374" s="631"/>
      <c r="F2374" s="631"/>
      <c r="G2374" s="631"/>
      <c r="H2374" s="631"/>
      <c r="I2374" s="631"/>
      <c r="J2374" s="631"/>
      <c r="L2374" s="451"/>
      <c r="M2374" s="448"/>
      <c r="N2374" s="448"/>
      <c r="O2374" s="475"/>
      <c r="P2374" s="545"/>
      <c r="R2374" s="490" t="str">
        <f t="shared" si="158"/>
        <v>DELETE</v>
      </c>
    </row>
    <row r="2375" spans="2:23" ht="36" customHeight="1" x14ac:dyDescent="0.5">
      <c r="B2375" s="501">
        <f>MAX($B$873:B2374)+1</f>
        <v>25</v>
      </c>
      <c r="C2375" s="630" t="s">
        <v>612</v>
      </c>
      <c r="D2375" s="631"/>
      <c r="E2375" s="631"/>
      <c r="F2375" s="631"/>
      <c r="G2375" s="631"/>
      <c r="H2375" s="631"/>
      <c r="I2375" s="631"/>
      <c r="J2375" s="631"/>
      <c r="L2375" s="451"/>
      <c r="M2375" s="448"/>
      <c r="N2375" s="448"/>
      <c r="O2375" s="475"/>
      <c r="P2375" s="545"/>
      <c r="R2375" s="490" t="str">
        <f t="shared" si="158"/>
        <v>DELETE</v>
      </c>
    </row>
    <row r="2376" spans="2:23" ht="36" customHeight="1" x14ac:dyDescent="0.5">
      <c r="B2376" s="501"/>
      <c r="C2376" s="630"/>
      <c r="D2376" s="631"/>
      <c r="E2376" s="631"/>
      <c r="F2376" s="631"/>
      <c r="G2376" s="631"/>
      <c r="H2376" s="631"/>
      <c r="I2376" s="631"/>
      <c r="J2376" s="631"/>
      <c r="L2376" s="451"/>
      <c r="M2376" s="448"/>
      <c r="N2376" s="448"/>
      <c r="O2376" s="475"/>
      <c r="P2376" s="545"/>
      <c r="R2376" s="490" t="str">
        <f t="shared" si="158"/>
        <v>DELETE</v>
      </c>
    </row>
    <row r="2377" spans="2:23" ht="36" customHeight="1" x14ac:dyDescent="0.5">
      <c r="B2377" s="501"/>
      <c r="C2377" s="631" t="s">
        <v>1431</v>
      </c>
      <c r="D2377" s="648"/>
      <c r="E2377" s="631"/>
      <c r="F2377" s="631"/>
      <c r="G2377" s="631"/>
      <c r="H2377" s="631"/>
      <c r="I2377" s="631"/>
      <c r="J2377" s="631"/>
      <c r="L2377" s="451"/>
      <c r="M2377" s="448"/>
      <c r="N2377" s="448"/>
      <c r="O2377" s="475"/>
      <c r="P2377" s="545"/>
      <c r="R2377" s="490" t="str">
        <f t="shared" si="158"/>
        <v>DELETE</v>
      </c>
    </row>
    <row r="2378" spans="2:23" ht="36" customHeight="1" x14ac:dyDescent="0.5">
      <c r="B2378" s="501"/>
      <c r="C2378" s="631"/>
      <c r="D2378" s="648"/>
      <c r="E2378" s="631"/>
      <c r="F2378" s="631"/>
      <c r="G2378" s="631"/>
      <c r="H2378" s="631"/>
      <c r="I2378" s="631"/>
      <c r="J2378" s="631"/>
      <c r="L2378" s="451"/>
      <c r="M2378" s="448"/>
      <c r="N2378" s="448"/>
      <c r="O2378" s="475"/>
      <c r="P2378" s="545"/>
      <c r="R2378" s="490" t="str">
        <f t="shared" si="158"/>
        <v>DELETE</v>
      </c>
    </row>
    <row r="2379" spans="2:23" ht="36" customHeight="1" x14ac:dyDescent="0.5">
      <c r="B2379" s="501"/>
      <c r="C2379" s="631" t="s">
        <v>1428</v>
      </c>
      <c r="D2379" s="648"/>
      <c r="E2379" s="631"/>
      <c r="F2379" s="631"/>
      <c r="G2379" s="631"/>
      <c r="H2379" s="631"/>
      <c r="I2379" s="631"/>
      <c r="J2379" s="631"/>
      <c r="L2379" s="451"/>
      <c r="M2379" s="448"/>
      <c r="N2379" s="448"/>
      <c r="O2379" s="475"/>
      <c r="P2379" s="545"/>
      <c r="R2379" s="490" t="str">
        <f>R2380</f>
        <v>DELETE</v>
      </c>
    </row>
    <row r="2380" spans="2:23" ht="36" customHeight="1" x14ac:dyDescent="0.5">
      <c r="B2380" s="501"/>
      <c r="C2380" s="631" t="s">
        <v>1429</v>
      </c>
      <c r="D2380" s="648"/>
      <c r="E2380" s="631"/>
      <c r="F2380" s="631"/>
      <c r="G2380" s="631"/>
      <c r="H2380" s="631"/>
      <c r="I2380" s="631"/>
      <c r="J2380" s="631"/>
      <c r="L2380" s="451"/>
      <c r="M2380" s="448"/>
      <c r="N2380" s="448"/>
      <c r="O2380" s="475">
        <f>-TrialBalance!L221-TrialBalance!L223-TrialBalance!L225-TrialBalance!L227</f>
        <v>0</v>
      </c>
      <c r="P2380" s="545"/>
      <c r="R2380" s="490" t="str">
        <f>IF(W2380&gt;0," ","DELETE")</f>
        <v>DELETE</v>
      </c>
      <c r="W2380" s="491">
        <f>IF(TrialBalance!L221=0,IF(TrialBalance!L225=0,IF(TrialBalance!L227=0,0,1),1),1)</f>
        <v>0</v>
      </c>
    </row>
    <row r="2381" spans="2:23" ht="36" customHeight="1" x14ac:dyDescent="0.5">
      <c r="B2381" s="501"/>
      <c r="C2381" s="631" t="s">
        <v>917</v>
      </c>
      <c r="D2381" s="648"/>
      <c r="E2381" s="631"/>
      <c r="F2381" s="631"/>
      <c r="G2381" s="631"/>
      <c r="H2381" s="631"/>
      <c r="I2381" s="631"/>
      <c r="J2381" s="631"/>
      <c r="L2381" s="451"/>
      <c r="M2381" s="448"/>
      <c r="N2381" s="448"/>
      <c r="O2381" s="475">
        <f>-TrialBalance!L222-TrialBalance!L224-TrialBalance!L226-TrialBalance!L228</f>
        <v>0</v>
      </c>
      <c r="P2381" s="545"/>
      <c r="R2381" s="490" t="str">
        <f>IF(W2381&gt;0," ","DELETE")</f>
        <v>DELETE</v>
      </c>
      <c r="W2381" s="491">
        <f>IF(TrialBalance!L222=0,IF(TrialBalance!L226=0,IF(TrialBalance!L228=0,0,1),1),1)</f>
        <v>0</v>
      </c>
    </row>
    <row r="2382" spans="2:23" ht="9" customHeight="1" x14ac:dyDescent="0.5">
      <c r="B2382" s="501"/>
      <c r="C2382" s="631"/>
      <c r="D2382" s="648"/>
      <c r="E2382" s="631"/>
      <c r="F2382" s="631"/>
      <c r="G2382" s="631"/>
      <c r="H2382" s="631"/>
      <c r="I2382" s="631"/>
      <c r="J2382" s="631"/>
      <c r="L2382" s="451"/>
      <c r="M2382" s="448"/>
      <c r="N2382" s="448"/>
      <c r="O2382" s="461"/>
      <c r="P2382" s="545"/>
      <c r="R2382" s="490" t="str">
        <f t="shared" ref="R2382:R2415" si="159">R$2384</f>
        <v>DELETE</v>
      </c>
    </row>
    <row r="2383" spans="2:23" ht="9" customHeight="1" x14ac:dyDescent="0.5">
      <c r="B2383" s="501"/>
      <c r="C2383" s="631"/>
      <c r="D2383" s="648"/>
      <c r="E2383" s="631"/>
      <c r="F2383" s="631"/>
      <c r="G2383" s="631"/>
      <c r="H2383" s="631"/>
      <c r="I2383" s="631"/>
      <c r="J2383" s="631"/>
      <c r="L2383" s="451"/>
      <c r="M2383" s="448"/>
      <c r="N2383" s="448"/>
      <c r="O2383" s="475"/>
      <c r="P2383" s="545"/>
      <c r="R2383" s="490" t="str">
        <f t="shared" si="159"/>
        <v>DELETE</v>
      </c>
    </row>
    <row r="2384" spans="2:23" ht="36.75" customHeight="1" x14ac:dyDescent="0.5">
      <c r="B2384" s="501"/>
      <c r="C2384" s="631"/>
      <c r="D2384" s="648"/>
      <c r="E2384" s="631"/>
      <c r="F2384" s="631"/>
      <c r="G2384" s="631"/>
      <c r="H2384" s="631"/>
      <c r="I2384" s="631"/>
      <c r="J2384" s="631"/>
      <c r="L2384" s="451"/>
      <c r="M2384" s="448"/>
      <c r="N2384" s="448"/>
      <c r="O2384" s="475">
        <f>SUM(O2380:O2382)</f>
        <v>0</v>
      </c>
      <c r="P2384" s="545"/>
      <c r="R2384" s="490" t="str">
        <f>IF(R2380=" "," ",IF(R2381=" "," ","DELETE"))</f>
        <v>DELETE</v>
      </c>
      <c r="U2384" s="491" t="b">
        <f>O2384=O2444</f>
        <v>1</v>
      </c>
    </row>
    <row r="2385" spans="2:21" ht="9" customHeight="1" thickBot="1" x14ac:dyDescent="0.55000000000000004">
      <c r="B2385" s="501"/>
      <c r="C2385" s="631"/>
      <c r="D2385" s="648"/>
      <c r="E2385" s="631"/>
      <c r="F2385" s="631"/>
      <c r="G2385" s="631"/>
      <c r="H2385" s="631"/>
      <c r="I2385" s="631"/>
      <c r="J2385" s="631"/>
      <c r="L2385" s="451"/>
      <c r="M2385" s="448"/>
      <c r="N2385" s="448"/>
      <c r="O2385" s="462"/>
      <c r="P2385" s="545"/>
      <c r="R2385" s="490" t="str">
        <f t="shared" si="159"/>
        <v>DELETE</v>
      </c>
    </row>
    <row r="2386" spans="2:21" ht="9" customHeight="1" thickTop="1" x14ac:dyDescent="0.5">
      <c r="B2386" s="501"/>
      <c r="C2386" s="631"/>
      <c r="D2386" s="648"/>
      <c r="E2386" s="631"/>
      <c r="F2386" s="631"/>
      <c r="G2386" s="631"/>
      <c r="H2386" s="631"/>
      <c r="I2386" s="631"/>
      <c r="J2386" s="631"/>
      <c r="L2386" s="451"/>
      <c r="M2386" s="448"/>
      <c r="N2386" s="448"/>
      <c r="O2386" s="475"/>
      <c r="P2386" s="545"/>
      <c r="R2386" s="490" t="str">
        <f t="shared" si="159"/>
        <v>DELETE</v>
      </c>
    </row>
    <row r="2387" spans="2:21" ht="36" customHeight="1" x14ac:dyDescent="0.5">
      <c r="B2387" s="501"/>
      <c r="C2387" s="631"/>
      <c r="D2387" s="648"/>
      <c r="E2387" s="631"/>
      <c r="F2387" s="631"/>
      <c r="G2387" s="631"/>
      <c r="H2387" s="631"/>
      <c r="I2387" s="631"/>
      <c r="J2387" s="631"/>
      <c r="L2387" s="451"/>
      <c r="M2387" s="448"/>
      <c r="N2387" s="448"/>
      <c r="O2387" s="475"/>
      <c r="P2387" s="545"/>
      <c r="R2387" s="490" t="str">
        <f t="shared" si="159"/>
        <v>DELETE</v>
      </c>
    </row>
    <row r="2388" spans="2:21" ht="36" customHeight="1" x14ac:dyDescent="0.5">
      <c r="B2388" s="501"/>
      <c r="C2388" s="631" t="s">
        <v>1565</v>
      </c>
      <c r="D2388" s="648"/>
      <c r="E2388" s="631"/>
      <c r="F2388" s="631"/>
      <c r="G2388" s="631"/>
      <c r="H2388" s="631"/>
      <c r="I2388" s="631"/>
      <c r="J2388" s="631"/>
      <c r="L2388" s="451"/>
      <c r="M2388" s="451"/>
      <c r="N2388" s="448"/>
      <c r="O2388" s="475"/>
      <c r="P2388" s="545"/>
      <c r="R2388" s="490" t="str">
        <f t="shared" si="159"/>
        <v>DELETE</v>
      </c>
    </row>
    <row r="2389" spans="2:21" ht="36" customHeight="1" x14ac:dyDescent="0.5">
      <c r="B2389" s="501"/>
      <c r="C2389" s="631" t="s">
        <v>1566</v>
      </c>
      <c r="D2389" s="648"/>
      <c r="E2389" s="631"/>
      <c r="F2389" s="631"/>
      <c r="G2389" s="631"/>
      <c r="H2389" s="631"/>
      <c r="I2389" s="631"/>
      <c r="J2389" s="631"/>
      <c r="L2389" s="451"/>
      <c r="M2389" s="451"/>
      <c r="N2389" s="448"/>
      <c r="O2389" s="475"/>
      <c r="P2389" s="545"/>
      <c r="R2389" s="490" t="str">
        <f t="shared" si="159"/>
        <v>DELETE</v>
      </c>
    </row>
    <row r="2390" spans="2:21" ht="36" customHeight="1" x14ac:dyDescent="0.5">
      <c r="B2390" s="501"/>
      <c r="C2390" s="631" t="s">
        <v>1567</v>
      </c>
      <c r="D2390" s="648"/>
      <c r="E2390" s="631"/>
      <c r="F2390" s="631"/>
      <c r="G2390" s="631"/>
      <c r="H2390" s="631"/>
      <c r="I2390" s="631"/>
      <c r="J2390" s="631"/>
      <c r="L2390" s="451"/>
      <c r="M2390" s="451"/>
      <c r="N2390" s="448"/>
      <c r="O2390" s="475"/>
      <c r="P2390" s="545"/>
      <c r="R2390" s="490" t="str">
        <f t="shared" si="159"/>
        <v>DELETE</v>
      </c>
    </row>
    <row r="2391" spans="2:21" ht="36" customHeight="1" x14ac:dyDescent="0.5">
      <c r="B2391" s="501"/>
      <c r="C2391" s="631"/>
      <c r="D2391" s="648"/>
      <c r="E2391" s="631"/>
      <c r="F2391" s="631"/>
      <c r="G2391" s="631"/>
      <c r="H2391" s="631"/>
      <c r="I2391" s="631"/>
      <c r="J2391" s="631"/>
      <c r="L2391" s="451"/>
      <c r="M2391" s="451"/>
      <c r="N2391" s="448"/>
      <c r="O2391" s="475"/>
      <c r="P2391" s="545"/>
      <c r="R2391" s="490" t="str">
        <f t="shared" si="159"/>
        <v>DELETE</v>
      </c>
    </row>
    <row r="2392" spans="2:21" ht="36" customHeight="1" x14ac:dyDescent="0.5">
      <c r="B2392" s="501"/>
      <c r="C2392" s="631" t="s">
        <v>595</v>
      </c>
      <c r="D2392" s="648"/>
      <c r="E2392" s="631"/>
      <c r="F2392" s="631"/>
      <c r="G2392" s="631"/>
      <c r="H2392" s="631"/>
      <c r="I2392" s="631"/>
      <c r="J2392" s="631"/>
      <c r="L2392" s="451"/>
      <c r="M2392" s="451"/>
      <c r="N2392" s="448"/>
      <c r="O2392" s="475">
        <f>IF(-TrialBalance!L221-TrialBalance!L223-TrialBalance!L225-TrialBalance!L227&gt;0,-TrialBalance!L221-TrialBalance!L223-TrialBalance!L225-TrialBalance!L227,0)</f>
        <v>0</v>
      </c>
      <c r="P2392" s="545"/>
      <c r="R2392" s="490" t="str">
        <f t="shared" si="159"/>
        <v>DELETE</v>
      </c>
    </row>
    <row r="2393" spans="2:21" ht="36" customHeight="1" x14ac:dyDescent="0.5">
      <c r="B2393" s="501"/>
      <c r="C2393" s="631" t="s">
        <v>592</v>
      </c>
      <c r="D2393" s="648"/>
      <c r="E2393" s="631"/>
      <c r="F2393" s="631"/>
      <c r="G2393" s="631"/>
      <c r="H2393" s="631"/>
      <c r="I2393" s="631"/>
      <c r="J2393" s="631"/>
      <c r="L2393" s="451"/>
      <c r="M2393" s="451"/>
      <c r="N2393" s="448"/>
      <c r="O2393" s="475">
        <f>IF(-TrialBalance!L221-TrialBalance!L223-TrialBalance!L225-TrialBalance!L227&lt;0,-SUM(TrialBalance!L221:L228),-TrialBalance!L222-TrialBalance!L224-TrialBalance!L226-TrialBalance!L228)</f>
        <v>0</v>
      </c>
      <c r="P2393" s="545"/>
      <c r="R2393" s="490" t="str">
        <f t="shared" si="159"/>
        <v>DELETE</v>
      </c>
    </row>
    <row r="2394" spans="2:21" ht="9" customHeight="1" x14ac:dyDescent="0.5">
      <c r="B2394" s="501"/>
      <c r="C2394" s="631"/>
      <c r="D2394" s="648"/>
      <c r="E2394" s="631"/>
      <c r="F2394" s="631"/>
      <c r="G2394" s="631"/>
      <c r="H2394" s="631"/>
      <c r="I2394" s="631"/>
      <c r="J2394" s="631"/>
      <c r="L2394" s="451"/>
      <c r="M2394" s="451"/>
      <c r="N2394" s="448"/>
      <c r="O2394" s="461"/>
      <c r="P2394" s="545"/>
      <c r="R2394" s="490" t="str">
        <f t="shared" si="159"/>
        <v>DELETE</v>
      </c>
    </row>
    <row r="2395" spans="2:21" ht="9" customHeight="1" x14ac:dyDescent="0.5">
      <c r="B2395" s="501"/>
      <c r="C2395" s="631"/>
      <c r="D2395" s="648"/>
      <c r="E2395" s="631"/>
      <c r="F2395" s="631"/>
      <c r="G2395" s="631"/>
      <c r="H2395" s="631"/>
      <c r="I2395" s="631"/>
      <c r="J2395" s="631"/>
      <c r="L2395" s="451"/>
      <c r="M2395" s="451"/>
      <c r="N2395" s="448"/>
      <c r="O2395" s="475"/>
      <c r="P2395" s="545"/>
      <c r="R2395" s="490" t="str">
        <f t="shared" si="159"/>
        <v>DELETE</v>
      </c>
    </row>
    <row r="2396" spans="2:21" ht="36.75" customHeight="1" x14ac:dyDescent="0.5">
      <c r="B2396" s="501"/>
      <c r="C2396" s="631"/>
      <c r="D2396" s="648"/>
      <c r="E2396" s="631"/>
      <c r="F2396" s="631"/>
      <c r="G2396" s="631"/>
      <c r="H2396" s="631"/>
      <c r="I2396" s="631"/>
      <c r="J2396" s="631"/>
      <c r="L2396" s="451"/>
      <c r="M2396" s="451"/>
      <c r="N2396" s="448"/>
      <c r="O2396" s="475">
        <f>SUM(O2392:O2394)</f>
        <v>0</v>
      </c>
      <c r="P2396" s="545"/>
      <c r="R2396" s="490" t="str">
        <f t="shared" si="159"/>
        <v>DELETE</v>
      </c>
      <c r="U2396" s="491" t="b">
        <f>O2396=O2384</f>
        <v>1</v>
      </c>
    </row>
    <row r="2397" spans="2:21" ht="9" customHeight="1" thickBot="1" x14ac:dyDescent="0.55000000000000004">
      <c r="B2397" s="501"/>
      <c r="C2397" s="631"/>
      <c r="D2397" s="648"/>
      <c r="E2397" s="631"/>
      <c r="F2397" s="631"/>
      <c r="G2397" s="631"/>
      <c r="H2397" s="631"/>
      <c r="I2397" s="631"/>
      <c r="J2397" s="631"/>
      <c r="L2397" s="451"/>
      <c r="M2397" s="451"/>
      <c r="N2397" s="448"/>
      <c r="O2397" s="462"/>
      <c r="P2397" s="545"/>
      <c r="R2397" s="490" t="str">
        <f t="shared" si="159"/>
        <v>DELETE</v>
      </c>
    </row>
    <row r="2398" spans="2:21" ht="9" customHeight="1" thickTop="1" x14ac:dyDescent="0.5">
      <c r="B2398" s="501"/>
      <c r="C2398" s="631"/>
      <c r="D2398" s="648"/>
      <c r="E2398" s="631"/>
      <c r="F2398" s="631"/>
      <c r="G2398" s="631"/>
      <c r="H2398" s="631"/>
      <c r="I2398" s="631"/>
      <c r="J2398" s="631"/>
      <c r="L2398" s="451"/>
      <c r="M2398" s="451"/>
      <c r="N2398" s="448"/>
      <c r="O2398" s="475"/>
      <c r="P2398" s="545"/>
      <c r="R2398" s="490" t="str">
        <f t="shared" si="159"/>
        <v>DELETE</v>
      </c>
    </row>
    <row r="2399" spans="2:21" ht="36" customHeight="1" x14ac:dyDescent="0.5">
      <c r="B2399" s="501"/>
      <c r="C2399" s="631"/>
      <c r="D2399" s="648"/>
      <c r="E2399" s="631"/>
      <c r="F2399" s="631"/>
      <c r="G2399" s="631"/>
      <c r="H2399" s="631"/>
      <c r="I2399" s="631"/>
      <c r="J2399" s="631"/>
      <c r="L2399" s="451"/>
      <c r="M2399" s="448"/>
      <c r="N2399" s="448"/>
      <c r="O2399" s="475"/>
      <c r="P2399" s="545"/>
      <c r="R2399" s="490" t="str">
        <f t="shared" si="159"/>
        <v>DELETE</v>
      </c>
    </row>
    <row r="2400" spans="2:21" ht="36" customHeight="1" x14ac:dyDescent="0.5">
      <c r="B2400" s="501"/>
      <c r="C2400" s="631"/>
      <c r="D2400" s="648"/>
      <c r="E2400" s="631"/>
      <c r="F2400" s="631"/>
      <c r="G2400" s="631"/>
      <c r="H2400" s="631"/>
      <c r="I2400" s="631"/>
      <c r="J2400" s="631"/>
      <c r="L2400" s="451"/>
      <c r="M2400" s="448"/>
      <c r="N2400" s="448"/>
      <c r="O2400" s="475"/>
      <c r="P2400" s="545"/>
      <c r="R2400" s="490" t="str">
        <f t="shared" si="159"/>
        <v>DELETE</v>
      </c>
    </row>
    <row r="2401" spans="2:23" ht="36" customHeight="1" x14ac:dyDescent="0.5">
      <c r="B2401" s="501"/>
      <c r="C2401" s="631"/>
      <c r="D2401" s="648"/>
      <c r="E2401" s="631"/>
      <c r="F2401" s="631"/>
      <c r="G2401" s="631"/>
      <c r="H2401" s="631"/>
      <c r="I2401" s="631"/>
      <c r="J2401" s="631"/>
      <c r="L2401" s="451"/>
      <c r="M2401" s="448"/>
      <c r="N2401" s="448"/>
      <c r="O2401" s="475"/>
      <c r="P2401" s="545"/>
      <c r="R2401" s="490" t="str">
        <f t="shared" si="159"/>
        <v>DELETE</v>
      </c>
    </row>
    <row r="2402" spans="2:23" ht="36" customHeight="1" x14ac:dyDescent="0.5">
      <c r="B2402" s="501"/>
      <c r="C2402" s="631"/>
      <c r="D2402" s="648"/>
      <c r="E2402" s="631"/>
      <c r="F2402" s="631"/>
      <c r="G2402" s="631"/>
      <c r="H2402" s="631"/>
      <c r="I2402" s="631"/>
      <c r="J2402" s="631"/>
      <c r="L2402" s="451"/>
      <c r="M2402" s="448"/>
      <c r="N2402" s="448"/>
      <c r="O2402" s="475"/>
      <c r="P2402" s="545"/>
      <c r="R2402" s="490" t="str">
        <f t="shared" si="159"/>
        <v>DELETE</v>
      </c>
    </row>
    <row r="2403" spans="2:23" ht="36" customHeight="1" x14ac:dyDescent="0.5">
      <c r="B2403" s="501"/>
      <c r="C2403" s="631"/>
      <c r="D2403" s="631"/>
      <c r="E2403" s="631"/>
      <c r="F2403" s="631"/>
      <c r="G2403" s="631"/>
      <c r="H2403" s="631"/>
      <c r="I2403" s="631"/>
      <c r="J2403" s="631"/>
      <c r="M2403" s="555"/>
      <c r="N2403" s="555"/>
      <c r="O2403" s="475" t="s">
        <v>112</v>
      </c>
      <c r="P2403" s="545"/>
      <c r="Q2403" s="450">
        <f>MAX($Q$103:Q2402)+1</f>
        <v>63</v>
      </c>
      <c r="R2403" s="490" t="str">
        <f t="shared" si="159"/>
        <v>DELETE</v>
      </c>
    </row>
    <row r="2404" spans="2:23" ht="36" customHeight="1" x14ac:dyDescent="0.5">
      <c r="B2404" s="501"/>
      <c r="C2404" s="631"/>
      <c r="D2404" s="630" t="str">
        <f>Criteria!E9</f>
        <v>ABC COMPANY (PROPRIETARY) LIMITED</v>
      </c>
      <c r="E2404" s="631"/>
      <c r="F2404" s="631"/>
      <c r="G2404" s="631"/>
      <c r="H2404" s="631"/>
      <c r="I2404" s="631"/>
      <c r="J2404" s="631"/>
      <c r="M2404" s="555"/>
      <c r="N2404" s="555"/>
      <c r="O2404" s="545"/>
      <c r="P2404" s="545"/>
      <c r="R2404" s="490" t="str">
        <f t="shared" si="159"/>
        <v>DELETE</v>
      </c>
    </row>
    <row r="2405" spans="2:23" ht="36" customHeight="1" x14ac:dyDescent="0.5">
      <c r="B2405" s="501"/>
      <c r="C2405" s="631"/>
      <c r="D2405" s="630" t="str">
        <f>Criteria!E10</f>
        <v>T/A SEAFRONT HOTEL, ABC RESTAURANT AND RENTAL PROPERTIES</v>
      </c>
      <c r="E2405" s="631"/>
      <c r="F2405" s="631"/>
      <c r="G2405" s="631"/>
      <c r="H2405" s="631"/>
      <c r="I2405" s="631"/>
      <c r="J2405" s="631"/>
      <c r="M2405" s="555"/>
      <c r="N2405" s="555"/>
      <c r="O2405" s="555"/>
      <c r="P2405" s="545"/>
      <c r="R2405" s="490" t="str">
        <f>IF(R$2384="DELETE","DELETE",IF(D2405=0,"DELETE"," "))</f>
        <v>DELETE</v>
      </c>
    </row>
    <row r="2406" spans="2:23" ht="36" customHeight="1" x14ac:dyDescent="0.5">
      <c r="B2406" s="501"/>
      <c r="C2406" s="631"/>
      <c r="D2406" s="631"/>
      <c r="E2406" s="631"/>
      <c r="F2406" s="631"/>
      <c r="G2406" s="631"/>
      <c r="H2406" s="631"/>
      <c r="I2406" s="631"/>
      <c r="J2406" s="631"/>
      <c r="M2406" s="555"/>
      <c r="N2406" s="555"/>
      <c r="O2406" s="555"/>
      <c r="P2406" s="545"/>
      <c r="R2406" s="490" t="str">
        <f t="shared" si="159"/>
        <v>DELETE</v>
      </c>
    </row>
    <row r="2407" spans="2:23" ht="36" customHeight="1" x14ac:dyDescent="0.5">
      <c r="B2407" s="501"/>
      <c r="C2407" s="631"/>
      <c r="D2407" s="630" t="s">
        <v>415</v>
      </c>
      <c r="E2407" s="631"/>
      <c r="F2407" s="631"/>
      <c r="G2407" s="631"/>
      <c r="H2407" s="631"/>
      <c r="I2407" s="631"/>
      <c r="J2407" s="631"/>
      <c r="M2407" s="555"/>
      <c r="N2407" s="555"/>
      <c r="O2407" s="555"/>
      <c r="P2407" s="545"/>
      <c r="R2407" s="490" t="str">
        <f t="shared" si="159"/>
        <v>DELETE</v>
      </c>
    </row>
    <row r="2408" spans="2:23" ht="36" customHeight="1" x14ac:dyDescent="0.5">
      <c r="B2408" s="501"/>
      <c r="C2408" s="631"/>
      <c r="D2408" s="630" t="str">
        <f>Criteria!E20</f>
        <v>28 FEBRUARY 2026</v>
      </c>
      <c r="E2408" s="631"/>
      <c r="F2408" s="631"/>
      <c r="G2408" s="631"/>
      <c r="H2408" s="631"/>
      <c r="I2408" s="631"/>
      <c r="J2408" s="631" t="s">
        <v>282</v>
      </c>
      <c r="M2408" s="555"/>
      <c r="N2408" s="555"/>
      <c r="O2408" s="555"/>
      <c r="P2408" s="545"/>
      <c r="R2408" s="490" t="str">
        <f t="shared" si="159"/>
        <v>DELETE</v>
      </c>
    </row>
    <row r="2409" spans="2:23" ht="36" customHeight="1" x14ac:dyDescent="0.5">
      <c r="B2409" s="501"/>
      <c r="C2409" s="631"/>
      <c r="D2409" s="648"/>
      <c r="E2409" s="631"/>
      <c r="F2409" s="631"/>
      <c r="G2409" s="631"/>
      <c r="H2409" s="631"/>
      <c r="I2409" s="631"/>
      <c r="J2409" s="631"/>
      <c r="L2409" s="451"/>
      <c r="M2409" s="448"/>
      <c r="N2409" s="448"/>
      <c r="O2409" s="475"/>
      <c r="P2409" s="545"/>
      <c r="R2409" s="490" t="str">
        <f t="shared" si="159"/>
        <v>DELETE</v>
      </c>
    </row>
    <row r="2410" spans="2:23" ht="36" customHeight="1" x14ac:dyDescent="0.5">
      <c r="B2410" s="640"/>
      <c r="C2410" s="649"/>
      <c r="D2410" s="663"/>
      <c r="E2410" s="649"/>
      <c r="F2410" s="649"/>
      <c r="G2410" s="649"/>
      <c r="H2410" s="649"/>
      <c r="I2410" s="649"/>
      <c r="J2410" s="649"/>
      <c r="K2410" s="457"/>
      <c r="L2410" s="572"/>
      <c r="M2410" s="457"/>
      <c r="N2410" s="457"/>
      <c r="O2410" s="459"/>
      <c r="P2410" s="551"/>
      <c r="Q2410" s="457"/>
      <c r="R2410" s="490" t="str">
        <f t="shared" si="159"/>
        <v>DELETE</v>
      </c>
    </row>
    <row r="2411" spans="2:23" ht="36" customHeight="1" x14ac:dyDescent="0.5">
      <c r="B2411" s="501"/>
      <c r="C2411" s="631"/>
      <c r="D2411" s="648"/>
      <c r="E2411" s="631"/>
      <c r="F2411" s="631"/>
      <c r="G2411" s="631"/>
      <c r="H2411" s="631"/>
      <c r="I2411" s="631"/>
      <c r="J2411" s="631"/>
      <c r="L2411" s="451"/>
      <c r="M2411" s="448"/>
      <c r="N2411" s="448"/>
      <c r="O2411" s="488">
        <f>Criteria!E22</f>
        <v>2026</v>
      </c>
      <c r="P2411" s="545"/>
      <c r="R2411" s="490" t="str">
        <f t="shared" si="159"/>
        <v>DELETE</v>
      </c>
    </row>
    <row r="2412" spans="2:23" ht="36" customHeight="1" x14ac:dyDescent="0.5">
      <c r="B2412" s="501"/>
      <c r="C2412" s="631"/>
      <c r="D2412" s="648"/>
      <c r="E2412" s="631"/>
      <c r="F2412" s="631"/>
      <c r="G2412" s="631"/>
      <c r="H2412" s="631"/>
      <c r="I2412" s="631"/>
      <c r="J2412" s="631"/>
      <c r="L2412" s="451"/>
      <c r="M2412" s="448"/>
      <c r="N2412" s="448"/>
      <c r="O2412" s="475"/>
      <c r="P2412" s="545"/>
      <c r="R2412" s="490" t="str">
        <f t="shared" si="159"/>
        <v>DELETE</v>
      </c>
    </row>
    <row r="2413" spans="2:23" ht="36" customHeight="1" x14ac:dyDescent="0.5">
      <c r="B2413" s="501"/>
      <c r="C2413" s="630" t="s">
        <v>1527</v>
      </c>
      <c r="D2413" s="648"/>
      <c r="E2413" s="631"/>
      <c r="F2413" s="631"/>
      <c r="G2413" s="631"/>
      <c r="H2413" s="631"/>
      <c r="I2413" s="631"/>
      <c r="J2413" s="631"/>
      <c r="L2413" s="451"/>
      <c r="M2413" s="448"/>
      <c r="N2413" s="448"/>
      <c r="O2413" s="475"/>
      <c r="P2413" s="545"/>
      <c r="R2413" s="490" t="str">
        <f t="shared" si="159"/>
        <v>DELETE</v>
      </c>
    </row>
    <row r="2414" spans="2:23" ht="36" customHeight="1" x14ac:dyDescent="0.5">
      <c r="B2414" s="501"/>
      <c r="C2414" s="630"/>
      <c r="D2414" s="648"/>
      <c r="E2414" s="631"/>
      <c r="F2414" s="631"/>
      <c r="G2414" s="631"/>
      <c r="H2414" s="631"/>
      <c r="I2414" s="631"/>
      <c r="J2414" s="631"/>
      <c r="L2414" s="451"/>
      <c r="M2414" s="448"/>
      <c r="N2414" s="448"/>
      <c r="O2414" s="475"/>
      <c r="P2414" s="545"/>
      <c r="R2414" s="490" t="str">
        <f t="shared" si="159"/>
        <v>DELETE</v>
      </c>
    </row>
    <row r="2415" spans="2:23" ht="36" customHeight="1" x14ac:dyDescent="0.5">
      <c r="B2415" s="501"/>
      <c r="C2415" s="654" t="str">
        <f>IF(W2415=2,"Deferred tax liability at the beginning of the year","Deferred tax asset at the beginning of the year")</f>
        <v>Deferred tax liability at the beginning of the year</v>
      </c>
      <c r="D2415" s="648"/>
      <c r="E2415" s="631"/>
      <c r="F2415" s="631"/>
      <c r="G2415" s="631"/>
      <c r="H2415" s="631"/>
      <c r="I2415" s="631"/>
      <c r="J2415" s="631"/>
      <c r="L2415" s="451"/>
      <c r="M2415" s="448"/>
      <c r="N2415" s="448"/>
      <c r="O2415" s="475">
        <f>SUM(S2417:S2420)</f>
        <v>0</v>
      </c>
      <c r="P2415" s="545"/>
      <c r="R2415" s="490" t="str">
        <f t="shared" si="159"/>
        <v>DELETE</v>
      </c>
      <c r="W2415" s="491">
        <f>IF(O2415&lt;0,1,2)</f>
        <v>2</v>
      </c>
    </row>
    <row r="2416" spans="2:23" ht="9" customHeight="1" x14ac:dyDescent="0.5">
      <c r="B2416" s="501"/>
      <c r="C2416" s="654"/>
      <c r="D2416" s="648"/>
      <c r="E2416" s="631"/>
      <c r="F2416" s="631"/>
      <c r="G2416" s="631"/>
      <c r="H2416" s="631"/>
      <c r="I2416" s="631"/>
      <c r="J2416" s="631"/>
      <c r="M2416" s="475"/>
      <c r="N2416" s="475"/>
      <c r="O2416" s="475"/>
      <c r="P2416" s="545"/>
      <c r="R2416" s="490" t="str">
        <f>R$2415</f>
        <v>DELETE</v>
      </c>
    </row>
    <row r="2417" spans="2:19" ht="9" customHeight="1" x14ac:dyDescent="0.5">
      <c r="B2417" s="501"/>
      <c r="C2417" s="654"/>
      <c r="D2417" s="648"/>
      <c r="E2417" s="631"/>
      <c r="F2417" s="631"/>
      <c r="G2417" s="631"/>
      <c r="H2417" s="631"/>
      <c r="I2417" s="631"/>
      <c r="J2417" s="631"/>
      <c r="M2417" s="475"/>
      <c r="N2417" s="475"/>
      <c r="O2417" s="587"/>
      <c r="P2417" s="545"/>
      <c r="R2417" s="490" t="str">
        <f>R$2415</f>
        <v>DELETE</v>
      </c>
    </row>
    <row r="2418" spans="2:19" ht="36" customHeight="1" x14ac:dyDescent="0.5">
      <c r="B2418" s="501"/>
      <c r="C2418" s="631" t="s">
        <v>1430</v>
      </c>
      <c r="D2418" s="648"/>
      <c r="E2418" s="648"/>
      <c r="F2418" s="631"/>
      <c r="G2418" s="631"/>
      <c r="H2418" s="631"/>
      <c r="I2418" s="631"/>
      <c r="J2418" s="631"/>
      <c r="M2418" s="475"/>
      <c r="N2418" s="475"/>
      <c r="O2418" s="588">
        <f>-TrialBalance!L221</f>
        <v>0</v>
      </c>
      <c r="P2418" s="545"/>
      <c r="R2418" s="490" t="str">
        <f>IF(R2384="DELETE","DELETE",IF(R2419="DELETE"," ",IF(O2418=0,"DELETE"," ")))</f>
        <v>DELETE</v>
      </c>
      <c r="S2418" s="495">
        <f>O2418</f>
        <v>0</v>
      </c>
    </row>
    <row r="2419" spans="2:19" ht="36" customHeight="1" x14ac:dyDescent="0.5">
      <c r="B2419" s="501"/>
      <c r="C2419" s="631" t="s">
        <v>917</v>
      </c>
      <c r="D2419" s="648"/>
      <c r="E2419" s="648"/>
      <c r="F2419" s="631"/>
      <c r="G2419" s="631"/>
      <c r="H2419" s="631"/>
      <c r="I2419" s="631"/>
      <c r="J2419" s="631"/>
      <c r="M2419" s="475"/>
      <c r="N2419" s="475"/>
      <c r="O2419" s="588">
        <f>-TrialBalance!L222</f>
        <v>0</v>
      </c>
      <c r="P2419" s="545"/>
      <c r="R2419" s="490" t="str">
        <f>IF(R2384="DELETE","DELETE",IF(O2419=0,"DELETE"," "))</f>
        <v>DELETE</v>
      </c>
      <c r="S2419" s="495">
        <f>O2419</f>
        <v>0</v>
      </c>
    </row>
    <row r="2420" spans="2:19" ht="9" customHeight="1" x14ac:dyDescent="0.5">
      <c r="B2420" s="501"/>
      <c r="C2420" s="654"/>
      <c r="D2420" s="648"/>
      <c r="E2420" s="631"/>
      <c r="F2420" s="631"/>
      <c r="G2420" s="631"/>
      <c r="H2420" s="631"/>
      <c r="I2420" s="631"/>
      <c r="J2420" s="631"/>
      <c r="M2420" s="475"/>
      <c r="N2420" s="475"/>
      <c r="O2420" s="589"/>
      <c r="P2420" s="545"/>
      <c r="R2420" s="490" t="str">
        <f t="shared" ref="R2420:R2421" si="160">R$2415</f>
        <v>DELETE</v>
      </c>
    </row>
    <row r="2421" spans="2:19" ht="9" customHeight="1" x14ac:dyDescent="0.5">
      <c r="B2421" s="501"/>
      <c r="C2421" s="654"/>
      <c r="D2421" s="648"/>
      <c r="E2421" s="631"/>
      <c r="F2421" s="631"/>
      <c r="G2421" s="631"/>
      <c r="H2421" s="631"/>
      <c r="I2421" s="631"/>
      <c r="J2421" s="631"/>
      <c r="M2421" s="475"/>
      <c r="N2421" s="475"/>
      <c r="O2421" s="475"/>
      <c r="P2421" s="545"/>
      <c r="R2421" s="490" t="str">
        <f t="shared" si="160"/>
        <v>DELETE</v>
      </c>
    </row>
    <row r="2422" spans="2:19" ht="36.75" customHeight="1" x14ac:dyDescent="0.5">
      <c r="B2422" s="501"/>
      <c r="C2422" s="654" t="s">
        <v>1353</v>
      </c>
      <c r="D2422" s="648"/>
      <c r="E2422" s="631"/>
      <c r="F2422" s="631"/>
      <c r="G2422" s="631"/>
      <c r="H2422" s="631"/>
      <c r="I2422" s="631"/>
      <c r="J2422" s="631"/>
      <c r="M2422" s="475"/>
      <c r="N2422" s="475"/>
      <c r="O2422" s="475">
        <f>SUM(S2424:S2427)</f>
        <v>0</v>
      </c>
      <c r="P2422" s="545"/>
      <c r="R2422" s="490" t="str">
        <f>IF(O2422=0,"DELETE"," ")</f>
        <v>DELETE</v>
      </c>
    </row>
    <row r="2423" spans="2:19" ht="9" customHeight="1" x14ac:dyDescent="0.5">
      <c r="B2423" s="501"/>
      <c r="C2423" s="654"/>
      <c r="D2423" s="648"/>
      <c r="E2423" s="631"/>
      <c r="F2423" s="631"/>
      <c r="G2423" s="631"/>
      <c r="H2423" s="631"/>
      <c r="I2423" s="631"/>
      <c r="J2423" s="631"/>
      <c r="M2423" s="475"/>
      <c r="N2423" s="475"/>
      <c r="O2423" s="475"/>
      <c r="P2423" s="545"/>
      <c r="R2423" s="490" t="str">
        <f>R$2422</f>
        <v>DELETE</v>
      </c>
    </row>
    <row r="2424" spans="2:19" ht="9" customHeight="1" x14ac:dyDescent="0.5">
      <c r="B2424" s="501"/>
      <c r="C2424" s="654"/>
      <c r="D2424" s="648"/>
      <c r="E2424" s="631"/>
      <c r="F2424" s="631"/>
      <c r="G2424" s="631"/>
      <c r="H2424" s="631"/>
      <c r="I2424" s="631"/>
      <c r="J2424" s="631"/>
      <c r="M2424" s="475"/>
      <c r="N2424" s="475"/>
      <c r="O2424" s="587"/>
      <c r="P2424" s="545"/>
      <c r="R2424" s="490" t="str">
        <f>R$2422</f>
        <v>DELETE</v>
      </c>
    </row>
    <row r="2425" spans="2:19" ht="36" customHeight="1" x14ac:dyDescent="0.5">
      <c r="B2425" s="501"/>
      <c r="C2425" s="631" t="s">
        <v>1430</v>
      </c>
      <c r="D2425" s="648"/>
      <c r="E2425" s="648"/>
      <c r="F2425" s="631"/>
      <c r="G2425" s="631"/>
      <c r="H2425" s="631"/>
      <c r="I2425" s="631"/>
      <c r="J2425" s="631"/>
      <c r="M2425" s="475"/>
      <c r="N2425" s="475"/>
      <c r="O2425" s="588">
        <f>-TrialBalance!L223</f>
        <v>0</v>
      </c>
      <c r="P2425" s="545"/>
      <c r="R2425" s="490" t="str">
        <f t="shared" ref="R2425:R2426" si="161">IF(O2425=0,"DELETE"," ")</f>
        <v>DELETE</v>
      </c>
      <c r="S2425" s="495">
        <f>O2425</f>
        <v>0</v>
      </c>
    </row>
    <row r="2426" spans="2:19" ht="36" customHeight="1" x14ac:dyDescent="0.5">
      <c r="B2426" s="501"/>
      <c r="C2426" s="631" t="s">
        <v>917</v>
      </c>
      <c r="D2426" s="648"/>
      <c r="E2426" s="648"/>
      <c r="F2426" s="631"/>
      <c r="G2426" s="631"/>
      <c r="H2426" s="631"/>
      <c r="I2426" s="631"/>
      <c r="J2426" s="631"/>
      <c r="M2426" s="475"/>
      <c r="N2426" s="475"/>
      <c r="O2426" s="588">
        <f>-TrialBalance!L224</f>
        <v>0</v>
      </c>
      <c r="P2426" s="545"/>
      <c r="R2426" s="490" t="str">
        <f t="shared" si="161"/>
        <v>DELETE</v>
      </c>
      <c r="S2426" s="495">
        <f>O2426</f>
        <v>0</v>
      </c>
    </row>
    <row r="2427" spans="2:19" ht="9" customHeight="1" x14ac:dyDescent="0.5">
      <c r="B2427" s="501"/>
      <c r="C2427" s="654"/>
      <c r="D2427" s="648"/>
      <c r="E2427" s="631"/>
      <c r="F2427" s="631"/>
      <c r="G2427" s="631"/>
      <c r="H2427" s="631"/>
      <c r="I2427" s="631"/>
      <c r="J2427" s="631"/>
      <c r="M2427" s="475"/>
      <c r="N2427" s="475"/>
      <c r="O2427" s="589"/>
      <c r="P2427" s="545"/>
      <c r="R2427" s="490" t="str">
        <f t="shared" ref="R2427:R2428" si="162">R$2422</f>
        <v>DELETE</v>
      </c>
    </row>
    <row r="2428" spans="2:19" ht="9" customHeight="1" x14ac:dyDescent="0.5">
      <c r="B2428" s="501"/>
      <c r="C2428" s="654"/>
      <c r="D2428" s="648"/>
      <c r="E2428" s="631"/>
      <c r="F2428" s="631"/>
      <c r="G2428" s="631"/>
      <c r="H2428" s="631"/>
      <c r="I2428" s="631"/>
      <c r="J2428" s="631"/>
      <c r="M2428" s="475"/>
      <c r="N2428" s="475"/>
      <c r="O2428" s="475"/>
      <c r="P2428" s="545"/>
      <c r="R2428" s="490" t="str">
        <f t="shared" si="162"/>
        <v>DELETE</v>
      </c>
    </row>
    <row r="2429" spans="2:19" ht="36.75" customHeight="1" x14ac:dyDescent="0.5">
      <c r="B2429" s="501"/>
      <c r="C2429" s="654" t="s">
        <v>1098</v>
      </c>
      <c r="D2429" s="648"/>
      <c r="E2429" s="631"/>
      <c r="F2429" s="631"/>
      <c r="G2429" s="631"/>
      <c r="H2429" s="631"/>
      <c r="I2429" s="631"/>
      <c r="J2429" s="631"/>
      <c r="M2429" s="569"/>
      <c r="N2429" s="569"/>
      <c r="O2429" s="475">
        <f>SUM(S2431:S2434)</f>
        <v>0</v>
      </c>
      <c r="P2429" s="545"/>
      <c r="R2429" s="490" t="str">
        <f>IF(O2429=0,"DELETE"," ")</f>
        <v>DELETE</v>
      </c>
    </row>
    <row r="2430" spans="2:19" ht="9" customHeight="1" x14ac:dyDescent="0.5">
      <c r="B2430" s="501"/>
      <c r="C2430" s="654"/>
      <c r="D2430" s="648"/>
      <c r="E2430" s="631"/>
      <c r="F2430" s="631"/>
      <c r="G2430" s="631"/>
      <c r="H2430" s="631"/>
      <c r="I2430" s="631"/>
      <c r="J2430" s="631"/>
      <c r="M2430" s="569"/>
      <c r="N2430" s="569"/>
      <c r="O2430" s="569"/>
      <c r="P2430" s="545"/>
      <c r="R2430" s="490" t="str">
        <f>R$2429</f>
        <v>DELETE</v>
      </c>
    </row>
    <row r="2431" spans="2:19" ht="9" customHeight="1" x14ac:dyDescent="0.5">
      <c r="B2431" s="501"/>
      <c r="C2431" s="654"/>
      <c r="D2431" s="648"/>
      <c r="E2431" s="631"/>
      <c r="F2431" s="631"/>
      <c r="G2431" s="631"/>
      <c r="H2431" s="631"/>
      <c r="I2431" s="631"/>
      <c r="J2431" s="631"/>
      <c r="M2431" s="569"/>
      <c r="N2431" s="569"/>
      <c r="O2431" s="600"/>
      <c r="P2431" s="545"/>
      <c r="R2431" s="490" t="str">
        <f>R$2429</f>
        <v>DELETE</v>
      </c>
    </row>
    <row r="2432" spans="2:19" ht="36" customHeight="1" x14ac:dyDescent="0.5">
      <c r="B2432" s="501"/>
      <c r="C2432" s="631" t="s">
        <v>1430</v>
      </c>
      <c r="D2432" s="648"/>
      <c r="E2432" s="648"/>
      <c r="F2432" s="631"/>
      <c r="G2432" s="631"/>
      <c r="H2432" s="631"/>
      <c r="I2432" s="631"/>
      <c r="J2432" s="631"/>
      <c r="M2432" s="569"/>
      <c r="N2432" s="569"/>
      <c r="O2432" s="590">
        <f>-TrialBalance!L225</f>
        <v>0</v>
      </c>
      <c r="P2432" s="545"/>
      <c r="R2432" s="490" t="str">
        <f t="shared" ref="R2432:R2433" si="163">IF(O2432=0,"DELETE"," ")</f>
        <v>DELETE</v>
      </c>
      <c r="S2432" s="495">
        <f>O2432</f>
        <v>0</v>
      </c>
    </row>
    <row r="2433" spans="2:23" ht="36" customHeight="1" x14ac:dyDescent="0.5">
      <c r="B2433" s="501"/>
      <c r="C2433" s="631" t="s">
        <v>917</v>
      </c>
      <c r="D2433" s="648"/>
      <c r="E2433" s="648"/>
      <c r="F2433" s="631"/>
      <c r="G2433" s="631"/>
      <c r="H2433" s="631"/>
      <c r="I2433" s="631"/>
      <c r="J2433" s="631"/>
      <c r="M2433" s="569"/>
      <c r="N2433" s="569"/>
      <c r="O2433" s="590">
        <f>-TrialBalance!L226</f>
        <v>0</v>
      </c>
      <c r="P2433" s="545"/>
      <c r="R2433" s="490" t="str">
        <f t="shared" si="163"/>
        <v>DELETE</v>
      </c>
      <c r="S2433" s="495">
        <f>O2433</f>
        <v>0</v>
      </c>
    </row>
    <row r="2434" spans="2:23" ht="9" customHeight="1" x14ac:dyDescent="0.5">
      <c r="B2434" s="501"/>
      <c r="C2434" s="654"/>
      <c r="D2434" s="648"/>
      <c r="E2434" s="631"/>
      <c r="F2434" s="631"/>
      <c r="G2434" s="631"/>
      <c r="H2434" s="631"/>
      <c r="I2434" s="631"/>
      <c r="J2434" s="631"/>
      <c r="M2434" s="569"/>
      <c r="N2434" s="569"/>
      <c r="O2434" s="601"/>
      <c r="P2434" s="545"/>
      <c r="R2434" s="490" t="str">
        <f t="shared" ref="R2434:R2435" si="164">R$2429</f>
        <v>DELETE</v>
      </c>
    </row>
    <row r="2435" spans="2:23" ht="9" customHeight="1" x14ac:dyDescent="0.5">
      <c r="B2435" s="501"/>
      <c r="C2435" s="654"/>
      <c r="D2435" s="648"/>
      <c r="E2435" s="631"/>
      <c r="F2435" s="631"/>
      <c r="G2435" s="631"/>
      <c r="H2435" s="631"/>
      <c r="I2435" s="631"/>
      <c r="J2435" s="631"/>
      <c r="M2435" s="569"/>
      <c r="N2435" s="569"/>
      <c r="O2435" s="569"/>
      <c r="P2435" s="545"/>
      <c r="R2435" s="490" t="str">
        <f t="shared" si="164"/>
        <v>DELETE</v>
      </c>
    </row>
    <row r="2436" spans="2:23" ht="36.75" customHeight="1" x14ac:dyDescent="0.5">
      <c r="B2436" s="501"/>
      <c r="C2436" s="654" t="s">
        <v>1099</v>
      </c>
      <c r="D2436" s="648"/>
      <c r="E2436" s="631"/>
      <c r="F2436" s="631"/>
      <c r="G2436" s="631"/>
      <c r="H2436" s="631"/>
      <c r="I2436" s="631"/>
      <c r="J2436" s="631"/>
      <c r="M2436" s="569"/>
      <c r="N2436" s="569"/>
      <c r="O2436" s="475">
        <f>SUM(S2438:S2441)</f>
        <v>0</v>
      </c>
      <c r="P2436" s="545"/>
      <c r="R2436" s="490" t="str">
        <f>IF(O2436=0,"DELETE"," ")</f>
        <v>DELETE</v>
      </c>
    </row>
    <row r="2437" spans="2:23" ht="9" customHeight="1" x14ac:dyDescent="0.5">
      <c r="B2437" s="501"/>
      <c r="C2437" s="654"/>
      <c r="D2437" s="648"/>
      <c r="E2437" s="631"/>
      <c r="F2437" s="631"/>
      <c r="G2437" s="631"/>
      <c r="H2437" s="631"/>
      <c r="I2437" s="631"/>
      <c r="J2437" s="631"/>
      <c r="M2437" s="569"/>
      <c r="N2437" s="569"/>
      <c r="O2437" s="569"/>
      <c r="P2437" s="545"/>
      <c r="R2437" s="490" t="str">
        <f>R$2436</f>
        <v>DELETE</v>
      </c>
    </row>
    <row r="2438" spans="2:23" ht="9" customHeight="1" x14ac:dyDescent="0.5">
      <c r="B2438" s="501"/>
      <c r="C2438" s="654"/>
      <c r="D2438" s="648"/>
      <c r="E2438" s="631"/>
      <c r="F2438" s="631"/>
      <c r="G2438" s="631"/>
      <c r="H2438" s="631"/>
      <c r="I2438" s="631"/>
      <c r="J2438" s="631"/>
      <c r="M2438" s="569"/>
      <c r="N2438" s="569"/>
      <c r="O2438" s="600"/>
      <c r="P2438" s="545"/>
      <c r="R2438" s="490" t="str">
        <f>R$2436</f>
        <v>DELETE</v>
      </c>
    </row>
    <row r="2439" spans="2:23" ht="36" customHeight="1" x14ac:dyDescent="0.5">
      <c r="B2439" s="501"/>
      <c r="C2439" s="631" t="s">
        <v>1430</v>
      </c>
      <c r="D2439" s="648"/>
      <c r="E2439" s="648"/>
      <c r="F2439" s="631"/>
      <c r="G2439" s="631"/>
      <c r="H2439" s="631"/>
      <c r="I2439" s="631"/>
      <c r="J2439" s="631"/>
      <c r="M2439" s="569"/>
      <c r="N2439" s="569"/>
      <c r="O2439" s="590">
        <f>-TrialBalance!L227</f>
        <v>0</v>
      </c>
      <c r="P2439" s="545"/>
      <c r="R2439" s="490" t="str">
        <f t="shared" ref="R2439:R2440" si="165">IF(O2439=0,"DELETE"," ")</f>
        <v>DELETE</v>
      </c>
      <c r="S2439" s="495">
        <f>O2439</f>
        <v>0</v>
      </c>
    </row>
    <row r="2440" spans="2:23" ht="36" customHeight="1" x14ac:dyDescent="0.5">
      <c r="B2440" s="501"/>
      <c r="C2440" s="631" t="s">
        <v>917</v>
      </c>
      <c r="D2440" s="648"/>
      <c r="E2440" s="648"/>
      <c r="F2440" s="631"/>
      <c r="G2440" s="631"/>
      <c r="H2440" s="631"/>
      <c r="I2440" s="631"/>
      <c r="J2440" s="631"/>
      <c r="M2440" s="569"/>
      <c r="N2440" s="569"/>
      <c r="O2440" s="590">
        <f>-TrialBalance!L228</f>
        <v>0</v>
      </c>
      <c r="P2440" s="545"/>
      <c r="R2440" s="490" t="str">
        <f t="shared" si="165"/>
        <v>DELETE</v>
      </c>
      <c r="S2440" s="495">
        <f>O2440</f>
        <v>0</v>
      </c>
    </row>
    <row r="2441" spans="2:23" ht="9" customHeight="1" x14ac:dyDescent="0.5">
      <c r="B2441" s="501"/>
      <c r="C2441" s="654"/>
      <c r="D2441" s="648"/>
      <c r="E2441" s="631"/>
      <c r="F2441" s="631"/>
      <c r="G2441" s="631"/>
      <c r="H2441" s="631"/>
      <c r="I2441" s="631"/>
      <c r="J2441" s="631"/>
      <c r="M2441" s="569"/>
      <c r="N2441" s="569"/>
      <c r="O2441" s="601"/>
      <c r="P2441" s="545"/>
      <c r="R2441" s="490" t="str">
        <f>R$2436</f>
        <v>DELETE</v>
      </c>
    </row>
    <row r="2442" spans="2:23" ht="9" customHeight="1" x14ac:dyDescent="0.5">
      <c r="B2442" s="501"/>
      <c r="C2442" s="631"/>
      <c r="D2442" s="648"/>
      <c r="E2442" s="631"/>
      <c r="F2442" s="631"/>
      <c r="G2442" s="631"/>
      <c r="H2442" s="631"/>
      <c r="I2442" s="631"/>
      <c r="J2442" s="631"/>
      <c r="L2442" s="451"/>
      <c r="M2442" s="448"/>
      <c r="N2442" s="448"/>
      <c r="O2442" s="461"/>
      <c r="P2442" s="545"/>
      <c r="R2442" s="490" t="str">
        <f t="shared" ref="R2442:R2447" si="166">R$2384</f>
        <v>DELETE</v>
      </c>
    </row>
    <row r="2443" spans="2:23" ht="9" customHeight="1" x14ac:dyDescent="0.5">
      <c r="B2443" s="501"/>
      <c r="C2443" s="631"/>
      <c r="D2443" s="648"/>
      <c r="E2443" s="631"/>
      <c r="F2443" s="631"/>
      <c r="G2443" s="631"/>
      <c r="H2443" s="631"/>
      <c r="I2443" s="631"/>
      <c r="J2443" s="631"/>
      <c r="L2443" s="451"/>
      <c r="M2443" s="448"/>
      <c r="N2443" s="448"/>
      <c r="O2443" s="475"/>
      <c r="P2443" s="545"/>
      <c r="R2443" s="490" t="str">
        <f t="shared" si="166"/>
        <v>DELETE</v>
      </c>
    </row>
    <row r="2444" spans="2:23" ht="36.75" customHeight="1" x14ac:dyDescent="0.5">
      <c r="B2444" s="501"/>
      <c r="C2444" s="654" t="str">
        <f>IF(W2444=2,"Deferred tax liability at the end of the year","Deferred tax asset at the end of the year")</f>
        <v>Deferred tax liability at the end of the year</v>
      </c>
      <c r="D2444" s="648"/>
      <c r="E2444" s="631"/>
      <c r="F2444" s="631"/>
      <c r="G2444" s="631"/>
      <c r="H2444" s="631"/>
      <c r="I2444" s="631"/>
      <c r="J2444" s="631"/>
      <c r="L2444" s="451"/>
      <c r="M2444" s="448"/>
      <c r="N2444" s="448"/>
      <c r="O2444" s="475">
        <f>SUM(S2417:S2441)</f>
        <v>0</v>
      </c>
      <c r="P2444" s="545"/>
      <c r="R2444" s="490" t="str">
        <f t="shared" si="166"/>
        <v>DELETE</v>
      </c>
      <c r="U2444" s="491" t="b">
        <f>O2444=SUM(O2447:O2450)</f>
        <v>1</v>
      </c>
      <c r="W2444" s="491">
        <f>IF(O2444&lt;0,1,2)</f>
        <v>2</v>
      </c>
    </row>
    <row r="2445" spans="2:23" ht="9" customHeight="1" thickBot="1" x14ac:dyDescent="0.55000000000000004">
      <c r="B2445" s="501"/>
      <c r="C2445" s="630"/>
      <c r="D2445" s="631"/>
      <c r="E2445" s="631"/>
      <c r="F2445" s="631"/>
      <c r="G2445" s="631"/>
      <c r="H2445" s="631"/>
      <c r="I2445" s="631"/>
      <c r="J2445" s="631"/>
      <c r="L2445" s="451"/>
      <c r="M2445" s="448"/>
      <c r="N2445" s="448"/>
      <c r="O2445" s="462"/>
      <c r="P2445" s="545"/>
      <c r="R2445" s="490" t="str">
        <f t="shared" si="166"/>
        <v>DELETE</v>
      </c>
    </row>
    <row r="2446" spans="2:23" ht="9" customHeight="1" thickTop="1" x14ac:dyDescent="0.5">
      <c r="B2446" s="501"/>
      <c r="C2446" s="630"/>
      <c r="D2446" s="631"/>
      <c r="E2446" s="631"/>
      <c r="F2446" s="631"/>
      <c r="G2446" s="631"/>
      <c r="H2446" s="631"/>
      <c r="I2446" s="631"/>
      <c r="J2446" s="631"/>
      <c r="L2446" s="451"/>
      <c r="M2446" s="448"/>
      <c r="N2446" s="448"/>
      <c r="O2446" s="475"/>
      <c r="P2446" s="545"/>
      <c r="R2446" s="490" t="str">
        <f t="shared" si="166"/>
        <v>DELETE</v>
      </c>
    </row>
    <row r="2447" spans="2:23" ht="9" customHeight="1" x14ac:dyDescent="0.5">
      <c r="B2447" s="501"/>
      <c r="C2447" s="630"/>
      <c r="D2447" s="631"/>
      <c r="E2447" s="631"/>
      <c r="F2447" s="631"/>
      <c r="G2447" s="631"/>
      <c r="H2447" s="631"/>
      <c r="I2447" s="631"/>
      <c r="J2447" s="631"/>
      <c r="L2447" s="451"/>
      <c r="M2447" s="448"/>
      <c r="N2447" s="448"/>
      <c r="O2447" s="587"/>
      <c r="P2447" s="545"/>
      <c r="R2447" s="490" t="str">
        <f t="shared" si="166"/>
        <v>DELETE</v>
      </c>
    </row>
    <row r="2448" spans="2:23" ht="36" customHeight="1" x14ac:dyDescent="0.5">
      <c r="B2448" s="501"/>
      <c r="C2448" s="631" t="s">
        <v>1430</v>
      </c>
      <c r="D2448" s="631"/>
      <c r="E2448" s="648"/>
      <c r="F2448" s="631"/>
      <c r="G2448" s="631"/>
      <c r="H2448" s="631"/>
      <c r="I2448" s="631"/>
      <c r="J2448" s="631"/>
      <c r="L2448" s="451"/>
      <c r="M2448" s="448"/>
      <c r="N2448" s="448"/>
      <c r="O2448" s="588">
        <f>-TrialBalance!L221-TrialBalance!L223-TrialBalance!L225-TrialBalance!L227</f>
        <v>0</v>
      </c>
      <c r="P2448" s="545"/>
      <c r="R2448" s="490" t="str">
        <f>IF(R2384="DELETE","DELETE",IF(R2449="DELETE"," ",IF(O2448=0,"DELETE"," ")))</f>
        <v>DELETE</v>
      </c>
      <c r="S2448" s="495">
        <f>O2448</f>
        <v>0</v>
      </c>
    </row>
    <row r="2449" spans="2:19" ht="36" customHeight="1" x14ac:dyDescent="0.5">
      <c r="B2449" s="501"/>
      <c r="C2449" s="631" t="s">
        <v>917</v>
      </c>
      <c r="D2449" s="631"/>
      <c r="E2449" s="648"/>
      <c r="F2449" s="631"/>
      <c r="G2449" s="631"/>
      <c r="H2449" s="631"/>
      <c r="I2449" s="631"/>
      <c r="J2449" s="631"/>
      <c r="L2449" s="451"/>
      <c r="M2449" s="448"/>
      <c r="N2449" s="448"/>
      <c r="O2449" s="588">
        <f>-TrialBalance!L222-TrialBalance!L224-TrialBalance!L226-TrialBalance!L228</f>
        <v>0</v>
      </c>
      <c r="P2449" s="545"/>
      <c r="R2449" s="490" t="str">
        <f>IF(R2384="DELETE","DELETE",IF(O2449=0,"DELETE"," "))</f>
        <v>DELETE</v>
      </c>
      <c r="S2449" s="495">
        <f>O2449</f>
        <v>0</v>
      </c>
    </row>
    <row r="2450" spans="2:19" ht="10.5" customHeight="1" x14ac:dyDescent="0.5">
      <c r="B2450" s="501"/>
      <c r="C2450" s="630"/>
      <c r="D2450" s="631"/>
      <c r="E2450" s="631"/>
      <c r="F2450" s="631"/>
      <c r="G2450" s="631"/>
      <c r="H2450" s="631"/>
      <c r="I2450" s="631"/>
      <c r="J2450" s="631"/>
      <c r="L2450" s="451"/>
      <c r="M2450" s="448"/>
      <c r="N2450" s="448"/>
      <c r="O2450" s="589"/>
      <c r="P2450" s="545"/>
      <c r="R2450" s="490" t="str">
        <f t="shared" ref="R2450:R2455" si="167">R$2384</f>
        <v>DELETE</v>
      </c>
    </row>
    <row r="2451" spans="2:19" ht="9" customHeight="1" x14ac:dyDescent="0.5">
      <c r="B2451" s="501"/>
      <c r="C2451" s="630"/>
      <c r="D2451" s="631"/>
      <c r="E2451" s="631"/>
      <c r="F2451" s="631"/>
      <c r="G2451" s="631"/>
      <c r="H2451" s="631"/>
      <c r="I2451" s="631"/>
      <c r="J2451" s="631"/>
      <c r="L2451" s="451"/>
      <c r="M2451" s="448"/>
      <c r="N2451" s="448"/>
      <c r="O2451" s="475"/>
      <c r="P2451" s="545"/>
      <c r="R2451" s="490" t="str">
        <f t="shared" si="167"/>
        <v>DELETE</v>
      </c>
    </row>
    <row r="2452" spans="2:19" ht="36" customHeight="1" x14ac:dyDescent="0.5">
      <c r="B2452" s="501"/>
      <c r="C2452" s="630"/>
      <c r="D2452" s="631"/>
      <c r="E2452" s="631"/>
      <c r="F2452" s="631"/>
      <c r="G2452" s="631"/>
      <c r="H2452" s="631"/>
      <c r="I2452" s="631"/>
      <c r="J2452" s="631"/>
      <c r="L2452" s="451"/>
      <c r="M2452" s="448"/>
      <c r="N2452" s="448"/>
      <c r="O2452" s="475"/>
      <c r="P2452" s="545"/>
      <c r="R2452" s="490" t="str">
        <f t="shared" si="167"/>
        <v>DELETE</v>
      </c>
    </row>
    <row r="2453" spans="2:19" ht="36" customHeight="1" x14ac:dyDescent="0.5">
      <c r="B2453" s="501"/>
      <c r="C2453" s="630"/>
      <c r="D2453" s="631"/>
      <c r="E2453" s="631"/>
      <c r="F2453" s="631"/>
      <c r="G2453" s="631"/>
      <c r="H2453" s="631"/>
      <c r="I2453" s="631"/>
      <c r="J2453" s="631"/>
      <c r="M2453" s="475"/>
      <c r="N2453" s="475"/>
      <c r="O2453" s="475"/>
      <c r="P2453" s="545"/>
      <c r="R2453" s="490" t="str">
        <f t="shared" si="167"/>
        <v>DELETE</v>
      </c>
    </row>
    <row r="2454" spans="2:19" ht="36" customHeight="1" x14ac:dyDescent="0.5">
      <c r="B2454" s="501"/>
      <c r="C2454" s="630"/>
      <c r="D2454" s="631"/>
      <c r="E2454" s="631"/>
      <c r="F2454" s="631"/>
      <c r="G2454" s="631"/>
      <c r="H2454" s="631"/>
      <c r="I2454" s="631"/>
      <c r="J2454" s="631"/>
      <c r="M2454" s="475"/>
      <c r="N2454" s="475"/>
      <c r="O2454" s="475"/>
      <c r="P2454" s="545"/>
      <c r="R2454" s="490" t="str">
        <f t="shared" si="167"/>
        <v>DELETE</v>
      </c>
    </row>
    <row r="2455" spans="2:19" ht="36" customHeight="1" x14ac:dyDescent="0.5">
      <c r="B2455" s="502"/>
      <c r="C2455" s="631"/>
      <c r="D2455" s="631"/>
      <c r="E2455" s="631"/>
      <c r="F2455" s="631"/>
      <c r="G2455" s="631"/>
      <c r="H2455" s="631"/>
      <c r="I2455" s="631"/>
      <c r="J2455" s="631"/>
      <c r="M2455" s="541"/>
      <c r="N2455" s="541"/>
      <c r="O2455" s="541"/>
      <c r="R2455" s="490" t="str">
        <f t="shared" si="167"/>
        <v>DELETE</v>
      </c>
    </row>
    <row r="2456" spans="2:19" ht="36" customHeight="1" x14ac:dyDescent="0.5">
      <c r="B2456" s="502"/>
      <c r="C2456" s="631"/>
      <c r="D2456" s="631"/>
      <c r="E2456" s="631"/>
      <c r="F2456" s="631"/>
      <c r="G2456" s="631"/>
      <c r="H2456" s="631"/>
      <c r="I2456" s="631"/>
      <c r="J2456" s="631"/>
      <c r="M2456" s="541"/>
      <c r="N2456" s="541"/>
      <c r="O2456" s="458" t="s">
        <v>112</v>
      </c>
      <c r="Q2456" s="450">
        <f>MAX($Q$103:Q2455)+1</f>
        <v>64</v>
      </c>
      <c r="R2456" s="490" t="str">
        <f>R$2476</f>
        <v>DELETE</v>
      </c>
    </row>
    <row r="2457" spans="2:19" ht="36" customHeight="1" x14ac:dyDescent="0.5">
      <c r="B2457" s="502"/>
      <c r="C2457" s="631"/>
      <c r="D2457" s="630" t="str">
        <f>Criteria!E9</f>
        <v>ABC COMPANY (PROPRIETARY) LIMITED</v>
      </c>
      <c r="E2457" s="631"/>
      <c r="F2457" s="631"/>
      <c r="G2457" s="631"/>
      <c r="H2457" s="631"/>
      <c r="I2457" s="631"/>
      <c r="J2457" s="631"/>
      <c r="M2457" s="541"/>
      <c r="N2457" s="541"/>
      <c r="O2457" s="540"/>
      <c r="R2457" s="490" t="str">
        <f t="shared" ref="R2457:R2467" si="168">R$2476</f>
        <v>DELETE</v>
      </c>
    </row>
    <row r="2458" spans="2:19" ht="36" customHeight="1" x14ac:dyDescent="0.5">
      <c r="B2458" s="502"/>
      <c r="C2458" s="631"/>
      <c r="D2458" s="630" t="str">
        <f>Criteria!E10</f>
        <v>T/A SEAFRONT HOTEL, ABC RESTAURANT AND RENTAL PROPERTIES</v>
      </c>
      <c r="E2458" s="631"/>
      <c r="F2458" s="631"/>
      <c r="G2458" s="631"/>
      <c r="H2458" s="631"/>
      <c r="I2458" s="631"/>
      <c r="J2458" s="631"/>
      <c r="M2458" s="541"/>
      <c r="N2458" s="541"/>
      <c r="O2458" s="541"/>
      <c r="R2458" s="490" t="str">
        <f>IF(R$2476="DELETE","DELETE",IF(D2458=0,"DELETE"," "))</f>
        <v>DELETE</v>
      </c>
    </row>
    <row r="2459" spans="2:19" ht="36" customHeight="1" x14ac:dyDescent="0.5">
      <c r="B2459" s="502"/>
      <c r="C2459" s="631"/>
      <c r="D2459" s="631"/>
      <c r="E2459" s="631"/>
      <c r="F2459" s="631"/>
      <c r="G2459" s="631"/>
      <c r="H2459" s="631"/>
      <c r="I2459" s="631"/>
      <c r="J2459" s="631"/>
      <c r="M2459" s="541"/>
      <c r="N2459" s="541"/>
      <c r="O2459" s="541"/>
      <c r="R2459" s="490" t="str">
        <f t="shared" si="168"/>
        <v>DELETE</v>
      </c>
    </row>
    <row r="2460" spans="2:19" ht="36" customHeight="1" x14ac:dyDescent="0.5">
      <c r="B2460" s="502"/>
      <c r="C2460" s="631"/>
      <c r="D2460" s="630" t="s">
        <v>415</v>
      </c>
      <c r="E2460" s="631"/>
      <c r="F2460" s="631"/>
      <c r="G2460" s="631"/>
      <c r="H2460" s="631"/>
      <c r="I2460" s="631"/>
      <c r="J2460" s="631"/>
      <c r="M2460" s="541"/>
      <c r="N2460" s="541"/>
      <c r="O2460" s="541"/>
      <c r="R2460" s="490" t="str">
        <f t="shared" si="168"/>
        <v>DELETE</v>
      </c>
    </row>
    <row r="2461" spans="2:19" ht="36" customHeight="1" x14ac:dyDescent="0.5">
      <c r="B2461" s="502"/>
      <c r="C2461" s="631"/>
      <c r="D2461" s="630" t="str">
        <f>Criteria!E20</f>
        <v>28 FEBRUARY 2026</v>
      </c>
      <c r="E2461" s="631"/>
      <c r="F2461" s="631"/>
      <c r="G2461" s="631"/>
      <c r="H2461" s="631"/>
      <c r="I2461" s="631"/>
      <c r="J2461" s="631" t="s">
        <v>282</v>
      </c>
      <c r="M2461" s="541"/>
      <c r="N2461" s="541"/>
      <c r="O2461" s="541"/>
      <c r="R2461" s="490" t="str">
        <f t="shared" si="168"/>
        <v>DELETE</v>
      </c>
    </row>
    <row r="2462" spans="2:19" ht="36" customHeight="1" x14ac:dyDescent="0.5">
      <c r="B2462" s="502"/>
      <c r="C2462" s="631"/>
      <c r="D2462" s="630"/>
      <c r="E2462" s="631"/>
      <c r="F2462" s="631"/>
      <c r="G2462" s="631"/>
      <c r="H2462" s="631"/>
      <c r="I2462" s="631"/>
      <c r="J2462" s="631"/>
      <c r="M2462" s="541"/>
      <c r="N2462" s="541"/>
      <c r="O2462" s="541"/>
      <c r="R2462" s="490" t="str">
        <f t="shared" si="168"/>
        <v>DELETE</v>
      </c>
    </row>
    <row r="2463" spans="2:19" ht="36" customHeight="1" x14ac:dyDescent="0.5">
      <c r="B2463" s="640"/>
      <c r="C2463" s="652"/>
      <c r="D2463" s="649"/>
      <c r="E2463" s="649"/>
      <c r="F2463" s="649"/>
      <c r="G2463" s="649"/>
      <c r="H2463" s="649"/>
      <c r="I2463" s="649"/>
      <c r="J2463" s="649"/>
      <c r="K2463" s="457"/>
      <c r="L2463" s="457"/>
      <c r="M2463" s="459"/>
      <c r="N2463" s="459"/>
      <c r="O2463" s="459"/>
      <c r="P2463" s="551"/>
      <c r="Q2463" s="457"/>
      <c r="R2463" s="490" t="str">
        <f t="shared" si="168"/>
        <v>DELETE</v>
      </c>
    </row>
    <row r="2464" spans="2:19" ht="36" customHeight="1" x14ac:dyDescent="0.5">
      <c r="B2464" s="501"/>
      <c r="C2464" s="630"/>
      <c r="D2464" s="631"/>
      <c r="E2464" s="631"/>
      <c r="F2464" s="631"/>
      <c r="G2464" s="631"/>
      <c r="H2464" s="631"/>
      <c r="I2464" s="631"/>
      <c r="J2464" s="631"/>
      <c r="L2464" s="451"/>
      <c r="M2464" s="448"/>
      <c r="N2464" s="448"/>
      <c r="O2464" s="453">
        <f>Criteria!E22</f>
        <v>2026</v>
      </c>
      <c r="R2464" s="490" t="str">
        <f t="shared" si="168"/>
        <v>DELETE</v>
      </c>
    </row>
    <row r="2465" spans="2:18" ht="36" customHeight="1" x14ac:dyDescent="0.5">
      <c r="B2465" s="501"/>
      <c r="C2465" s="630"/>
      <c r="D2465" s="631"/>
      <c r="E2465" s="631"/>
      <c r="F2465" s="631"/>
      <c r="G2465" s="631"/>
      <c r="H2465" s="631"/>
      <c r="I2465" s="631"/>
      <c r="J2465" s="631"/>
      <c r="L2465" s="451"/>
      <c r="M2465" s="448"/>
      <c r="N2465" s="448"/>
      <c r="O2465" s="458"/>
      <c r="R2465" s="490" t="str">
        <f t="shared" si="168"/>
        <v>DELETE</v>
      </c>
    </row>
    <row r="2466" spans="2:18" ht="36" customHeight="1" x14ac:dyDescent="0.5">
      <c r="B2466" s="501">
        <f>MAX($B$873:B2465)+1</f>
        <v>26</v>
      </c>
      <c r="C2466" s="630" t="s">
        <v>878</v>
      </c>
      <c r="D2466" s="631"/>
      <c r="E2466" s="631"/>
      <c r="F2466" s="631"/>
      <c r="G2466" s="631"/>
      <c r="H2466" s="631"/>
      <c r="I2466" s="631"/>
      <c r="J2466" s="631"/>
      <c r="L2466" s="451"/>
      <c r="M2466" s="448"/>
      <c r="N2466" s="448"/>
      <c r="O2466" s="458"/>
      <c r="R2466" s="490" t="str">
        <f t="shared" si="168"/>
        <v>DELETE</v>
      </c>
    </row>
    <row r="2467" spans="2:18" ht="36" customHeight="1" x14ac:dyDescent="0.5">
      <c r="B2467" s="501"/>
      <c r="C2467" s="630"/>
      <c r="D2467" s="631"/>
      <c r="E2467" s="631"/>
      <c r="F2467" s="631"/>
      <c r="G2467" s="631"/>
      <c r="H2467" s="631"/>
      <c r="I2467" s="631"/>
      <c r="J2467" s="631"/>
      <c r="L2467" s="451"/>
      <c r="M2467" s="448"/>
      <c r="N2467" s="448"/>
      <c r="O2467" s="458"/>
      <c r="R2467" s="490" t="str">
        <f t="shared" si="168"/>
        <v>DELETE</v>
      </c>
    </row>
    <row r="2468" spans="2:18" ht="36" customHeight="1" x14ac:dyDescent="0.5">
      <c r="B2468" s="501"/>
      <c r="C2468" s="631" t="s">
        <v>459</v>
      </c>
      <c r="D2468" s="648"/>
      <c r="E2468" s="631"/>
      <c r="F2468" s="631"/>
      <c r="G2468" s="631"/>
      <c r="H2468" s="631"/>
      <c r="I2468" s="631"/>
      <c r="J2468" s="631"/>
      <c r="L2468" s="451"/>
      <c r="M2468" s="448"/>
      <c r="N2468" s="448"/>
      <c r="O2468" s="458">
        <f>-TrialBalance!L380-TrialBalance!L379</f>
        <v>0</v>
      </c>
      <c r="R2468" s="490" t="str">
        <f t="shared" ref="R2468:R2473" si="169">IF(O2468=0,"DELETE"," ")</f>
        <v>DELETE</v>
      </c>
    </row>
    <row r="2469" spans="2:18" ht="36" customHeight="1" x14ac:dyDescent="0.5">
      <c r="B2469" s="501"/>
      <c r="C2469" s="631" t="s">
        <v>622</v>
      </c>
      <c r="D2469" s="648"/>
      <c r="E2469" s="631"/>
      <c r="F2469" s="631"/>
      <c r="G2469" s="631"/>
      <c r="H2469" s="631"/>
      <c r="I2469" s="631"/>
      <c r="J2469" s="631"/>
      <c r="L2469" s="451"/>
      <c r="M2469" s="448"/>
      <c r="N2469" s="448"/>
      <c r="O2469" s="458">
        <f>-TrialBalance!L381</f>
        <v>0</v>
      </c>
      <c r="R2469" s="490" t="str">
        <f t="shared" si="169"/>
        <v>DELETE</v>
      </c>
    </row>
    <row r="2470" spans="2:18" ht="36" customHeight="1" x14ac:dyDescent="0.5">
      <c r="B2470" s="501"/>
      <c r="C2470" s="631" t="s">
        <v>922</v>
      </c>
      <c r="D2470" s="648"/>
      <c r="E2470" s="631"/>
      <c r="F2470" s="631"/>
      <c r="G2470" s="631"/>
      <c r="H2470" s="631"/>
      <c r="I2470" s="631"/>
      <c r="J2470" s="631"/>
      <c r="L2470" s="451"/>
      <c r="M2470" s="448"/>
      <c r="N2470" s="448"/>
      <c r="O2470" s="458">
        <f>-TrialBalance!L382</f>
        <v>0</v>
      </c>
      <c r="R2470" s="490" t="str">
        <f t="shared" si="169"/>
        <v>DELETE</v>
      </c>
    </row>
    <row r="2471" spans="2:18" ht="36" customHeight="1" x14ac:dyDescent="0.5">
      <c r="B2471" s="501"/>
      <c r="C2471" s="631" t="s">
        <v>623</v>
      </c>
      <c r="D2471" s="648"/>
      <c r="E2471" s="631"/>
      <c r="F2471" s="631"/>
      <c r="G2471" s="631"/>
      <c r="H2471" s="631"/>
      <c r="I2471" s="631"/>
      <c r="J2471" s="631"/>
      <c r="L2471" s="451"/>
      <c r="M2471" s="448"/>
      <c r="N2471" s="448"/>
      <c r="O2471" s="458">
        <f>-TrialBalance!L383</f>
        <v>0</v>
      </c>
      <c r="R2471" s="490" t="str">
        <f t="shared" si="169"/>
        <v>DELETE</v>
      </c>
    </row>
    <row r="2472" spans="2:18" ht="36" customHeight="1" x14ac:dyDescent="0.5">
      <c r="B2472" s="501"/>
      <c r="C2472" s="631" t="s">
        <v>900</v>
      </c>
      <c r="D2472" s="648"/>
      <c r="E2472" s="631"/>
      <c r="F2472" s="631"/>
      <c r="G2472" s="631"/>
      <c r="H2472" s="631"/>
      <c r="I2472" s="631"/>
      <c r="J2472" s="631"/>
      <c r="L2472" s="451"/>
      <c r="M2472" s="448"/>
      <c r="N2472" s="448"/>
      <c r="O2472" s="458">
        <f>-TrialBalance!L384</f>
        <v>0</v>
      </c>
      <c r="R2472" s="490" t="str">
        <f t="shared" si="169"/>
        <v>DELETE</v>
      </c>
    </row>
    <row r="2473" spans="2:18" ht="36" customHeight="1" x14ac:dyDescent="0.5">
      <c r="B2473" s="501"/>
      <c r="C2473" s="631" t="s">
        <v>607</v>
      </c>
      <c r="D2473" s="648"/>
      <c r="E2473" s="631"/>
      <c r="F2473" s="631"/>
      <c r="G2473" s="631"/>
      <c r="H2473" s="631"/>
      <c r="I2473" s="631"/>
      <c r="J2473" s="631"/>
      <c r="L2473" s="451"/>
      <c r="M2473" s="448"/>
      <c r="N2473" s="448"/>
      <c r="O2473" s="458">
        <f>IF(TrialBalance!L399&lt;0,-TrialBalance!L399,0)</f>
        <v>0</v>
      </c>
      <c r="R2473" s="490" t="str">
        <f t="shared" si="169"/>
        <v>DELETE</v>
      </c>
    </row>
    <row r="2474" spans="2:18" ht="9" customHeight="1" x14ac:dyDescent="0.5">
      <c r="B2474" s="501"/>
      <c r="C2474" s="630"/>
      <c r="D2474" s="631"/>
      <c r="E2474" s="631"/>
      <c r="F2474" s="631"/>
      <c r="G2474" s="631"/>
      <c r="H2474" s="631"/>
      <c r="I2474" s="631"/>
      <c r="J2474" s="631"/>
      <c r="L2474" s="451"/>
      <c r="M2474" s="448"/>
      <c r="N2474" s="448"/>
      <c r="O2474" s="461"/>
      <c r="R2474" s="490" t="str">
        <f t="shared" ref="R2474:R2482" si="170">R$2476</f>
        <v>DELETE</v>
      </c>
    </row>
    <row r="2475" spans="2:18" ht="9" customHeight="1" x14ac:dyDescent="0.5">
      <c r="B2475" s="501"/>
      <c r="C2475" s="630"/>
      <c r="D2475" s="631"/>
      <c r="E2475" s="631"/>
      <c r="F2475" s="631"/>
      <c r="G2475" s="631"/>
      <c r="H2475" s="631"/>
      <c r="I2475" s="631"/>
      <c r="J2475" s="631"/>
      <c r="L2475" s="451"/>
      <c r="M2475" s="448"/>
      <c r="N2475" s="448"/>
      <c r="O2475" s="458"/>
      <c r="R2475" s="490" t="str">
        <f t="shared" si="170"/>
        <v>DELETE</v>
      </c>
    </row>
    <row r="2476" spans="2:18" ht="36.75" customHeight="1" x14ac:dyDescent="0.5">
      <c r="B2476" s="501"/>
      <c r="C2476" s="630"/>
      <c r="D2476" s="631"/>
      <c r="E2476" s="631"/>
      <c r="F2476" s="631"/>
      <c r="G2476" s="631"/>
      <c r="H2476" s="631"/>
      <c r="I2476" s="631"/>
      <c r="J2476" s="631"/>
      <c r="L2476" s="451"/>
      <c r="M2476" s="448"/>
      <c r="N2476" s="448"/>
      <c r="O2476" s="458">
        <f>SUM(O2468:O2475)</f>
        <v>0</v>
      </c>
      <c r="R2476" s="490" t="str">
        <f t="shared" ref="R2476" si="171">IF(O2476=0,"DELETE"," ")</f>
        <v>DELETE</v>
      </c>
    </row>
    <row r="2477" spans="2:18" ht="9" customHeight="1" thickBot="1" x14ac:dyDescent="0.55000000000000004">
      <c r="B2477" s="501"/>
      <c r="C2477" s="630"/>
      <c r="D2477" s="631"/>
      <c r="E2477" s="631"/>
      <c r="F2477" s="631"/>
      <c r="G2477" s="631"/>
      <c r="H2477" s="631"/>
      <c r="I2477" s="631"/>
      <c r="J2477" s="631"/>
      <c r="L2477" s="451"/>
      <c r="M2477" s="448"/>
      <c r="N2477" s="448"/>
      <c r="O2477" s="462"/>
      <c r="R2477" s="490" t="str">
        <f t="shared" si="170"/>
        <v>DELETE</v>
      </c>
    </row>
    <row r="2478" spans="2:18" ht="9" customHeight="1" thickTop="1" x14ac:dyDescent="0.5">
      <c r="B2478" s="501"/>
      <c r="C2478" s="630"/>
      <c r="D2478" s="631"/>
      <c r="E2478" s="631"/>
      <c r="F2478" s="631"/>
      <c r="G2478" s="631"/>
      <c r="H2478" s="631"/>
      <c r="I2478" s="631"/>
      <c r="J2478" s="631"/>
      <c r="L2478" s="451"/>
      <c r="M2478" s="448"/>
      <c r="N2478" s="448"/>
      <c r="O2478" s="475"/>
      <c r="R2478" s="490" t="str">
        <f t="shared" si="170"/>
        <v>DELETE</v>
      </c>
    </row>
    <row r="2479" spans="2:18" ht="36" customHeight="1" x14ac:dyDescent="0.5">
      <c r="B2479" s="501"/>
      <c r="C2479" s="630"/>
      <c r="D2479" s="631"/>
      <c r="E2479" s="631"/>
      <c r="F2479" s="631"/>
      <c r="G2479" s="631"/>
      <c r="H2479" s="631"/>
      <c r="I2479" s="631"/>
      <c r="J2479" s="631"/>
      <c r="L2479" s="451"/>
      <c r="M2479" s="448"/>
      <c r="N2479" s="448"/>
      <c r="O2479" s="458"/>
      <c r="R2479" s="490" t="str">
        <f t="shared" si="170"/>
        <v>DELETE</v>
      </c>
    </row>
    <row r="2480" spans="2:18" ht="36" customHeight="1" x14ac:dyDescent="0.5">
      <c r="B2480" s="501"/>
      <c r="C2480" s="630"/>
      <c r="D2480" s="631"/>
      <c r="E2480" s="631"/>
      <c r="F2480" s="631"/>
      <c r="G2480" s="631"/>
      <c r="H2480" s="631"/>
      <c r="I2480" s="631"/>
      <c r="J2480" s="631"/>
      <c r="M2480" s="458"/>
      <c r="N2480" s="458"/>
      <c r="O2480" s="458"/>
      <c r="R2480" s="490" t="str">
        <f t="shared" si="170"/>
        <v>DELETE</v>
      </c>
    </row>
    <row r="2481" spans="2:18" ht="36" customHeight="1" x14ac:dyDescent="0.5">
      <c r="B2481" s="501"/>
      <c r="C2481" s="630"/>
      <c r="D2481" s="631"/>
      <c r="E2481" s="631"/>
      <c r="F2481" s="631"/>
      <c r="G2481" s="631"/>
      <c r="H2481" s="631"/>
      <c r="I2481" s="631"/>
      <c r="J2481" s="631"/>
      <c r="M2481" s="475"/>
      <c r="N2481" s="475"/>
      <c r="O2481" s="475"/>
      <c r="P2481" s="545"/>
      <c r="R2481" s="490" t="str">
        <f t="shared" si="170"/>
        <v>DELETE</v>
      </c>
    </row>
    <row r="2482" spans="2:18" ht="36" customHeight="1" x14ac:dyDescent="0.5">
      <c r="B2482" s="501"/>
      <c r="C2482" s="630"/>
      <c r="D2482" s="631"/>
      <c r="E2482" s="631"/>
      <c r="F2482" s="631"/>
      <c r="G2482" s="631"/>
      <c r="H2482" s="631"/>
      <c r="I2482" s="631"/>
      <c r="J2482" s="631"/>
      <c r="M2482" s="458"/>
      <c r="N2482" s="458"/>
      <c r="O2482" s="458"/>
      <c r="R2482" s="490" t="str">
        <f t="shared" si="170"/>
        <v>DELETE</v>
      </c>
    </row>
    <row r="2483" spans="2:18" ht="36" customHeight="1" x14ac:dyDescent="0.5">
      <c r="B2483" s="502"/>
      <c r="C2483" s="631"/>
      <c r="D2483" s="631"/>
      <c r="E2483" s="631"/>
      <c r="F2483" s="631"/>
      <c r="G2483" s="631"/>
      <c r="H2483" s="631"/>
      <c r="I2483" s="631"/>
      <c r="J2483" s="631"/>
      <c r="M2483" s="541"/>
      <c r="N2483" s="541"/>
      <c r="O2483" s="458" t="s">
        <v>112</v>
      </c>
      <c r="Q2483" s="450">
        <f>MAX($Q$103:Q2482)+1</f>
        <v>65</v>
      </c>
      <c r="R2483" s="490" t="str">
        <f>R$2503</f>
        <v>DELETE</v>
      </c>
    </row>
    <row r="2484" spans="2:18" ht="36" customHeight="1" x14ac:dyDescent="0.5">
      <c r="B2484" s="502"/>
      <c r="C2484" s="631"/>
      <c r="D2484" s="630" t="str">
        <f>Criteria!E9</f>
        <v>ABC COMPANY (PROPRIETARY) LIMITED</v>
      </c>
      <c r="E2484" s="631"/>
      <c r="F2484" s="631"/>
      <c r="G2484" s="631"/>
      <c r="H2484" s="631"/>
      <c r="I2484" s="631"/>
      <c r="J2484" s="631"/>
      <c r="M2484" s="541"/>
      <c r="N2484" s="541"/>
      <c r="O2484" s="540"/>
      <c r="R2484" s="490" t="str">
        <f t="shared" ref="R2484:R2494" si="172">R$2503</f>
        <v>DELETE</v>
      </c>
    </row>
    <row r="2485" spans="2:18" ht="36" customHeight="1" x14ac:dyDescent="0.5">
      <c r="B2485" s="502"/>
      <c r="C2485" s="631"/>
      <c r="D2485" s="630" t="str">
        <f>Criteria!E10</f>
        <v>T/A SEAFRONT HOTEL, ABC RESTAURANT AND RENTAL PROPERTIES</v>
      </c>
      <c r="E2485" s="631"/>
      <c r="F2485" s="631"/>
      <c r="G2485" s="631"/>
      <c r="H2485" s="631"/>
      <c r="I2485" s="631"/>
      <c r="J2485" s="631"/>
      <c r="M2485" s="541"/>
      <c r="N2485" s="541"/>
      <c r="O2485" s="541"/>
      <c r="R2485" s="490" t="str">
        <f>IF(R$2503="DELETE","DELETE",IF(D2485=0,"DELETE"," "))</f>
        <v>DELETE</v>
      </c>
    </row>
    <row r="2486" spans="2:18" ht="36" customHeight="1" x14ac:dyDescent="0.5">
      <c r="B2486" s="502"/>
      <c r="C2486" s="631"/>
      <c r="D2486" s="631"/>
      <c r="E2486" s="631"/>
      <c r="F2486" s="631"/>
      <c r="G2486" s="631"/>
      <c r="H2486" s="631"/>
      <c r="I2486" s="631"/>
      <c r="J2486" s="631"/>
      <c r="M2486" s="541"/>
      <c r="N2486" s="541"/>
      <c r="O2486" s="541"/>
      <c r="R2486" s="490" t="str">
        <f t="shared" si="172"/>
        <v>DELETE</v>
      </c>
    </row>
    <row r="2487" spans="2:18" ht="36" customHeight="1" x14ac:dyDescent="0.5">
      <c r="B2487" s="502"/>
      <c r="C2487" s="631"/>
      <c r="D2487" s="630" t="s">
        <v>415</v>
      </c>
      <c r="E2487" s="631"/>
      <c r="F2487" s="631"/>
      <c r="G2487" s="631"/>
      <c r="H2487" s="631"/>
      <c r="I2487" s="631"/>
      <c r="J2487" s="631"/>
      <c r="M2487" s="541"/>
      <c r="N2487" s="541"/>
      <c r="O2487" s="541"/>
      <c r="R2487" s="490" t="str">
        <f t="shared" si="172"/>
        <v>DELETE</v>
      </c>
    </row>
    <row r="2488" spans="2:18" ht="36" customHeight="1" x14ac:dyDescent="0.5">
      <c r="B2488" s="502"/>
      <c r="C2488" s="631"/>
      <c r="D2488" s="630" t="str">
        <f>Criteria!E20</f>
        <v>28 FEBRUARY 2026</v>
      </c>
      <c r="E2488" s="631"/>
      <c r="F2488" s="631"/>
      <c r="G2488" s="631"/>
      <c r="H2488" s="631"/>
      <c r="I2488" s="631"/>
      <c r="J2488" s="631" t="s">
        <v>282</v>
      </c>
      <c r="M2488" s="541"/>
      <c r="N2488" s="541"/>
      <c r="O2488" s="541"/>
      <c r="R2488" s="490" t="str">
        <f t="shared" si="172"/>
        <v>DELETE</v>
      </c>
    </row>
    <row r="2489" spans="2:18" ht="36" customHeight="1" x14ac:dyDescent="0.5">
      <c r="B2489" s="502"/>
      <c r="C2489" s="631"/>
      <c r="D2489" s="631"/>
      <c r="E2489" s="631"/>
      <c r="F2489" s="631"/>
      <c r="G2489" s="631"/>
      <c r="H2489" s="631"/>
      <c r="I2489" s="631"/>
      <c r="J2489" s="631"/>
      <c r="M2489" s="554"/>
      <c r="N2489" s="554"/>
      <c r="O2489" s="554"/>
      <c r="R2489" s="490" t="str">
        <f t="shared" si="172"/>
        <v>DELETE</v>
      </c>
    </row>
    <row r="2490" spans="2:18" ht="36" customHeight="1" x14ac:dyDescent="0.5">
      <c r="B2490" s="641"/>
      <c r="C2490" s="649"/>
      <c r="D2490" s="649"/>
      <c r="E2490" s="649"/>
      <c r="F2490" s="649"/>
      <c r="G2490" s="649"/>
      <c r="H2490" s="649"/>
      <c r="I2490" s="649"/>
      <c r="J2490" s="649"/>
      <c r="K2490" s="457"/>
      <c r="L2490" s="457"/>
      <c r="M2490" s="557"/>
      <c r="N2490" s="557"/>
      <c r="O2490" s="557"/>
      <c r="P2490" s="551"/>
      <c r="Q2490" s="457"/>
      <c r="R2490" s="490" t="str">
        <f t="shared" si="172"/>
        <v>DELETE</v>
      </c>
    </row>
    <row r="2491" spans="2:18" ht="36" customHeight="1" x14ac:dyDescent="0.5">
      <c r="B2491" s="502"/>
      <c r="C2491" s="631"/>
      <c r="D2491" s="631"/>
      <c r="E2491" s="631"/>
      <c r="F2491" s="631"/>
      <c r="G2491" s="631"/>
      <c r="H2491" s="631"/>
      <c r="I2491" s="631"/>
      <c r="J2491" s="631"/>
      <c r="L2491" s="451"/>
      <c r="M2491" s="448"/>
      <c r="N2491" s="448"/>
      <c r="O2491" s="453">
        <f>Criteria!E22</f>
        <v>2026</v>
      </c>
      <c r="R2491" s="490" t="str">
        <f t="shared" si="172"/>
        <v>DELETE</v>
      </c>
    </row>
    <row r="2492" spans="2:18" ht="36" customHeight="1" x14ac:dyDescent="0.5">
      <c r="B2492" s="501"/>
      <c r="C2492" s="630"/>
      <c r="D2492" s="631"/>
      <c r="E2492" s="631"/>
      <c r="F2492" s="631"/>
      <c r="G2492" s="631"/>
      <c r="H2492" s="631"/>
      <c r="I2492" s="631"/>
      <c r="J2492" s="631"/>
      <c r="L2492" s="451"/>
      <c r="M2492" s="448"/>
      <c r="N2492" s="448"/>
      <c r="O2492" s="458"/>
      <c r="R2492" s="490" t="str">
        <f t="shared" si="172"/>
        <v>DELETE</v>
      </c>
    </row>
    <row r="2493" spans="2:18" ht="36" customHeight="1" x14ac:dyDescent="0.5">
      <c r="B2493" s="501">
        <f>MAX($B$873:B2492)+1</f>
        <v>27</v>
      </c>
      <c r="C2493" s="630" t="str">
        <f>IF(COUNTIF(TrialBalance!L367:L372,"&lt;0")&gt;1,"Bank overdrafts","Bank overdraft")</f>
        <v>Bank overdraft</v>
      </c>
      <c r="D2493" s="631"/>
      <c r="E2493" s="631"/>
      <c r="F2493" s="631"/>
      <c r="G2493" s="631"/>
      <c r="H2493" s="631"/>
      <c r="I2493" s="631"/>
      <c r="J2493" s="631"/>
      <c r="L2493" s="451"/>
      <c r="M2493" s="448"/>
      <c r="N2493" s="448"/>
      <c r="O2493" s="458"/>
      <c r="R2493" s="490" t="str">
        <f t="shared" si="172"/>
        <v>DELETE</v>
      </c>
    </row>
    <row r="2494" spans="2:18" ht="36" customHeight="1" x14ac:dyDescent="0.5">
      <c r="B2494" s="501"/>
      <c r="C2494" s="630"/>
      <c r="D2494" s="631"/>
      <c r="E2494" s="631"/>
      <c r="F2494" s="631"/>
      <c r="G2494" s="631"/>
      <c r="H2494" s="631"/>
      <c r="I2494" s="631"/>
      <c r="J2494" s="631"/>
      <c r="L2494" s="451"/>
      <c r="M2494" s="448"/>
      <c r="N2494" s="448"/>
      <c r="O2494" s="458"/>
      <c r="R2494" s="490" t="str">
        <f t="shared" si="172"/>
        <v>DELETE</v>
      </c>
    </row>
    <row r="2495" spans="2:18" ht="36" customHeight="1" x14ac:dyDescent="0.5">
      <c r="B2495" s="501"/>
      <c r="C2495" s="631">
        <f>TrialBalance!C367</f>
        <v>0</v>
      </c>
      <c r="D2495" s="648"/>
      <c r="E2495" s="631"/>
      <c r="F2495" s="631"/>
      <c r="G2495" s="631"/>
      <c r="H2495" s="631"/>
      <c r="I2495" s="631"/>
      <c r="J2495" s="631"/>
      <c r="L2495" s="451"/>
      <c r="M2495" s="448"/>
      <c r="N2495" s="448"/>
      <c r="O2495" s="458">
        <f>IF(TrialBalance!L367&lt;0,-TrialBalance!L367,0)</f>
        <v>0</v>
      </c>
      <c r="R2495" s="490" t="str">
        <f t="shared" ref="R2495:R2500" si="173">IF(O2495=0,"DELETE"," ")</f>
        <v>DELETE</v>
      </c>
    </row>
    <row r="2496" spans="2:18" ht="36" customHeight="1" x14ac:dyDescent="0.5">
      <c r="B2496" s="501"/>
      <c r="C2496" s="631">
        <f>TrialBalance!C368</f>
        <v>0</v>
      </c>
      <c r="D2496" s="648"/>
      <c r="E2496" s="631"/>
      <c r="F2496" s="631"/>
      <c r="G2496" s="631"/>
      <c r="H2496" s="631"/>
      <c r="I2496" s="631"/>
      <c r="J2496" s="631"/>
      <c r="L2496" s="451"/>
      <c r="M2496" s="448"/>
      <c r="N2496" s="448"/>
      <c r="O2496" s="458">
        <f>IF(TrialBalance!L368&lt;0,-TrialBalance!L368,0)</f>
        <v>0</v>
      </c>
      <c r="R2496" s="490" t="str">
        <f t="shared" si="173"/>
        <v>DELETE</v>
      </c>
    </row>
    <row r="2497" spans="2:18" ht="36" customHeight="1" x14ac:dyDescent="0.5">
      <c r="B2497" s="501"/>
      <c r="C2497" s="631">
        <f>TrialBalance!C369</f>
        <v>0</v>
      </c>
      <c r="D2497" s="648"/>
      <c r="E2497" s="631"/>
      <c r="F2497" s="631"/>
      <c r="G2497" s="631"/>
      <c r="H2497" s="631"/>
      <c r="I2497" s="631"/>
      <c r="J2497" s="631"/>
      <c r="L2497" s="451"/>
      <c r="M2497" s="448"/>
      <c r="N2497" s="448"/>
      <c r="O2497" s="458">
        <f>IF(TrialBalance!L369&lt;0,-TrialBalance!L369,0)</f>
        <v>0</v>
      </c>
      <c r="R2497" s="490" t="str">
        <f t="shared" si="173"/>
        <v>DELETE</v>
      </c>
    </row>
    <row r="2498" spans="2:18" ht="36" customHeight="1" x14ac:dyDescent="0.5">
      <c r="B2498" s="501"/>
      <c r="C2498" s="631">
        <f>TrialBalance!C370</f>
        <v>0</v>
      </c>
      <c r="D2498" s="648"/>
      <c r="E2498" s="631"/>
      <c r="F2498" s="631"/>
      <c r="G2498" s="631"/>
      <c r="H2498" s="631"/>
      <c r="I2498" s="631"/>
      <c r="J2498" s="631"/>
      <c r="L2498" s="451"/>
      <c r="M2498" s="448"/>
      <c r="N2498" s="448"/>
      <c r="O2498" s="458">
        <f>IF(TrialBalance!L370&lt;0,-TrialBalance!L370,0)</f>
        <v>0</v>
      </c>
      <c r="R2498" s="490" t="str">
        <f t="shared" si="173"/>
        <v>DELETE</v>
      </c>
    </row>
    <row r="2499" spans="2:18" ht="36" customHeight="1" x14ac:dyDescent="0.5">
      <c r="B2499" s="501"/>
      <c r="C2499" s="631">
        <f>TrialBalance!C371</f>
        <v>0</v>
      </c>
      <c r="D2499" s="648"/>
      <c r="E2499" s="631"/>
      <c r="F2499" s="631"/>
      <c r="G2499" s="631"/>
      <c r="H2499" s="631"/>
      <c r="I2499" s="631"/>
      <c r="J2499" s="631"/>
      <c r="L2499" s="451"/>
      <c r="M2499" s="448"/>
      <c r="N2499" s="448"/>
      <c r="O2499" s="458">
        <f>IF(TrialBalance!L371&lt;0,-TrialBalance!L371,0)</f>
        <v>0</v>
      </c>
      <c r="R2499" s="490" t="str">
        <f t="shared" si="173"/>
        <v>DELETE</v>
      </c>
    </row>
    <row r="2500" spans="2:18" ht="36" customHeight="1" x14ac:dyDescent="0.5">
      <c r="B2500" s="501"/>
      <c r="C2500" s="631">
        <f>TrialBalance!C372</f>
        <v>0</v>
      </c>
      <c r="D2500" s="648"/>
      <c r="E2500" s="631"/>
      <c r="F2500" s="631"/>
      <c r="G2500" s="631"/>
      <c r="H2500" s="631"/>
      <c r="I2500" s="631"/>
      <c r="J2500" s="631"/>
      <c r="L2500" s="451"/>
      <c r="M2500" s="448"/>
      <c r="N2500" s="448"/>
      <c r="O2500" s="458">
        <f>IF(TrialBalance!L372&lt;0,-TrialBalance!L372,0)</f>
        <v>0</v>
      </c>
      <c r="R2500" s="490" t="str">
        <f t="shared" si="173"/>
        <v>DELETE</v>
      </c>
    </row>
    <row r="2501" spans="2:18" ht="9" customHeight="1" x14ac:dyDescent="0.5">
      <c r="B2501" s="501"/>
      <c r="C2501" s="630"/>
      <c r="D2501" s="631"/>
      <c r="E2501" s="631"/>
      <c r="F2501" s="631"/>
      <c r="G2501" s="631"/>
      <c r="H2501" s="631"/>
      <c r="I2501" s="631"/>
      <c r="J2501" s="631"/>
      <c r="L2501" s="451"/>
      <c r="M2501" s="448"/>
      <c r="N2501" s="448"/>
      <c r="O2501" s="461"/>
      <c r="R2501" s="490" t="str">
        <f t="shared" ref="R2501:R2509" si="174">R$2503</f>
        <v>DELETE</v>
      </c>
    </row>
    <row r="2502" spans="2:18" ht="9" customHeight="1" x14ac:dyDescent="0.5">
      <c r="B2502" s="501"/>
      <c r="C2502" s="630"/>
      <c r="D2502" s="631"/>
      <c r="E2502" s="631"/>
      <c r="F2502" s="631"/>
      <c r="G2502" s="631"/>
      <c r="H2502" s="631"/>
      <c r="I2502" s="631"/>
      <c r="J2502" s="631"/>
      <c r="L2502" s="451"/>
      <c r="M2502" s="448"/>
      <c r="N2502" s="448"/>
      <c r="O2502" s="458"/>
      <c r="R2502" s="490" t="str">
        <f t="shared" si="174"/>
        <v>DELETE</v>
      </c>
    </row>
    <row r="2503" spans="2:18" ht="36.75" customHeight="1" x14ac:dyDescent="0.5">
      <c r="B2503" s="501"/>
      <c r="C2503" s="630"/>
      <c r="D2503" s="631"/>
      <c r="E2503" s="631"/>
      <c r="F2503" s="631"/>
      <c r="G2503" s="631"/>
      <c r="H2503" s="631"/>
      <c r="I2503" s="631"/>
      <c r="J2503" s="631"/>
      <c r="L2503" s="451"/>
      <c r="M2503" s="448"/>
      <c r="N2503" s="448"/>
      <c r="O2503" s="458">
        <f>SUM(O2495:O2502)</f>
        <v>0</v>
      </c>
      <c r="R2503" s="490" t="str">
        <f t="shared" ref="R2503" si="175">IF(O2503=0,"DELETE"," ")</f>
        <v>DELETE</v>
      </c>
    </row>
    <row r="2504" spans="2:18" ht="9" customHeight="1" thickBot="1" x14ac:dyDescent="0.55000000000000004">
      <c r="B2504" s="501"/>
      <c r="C2504" s="630"/>
      <c r="D2504" s="631"/>
      <c r="E2504" s="631"/>
      <c r="F2504" s="631"/>
      <c r="G2504" s="631"/>
      <c r="H2504" s="631"/>
      <c r="I2504" s="631"/>
      <c r="J2504" s="631"/>
      <c r="L2504" s="451"/>
      <c r="M2504" s="448"/>
      <c r="N2504" s="448"/>
      <c r="O2504" s="462"/>
      <c r="R2504" s="490" t="str">
        <f t="shared" si="174"/>
        <v>DELETE</v>
      </c>
    </row>
    <row r="2505" spans="2:18" ht="9" customHeight="1" thickTop="1" x14ac:dyDescent="0.5">
      <c r="B2505" s="501"/>
      <c r="C2505" s="630"/>
      <c r="D2505" s="631"/>
      <c r="E2505" s="631"/>
      <c r="F2505" s="631"/>
      <c r="G2505" s="631"/>
      <c r="H2505" s="631"/>
      <c r="I2505" s="631"/>
      <c r="J2505" s="631"/>
      <c r="L2505" s="451"/>
      <c r="M2505" s="448"/>
      <c r="N2505" s="448"/>
      <c r="O2505" s="475"/>
      <c r="R2505" s="490" t="str">
        <f t="shared" si="174"/>
        <v>DELETE</v>
      </c>
    </row>
    <row r="2506" spans="2:18" ht="36" customHeight="1" x14ac:dyDescent="0.5">
      <c r="B2506" s="501"/>
      <c r="C2506" s="630"/>
      <c r="D2506" s="631"/>
      <c r="E2506" s="631"/>
      <c r="F2506" s="631"/>
      <c r="G2506" s="631"/>
      <c r="H2506" s="631"/>
      <c r="I2506" s="631"/>
      <c r="J2506" s="631"/>
      <c r="L2506" s="451"/>
      <c r="M2506" s="448"/>
      <c r="N2506" s="448"/>
      <c r="O2506" s="458"/>
      <c r="R2506" s="490" t="str">
        <f t="shared" si="174"/>
        <v>DELETE</v>
      </c>
    </row>
    <row r="2507" spans="2:18" ht="36" customHeight="1" x14ac:dyDescent="0.5">
      <c r="B2507" s="501"/>
      <c r="C2507" s="630"/>
      <c r="D2507" s="631"/>
      <c r="E2507" s="631"/>
      <c r="F2507" s="631"/>
      <c r="G2507" s="631"/>
      <c r="H2507" s="631"/>
      <c r="I2507" s="631"/>
      <c r="J2507" s="631"/>
      <c r="M2507" s="458"/>
      <c r="N2507" s="458"/>
      <c r="O2507" s="458"/>
      <c r="R2507" s="490" t="str">
        <f t="shared" si="174"/>
        <v>DELETE</v>
      </c>
    </row>
    <row r="2508" spans="2:18" ht="36" customHeight="1" x14ac:dyDescent="0.5">
      <c r="B2508" s="501"/>
      <c r="C2508" s="630"/>
      <c r="D2508" s="631"/>
      <c r="E2508" s="631"/>
      <c r="F2508" s="631"/>
      <c r="G2508" s="631"/>
      <c r="H2508" s="631"/>
      <c r="I2508" s="631"/>
      <c r="J2508" s="631"/>
      <c r="M2508" s="475"/>
      <c r="N2508" s="475"/>
      <c r="O2508" s="475"/>
      <c r="P2508" s="545"/>
      <c r="R2508" s="490" t="str">
        <f t="shared" si="174"/>
        <v>DELETE</v>
      </c>
    </row>
    <row r="2509" spans="2:18" ht="36" customHeight="1" x14ac:dyDescent="0.5">
      <c r="B2509" s="502"/>
      <c r="C2509" s="631"/>
      <c r="D2509" s="631"/>
      <c r="E2509" s="631"/>
      <c r="F2509" s="631"/>
      <c r="G2509" s="631"/>
      <c r="H2509" s="631"/>
      <c r="I2509" s="631"/>
      <c r="J2509" s="631"/>
      <c r="M2509" s="541"/>
      <c r="N2509" s="541"/>
      <c r="O2509" s="541"/>
      <c r="R2509" s="490" t="str">
        <f t="shared" si="174"/>
        <v>DELETE</v>
      </c>
    </row>
    <row r="2510" spans="2:18" ht="36" customHeight="1" x14ac:dyDescent="0.5">
      <c r="B2510" s="502"/>
      <c r="C2510" s="631"/>
      <c r="D2510" s="631"/>
      <c r="E2510" s="631"/>
      <c r="F2510" s="631"/>
      <c r="G2510" s="631"/>
      <c r="H2510" s="631"/>
      <c r="I2510" s="631"/>
      <c r="J2510" s="631"/>
      <c r="M2510" s="541"/>
      <c r="N2510" s="541"/>
      <c r="O2510" s="458" t="s">
        <v>112</v>
      </c>
      <c r="Q2510" s="450">
        <f>MAX($Q$103:Q2509)+1</f>
        <v>66</v>
      </c>
      <c r="R2510" s="490" t="str">
        <f>R$2527</f>
        <v>DELETE</v>
      </c>
    </row>
    <row r="2511" spans="2:18" ht="36" customHeight="1" x14ac:dyDescent="0.5">
      <c r="B2511" s="502"/>
      <c r="C2511" s="631"/>
      <c r="D2511" s="630" t="str">
        <f>Criteria!E9</f>
        <v>ABC COMPANY (PROPRIETARY) LIMITED</v>
      </c>
      <c r="E2511" s="631"/>
      <c r="F2511" s="631"/>
      <c r="G2511" s="631"/>
      <c r="H2511" s="631"/>
      <c r="I2511" s="631"/>
      <c r="J2511" s="631"/>
      <c r="M2511" s="541"/>
      <c r="N2511" s="541"/>
      <c r="O2511" s="540"/>
      <c r="R2511" s="490" t="str">
        <f t="shared" ref="R2511:R2521" si="176">R$2527</f>
        <v>DELETE</v>
      </c>
    </row>
    <row r="2512" spans="2:18" ht="36" customHeight="1" x14ac:dyDescent="0.5">
      <c r="B2512" s="502"/>
      <c r="C2512" s="631"/>
      <c r="D2512" s="630" t="str">
        <f>Criteria!E10</f>
        <v>T/A SEAFRONT HOTEL, ABC RESTAURANT AND RENTAL PROPERTIES</v>
      </c>
      <c r="E2512" s="631"/>
      <c r="F2512" s="631"/>
      <c r="G2512" s="631"/>
      <c r="H2512" s="631"/>
      <c r="I2512" s="631"/>
      <c r="J2512" s="631"/>
      <c r="M2512" s="541"/>
      <c r="N2512" s="541"/>
      <c r="O2512" s="541"/>
      <c r="R2512" s="490" t="str">
        <f>IF(R$2527="DELETE","DELETE",IF(D2512=0,"DELETE"," "))</f>
        <v>DELETE</v>
      </c>
    </row>
    <row r="2513" spans="2:22" ht="36" customHeight="1" x14ac:dyDescent="0.5">
      <c r="B2513" s="502"/>
      <c r="C2513" s="631"/>
      <c r="D2513" s="631"/>
      <c r="E2513" s="631"/>
      <c r="F2513" s="631"/>
      <c r="G2513" s="631"/>
      <c r="H2513" s="631"/>
      <c r="I2513" s="631"/>
      <c r="J2513" s="631"/>
      <c r="M2513" s="541"/>
      <c r="N2513" s="541"/>
      <c r="O2513" s="541"/>
      <c r="R2513" s="490" t="str">
        <f t="shared" si="176"/>
        <v>DELETE</v>
      </c>
    </row>
    <row r="2514" spans="2:22" ht="36" customHeight="1" x14ac:dyDescent="0.5">
      <c r="B2514" s="502"/>
      <c r="C2514" s="631"/>
      <c r="D2514" s="630" t="s">
        <v>415</v>
      </c>
      <c r="E2514" s="631"/>
      <c r="F2514" s="631"/>
      <c r="G2514" s="631"/>
      <c r="H2514" s="631"/>
      <c r="I2514" s="631"/>
      <c r="J2514" s="631"/>
      <c r="M2514" s="541"/>
      <c r="N2514" s="541"/>
      <c r="O2514" s="541"/>
      <c r="R2514" s="490" t="str">
        <f t="shared" si="176"/>
        <v>DELETE</v>
      </c>
    </row>
    <row r="2515" spans="2:22" ht="36" customHeight="1" x14ac:dyDescent="0.5">
      <c r="B2515" s="502"/>
      <c r="C2515" s="631"/>
      <c r="D2515" s="630" t="str">
        <f>Criteria!E20</f>
        <v>28 FEBRUARY 2026</v>
      </c>
      <c r="E2515" s="631"/>
      <c r="F2515" s="631"/>
      <c r="G2515" s="631"/>
      <c r="H2515" s="631"/>
      <c r="I2515" s="631"/>
      <c r="J2515" s="631" t="s">
        <v>282</v>
      </c>
      <c r="M2515" s="541"/>
      <c r="N2515" s="541"/>
      <c r="O2515" s="541"/>
      <c r="R2515" s="490" t="str">
        <f t="shared" si="176"/>
        <v>DELETE</v>
      </c>
    </row>
    <row r="2516" spans="2:22" ht="36" customHeight="1" x14ac:dyDescent="0.5">
      <c r="B2516" s="502"/>
      <c r="C2516" s="631"/>
      <c r="D2516" s="630"/>
      <c r="E2516" s="631"/>
      <c r="F2516" s="631"/>
      <c r="G2516" s="631"/>
      <c r="H2516" s="631"/>
      <c r="I2516" s="631"/>
      <c r="J2516" s="631"/>
      <c r="M2516" s="541"/>
      <c r="N2516" s="541"/>
      <c r="O2516" s="541"/>
      <c r="R2516" s="490" t="str">
        <f t="shared" si="176"/>
        <v>DELETE</v>
      </c>
    </row>
    <row r="2517" spans="2:22" ht="36" customHeight="1" x14ac:dyDescent="0.5">
      <c r="B2517" s="640"/>
      <c r="C2517" s="652"/>
      <c r="D2517" s="649"/>
      <c r="E2517" s="649"/>
      <c r="F2517" s="649"/>
      <c r="G2517" s="649"/>
      <c r="H2517" s="649"/>
      <c r="I2517" s="649"/>
      <c r="J2517" s="649"/>
      <c r="K2517" s="457"/>
      <c r="L2517" s="457"/>
      <c r="M2517" s="459"/>
      <c r="N2517" s="459"/>
      <c r="O2517" s="459"/>
      <c r="P2517" s="551"/>
      <c r="Q2517" s="457"/>
      <c r="R2517" s="490" t="str">
        <f t="shared" si="176"/>
        <v>DELETE</v>
      </c>
    </row>
    <row r="2518" spans="2:22" ht="36" customHeight="1" x14ac:dyDescent="0.5">
      <c r="B2518" s="501"/>
      <c r="C2518" s="630"/>
      <c r="D2518" s="631"/>
      <c r="E2518" s="631"/>
      <c r="F2518" s="631"/>
      <c r="G2518" s="631"/>
      <c r="H2518" s="631"/>
      <c r="I2518" s="631"/>
      <c r="J2518" s="631"/>
      <c r="L2518" s="451"/>
      <c r="M2518" s="448"/>
      <c r="N2518" s="448"/>
      <c r="O2518" s="453">
        <f>Criteria!E22</f>
        <v>2026</v>
      </c>
      <c r="R2518" s="490" t="str">
        <f t="shared" si="176"/>
        <v>DELETE</v>
      </c>
    </row>
    <row r="2519" spans="2:22" ht="36" customHeight="1" x14ac:dyDescent="0.5">
      <c r="B2519" s="501"/>
      <c r="C2519" s="630"/>
      <c r="D2519" s="631"/>
      <c r="E2519" s="631"/>
      <c r="F2519" s="631"/>
      <c r="G2519" s="631"/>
      <c r="H2519" s="631"/>
      <c r="I2519" s="631"/>
      <c r="J2519" s="631"/>
      <c r="L2519" s="451"/>
      <c r="M2519" s="448"/>
      <c r="N2519" s="448"/>
      <c r="O2519" s="458"/>
      <c r="R2519" s="490" t="str">
        <f t="shared" si="176"/>
        <v>DELETE</v>
      </c>
    </row>
    <row r="2520" spans="2:22" ht="36" customHeight="1" x14ac:dyDescent="0.5">
      <c r="B2520" s="501">
        <f>MAX($B$873:B2519)+1</f>
        <v>28</v>
      </c>
      <c r="C2520" s="630" t="str">
        <f>IF(COUNTIF(TrialBalance!L375:L377,"&lt;0")&gt;1,"Short term loans","Short term loan")</f>
        <v>Short term loan</v>
      </c>
      <c r="D2520" s="631"/>
      <c r="E2520" s="631"/>
      <c r="F2520" s="631"/>
      <c r="G2520" s="631"/>
      <c r="H2520" s="631"/>
      <c r="I2520" s="631"/>
      <c r="J2520" s="631"/>
      <c r="L2520" s="451"/>
      <c r="M2520" s="448"/>
      <c r="N2520" s="448"/>
      <c r="O2520" s="458"/>
      <c r="R2520" s="490" t="str">
        <f t="shared" si="176"/>
        <v>DELETE</v>
      </c>
    </row>
    <row r="2521" spans="2:22" ht="36" customHeight="1" x14ac:dyDescent="0.5">
      <c r="B2521" s="501"/>
      <c r="C2521" s="630"/>
      <c r="D2521" s="631"/>
      <c r="E2521" s="631"/>
      <c r="F2521" s="631"/>
      <c r="G2521" s="631"/>
      <c r="H2521" s="631"/>
      <c r="I2521" s="631"/>
      <c r="J2521" s="631"/>
      <c r="L2521" s="451"/>
      <c r="M2521" s="448"/>
      <c r="N2521" s="448"/>
      <c r="O2521" s="458"/>
      <c r="R2521" s="490" t="str">
        <f t="shared" si="176"/>
        <v>DELETE</v>
      </c>
    </row>
    <row r="2522" spans="2:22" ht="36" customHeight="1" x14ac:dyDescent="0.5">
      <c r="B2522" s="501"/>
      <c r="C2522" s="631">
        <f>TrialBalance!C375</f>
        <v>0</v>
      </c>
      <c r="D2522" s="648"/>
      <c r="E2522" s="631"/>
      <c r="F2522" s="631"/>
      <c r="G2522" s="631"/>
      <c r="H2522" s="631"/>
      <c r="I2522" s="631"/>
      <c r="J2522" s="631"/>
      <c r="L2522" s="451"/>
      <c r="M2522" s="448"/>
      <c r="N2522" s="448"/>
      <c r="O2522" s="458">
        <f>-TrialBalance!L375</f>
        <v>0</v>
      </c>
      <c r="R2522" s="490" t="str">
        <f t="shared" ref="R2522:R2524" si="177">IF(O2522=0,"DELETE"," ")</f>
        <v>DELETE</v>
      </c>
      <c r="S2522" s="495"/>
      <c r="T2522" s="495"/>
      <c r="U2522" s="498"/>
      <c r="V2522" s="498"/>
    </row>
    <row r="2523" spans="2:22" ht="36" customHeight="1" x14ac:dyDescent="0.5">
      <c r="B2523" s="501"/>
      <c r="C2523" s="631">
        <f>TrialBalance!C376</f>
        <v>0</v>
      </c>
      <c r="D2523" s="648"/>
      <c r="E2523" s="631"/>
      <c r="F2523" s="631"/>
      <c r="G2523" s="631"/>
      <c r="H2523" s="631"/>
      <c r="I2523" s="631"/>
      <c r="J2523" s="631"/>
      <c r="L2523" s="451"/>
      <c r="M2523" s="448"/>
      <c r="N2523" s="448"/>
      <c r="O2523" s="458">
        <f>-TrialBalance!L376</f>
        <v>0</v>
      </c>
      <c r="R2523" s="490" t="str">
        <f t="shared" si="177"/>
        <v>DELETE</v>
      </c>
      <c r="S2523" s="495"/>
      <c r="T2523" s="495"/>
      <c r="U2523" s="498"/>
      <c r="V2523" s="498"/>
    </row>
    <row r="2524" spans="2:22" ht="36" customHeight="1" x14ac:dyDescent="0.5">
      <c r="B2524" s="501"/>
      <c r="C2524" s="631">
        <f>TrialBalance!C377</f>
        <v>0</v>
      </c>
      <c r="D2524" s="648"/>
      <c r="E2524" s="631"/>
      <c r="F2524" s="631"/>
      <c r="G2524" s="631"/>
      <c r="H2524" s="631"/>
      <c r="I2524" s="631"/>
      <c r="J2524" s="631"/>
      <c r="L2524" s="451"/>
      <c r="M2524" s="448"/>
      <c r="N2524" s="448"/>
      <c r="O2524" s="458">
        <f>-TrialBalance!L377</f>
        <v>0</v>
      </c>
      <c r="R2524" s="490" t="str">
        <f t="shared" si="177"/>
        <v>DELETE</v>
      </c>
      <c r="S2524" s="495"/>
      <c r="T2524" s="495"/>
      <c r="U2524" s="498"/>
      <c r="V2524" s="498"/>
    </row>
    <row r="2525" spans="2:22" ht="9" customHeight="1" x14ac:dyDescent="0.5">
      <c r="B2525" s="501"/>
      <c r="C2525" s="630"/>
      <c r="D2525" s="631"/>
      <c r="E2525" s="631"/>
      <c r="F2525" s="631"/>
      <c r="G2525" s="631"/>
      <c r="H2525" s="631"/>
      <c r="I2525" s="631"/>
      <c r="J2525" s="631"/>
      <c r="L2525" s="451"/>
      <c r="M2525" s="448"/>
      <c r="N2525" s="448"/>
      <c r="O2525" s="461"/>
      <c r="R2525" s="490" t="str">
        <f t="shared" ref="R2525:R2533" si="178">R$2527</f>
        <v>DELETE</v>
      </c>
    </row>
    <row r="2526" spans="2:22" ht="9" customHeight="1" x14ac:dyDescent="0.5">
      <c r="B2526" s="501"/>
      <c r="C2526" s="630"/>
      <c r="D2526" s="631"/>
      <c r="E2526" s="631"/>
      <c r="F2526" s="631"/>
      <c r="G2526" s="631"/>
      <c r="H2526" s="631"/>
      <c r="I2526" s="631"/>
      <c r="J2526" s="631"/>
      <c r="L2526" s="451"/>
      <c r="M2526" s="448"/>
      <c r="N2526" s="448"/>
      <c r="O2526" s="458"/>
      <c r="R2526" s="490" t="str">
        <f t="shared" si="178"/>
        <v>DELETE</v>
      </c>
    </row>
    <row r="2527" spans="2:22" ht="36.75" customHeight="1" x14ac:dyDescent="0.5">
      <c r="B2527" s="501"/>
      <c r="C2527" s="630"/>
      <c r="D2527" s="631"/>
      <c r="E2527" s="631"/>
      <c r="F2527" s="631"/>
      <c r="G2527" s="631"/>
      <c r="H2527" s="631"/>
      <c r="I2527" s="631"/>
      <c r="J2527" s="631"/>
      <c r="L2527" s="451"/>
      <c r="M2527" s="448"/>
      <c r="N2527" s="448"/>
      <c r="O2527" s="458">
        <f>SUM(O2522:O2526)</f>
        <v>0</v>
      </c>
      <c r="R2527" s="490" t="str">
        <f t="shared" ref="R2527" si="179">IF(O2527=0,"DELETE"," ")</f>
        <v>DELETE</v>
      </c>
    </row>
    <row r="2528" spans="2:22" ht="9" customHeight="1" thickBot="1" x14ac:dyDescent="0.55000000000000004">
      <c r="B2528" s="501"/>
      <c r="C2528" s="630"/>
      <c r="D2528" s="631"/>
      <c r="E2528" s="631"/>
      <c r="F2528" s="631"/>
      <c r="G2528" s="631"/>
      <c r="H2528" s="631"/>
      <c r="I2528" s="631"/>
      <c r="J2528" s="631"/>
      <c r="L2528" s="451"/>
      <c r="M2528" s="448"/>
      <c r="N2528" s="448"/>
      <c r="O2528" s="462"/>
      <c r="R2528" s="490" t="str">
        <f t="shared" si="178"/>
        <v>DELETE</v>
      </c>
    </row>
    <row r="2529" spans="2:18" ht="9" customHeight="1" thickTop="1" x14ac:dyDescent="0.5">
      <c r="B2529" s="501"/>
      <c r="C2529" s="630"/>
      <c r="D2529" s="631"/>
      <c r="E2529" s="631"/>
      <c r="F2529" s="631"/>
      <c r="G2529" s="631"/>
      <c r="H2529" s="631"/>
      <c r="I2529" s="631"/>
      <c r="J2529" s="631"/>
      <c r="L2529" s="451"/>
      <c r="M2529" s="448"/>
      <c r="N2529" s="448"/>
      <c r="O2529" s="475"/>
      <c r="R2529" s="490" t="str">
        <f t="shared" si="178"/>
        <v>DELETE</v>
      </c>
    </row>
    <row r="2530" spans="2:18" ht="36" customHeight="1" x14ac:dyDescent="0.5">
      <c r="B2530" s="501"/>
      <c r="C2530" s="630"/>
      <c r="D2530" s="631"/>
      <c r="E2530" s="631"/>
      <c r="F2530" s="631"/>
      <c r="G2530" s="631"/>
      <c r="H2530" s="631"/>
      <c r="I2530" s="631"/>
      <c r="J2530" s="631"/>
      <c r="L2530" s="451"/>
      <c r="M2530" s="448"/>
      <c r="N2530" s="448"/>
      <c r="O2530" s="458"/>
      <c r="R2530" s="490" t="str">
        <f t="shared" si="178"/>
        <v>DELETE</v>
      </c>
    </row>
    <row r="2531" spans="2:18" ht="36" customHeight="1" x14ac:dyDescent="0.5">
      <c r="B2531" s="501"/>
      <c r="C2531" s="630"/>
      <c r="D2531" s="631"/>
      <c r="E2531" s="631"/>
      <c r="F2531" s="631"/>
      <c r="G2531" s="631"/>
      <c r="H2531" s="631"/>
      <c r="I2531" s="631"/>
      <c r="J2531" s="631"/>
      <c r="M2531" s="458"/>
      <c r="N2531" s="458"/>
      <c r="O2531" s="458"/>
      <c r="R2531" s="490" t="str">
        <f t="shared" si="178"/>
        <v>DELETE</v>
      </c>
    </row>
    <row r="2532" spans="2:18" ht="36" customHeight="1" x14ac:dyDescent="0.5">
      <c r="B2532" s="501"/>
      <c r="C2532" s="630"/>
      <c r="D2532" s="631"/>
      <c r="E2532" s="631"/>
      <c r="F2532" s="631"/>
      <c r="G2532" s="631"/>
      <c r="H2532" s="631"/>
      <c r="I2532" s="631"/>
      <c r="J2532" s="631"/>
      <c r="M2532" s="475"/>
      <c r="N2532" s="475"/>
      <c r="O2532" s="475"/>
      <c r="P2532" s="545"/>
      <c r="R2532" s="490" t="str">
        <f t="shared" si="178"/>
        <v>DELETE</v>
      </c>
    </row>
    <row r="2533" spans="2:18" ht="36" customHeight="1" x14ac:dyDescent="0.5">
      <c r="B2533" s="502"/>
      <c r="C2533" s="631"/>
      <c r="D2533" s="631"/>
      <c r="E2533" s="631"/>
      <c r="F2533" s="631"/>
      <c r="G2533" s="631"/>
      <c r="H2533" s="631"/>
      <c r="I2533" s="631"/>
      <c r="J2533" s="631"/>
      <c r="M2533" s="541"/>
      <c r="N2533" s="541"/>
      <c r="O2533" s="541"/>
      <c r="R2533" s="490" t="str">
        <f t="shared" si="178"/>
        <v>DELETE</v>
      </c>
    </row>
    <row r="2534" spans="2:18" ht="36" customHeight="1" x14ac:dyDescent="0.5">
      <c r="B2534" s="502"/>
      <c r="C2534" s="631"/>
      <c r="D2534" s="631"/>
      <c r="E2534" s="631"/>
      <c r="F2534" s="631"/>
      <c r="G2534" s="631"/>
      <c r="H2534" s="631"/>
      <c r="I2534" s="631"/>
      <c r="J2534" s="631"/>
      <c r="M2534" s="541"/>
      <c r="N2534" s="541"/>
      <c r="O2534" s="458" t="s">
        <v>112</v>
      </c>
      <c r="Q2534" s="450">
        <f>MAX($Q$103:Q2533)+1</f>
        <v>67</v>
      </c>
      <c r="R2534" s="490" t="str">
        <f>R$2553</f>
        <v>DELETE</v>
      </c>
    </row>
    <row r="2535" spans="2:18" ht="36" customHeight="1" x14ac:dyDescent="0.5">
      <c r="B2535" s="502"/>
      <c r="C2535" s="631"/>
      <c r="D2535" s="630" t="str">
        <f>Criteria!E9</f>
        <v>ABC COMPANY (PROPRIETARY) LIMITED</v>
      </c>
      <c r="E2535" s="631"/>
      <c r="F2535" s="631"/>
      <c r="G2535" s="631"/>
      <c r="H2535" s="631"/>
      <c r="I2535" s="631"/>
      <c r="J2535" s="631"/>
      <c r="M2535" s="541"/>
      <c r="N2535" s="541"/>
      <c r="O2535" s="540"/>
      <c r="R2535" s="490" t="str">
        <f t="shared" ref="R2535:R2545" si="180">R$2553</f>
        <v>DELETE</v>
      </c>
    </row>
    <row r="2536" spans="2:18" ht="36" customHeight="1" x14ac:dyDescent="0.5">
      <c r="B2536" s="502"/>
      <c r="C2536" s="631"/>
      <c r="D2536" s="630" t="str">
        <f>Criteria!E10</f>
        <v>T/A SEAFRONT HOTEL, ABC RESTAURANT AND RENTAL PROPERTIES</v>
      </c>
      <c r="E2536" s="631"/>
      <c r="F2536" s="631"/>
      <c r="G2536" s="631"/>
      <c r="H2536" s="631"/>
      <c r="I2536" s="631"/>
      <c r="J2536" s="631"/>
      <c r="M2536" s="541"/>
      <c r="N2536" s="541"/>
      <c r="O2536" s="541"/>
      <c r="R2536" s="490" t="str">
        <f>IF(R$2553="DELETE","DELETE",IF(D2536=0,"DELETE"," "))</f>
        <v>DELETE</v>
      </c>
    </row>
    <row r="2537" spans="2:18" ht="36" customHeight="1" x14ac:dyDescent="0.5">
      <c r="B2537" s="502"/>
      <c r="C2537" s="631"/>
      <c r="D2537" s="631"/>
      <c r="E2537" s="631"/>
      <c r="F2537" s="631"/>
      <c r="G2537" s="631"/>
      <c r="H2537" s="631"/>
      <c r="I2537" s="631"/>
      <c r="J2537" s="631"/>
      <c r="M2537" s="541"/>
      <c r="N2537" s="541"/>
      <c r="O2537" s="541"/>
      <c r="R2537" s="490" t="str">
        <f t="shared" si="180"/>
        <v>DELETE</v>
      </c>
    </row>
    <row r="2538" spans="2:18" ht="36" customHeight="1" x14ac:dyDescent="0.5">
      <c r="B2538" s="502"/>
      <c r="C2538" s="631"/>
      <c r="D2538" s="630" t="s">
        <v>415</v>
      </c>
      <c r="E2538" s="631"/>
      <c r="F2538" s="631"/>
      <c r="G2538" s="631"/>
      <c r="H2538" s="631"/>
      <c r="I2538" s="631"/>
      <c r="J2538" s="631"/>
      <c r="M2538" s="541"/>
      <c r="N2538" s="541"/>
      <c r="O2538" s="541"/>
      <c r="R2538" s="490" t="str">
        <f t="shared" si="180"/>
        <v>DELETE</v>
      </c>
    </row>
    <row r="2539" spans="2:18" ht="36" customHeight="1" x14ac:dyDescent="0.5">
      <c r="B2539" s="502"/>
      <c r="C2539" s="631"/>
      <c r="D2539" s="630" t="str">
        <f>Criteria!E20</f>
        <v>28 FEBRUARY 2026</v>
      </c>
      <c r="E2539" s="631"/>
      <c r="F2539" s="631"/>
      <c r="G2539" s="631"/>
      <c r="H2539" s="631"/>
      <c r="I2539" s="631"/>
      <c r="J2539" s="631" t="s">
        <v>282</v>
      </c>
      <c r="M2539" s="541"/>
      <c r="N2539" s="541"/>
      <c r="O2539" s="541"/>
      <c r="R2539" s="490" t="str">
        <f t="shared" si="180"/>
        <v>DELETE</v>
      </c>
    </row>
    <row r="2540" spans="2:18" ht="36" customHeight="1" x14ac:dyDescent="0.5">
      <c r="B2540" s="502"/>
      <c r="C2540" s="631"/>
      <c r="D2540" s="630"/>
      <c r="E2540" s="631"/>
      <c r="F2540" s="631"/>
      <c r="G2540" s="631"/>
      <c r="H2540" s="631"/>
      <c r="I2540" s="631"/>
      <c r="J2540" s="631"/>
      <c r="M2540" s="541"/>
      <c r="N2540" s="541"/>
      <c r="O2540" s="541"/>
      <c r="R2540" s="490" t="str">
        <f t="shared" si="180"/>
        <v>DELETE</v>
      </c>
    </row>
    <row r="2541" spans="2:18" ht="36" customHeight="1" x14ac:dyDescent="0.5">
      <c r="B2541" s="640"/>
      <c r="C2541" s="652"/>
      <c r="D2541" s="649"/>
      <c r="E2541" s="649"/>
      <c r="F2541" s="649"/>
      <c r="G2541" s="649"/>
      <c r="H2541" s="649"/>
      <c r="I2541" s="649"/>
      <c r="J2541" s="649"/>
      <c r="K2541" s="457"/>
      <c r="L2541" s="457"/>
      <c r="M2541" s="459"/>
      <c r="N2541" s="459"/>
      <c r="O2541" s="459"/>
      <c r="P2541" s="551"/>
      <c r="Q2541" s="457"/>
      <c r="R2541" s="490" t="str">
        <f t="shared" si="180"/>
        <v>DELETE</v>
      </c>
    </row>
    <row r="2542" spans="2:18" ht="36" customHeight="1" x14ac:dyDescent="0.5">
      <c r="B2542" s="501"/>
      <c r="C2542" s="630"/>
      <c r="D2542" s="631"/>
      <c r="E2542" s="631"/>
      <c r="F2542" s="631"/>
      <c r="G2542" s="631"/>
      <c r="H2542" s="631"/>
      <c r="I2542" s="631"/>
      <c r="J2542" s="631"/>
      <c r="L2542" s="451"/>
      <c r="M2542" s="448"/>
      <c r="N2542" s="448"/>
      <c r="O2542" s="453">
        <f>Criteria!E22</f>
        <v>2026</v>
      </c>
      <c r="R2542" s="490" t="str">
        <f t="shared" si="180"/>
        <v>DELETE</v>
      </c>
    </row>
    <row r="2543" spans="2:18" ht="36" customHeight="1" x14ac:dyDescent="0.5">
      <c r="B2543" s="501"/>
      <c r="C2543" s="630"/>
      <c r="D2543" s="631"/>
      <c r="E2543" s="631"/>
      <c r="F2543" s="631"/>
      <c r="G2543" s="631"/>
      <c r="H2543" s="631"/>
      <c r="I2543" s="631"/>
      <c r="J2543" s="631"/>
      <c r="L2543" s="451"/>
      <c r="M2543" s="448"/>
      <c r="N2543" s="448"/>
      <c r="O2543" s="458"/>
      <c r="R2543" s="490" t="str">
        <f t="shared" si="180"/>
        <v>DELETE</v>
      </c>
    </row>
    <row r="2544" spans="2:18" ht="36" customHeight="1" x14ac:dyDescent="0.5">
      <c r="B2544" s="501">
        <f>MAX($B$873:B2543)+1</f>
        <v>29</v>
      </c>
      <c r="C2544" s="630" t="str">
        <f>IF(COUNTIF(TrialBalance!L393:L397,"&lt;0")&gt;1,"Provisions","Provision")</f>
        <v>Provision</v>
      </c>
      <c r="D2544" s="631"/>
      <c r="E2544" s="631"/>
      <c r="F2544" s="631"/>
      <c r="G2544" s="631"/>
      <c r="H2544" s="631"/>
      <c r="I2544" s="631"/>
      <c r="J2544" s="631"/>
      <c r="L2544" s="451"/>
      <c r="M2544" s="448"/>
      <c r="N2544" s="448"/>
      <c r="O2544" s="458"/>
      <c r="R2544" s="490" t="str">
        <f t="shared" si="180"/>
        <v>DELETE</v>
      </c>
    </row>
    <row r="2545" spans="2:18" ht="36" customHeight="1" x14ac:dyDescent="0.5">
      <c r="B2545" s="501"/>
      <c r="C2545" s="630"/>
      <c r="D2545" s="631"/>
      <c r="E2545" s="631"/>
      <c r="F2545" s="631"/>
      <c r="G2545" s="631"/>
      <c r="H2545" s="631"/>
      <c r="I2545" s="631"/>
      <c r="J2545" s="631"/>
      <c r="L2545" s="451"/>
      <c r="M2545" s="448"/>
      <c r="N2545" s="448"/>
      <c r="O2545" s="458"/>
      <c r="R2545" s="490" t="str">
        <f t="shared" si="180"/>
        <v>DELETE</v>
      </c>
    </row>
    <row r="2546" spans="2:18" ht="36" customHeight="1" x14ac:dyDescent="0.5">
      <c r="B2546" s="501"/>
      <c r="C2546" s="631" t="str">
        <f>TrialBalance!C393</f>
        <v>Dividends' tax provision</v>
      </c>
      <c r="D2546" s="648"/>
      <c r="E2546" s="631"/>
      <c r="F2546" s="631"/>
      <c r="G2546" s="631"/>
      <c r="H2546" s="631"/>
      <c r="I2546" s="631"/>
      <c r="J2546" s="631"/>
      <c r="L2546" s="451"/>
      <c r="M2546" s="448"/>
      <c r="N2546" s="448"/>
      <c r="O2546" s="458">
        <f>-TrialBalance!L393</f>
        <v>0</v>
      </c>
      <c r="R2546" s="490" t="str">
        <f t="shared" ref="R2546:R2550" si="181">IF(O2546=0,"DELETE"," ")</f>
        <v>DELETE</v>
      </c>
    </row>
    <row r="2547" spans="2:18" ht="36" customHeight="1" x14ac:dyDescent="0.5">
      <c r="B2547" s="501"/>
      <c r="C2547" s="631" t="str">
        <f>TrialBalance!C394</f>
        <v>Dividends payable</v>
      </c>
      <c r="D2547" s="648"/>
      <c r="E2547" s="631"/>
      <c r="F2547" s="631"/>
      <c r="G2547" s="631"/>
      <c r="H2547" s="631"/>
      <c r="I2547" s="631"/>
      <c r="J2547" s="631"/>
      <c r="L2547" s="451"/>
      <c r="M2547" s="448"/>
      <c r="N2547" s="448"/>
      <c r="O2547" s="458">
        <f>-TrialBalance!L394</f>
        <v>0</v>
      </c>
      <c r="R2547" s="490" t="str">
        <f t="shared" si="181"/>
        <v>DELETE</v>
      </c>
    </row>
    <row r="2548" spans="2:18" ht="36" customHeight="1" x14ac:dyDescent="0.5">
      <c r="B2548" s="501"/>
      <c r="C2548" s="631" t="str">
        <f>TrialBalance!C395</f>
        <v>Provision for future expenses</v>
      </c>
      <c r="D2548" s="648"/>
      <c r="E2548" s="631"/>
      <c r="F2548" s="631"/>
      <c r="G2548" s="631"/>
      <c r="H2548" s="631"/>
      <c r="I2548" s="631"/>
      <c r="J2548" s="631"/>
      <c r="L2548" s="451"/>
      <c r="M2548" s="448"/>
      <c r="N2548" s="448"/>
      <c r="O2548" s="458">
        <f>-TrialBalance!L395</f>
        <v>0</v>
      </c>
      <c r="R2548" s="490" t="str">
        <f t="shared" si="181"/>
        <v>DELETE</v>
      </c>
    </row>
    <row r="2549" spans="2:18" ht="36" customHeight="1" x14ac:dyDescent="0.5">
      <c r="B2549" s="501"/>
      <c r="C2549" s="631" t="str">
        <f>TrialBalance!C396</f>
        <v>Provision for insurance</v>
      </c>
      <c r="D2549" s="648"/>
      <c r="E2549" s="631"/>
      <c r="F2549" s="631"/>
      <c r="G2549" s="631"/>
      <c r="H2549" s="631"/>
      <c r="I2549" s="631"/>
      <c r="J2549" s="631"/>
      <c r="L2549" s="451"/>
      <c r="M2549" s="448"/>
      <c r="N2549" s="448"/>
      <c r="O2549" s="458">
        <f>-TrialBalance!L396</f>
        <v>0</v>
      </c>
      <c r="R2549" s="490" t="str">
        <f t="shared" si="181"/>
        <v>DELETE</v>
      </c>
    </row>
    <row r="2550" spans="2:18" ht="36" customHeight="1" x14ac:dyDescent="0.5">
      <c r="B2550" s="501"/>
      <c r="C2550" s="631" t="str">
        <f>TrialBalance!C397</f>
        <v>Provision for salary bonus</v>
      </c>
      <c r="D2550" s="648"/>
      <c r="E2550" s="631"/>
      <c r="F2550" s="631"/>
      <c r="G2550" s="631"/>
      <c r="H2550" s="631"/>
      <c r="I2550" s="631"/>
      <c r="J2550" s="631"/>
      <c r="L2550" s="451"/>
      <c r="M2550" s="448"/>
      <c r="N2550" s="448"/>
      <c r="O2550" s="458">
        <f>-TrialBalance!L397</f>
        <v>0</v>
      </c>
      <c r="R2550" s="490" t="str">
        <f t="shared" si="181"/>
        <v>DELETE</v>
      </c>
    </row>
    <row r="2551" spans="2:18" ht="9" customHeight="1" x14ac:dyDescent="0.5">
      <c r="B2551" s="501"/>
      <c r="C2551" s="630"/>
      <c r="D2551" s="631"/>
      <c r="E2551" s="631"/>
      <c r="F2551" s="631"/>
      <c r="G2551" s="631"/>
      <c r="H2551" s="631"/>
      <c r="I2551" s="631"/>
      <c r="J2551" s="631"/>
      <c r="L2551" s="451"/>
      <c r="M2551" s="448"/>
      <c r="N2551" s="448"/>
      <c r="O2551" s="461"/>
      <c r="R2551" s="490" t="str">
        <f t="shared" ref="R2551:R2559" si="182">R$2553</f>
        <v>DELETE</v>
      </c>
    </row>
    <row r="2552" spans="2:18" ht="9" customHeight="1" x14ac:dyDescent="0.5">
      <c r="B2552" s="501"/>
      <c r="C2552" s="630"/>
      <c r="D2552" s="631"/>
      <c r="E2552" s="631"/>
      <c r="F2552" s="631"/>
      <c r="G2552" s="631"/>
      <c r="H2552" s="631"/>
      <c r="I2552" s="631"/>
      <c r="J2552" s="631"/>
      <c r="L2552" s="451"/>
      <c r="M2552" s="448"/>
      <c r="N2552" s="448"/>
      <c r="O2552" s="458"/>
      <c r="R2552" s="490" t="str">
        <f t="shared" si="182"/>
        <v>DELETE</v>
      </c>
    </row>
    <row r="2553" spans="2:18" ht="36.75" customHeight="1" x14ac:dyDescent="0.5">
      <c r="B2553" s="501"/>
      <c r="C2553" s="630"/>
      <c r="D2553" s="631"/>
      <c r="E2553" s="631"/>
      <c r="F2553" s="631"/>
      <c r="G2553" s="631"/>
      <c r="H2553" s="631"/>
      <c r="I2553" s="631"/>
      <c r="J2553" s="631"/>
      <c r="L2553" s="451"/>
      <c r="M2553" s="448"/>
      <c r="N2553" s="448"/>
      <c r="O2553" s="458">
        <f>SUM(O2546:O2552)</f>
        <v>0</v>
      </c>
      <c r="R2553" s="490" t="str">
        <f t="shared" ref="R2553" si="183">IF(O2553=0,"DELETE"," ")</f>
        <v>DELETE</v>
      </c>
    </row>
    <row r="2554" spans="2:18" ht="9" customHeight="1" thickBot="1" x14ac:dyDescent="0.55000000000000004">
      <c r="B2554" s="501"/>
      <c r="C2554" s="630"/>
      <c r="D2554" s="631"/>
      <c r="E2554" s="631"/>
      <c r="F2554" s="631"/>
      <c r="G2554" s="631"/>
      <c r="H2554" s="631"/>
      <c r="I2554" s="631"/>
      <c r="J2554" s="631"/>
      <c r="L2554" s="451"/>
      <c r="M2554" s="448"/>
      <c r="N2554" s="448"/>
      <c r="O2554" s="462"/>
      <c r="R2554" s="490" t="str">
        <f t="shared" si="182"/>
        <v>DELETE</v>
      </c>
    </row>
    <row r="2555" spans="2:18" ht="9" customHeight="1" thickTop="1" x14ac:dyDescent="0.5">
      <c r="B2555" s="501"/>
      <c r="C2555" s="630"/>
      <c r="D2555" s="631"/>
      <c r="E2555" s="631"/>
      <c r="F2555" s="631"/>
      <c r="G2555" s="631"/>
      <c r="H2555" s="631"/>
      <c r="I2555" s="631"/>
      <c r="J2555" s="631"/>
      <c r="L2555" s="451"/>
      <c r="M2555" s="448"/>
      <c r="N2555" s="448"/>
      <c r="O2555" s="475"/>
      <c r="R2555" s="490" t="str">
        <f t="shared" si="182"/>
        <v>DELETE</v>
      </c>
    </row>
    <row r="2556" spans="2:18" ht="36" customHeight="1" x14ac:dyDescent="0.5">
      <c r="B2556" s="501"/>
      <c r="C2556" s="630"/>
      <c r="D2556" s="631"/>
      <c r="E2556" s="631"/>
      <c r="F2556" s="631"/>
      <c r="G2556" s="631"/>
      <c r="H2556" s="631"/>
      <c r="I2556" s="631"/>
      <c r="J2556" s="631"/>
      <c r="L2556" s="451"/>
      <c r="M2556" s="448"/>
      <c r="N2556" s="448"/>
      <c r="O2556" s="458"/>
      <c r="R2556" s="490" t="str">
        <f t="shared" si="182"/>
        <v>DELETE</v>
      </c>
    </row>
    <row r="2557" spans="2:18" ht="36" customHeight="1" x14ac:dyDescent="0.5">
      <c r="B2557" s="501"/>
      <c r="C2557" s="630"/>
      <c r="D2557" s="631"/>
      <c r="E2557" s="631"/>
      <c r="F2557" s="631"/>
      <c r="G2557" s="631"/>
      <c r="H2557" s="631"/>
      <c r="I2557" s="631"/>
      <c r="J2557" s="631"/>
      <c r="M2557" s="458"/>
      <c r="N2557" s="458"/>
      <c r="O2557" s="458"/>
      <c r="R2557" s="490" t="str">
        <f t="shared" si="182"/>
        <v>DELETE</v>
      </c>
    </row>
    <row r="2558" spans="2:18" ht="36" customHeight="1" x14ac:dyDescent="0.5">
      <c r="B2558" s="501"/>
      <c r="C2558" s="630"/>
      <c r="D2558" s="631"/>
      <c r="E2558" s="631"/>
      <c r="F2558" s="631"/>
      <c r="G2558" s="631"/>
      <c r="H2558" s="631"/>
      <c r="I2558" s="631"/>
      <c r="J2558" s="631"/>
      <c r="M2558" s="475"/>
      <c r="N2558" s="475"/>
      <c r="O2558" s="475"/>
      <c r="P2558" s="545"/>
      <c r="R2558" s="490" t="str">
        <f t="shared" si="182"/>
        <v>DELETE</v>
      </c>
    </row>
    <row r="2559" spans="2:18" ht="36" customHeight="1" x14ac:dyDescent="0.5">
      <c r="B2559" s="501"/>
      <c r="C2559" s="630"/>
      <c r="D2559" s="631"/>
      <c r="E2559" s="631"/>
      <c r="F2559" s="631"/>
      <c r="G2559" s="631"/>
      <c r="H2559" s="631"/>
      <c r="I2559" s="631"/>
      <c r="J2559" s="631"/>
      <c r="M2559" s="458"/>
      <c r="N2559" s="458"/>
      <c r="O2559" s="458"/>
      <c r="R2559" s="490" t="str">
        <f t="shared" si="182"/>
        <v>DELETE</v>
      </c>
    </row>
    <row r="2560" spans="2:18" ht="36" customHeight="1" x14ac:dyDescent="0.5">
      <c r="B2560" s="501"/>
      <c r="C2560" s="630"/>
      <c r="D2560" s="631"/>
      <c r="E2560" s="631"/>
      <c r="F2560" s="631"/>
      <c r="G2560" s="631"/>
      <c r="H2560" s="631"/>
      <c r="I2560" s="631"/>
      <c r="J2560" s="631"/>
      <c r="M2560" s="458"/>
      <c r="N2560" s="458"/>
      <c r="O2560" s="458" t="s">
        <v>112</v>
      </c>
      <c r="Q2560" s="450">
        <f>MAX($Q$103:Q2559)+1</f>
        <v>68</v>
      </c>
      <c r="R2560" s="490" t="str">
        <f t="shared" ref="R2560:R2571" si="184">R$2581</f>
        <v>DELETE</v>
      </c>
    </row>
    <row r="2561" spans="2:23" ht="36" customHeight="1" x14ac:dyDescent="0.5">
      <c r="B2561" s="501"/>
      <c r="C2561" s="630"/>
      <c r="D2561" s="630" t="str">
        <f>Criteria!E9</f>
        <v>ABC COMPANY (PROPRIETARY) LIMITED</v>
      </c>
      <c r="E2561" s="631"/>
      <c r="F2561" s="631"/>
      <c r="G2561" s="631"/>
      <c r="H2561" s="631"/>
      <c r="I2561" s="631"/>
      <c r="J2561" s="631"/>
      <c r="M2561" s="541"/>
      <c r="N2561" s="541"/>
      <c r="O2561" s="540"/>
      <c r="R2561" s="490" t="str">
        <f t="shared" si="184"/>
        <v>DELETE</v>
      </c>
    </row>
    <row r="2562" spans="2:23" ht="36" customHeight="1" x14ac:dyDescent="0.5">
      <c r="B2562" s="501"/>
      <c r="C2562" s="630"/>
      <c r="D2562" s="630" t="str">
        <f>Criteria!E10</f>
        <v>T/A SEAFRONT HOTEL, ABC RESTAURANT AND RENTAL PROPERTIES</v>
      </c>
      <c r="E2562" s="631"/>
      <c r="F2562" s="631"/>
      <c r="G2562" s="631"/>
      <c r="H2562" s="631"/>
      <c r="I2562" s="631"/>
      <c r="J2562" s="631"/>
      <c r="M2562" s="541"/>
      <c r="N2562" s="541"/>
      <c r="O2562" s="541"/>
      <c r="R2562" s="490" t="str">
        <f>IF(R$2581="DELETE","DELETE",IF(D2562=0,"DELETE"," "))</f>
        <v>DELETE</v>
      </c>
    </row>
    <row r="2563" spans="2:23" ht="36" customHeight="1" x14ac:dyDescent="0.5">
      <c r="B2563" s="501"/>
      <c r="C2563" s="630"/>
      <c r="D2563" s="631"/>
      <c r="E2563" s="631"/>
      <c r="F2563" s="631"/>
      <c r="G2563" s="631"/>
      <c r="H2563" s="631"/>
      <c r="I2563" s="631"/>
      <c r="J2563" s="631"/>
      <c r="M2563" s="541"/>
      <c r="N2563" s="541"/>
      <c r="O2563" s="541"/>
      <c r="R2563" s="490" t="str">
        <f t="shared" si="184"/>
        <v>DELETE</v>
      </c>
    </row>
    <row r="2564" spans="2:23" ht="36" customHeight="1" x14ac:dyDescent="0.5">
      <c r="B2564" s="501"/>
      <c r="C2564" s="630"/>
      <c r="D2564" s="630" t="s">
        <v>415</v>
      </c>
      <c r="E2564" s="631"/>
      <c r="F2564" s="631"/>
      <c r="G2564" s="631"/>
      <c r="H2564" s="631"/>
      <c r="I2564" s="631"/>
      <c r="J2564" s="631"/>
      <c r="M2564" s="541"/>
      <c r="N2564" s="541"/>
      <c r="O2564" s="541"/>
      <c r="R2564" s="490" t="str">
        <f t="shared" si="184"/>
        <v>DELETE</v>
      </c>
    </row>
    <row r="2565" spans="2:23" ht="36" customHeight="1" x14ac:dyDescent="0.5">
      <c r="B2565" s="501"/>
      <c r="C2565" s="630"/>
      <c r="D2565" s="630" t="str">
        <f>Criteria!E20</f>
        <v>28 FEBRUARY 2026</v>
      </c>
      <c r="E2565" s="631"/>
      <c r="F2565" s="631"/>
      <c r="G2565" s="631"/>
      <c r="H2565" s="631"/>
      <c r="I2565" s="631"/>
      <c r="J2565" s="631" t="s">
        <v>282</v>
      </c>
      <c r="M2565" s="541"/>
      <c r="N2565" s="541"/>
      <c r="O2565" s="541"/>
      <c r="R2565" s="490" t="str">
        <f t="shared" si="184"/>
        <v>DELETE</v>
      </c>
    </row>
    <row r="2566" spans="2:23" ht="36" customHeight="1" x14ac:dyDescent="0.5">
      <c r="B2566" s="501"/>
      <c r="C2566" s="630"/>
      <c r="D2566" s="631"/>
      <c r="E2566" s="631"/>
      <c r="F2566" s="631"/>
      <c r="G2566" s="631"/>
      <c r="H2566" s="631"/>
      <c r="I2566" s="631"/>
      <c r="J2566" s="631"/>
      <c r="M2566" s="458"/>
      <c r="N2566" s="458"/>
      <c r="O2566" s="458"/>
      <c r="R2566" s="490" t="str">
        <f t="shared" si="184"/>
        <v>DELETE</v>
      </c>
    </row>
    <row r="2567" spans="2:23" ht="36" customHeight="1" x14ac:dyDescent="0.5">
      <c r="B2567" s="640"/>
      <c r="C2567" s="652"/>
      <c r="D2567" s="649"/>
      <c r="E2567" s="649"/>
      <c r="F2567" s="649"/>
      <c r="G2567" s="649"/>
      <c r="H2567" s="649"/>
      <c r="I2567" s="649"/>
      <c r="J2567" s="649"/>
      <c r="K2567" s="457"/>
      <c r="L2567" s="457"/>
      <c r="M2567" s="459"/>
      <c r="N2567" s="459"/>
      <c r="O2567" s="459"/>
      <c r="P2567" s="551"/>
      <c r="Q2567" s="457"/>
      <c r="R2567" s="490" t="str">
        <f t="shared" si="184"/>
        <v>DELETE</v>
      </c>
    </row>
    <row r="2568" spans="2:23" ht="36" customHeight="1" x14ac:dyDescent="0.5">
      <c r="B2568" s="501"/>
      <c r="C2568" s="630"/>
      <c r="D2568" s="631"/>
      <c r="E2568" s="631"/>
      <c r="F2568" s="631"/>
      <c r="G2568" s="631"/>
      <c r="H2568" s="631"/>
      <c r="I2568" s="631"/>
      <c r="J2568" s="631"/>
      <c r="M2568" s="475"/>
      <c r="N2568" s="475"/>
      <c r="O2568" s="453">
        <f>Criteria!E22</f>
        <v>2026</v>
      </c>
      <c r="P2568" s="545"/>
      <c r="R2568" s="490" t="str">
        <f t="shared" si="184"/>
        <v>DELETE</v>
      </c>
    </row>
    <row r="2569" spans="2:23" ht="36" customHeight="1" x14ac:dyDescent="0.5">
      <c r="B2569" s="501"/>
      <c r="C2569" s="630"/>
      <c r="D2569" s="631"/>
      <c r="E2569" s="631"/>
      <c r="F2569" s="631"/>
      <c r="G2569" s="631"/>
      <c r="H2569" s="631"/>
      <c r="I2569" s="631"/>
      <c r="J2569" s="631"/>
      <c r="M2569" s="475"/>
      <c r="N2569" s="475"/>
      <c r="O2569" s="475"/>
      <c r="P2569" s="545"/>
      <c r="R2569" s="490" t="str">
        <f t="shared" si="184"/>
        <v>DELETE</v>
      </c>
    </row>
    <row r="2570" spans="2:23" ht="36" customHeight="1" x14ac:dyDescent="0.5">
      <c r="B2570" s="501">
        <f>MAX($B$873:B2569)+1</f>
        <v>30</v>
      </c>
      <c r="C2570" s="636" t="str">
        <f>IF(W2581=2,"Current tax liability","Current tax asset")</f>
        <v>Current tax liability</v>
      </c>
      <c r="D2570" s="648"/>
      <c r="E2570" s="631"/>
      <c r="F2570" s="631"/>
      <c r="G2570" s="631"/>
      <c r="H2570" s="631"/>
      <c r="I2570" s="631"/>
      <c r="J2570" s="631"/>
      <c r="M2570" s="475"/>
      <c r="N2570" s="475"/>
      <c r="O2570" s="475"/>
      <c r="P2570" s="545"/>
      <c r="R2570" s="490" t="str">
        <f t="shared" si="184"/>
        <v>DELETE</v>
      </c>
    </row>
    <row r="2571" spans="2:23" ht="36" customHeight="1" x14ac:dyDescent="0.5">
      <c r="B2571" s="501"/>
      <c r="C2571" s="636"/>
      <c r="D2571" s="648"/>
      <c r="E2571" s="631"/>
      <c r="F2571" s="631"/>
      <c r="G2571" s="631"/>
      <c r="H2571" s="631"/>
      <c r="I2571" s="631"/>
      <c r="J2571" s="631"/>
      <c r="M2571" s="475"/>
      <c r="N2571" s="475"/>
      <c r="O2571" s="475"/>
      <c r="P2571" s="545"/>
      <c r="R2571" s="490" t="str">
        <f t="shared" si="184"/>
        <v>DELETE</v>
      </c>
    </row>
    <row r="2572" spans="2:23" ht="36" customHeight="1" x14ac:dyDescent="0.5">
      <c r="B2572" s="501"/>
      <c r="C2572" s="632" t="str">
        <f>IF(W2572=2,"Current tax liability at the beginning of the year","Current tax asset at the beginning of the year")</f>
        <v>Current tax liability at the beginning of the year</v>
      </c>
      <c r="D2572" s="648"/>
      <c r="E2572" s="631"/>
      <c r="F2572" s="631"/>
      <c r="G2572" s="631"/>
      <c r="H2572" s="631"/>
      <c r="I2572" s="631"/>
      <c r="J2572" s="631"/>
      <c r="M2572" s="475"/>
      <c r="N2572" s="475"/>
      <c r="O2572" s="475">
        <f>-TrialBalance!L386</f>
        <v>0</v>
      </c>
      <c r="P2572" s="545"/>
      <c r="R2572" s="490" t="str">
        <f>IF(O2572=0,"DELETE"," ")</f>
        <v>DELETE</v>
      </c>
      <c r="W2572" s="491">
        <f>IF(O2572&lt;0,1,2)</f>
        <v>2</v>
      </c>
    </row>
    <row r="2573" spans="2:23" ht="36" customHeight="1" x14ac:dyDescent="0.5">
      <c r="B2573" s="501"/>
      <c r="C2573" s="631" t="s">
        <v>1432</v>
      </c>
      <c r="D2573" s="648"/>
      <c r="E2573" s="631"/>
      <c r="F2573" s="631"/>
      <c r="G2573" s="631"/>
      <c r="H2573" s="631"/>
      <c r="I2573" s="631"/>
      <c r="J2573" s="631"/>
      <c r="M2573" s="475"/>
      <c r="N2573" s="475"/>
      <c r="O2573" s="475">
        <f>-TrialBalance!L387</f>
        <v>0</v>
      </c>
      <c r="P2573" s="545"/>
      <c r="R2573" s="490" t="str">
        <f t="shared" ref="R2573:R2577" si="185">IF(O2573=0,"DELETE"," ")</f>
        <v>DELETE</v>
      </c>
      <c r="U2573" s="491" t="b">
        <f>O2573=O1476</f>
        <v>1</v>
      </c>
    </row>
    <row r="2574" spans="2:23" ht="36" customHeight="1" x14ac:dyDescent="0.5">
      <c r="B2574" s="501"/>
      <c r="C2574" s="631" t="s">
        <v>1433</v>
      </c>
      <c r="D2574" s="648"/>
      <c r="E2574" s="631"/>
      <c r="F2574" s="631"/>
      <c r="G2574" s="631"/>
      <c r="H2574" s="631"/>
      <c r="I2574" s="631"/>
      <c r="J2574" s="631"/>
      <c r="M2574" s="475"/>
      <c r="N2574" s="475"/>
      <c r="O2574" s="475">
        <f>-TrialBalance!L388</f>
        <v>0</v>
      </c>
      <c r="P2574" s="545"/>
      <c r="R2574" s="490" t="str">
        <f t="shared" si="185"/>
        <v>DELETE</v>
      </c>
      <c r="U2574" s="491" t="b">
        <f>O2574=O1477</f>
        <v>1</v>
      </c>
    </row>
    <row r="2575" spans="2:23" ht="36" customHeight="1" x14ac:dyDescent="0.5">
      <c r="B2575" s="501"/>
      <c r="C2575" s="631" t="s">
        <v>1434</v>
      </c>
      <c r="D2575" s="648"/>
      <c r="E2575" s="631"/>
      <c r="F2575" s="631"/>
      <c r="G2575" s="631"/>
      <c r="H2575" s="631"/>
      <c r="I2575" s="631"/>
      <c r="J2575" s="631"/>
      <c r="M2575" s="475"/>
      <c r="N2575" s="475"/>
      <c r="O2575" s="475">
        <f>-TrialBalance!L389</f>
        <v>0</v>
      </c>
      <c r="P2575" s="545"/>
      <c r="R2575" s="490" t="str">
        <f t="shared" si="185"/>
        <v>DELETE</v>
      </c>
    </row>
    <row r="2576" spans="2:23" ht="36" customHeight="1" x14ac:dyDescent="0.5">
      <c r="B2576" s="501"/>
      <c r="C2576" s="631" t="s">
        <v>1435</v>
      </c>
      <c r="D2576" s="648"/>
      <c r="E2576" s="631"/>
      <c r="F2576" s="631"/>
      <c r="G2576" s="631"/>
      <c r="H2576" s="631"/>
      <c r="I2576" s="631"/>
      <c r="J2576" s="631"/>
      <c r="M2576" s="475"/>
      <c r="N2576" s="475"/>
      <c r="O2576" s="475">
        <f>-TrialBalance!L390</f>
        <v>0</v>
      </c>
      <c r="P2576" s="545"/>
      <c r="R2576" s="490" t="str">
        <f t="shared" si="185"/>
        <v>DELETE</v>
      </c>
    </row>
    <row r="2577" spans="2:23" ht="36" customHeight="1" x14ac:dyDescent="0.5">
      <c r="B2577" s="501"/>
      <c r="C2577" s="631" t="s">
        <v>1436</v>
      </c>
      <c r="D2577" s="648"/>
      <c r="E2577" s="631"/>
      <c r="F2577" s="631"/>
      <c r="G2577" s="631"/>
      <c r="H2577" s="631"/>
      <c r="I2577" s="631"/>
      <c r="J2577" s="631"/>
      <c r="M2577" s="475"/>
      <c r="N2577" s="475"/>
      <c r="O2577" s="475">
        <f>-TrialBalance!L391</f>
        <v>0</v>
      </c>
      <c r="P2577" s="545"/>
      <c r="R2577" s="490" t="str">
        <f t="shared" si="185"/>
        <v>DELETE</v>
      </c>
    </row>
    <row r="2578" spans="2:23" ht="36" customHeight="1" x14ac:dyDescent="0.5">
      <c r="B2578" s="501"/>
      <c r="C2578" s="631" t="s">
        <v>1437</v>
      </c>
      <c r="D2578" s="648"/>
      <c r="E2578" s="631"/>
      <c r="F2578" s="631"/>
      <c r="G2578" s="631"/>
      <c r="H2578" s="631"/>
      <c r="I2578" s="631"/>
      <c r="J2578" s="631"/>
      <c r="M2578" s="475"/>
      <c r="N2578" s="475"/>
      <c r="O2578" s="475">
        <f>-TrialBalance!L392</f>
        <v>0</v>
      </c>
      <c r="P2578" s="545"/>
      <c r="R2578" s="490" t="str">
        <f>IF(O2578=0,"DELETE"," ")</f>
        <v>DELETE</v>
      </c>
    </row>
    <row r="2579" spans="2:23" ht="9" customHeight="1" x14ac:dyDescent="0.5">
      <c r="B2579" s="501"/>
      <c r="C2579" s="631"/>
      <c r="D2579" s="648"/>
      <c r="E2579" s="631"/>
      <c r="F2579" s="631"/>
      <c r="G2579" s="631"/>
      <c r="H2579" s="631"/>
      <c r="I2579" s="631"/>
      <c r="J2579" s="631"/>
      <c r="M2579" s="475"/>
      <c r="N2579" s="475"/>
      <c r="O2579" s="461"/>
      <c r="P2579" s="545"/>
      <c r="R2579" s="490" t="str">
        <f>R$2581</f>
        <v>DELETE</v>
      </c>
    </row>
    <row r="2580" spans="2:23" ht="9" customHeight="1" x14ac:dyDescent="0.5">
      <c r="B2580" s="501"/>
      <c r="C2580" s="631"/>
      <c r="D2580" s="648"/>
      <c r="E2580" s="631"/>
      <c r="F2580" s="631"/>
      <c r="G2580" s="631"/>
      <c r="H2580" s="631"/>
      <c r="I2580" s="631"/>
      <c r="J2580" s="631"/>
      <c r="M2580" s="475"/>
      <c r="N2580" s="475"/>
      <c r="O2580" s="475"/>
      <c r="P2580" s="545"/>
      <c r="R2580" s="490" t="str">
        <f>R$2581</f>
        <v>DELETE</v>
      </c>
    </row>
    <row r="2581" spans="2:23" ht="36.75" customHeight="1" x14ac:dyDescent="0.5">
      <c r="B2581" s="501"/>
      <c r="C2581" s="632" t="str">
        <f>IF(W2581=2,"Current tax liability at the end of the year","Current tax asset at the end of the year")</f>
        <v>Current tax liability at the end of the year</v>
      </c>
      <c r="D2581" s="648"/>
      <c r="E2581" s="631"/>
      <c r="F2581" s="631"/>
      <c r="G2581" s="631"/>
      <c r="H2581" s="631"/>
      <c r="I2581" s="631"/>
      <c r="J2581" s="631"/>
      <c r="M2581" s="475"/>
      <c r="N2581" s="475"/>
      <c r="O2581" s="475">
        <f>SUM(O2572:O2579)</f>
        <v>0</v>
      </c>
      <c r="P2581" s="545"/>
      <c r="R2581" s="490" t="str">
        <f>IF(O2581=0,IF(COUNTIF(O2572:O2578,"&gt;0")&gt;0," ","DELETE")," ")</f>
        <v>DELETE</v>
      </c>
      <c r="W2581" s="491">
        <f>IF(O2581&lt;0,1,2)</f>
        <v>2</v>
      </c>
    </row>
    <row r="2582" spans="2:23" ht="9" customHeight="1" thickBot="1" x14ac:dyDescent="0.55000000000000004">
      <c r="B2582" s="501"/>
      <c r="C2582" s="630"/>
      <c r="D2582" s="631"/>
      <c r="E2582" s="631"/>
      <c r="F2582" s="631"/>
      <c r="G2582" s="631"/>
      <c r="H2582" s="631"/>
      <c r="I2582" s="631"/>
      <c r="J2582" s="631"/>
      <c r="M2582" s="475"/>
      <c r="N2582" s="475"/>
      <c r="O2582" s="462"/>
      <c r="P2582" s="545"/>
      <c r="R2582" s="490" t="str">
        <f t="shared" ref="R2582:R2587" si="186">R$2581</f>
        <v>DELETE</v>
      </c>
    </row>
    <row r="2583" spans="2:23" ht="9" customHeight="1" thickTop="1" x14ac:dyDescent="0.5">
      <c r="B2583" s="501"/>
      <c r="C2583" s="630"/>
      <c r="D2583" s="631"/>
      <c r="E2583" s="631"/>
      <c r="F2583" s="631"/>
      <c r="G2583" s="631"/>
      <c r="H2583" s="631"/>
      <c r="I2583" s="631"/>
      <c r="J2583" s="631"/>
      <c r="M2583" s="475"/>
      <c r="N2583" s="475"/>
      <c r="O2583" s="475"/>
      <c r="P2583" s="545"/>
      <c r="R2583" s="490" t="str">
        <f t="shared" si="186"/>
        <v>DELETE</v>
      </c>
    </row>
    <row r="2584" spans="2:23" ht="36" customHeight="1" x14ac:dyDescent="0.5">
      <c r="B2584" s="501"/>
      <c r="C2584" s="630"/>
      <c r="D2584" s="631"/>
      <c r="E2584" s="631"/>
      <c r="F2584" s="631"/>
      <c r="G2584" s="631"/>
      <c r="H2584" s="631"/>
      <c r="I2584" s="631"/>
      <c r="J2584" s="631"/>
      <c r="M2584" s="475"/>
      <c r="N2584" s="475"/>
      <c r="O2584" s="475"/>
      <c r="P2584" s="545"/>
      <c r="R2584" s="490" t="str">
        <f t="shared" si="186"/>
        <v>DELETE</v>
      </c>
    </row>
    <row r="2585" spans="2:23" ht="36" customHeight="1" x14ac:dyDescent="0.5">
      <c r="B2585" s="501"/>
      <c r="C2585" s="630"/>
      <c r="D2585" s="631"/>
      <c r="E2585" s="631"/>
      <c r="F2585" s="631"/>
      <c r="G2585" s="631"/>
      <c r="H2585" s="631"/>
      <c r="I2585" s="631"/>
      <c r="J2585" s="631"/>
      <c r="M2585" s="475"/>
      <c r="N2585" s="475"/>
      <c r="O2585" s="475"/>
      <c r="P2585" s="545"/>
      <c r="R2585" s="490" t="str">
        <f t="shared" si="186"/>
        <v>DELETE</v>
      </c>
    </row>
    <row r="2586" spans="2:23" ht="36" customHeight="1" x14ac:dyDescent="0.5">
      <c r="B2586" s="501"/>
      <c r="C2586" s="630"/>
      <c r="D2586" s="631"/>
      <c r="E2586" s="631"/>
      <c r="F2586" s="631"/>
      <c r="G2586" s="631"/>
      <c r="H2586" s="631"/>
      <c r="I2586" s="631"/>
      <c r="J2586" s="631"/>
      <c r="M2586" s="475"/>
      <c r="N2586" s="475"/>
      <c r="O2586" s="475"/>
      <c r="P2586" s="545"/>
      <c r="R2586" s="490" t="str">
        <f t="shared" si="186"/>
        <v>DELETE</v>
      </c>
    </row>
    <row r="2587" spans="2:23" ht="36" customHeight="1" x14ac:dyDescent="0.5">
      <c r="B2587" s="501"/>
      <c r="C2587" s="630"/>
      <c r="D2587" s="631"/>
      <c r="E2587" s="631"/>
      <c r="F2587" s="631"/>
      <c r="G2587" s="631"/>
      <c r="H2587" s="631"/>
      <c r="I2587" s="631"/>
      <c r="J2587" s="631"/>
      <c r="M2587" s="458"/>
      <c r="N2587" s="458"/>
      <c r="O2587" s="458"/>
      <c r="R2587" s="490" t="str">
        <f t="shared" si="186"/>
        <v>DELETE</v>
      </c>
    </row>
    <row r="2588" spans="2:23" ht="36" customHeight="1" x14ac:dyDescent="0.5">
      <c r="B2588" s="501"/>
      <c r="C2588" s="630"/>
      <c r="D2588" s="631"/>
      <c r="E2588" s="631"/>
      <c r="F2588" s="631"/>
      <c r="G2588" s="631"/>
      <c r="H2588" s="631"/>
      <c r="I2588" s="631"/>
      <c r="J2588" s="631"/>
      <c r="M2588" s="458"/>
      <c r="N2588" s="458"/>
      <c r="O2588" s="458" t="s">
        <v>112</v>
      </c>
      <c r="Q2588" s="450">
        <f>MAX($Q$103:Q2587)+1</f>
        <v>69</v>
      </c>
      <c r="R2588" s="490" t="str">
        <f>R$2607</f>
        <v>DELETE</v>
      </c>
    </row>
    <row r="2589" spans="2:23" ht="36" customHeight="1" x14ac:dyDescent="0.5">
      <c r="B2589" s="501"/>
      <c r="C2589" s="630"/>
      <c r="D2589" s="630" t="str">
        <f>Criteria!E9</f>
        <v>ABC COMPANY (PROPRIETARY) LIMITED</v>
      </c>
      <c r="E2589" s="631"/>
      <c r="F2589" s="631"/>
      <c r="G2589" s="631"/>
      <c r="H2589" s="631"/>
      <c r="I2589" s="631"/>
      <c r="J2589" s="631"/>
      <c r="M2589" s="541"/>
      <c r="N2589" s="541"/>
      <c r="O2589" s="540"/>
      <c r="R2589" s="490" t="str">
        <f>R$2607</f>
        <v>DELETE</v>
      </c>
    </row>
    <row r="2590" spans="2:23" ht="36" customHeight="1" x14ac:dyDescent="0.5">
      <c r="B2590" s="501"/>
      <c r="C2590" s="630"/>
      <c r="D2590" s="630" t="str">
        <f>Criteria!E10</f>
        <v>T/A SEAFRONT HOTEL, ABC RESTAURANT AND RENTAL PROPERTIES</v>
      </c>
      <c r="E2590" s="631"/>
      <c r="F2590" s="631"/>
      <c r="G2590" s="631"/>
      <c r="H2590" s="631"/>
      <c r="I2590" s="631"/>
      <c r="J2590" s="631"/>
      <c r="M2590" s="541"/>
      <c r="N2590" s="541"/>
      <c r="O2590" s="541"/>
      <c r="R2590" s="490" t="str">
        <f>IF(R$2607="DELETE","DELETE",IF(D2590=0,"DELETE"," "))</f>
        <v>DELETE</v>
      </c>
    </row>
    <row r="2591" spans="2:23" ht="36" customHeight="1" x14ac:dyDescent="0.5">
      <c r="B2591" s="501"/>
      <c r="C2591" s="630"/>
      <c r="D2591" s="631"/>
      <c r="E2591" s="631"/>
      <c r="F2591" s="631"/>
      <c r="G2591" s="631"/>
      <c r="H2591" s="631"/>
      <c r="I2591" s="631"/>
      <c r="J2591" s="631"/>
      <c r="M2591" s="541"/>
      <c r="N2591" s="541"/>
      <c r="O2591" s="541"/>
      <c r="R2591" s="490" t="str">
        <f t="shared" ref="R2591:R2601" si="187">R$2607</f>
        <v>DELETE</v>
      </c>
    </row>
    <row r="2592" spans="2:23" ht="36" customHeight="1" x14ac:dyDescent="0.5">
      <c r="B2592" s="501"/>
      <c r="C2592" s="630"/>
      <c r="D2592" s="630" t="s">
        <v>415</v>
      </c>
      <c r="E2592" s="631"/>
      <c r="F2592" s="631"/>
      <c r="G2592" s="631"/>
      <c r="H2592" s="631"/>
      <c r="I2592" s="631"/>
      <c r="J2592" s="631"/>
      <c r="M2592" s="541"/>
      <c r="N2592" s="541"/>
      <c r="O2592" s="541"/>
      <c r="R2592" s="490" t="str">
        <f t="shared" si="187"/>
        <v>DELETE</v>
      </c>
    </row>
    <row r="2593" spans="2:18" ht="36" customHeight="1" x14ac:dyDescent="0.5">
      <c r="B2593" s="501"/>
      <c r="C2593" s="630"/>
      <c r="D2593" s="630" t="str">
        <f>Criteria!E20</f>
        <v>28 FEBRUARY 2026</v>
      </c>
      <c r="E2593" s="631"/>
      <c r="F2593" s="631"/>
      <c r="G2593" s="631"/>
      <c r="H2593" s="631"/>
      <c r="I2593" s="631"/>
      <c r="J2593" s="631" t="s">
        <v>282</v>
      </c>
      <c r="M2593" s="541"/>
      <c r="N2593" s="541"/>
      <c r="O2593" s="541"/>
      <c r="R2593" s="490" t="str">
        <f t="shared" si="187"/>
        <v>DELETE</v>
      </c>
    </row>
    <row r="2594" spans="2:18" ht="36" customHeight="1" x14ac:dyDescent="0.5">
      <c r="B2594" s="501"/>
      <c r="C2594" s="630"/>
      <c r="D2594" s="631"/>
      <c r="E2594" s="631"/>
      <c r="F2594" s="631"/>
      <c r="G2594" s="631"/>
      <c r="H2594" s="631"/>
      <c r="I2594" s="631"/>
      <c r="J2594" s="631"/>
      <c r="M2594" s="458"/>
      <c r="N2594" s="458"/>
      <c r="O2594" s="458"/>
      <c r="R2594" s="490" t="str">
        <f t="shared" si="187"/>
        <v>DELETE</v>
      </c>
    </row>
    <row r="2595" spans="2:18" ht="36" customHeight="1" x14ac:dyDescent="0.5">
      <c r="B2595" s="640"/>
      <c r="C2595" s="652"/>
      <c r="D2595" s="649"/>
      <c r="E2595" s="649"/>
      <c r="F2595" s="649"/>
      <c r="G2595" s="649"/>
      <c r="H2595" s="649"/>
      <c r="I2595" s="649"/>
      <c r="J2595" s="649"/>
      <c r="K2595" s="457"/>
      <c r="L2595" s="457"/>
      <c r="M2595" s="459"/>
      <c r="N2595" s="459"/>
      <c r="O2595" s="459"/>
      <c r="P2595" s="551"/>
      <c r="Q2595" s="457"/>
      <c r="R2595" s="490" t="str">
        <f t="shared" si="187"/>
        <v>DELETE</v>
      </c>
    </row>
    <row r="2596" spans="2:18" ht="36" customHeight="1" x14ac:dyDescent="0.5">
      <c r="B2596" s="501"/>
      <c r="C2596" s="630"/>
      <c r="D2596" s="631"/>
      <c r="E2596" s="631"/>
      <c r="F2596" s="631"/>
      <c r="G2596" s="631"/>
      <c r="H2596" s="631"/>
      <c r="I2596" s="631"/>
      <c r="J2596" s="631"/>
      <c r="M2596" s="475"/>
      <c r="N2596" s="475"/>
      <c r="O2596" s="453">
        <f>Criteria!E22</f>
        <v>2026</v>
      </c>
      <c r="P2596" s="545"/>
      <c r="R2596" s="490" t="str">
        <f t="shared" si="187"/>
        <v>DELETE</v>
      </c>
    </row>
    <row r="2597" spans="2:18" ht="36" customHeight="1" x14ac:dyDescent="0.5">
      <c r="B2597" s="501"/>
      <c r="C2597" s="630"/>
      <c r="D2597" s="631"/>
      <c r="E2597" s="631"/>
      <c r="F2597" s="631"/>
      <c r="G2597" s="631"/>
      <c r="H2597" s="631"/>
      <c r="I2597" s="631"/>
      <c r="J2597" s="631"/>
      <c r="M2597" s="475"/>
      <c r="N2597" s="475"/>
      <c r="O2597" s="475"/>
      <c r="P2597" s="545"/>
      <c r="R2597" s="490" t="str">
        <f t="shared" si="187"/>
        <v>DELETE</v>
      </c>
    </row>
    <row r="2598" spans="2:18" ht="36" customHeight="1" x14ac:dyDescent="0.5">
      <c r="B2598" s="501">
        <f>MAX($B$873:B2597)+1</f>
        <v>31</v>
      </c>
      <c r="C2598" s="630" t="s">
        <v>1528</v>
      </c>
      <c r="D2598" s="631"/>
      <c r="E2598" s="631"/>
      <c r="F2598" s="631"/>
      <c r="G2598" s="631"/>
      <c r="H2598" s="631"/>
      <c r="I2598" s="631"/>
      <c r="J2598" s="631"/>
      <c r="M2598" s="475"/>
      <c r="N2598" s="475"/>
      <c r="O2598" s="475"/>
      <c r="P2598" s="545"/>
      <c r="R2598" s="490" t="str">
        <f t="shared" si="187"/>
        <v>DELETE</v>
      </c>
    </row>
    <row r="2599" spans="2:18" ht="36" customHeight="1" x14ac:dyDescent="0.5">
      <c r="B2599" s="501"/>
      <c r="C2599" s="630"/>
      <c r="D2599" s="631"/>
      <c r="E2599" s="631"/>
      <c r="F2599" s="631"/>
      <c r="G2599" s="631"/>
      <c r="H2599" s="631"/>
      <c r="I2599" s="631"/>
      <c r="J2599" s="631"/>
      <c r="M2599" s="475"/>
      <c r="N2599" s="475"/>
      <c r="O2599" s="475"/>
      <c r="P2599" s="545"/>
      <c r="R2599" s="490" t="str">
        <f t="shared" si="187"/>
        <v>DELETE</v>
      </c>
    </row>
    <row r="2600" spans="2:18" ht="36" customHeight="1" x14ac:dyDescent="0.5">
      <c r="B2600" s="501"/>
      <c r="C2600" s="631" t="s">
        <v>1357</v>
      </c>
      <c r="D2600" s="648"/>
      <c r="E2600" s="631"/>
      <c r="F2600" s="631"/>
      <c r="G2600" s="631"/>
      <c r="H2600" s="631"/>
      <c r="I2600" s="631"/>
      <c r="J2600" s="631"/>
      <c r="M2600" s="475"/>
      <c r="N2600" s="475"/>
      <c r="O2600" s="475"/>
      <c r="P2600" s="545"/>
      <c r="R2600" s="490" t="str">
        <f t="shared" si="187"/>
        <v>DELETE</v>
      </c>
    </row>
    <row r="2601" spans="2:18" ht="36" customHeight="1" x14ac:dyDescent="0.5">
      <c r="B2601" s="501"/>
      <c r="C2601" s="630"/>
      <c r="D2601" s="631"/>
      <c r="E2601" s="631"/>
      <c r="F2601" s="631"/>
      <c r="G2601" s="631"/>
      <c r="H2601" s="631"/>
      <c r="I2601" s="631"/>
      <c r="J2601" s="631"/>
      <c r="M2601" s="475"/>
      <c r="N2601" s="475"/>
      <c r="O2601" s="475"/>
      <c r="P2601" s="545"/>
      <c r="R2601" s="490" t="str">
        <f t="shared" si="187"/>
        <v>DELETE</v>
      </c>
    </row>
    <row r="2602" spans="2:18" ht="36" customHeight="1" x14ac:dyDescent="0.5">
      <c r="B2602" s="501"/>
      <c r="C2602" s="631" t="s">
        <v>1358</v>
      </c>
      <c r="D2602" s="631"/>
      <c r="E2602" s="648"/>
      <c r="F2602" s="631"/>
      <c r="G2602" s="631"/>
      <c r="H2602" s="631"/>
      <c r="I2602" s="631"/>
      <c r="J2602" s="631"/>
      <c r="M2602" s="475"/>
      <c r="N2602" s="475"/>
      <c r="O2602" s="475">
        <f>Criteria!F387</f>
        <v>0</v>
      </c>
      <c r="P2602" s="545"/>
      <c r="R2602" s="490" t="str">
        <f t="shared" ref="R2602:R2603" si="188">IF(O2602=0,"DELETE"," ")</f>
        <v>DELETE</v>
      </c>
    </row>
    <row r="2603" spans="2:18" ht="36" customHeight="1" x14ac:dyDescent="0.5">
      <c r="B2603" s="501"/>
      <c r="C2603" s="631" t="s">
        <v>1359</v>
      </c>
      <c r="D2603" s="631"/>
      <c r="E2603" s="648"/>
      <c r="F2603" s="631"/>
      <c r="G2603" s="631"/>
      <c r="H2603" s="631"/>
      <c r="I2603" s="631"/>
      <c r="J2603" s="631"/>
      <c r="M2603" s="475"/>
      <c r="N2603" s="475"/>
      <c r="O2603" s="475">
        <f>Criteria!F388</f>
        <v>0</v>
      </c>
      <c r="P2603" s="545"/>
      <c r="R2603" s="490" t="str">
        <f t="shared" si="188"/>
        <v>DELETE</v>
      </c>
    </row>
    <row r="2604" spans="2:18" ht="36" customHeight="1" x14ac:dyDescent="0.5">
      <c r="B2604" s="501"/>
      <c r="C2604" s="631" t="s">
        <v>1360</v>
      </c>
      <c r="D2604" s="631"/>
      <c r="E2604" s="648"/>
      <c r="F2604" s="631"/>
      <c r="G2604" s="631"/>
      <c r="H2604" s="631"/>
      <c r="I2604" s="631"/>
      <c r="J2604" s="631"/>
      <c r="M2604" s="475"/>
      <c r="N2604" s="475"/>
      <c r="O2604" s="475">
        <f>Criteria!F389</f>
        <v>0</v>
      </c>
      <c r="P2604" s="545"/>
      <c r="R2604" s="490" t="str">
        <f>IF(O2604=0,"DELETE"," ")</f>
        <v>DELETE</v>
      </c>
    </row>
    <row r="2605" spans="2:18" ht="9" customHeight="1" x14ac:dyDescent="0.5">
      <c r="B2605" s="501"/>
      <c r="C2605" s="630"/>
      <c r="D2605" s="631"/>
      <c r="E2605" s="631"/>
      <c r="F2605" s="631"/>
      <c r="G2605" s="631"/>
      <c r="H2605" s="631"/>
      <c r="I2605" s="631"/>
      <c r="J2605" s="631"/>
      <c r="M2605" s="475"/>
      <c r="N2605" s="475"/>
      <c r="O2605" s="461"/>
      <c r="P2605" s="545"/>
      <c r="R2605" s="490" t="str">
        <f>R$2607</f>
        <v>DELETE</v>
      </c>
    </row>
    <row r="2606" spans="2:18" ht="9" customHeight="1" x14ac:dyDescent="0.5">
      <c r="B2606" s="501"/>
      <c r="C2606" s="630"/>
      <c r="D2606" s="631"/>
      <c r="E2606" s="631"/>
      <c r="F2606" s="631"/>
      <c r="G2606" s="631"/>
      <c r="H2606" s="631"/>
      <c r="I2606" s="631"/>
      <c r="J2606" s="631"/>
      <c r="M2606" s="475"/>
      <c r="N2606" s="475"/>
      <c r="O2606" s="475"/>
      <c r="P2606" s="545"/>
      <c r="R2606" s="490" t="str">
        <f>R$2607</f>
        <v>DELETE</v>
      </c>
    </row>
    <row r="2607" spans="2:18" ht="36.75" customHeight="1" x14ac:dyDescent="0.5">
      <c r="B2607" s="501"/>
      <c r="C2607" s="630"/>
      <c r="D2607" s="631"/>
      <c r="E2607" s="631"/>
      <c r="F2607" s="631"/>
      <c r="G2607" s="631"/>
      <c r="H2607" s="631"/>
      <c r="I2607" s="631"/>
      <c r="J2607" s="631"/>
      <c r="M2607" s="475"/>
      <c r="N2607" s="475"/>
      <c r="O2607" s="475">
        <f>SUM(O2602:O2606)</f>
        <v>0</v>
      </c>
      <c r="P2607" s="545"/>
      <c r="R2607" s="490" t="str">
        <f>IF(O2607=0,"DELETE"," ")</f>
        <v>DELETE</v>
      </c>
    </row>
    <row r="2608" spans="2:18" ht="9" customHeight="1" thickBot="1" x14ac:dyDescent="0.55000000000000004">
      <c r="B2608" s="501"/>
      <c r="C2608" s="630"/>
      <c r="D2608" s="631"/>
      <c r="E2608" s="631"/>
      <c r="F2608" s="631"/>
      <c r="G2608" s="631"/>
      <c r="H2608" s="631"/>
      <c r="I2608" s="631"/>
      <c r="J2608" s="631"/>
      <c r="M2608" s="475"/>
      <c r="N2608" s="475"/>
      <c r="O2608" s="462"/>
      <c r="P2608" s="545"/>
      <c r="R2608" s="490" t="str">
        <f t="shared" ref="R2608:R2613" si="189">R$2607</f>
        <v>DELETE</v>
      </c>
    </row>
    <row r="2609" spans="2:18" ht="9" customHeight="1" thickTop="1" x14ac:dyDescent="0.5">
      <c r="B2609" s="501"/>
      <c r="C2609" s="630"/>
      <c r="D2609" s="631"/>
      <c r="E2609" s="631"/>
      <c r="F2609" s="631"/>
      <c r="G2609" s="631"/>
      <c r="H2609" s="631"/>
      <c r="I2609" s="631"/>
      <c r="J2609" s="631"/>
      <c r="M2609" s="475"/>
      <c r="N2609" s="475"/>
      <c r="O2609" s="475"/>
      <c r="P2609" s="545"/>
      <c r="R2609" s="490" t="str">
        <f t="shared" si="189"/>
        <v>DELETE</v>
      </c>
    </row>
    <row r="2610" spans="2:18" ht="36" customHeight="1" x14ac:dyDescent="0.5">
      <c r="B2610" s="501"/>
      <c r="C2610" s="630"/>
      <c r="D2610" s="631"/>
      <c r="E2610" s="631"/>
      <c r="F2610" s="631"/>
      <c r="G2610" s="631"/>
      <c r="H2610" s="631"/>
      <c r="I2610" s="631"/>
      <c r="J2610" s="631"/>
      <c r="M2610" s="475"/>
      <c r="N2610" s="475"/>
      <c r="O2610" s="475"/>
      <c r="P2610" s="545"/>
      <c r="R2610" s="490" t="str">
        <f t="shared" si="189"/>
        <v>DELETE</v>
      </c>
    </row>
    <row r="2611" spans="2:18" ht="36" customHeight="1" x14ac:dyDescent="0.5">
      <c r="B2611" s="501"/>
      <c r="C2611" s="630"/>
      <c r="D2611" s="631"/>
      <c r="E2611" s="631"/>
      <c r="F2611" s="631"/>
      <c r="G2611" s="631"/>
      <c r="H2611" s="631"/>
      <c r="I2611" s="631"/>
      <c r="J2611" s="631"/>
      <c r="M2611" s="475"/>
      <c r="N2611" s="475"/>
      <c r="O2611" s="475"/>
      <c r="P2611" s="545"/>
      <c r="R2611" s="490" t="str">
        <f t="shared" si="189"/>
        <v>DELETE</v>
      </c>
    </row>
    <row r="2612" spans="2:18" ht="36" customHeight="1" x14ac:dyDescent="0.5">
      <c r="B2612" s="501"/>
      <c r="C2612" s="630"/>
      <c r="D2612" s="631"/>
      <c r="E2612" s="631"/>
      <c r="F2612" s="631"/>
      <c r="G2612" s="631"/>
      <c r="H2612" s="631"/>
      <c r="I2612" s="631"/>
      <c r="J2612" s="631"/>
      <c r="M2612" s="475"/>
      <c r="N2612" s="475"/>
      <c r="O2612" s="475"/>
      <c r="P2612" s="545"/>
      <c r="R2612" s="490" t="str">
        <f t="shared" si="189"/>
        <v>DELETE</v>
      </c>
    </row>
    <row r="2613" spans="2:18" ht="36" customHeight="1" x14ac:dyDescent="0.5">
      <c r="B2613" s="501"/>
      <c r="C2613" s="630"/>
      <c r="D2613" s="631"/>
      <c r="E2613" s="631"/>
      <c r="F2613" s="631"/>
      <c r="G2613" s="631"/>
      <c r="H2613" s="631"/>
      <c r="I2613" s="631"/>
      <c r="J2613" s="631"/>
      <c r="M2613" s="458"/>
      <c r="N2613" s="458"/>
      <c r="O2613" s="458"/>
      <c r="R2613" s="490" t="str">
        <f t="shared" si="189"/>
        <v>DELETE</v>
      </c>
    </row>
    <row r="2614" spans="2:18" ht="36" customHeight="1" x14ac:dyDescent="0.5">
      <c r="B2614" s="501"/>
      <c r="C2614" s="630"/>
      <c r="D2614" s="631"/>
      <c r="E2614" s="631"/>
      <c r="F2614" s="631"/>
      <c r="G2614" s="631"/>
      <c r="H2614" s="631"/>
      <c r="I2614" s="631"/>
      <c r="J2614" s="631"/>
      <c r="M2614" s="458"/>
      <c r="N2614" s="458"/>
      <c r="O2614" s="458" t="s">
        <v>112</v>
      </c>
      <c r="Q2614" s="450">
        <f>MAX($Q$103:Q2613)+1</f>
        <v>70</v>
      </c>
      <c r="R2614" s="490" t="str">
        <f>IF(O2632+O2644=0,"DELETE"," ")</f>
        <v>DELETE</v>
      </c>
    </row>
    <row r="2615" spans="2:18" ht="36" customHeight="1" x14ac:dyDescent="0.5">
      <c r="B2615" s="501"/>
      <c r="C2615" s="630"/>
      <c r="D2615" s="630" t="str">
        <f>Criteria!E9</f>
        <v>ABC COMPANY (PROPRIETARY) LIMITED</v>
      </c>
      <c r="E2615" s="631"/>
      <c r="F2615" s="631"/>
      <c r="G2615" s="631"/>
      <c r="H2615" s="631"/>
      <c r="I2615" s="631"/>
      <c r="J2615" s="631"/>
      <c r="M2615" s="541"/>
      <c r="N2615" s="541"/>
      <c r="O2615" s="540"/>
      <c r="R2615" s="490" t="str">
        <f>R$2614</f>
        <v>DELETE</v>
      </c>
    </row>
    <row r="2616" spans="2:18" ht="36" customHeight="1" x14ac:dyDescent="0.5">
      <c r="B2616" s="501"/>
      <c r="C2616" s="630"/>
      <c r="D2616" s="630" t="str">
        <f>Criteria!E10</f>
        <v>T/A SEAFRONT HOTEL, ABC RESTAURANT AND RENTAL PROPERTIES</v>
      </c>
      <c r="E2616" s="631"/>
      <c r="F2616" s="631"/>
      <c r="G2616" s="631"/>
      <c r="H2616" s="631"/>
      <c r="I2616" s="631"/>
      <c r="J2616" s="631"/>
      <c r="M2616" s="541"/>
      <c r="N2616" s="541"/>
      <c r="O2616" s="541"/>
      <c r="R2616" s="490" t="str">
        <f>IF(R$2614="DELETE","DELETE",IF(D2616=0,"DELETE"," "))</f>
        <v>DELETE</v>
      </c>
    </row>
    <row r="2617" spans="2:18" ht="36" customHeight="1" x14ac:dyDescent="0.5">
      <c r="B2617" s="501"/>
      <c r="C2617" s="630"/>
      <c r="D2617" s="631"/>
      <c r="E2617" s="631"/>
      <c r="F2617" s="631"/>
      <c r="G2617" s="631"/>
      <c r="H2617" s="631"/>
      <c r="I2617" s="631"/>
      <c r="J2617" s="631"/>
      <c r="M2617" s="541"/>
      <c r="N2617" s="541"/>
      <c r="O2617" s="541"/>
      <c r="R2617" s="490" t="str">
        <f t="shared" ref="R2617:R2625" si="190">R$2614</f>
        <v>DELETE</v>
      </c>
    </row>
    <row r="2618" spans="2:18" ht="36" customHeight="1" x14ac:dyDescent="0.5">
      <c r="B2618" s="501"/>
      <c r="C2618" s="630"/>
      <c r="D2618" s="630" t="s">
        <v>415</v>
      </c>
      <c r="E2618" s="631"/>
      <c r="F2618" s="631"/>
      <c r="G2618" s="631"/>
      <c r="H2618" s="631"/>
      <c r="I2618" s="631"/>
      <c r="J2618" s="631"/>
      <c r="M2618" s="541"/>
      <c r="N2618" s="541"/>
      <c r="O2618" s="541"/>
      <c r="R2618" s="490" t="str">
        <f t="shared" si="190"/>
        <v>DELETE</v>
      </c>
    </row>
    <row r="2619" spans="2:18" ht="36" customHeight="1" x14ac:dyDescent="0.5">
      <c r="B2619" s="501"/>
      <c r="C2619" s="630"/>
      <c r="D2619" s="630" t="str">
        <f>Criteria!E20</f>
        <v>28 FEBRUARY 2026</v>
      </c>
      <c r="E2619" s="631"/>
      <c r="F2619" s="631"/>
      <c r="G2619" s="631"/>
      <c r="H2619" s="631"/>
      <c r="I2619" s="631"/>
      <c r="J2619" s="631" t="s">
        <v>282</v>
      </c>
      <c r="M2619" s="541"/>
      <c r="N2619" s="541"/>
      <c r="O2619" s="541"/>
      <c r="R2619" s="490" t="str">
        <f t="shared" si="190"/>
        <v>DELETE</v>
      </c>
    </row>
    <row r="2620" spans="2:18" ht="36" customHeight="1" x14ac:dyDescent="0.5">
      <c r="B2620" s="501"/>
      <c r="C2620" s="630"/>
      <c r="D2620" s="631"/>
      <c r="E2620" s="631"/>
      <c r="F2620" s="631"/>
      <c r="G2620" s="631"/>
      <c r="H2620" s="631"/>
      <c r="I2620" s="631"/>
      <c r="J2620" s="631"/>
      <c r="M2620" s="458"/>
      <c r="N2620" s="458"/>
      <c r="O2620" s="458"/>
      <c r="R2620" s="490" t="str">
        <f t="shared" si="190"/>
        <v>DELETE</v>
      </c>
    </row>
    <row r="2621" spans="2:18" ht="36" customHeight="1" x14ac:dyDescent="0.5">
      <c r="B2621" s="640"/>
      <c r="C2621" s="652"/>
      <c r="D2621" s="649"/>
      <c r="E2621" s="649"/>
      <c r="F2621" s="649"/>
      <c r="G2621" s="649"/>
      <c r="H2621" s="649"/>
      <c r="I2621" s="649"/>
      <c r="J2621" s="649"/>
      <c r="K2621" s="457"/>
      <c r="L2621" s="457"/>
      <c r="M2621" s="459"/>
      <c r="N2621" s="459"/>
      <c r="O2621" s="459"/>
      <c r="P2621" s="551"/>
      <c r="Q2621" s="457"/>
      <c r="R2621" s="490" t="str">
        <f t="shared" si="190"/>
        <v>DELETE</v>
      </c>
    </row>
    <row r="2622" spans="2:18" ht="36" customHeight="1" x14ac:dyDescent="0.5">
      <c r="B2622" s="501"/>
      <c r="C2622" s="630"/>
      <c r="D2622" s="631"/>
      <c r="E2622" s="631"/>
      <c r="F2622" s="631"/>
      <c r="G2622" s="631"/>
      <c r="H2622" s="631"/>
      <c r="I2622" s="631"/>
      <c r="J2622" s="631"/>
      <c r="M2622" s="475"/>
      <c r="N2622" s="475"/>
      <c r="O2622" s="453">
        <f>Criteria!E22</f>
        <v>2026</v>
      </c>
      <c r="P2622" s="545"/>
      <c r="R2622" s="490" t="str">
        <f t="shared" si="190"/>
        <v>DELETE</v>
      </c>
    </row>
    <row r="2623" spans="2:18" ht="36" customHeight="1" x14ac:dyDescent="0.5">
      <c r="B2623" s="501"/>
      <c r="C2623" s="630"/>
      <c r="D2623" s="631"/>
      <c r="E2623" s="631"/>
      <c r="F2623" s="631"/>
      <c r="G2623" s="631"/>
      <c r="H2623" s="631"/>
      <c r="I2623" s="631"/>
      <c r="J2623" s="631"/>
      <c r="M2623" s="475"/>
      <c r="N2623" s="475"/>
      <c r="O2623" s="475"/>
      <c r="P2623" s="545"/>
      <c r="R2623" s="490" t="str">
        <f t="shared" si="190"/>
        <v>DELETE</v>
      </c>
    </row>
    <row r="2624" spans="2:18" ht="36" customHeight="1" x14ac:dyDescent="0.5">
      <c r="B2624" s="501">
        <f>MAX($B$873:B2623)+1</f>
        <v>32</v>
      </c>
      <c r="C2624" s="630" t="s">
        <v>1529</v>
      </c>
      <c r="D2624" s="631"/>
      <c r="E2624" s="631"/>
      <c r="F2624" s="631"/>
      <c r="G2624" s="631"/>
      <c r="H2624" s="631"/>
      <c r="I2624" s="631"/>
      <c r="J2624" s="631"/>
      <c r="M2624" s="475"/>
      <c r="N2624" s="475"/>
      <c r="O2624" s="475"/>
      <c r="P2624" s="545"/>
      <c r="R2624" s="490" t="str">
        <f t="shared" si="190"/>
        <v>DELETE</v>
      </c>
    </row>
    <row r="2625" spans="2:18" ht="36" customHeight="1" x14ac:dyDescent="0.5">
      <c r="B2625" s="501"/>
      <c r="C2625" s="630"/>
      <c r="D2625" s="631"/>
      <c r="E2625" s="631"/>
      <c r="F2625" s="631"/>
      <c r="G2625" s="631"/>
      <c r="H2625" s="631"/>
      <c r="I2625" s="631"/>
      <c r="J2625" s="631"/>
      <c r="M2625" s="475"/>
      <c r="N2625" s="475"/>
      <c r="O2625" s="475"/>
      <c r="P2625" s="545"/>
      <c r="R2625" s="490" t="str">
        <f t="shared" si="190"/>
        <v>DELETE</v>
      </c>
    </row>
    <row r="2626" spans="2:18" ht="36" customHeight="1" x14ac:dyDescent="0.5">
      <c r="B2626" s="501"/>
      <c r="C2626" s="631" t="str">
        <f>Criteria!F394</f>
        <v>The company rents several sales offices under operating leases. The leases are for an</v>
      </c>
      <c r="D2626" s="648"/>
      <c r="E2626" s="631"/>
      <c r="F2626" s="631"/>
      <c r="G2626" s="631"/>
      <c r="H2626" s="631"/>
      <c r="I2626" s="631"/>
      <c r="J2626" s="631"/>
      <c r="M2626" s="475"/>
      <c r="N2626" s="475"/>
      <c r="O2626" s="475"/>
      <c r="P2626" s="545"/>
      <c r="R2626" s="490" t="str">
        <f>IF(C2626=0,"DELETE"," ")</f>
        <v xml:space="preserve"> </v>
      </c>
    </row>
    <row r="2627" spans="2:18" ht="36" customHeight="1" x14ac:dyDescent="0.5">
      <c r="B2627" s="501"/>
      <c r="C2627" s="631" t="str">
        <f>Criteria!F395</f>
        <v>average period of five years, with fixed rentals over the same period.</v>
      </c>
      <c r="D2627" s="648"/>
      <c r="E2627" s="631"/>
      <c r="F2627" s="631"/>
      <c r="G2627" s="631"/>
      <c r="H2627" s="631"/>
      <c r="I2627" s="631"/>
      <c r="J2627" s="631"/>
      <c r="M2627" s="475"/>
      <c r="N2627" s="475"/>
      <c r="O2627" s="475"/>
      <c r="P2627" s="545"/>
      <c r="R2627" s="490" t="str">
        <f>IF(C2627=0,"DELETE"," ")</f>
        <v xml:space="preserve"> </v>
      </c>
    </row>
    <row r="2628" spans="2:18" ht="36" customHeight="1" x14ac:dyDescent="0.5">
      <c r="B2628" s="501"/>
      <c r="C2628" s="631" t="str">
        <f>Criteria!F396</f>
        <v>The company also leases office equipment for an average period of 3 years, with fixed</v>
      </c>
      <c r="D2628" s="648"/>
      <c r="E2628" s="631"/>
      <c r="F2628" s="631"/>
      <c r="G2628" s="631"/>
      <c r="H2628" s="631"/>
      <c r="I2628" s="631"/>
      <c r="J2628" s="631"/>
      <c r="M2628" s="475"/>
      <c r="N2628" s="475"/>
      <c r="O2628" s="475"/>
      <c r="P2628" s="545"/>
      <c r="R2628" s="490" t="str">
        <f>IF(C2628=0,"DELETE"," ")</f>
        <v xml:space="preserve"> </v>
      </c>
    </row>
    <row r="2629" spans="2:18" ht="36" customHeight="1" x14ac:dyDescent="0.5">
      <c r="B2629" s="501"/>
      <c r="C2629" s="631" t="str">
        <f>Criteria!F397</f>
        <v>rentals over the same period.</v>
      </c>
      <c r="D2629" s="648"/>
      <c r="E2629" s="631"/>
      <c r="F2629" s="631"/>
      <c r="G2629" s="631"/>
      <c r="H2629" s="631"/>
      <c r="I2629" s="631"/>
      <c r="J2629" s="631"/>
      <c r="M2629" s="475"/>
      <c r="N2629" s="475"/>
      <c r="O2629" s="475"/>
      <c r="P2629" s="545"/>
      <c r="R2629" s="490" t="str">
        <f>IF(C2629=0,"DELETE"," ")</f>
        <v xml:space="preserve"> </v>
      </c>
    </row>
    <row r="2630" spans="2:18" ht="36" customHeight="1" x14ac:dyDescent="0.5">
      <c r="B2630" s="501"/>
      <c r="C2630" s="631"/>
      <c r="D2630" s="648"/>
      <c r="E2630" s="631"/>
      <c r="F2630" s="631"/>
      <c r="G2630" s="631"/>
      <c r="H2630" s="631"/>
      <c r="I2630" s="631"/>
      <c r="J2630" s="631"/>
      <c r="M2630" s="475"/>
      <c r="N2630" s="475"/>
      <c r="O2630" s="475"/>
      <c r="P2630" s="545"/>
      <c r="R2630" s="490" t="str">
        <f>R2626</f>
        <v xml:space="preserve"> </v>
      </c>
    </row>
    <row r="2631" spans="2:18" ht="36" customHeight="1" x14ac:dyDescent="0.5">
      <c r="B2631" s="501"/>
      <c r="C2631" s="631" t="s">
        <v>1573</v>
      </c>
      <c r="D2631" s="648"/>
      <c r="E2631" s="631"/>
      <c r="F2631" s="631"/>
      <c r="G2631" s="631"/>
      <c r="H2631" s="631"/>
      <c r="I2631" s="631"/>
      <c r="J2631" s="631"/>
      <c r="M2631" s="475"/>
      <c r="N2631" s="475"/>
      <c r="O2631" s="475"/>
      <c r="P2631" s="545"/>
      <c r="R2631" s="490" t="str">
        <f>IF(O2632=0,"DELETE"," ")</f>
        <v>DELETE</v>
      </c>
    </row>
    <row r="2632" spans="2:18" ht="36" customHeight="1" x14ac:dyDescent="0.5">
      <c r="B2632" s="501"/>
      <c r="C2632" s="631" t="s">
        <v>1574</v>
      </c>
      <c r="D2632" s="648"/>
      <c r="E2632" s="631"/>
      <c r="F2632" s="631"/>
      <c r="G2632" s="631"/>
      <c r="H2632" s="631"/>
      <c r="I2632" s="631"/>
      <c r="J2632" s="631"/>
      <c r="M2632" s="475"/>
      <c r="N2632" s="475"/>
      <c r="O2632" s="475">
        <f>TrialBalance!L49+TrialBalanceA!I49+TrialBalanceB!I49+TrialBalanceC!I49+SUM(TrialBalance!L61:L63)+SUM(TrialBalanceA!I61:I63)+SUM(TrialBalanceB!I61:I63)+SUM(TrialBalanceC!I61:I63)</f>
        <v>0</v>
      </c>
      <c r="P2632" s="545"/>
      <c r="R2632" s="490" t="str">
        <f>IF(O2632=0,"DELETE"," ")</f>
        <v>DELETE</v>
      </c>
    </row>
    <row r="2633" spans="2:18" ht="9" customHeight="1" thickBot="1" x14ac:dyDescent="0.55000000000000004">
      <c r="B2633" s="501"/>
      <c r="C2633" s="631"/>
      <c r="D2633" s="648"/>
      <c r="E2633" s="631"/>
      <c r="F2633" s="631"/>
      <c r="G2633" s="631"/>
      <c r="H2633" s="631"/>
      <c r="I2633" s="631"/>
      <c r="J2633" s="631"/>
      <c r="M2633" s="475"/>
      <c r="N2633" s="475"/>
      <c r="O2633" s="462"/>
      <c r="P2633" s="545"/>
      <c r="R2633" s="490" t="str">
        <f>R$2632</f>
        <v>DELETE</v>
      </c>
    </row>
    <row r="2634" spans="2:18" ht="9" customHeight="1" thickTop="1" x14ac:dyDescent="0.5">
      <c r="B2634" s="501"/>
      <c r="C2634" s="631"/>
      <c r="D2634" s="648"/>
      <c r="E2634" s="631"/>
      <c r="F2634" s="631"/>
      <c r="G2634" s="631"/>
      <c r="H2634" s="631"/>
      <c r="I2634" s="631"/>
      <c r="J2634" s="631"/>
      <c r="M2634" s="475"/>
      <c r="N2634" s="475"/>
      <c r="O2634" s="475"/>
      <c r="P2634" s="545"/>
      <c r="R2634" s="490" t="str">
        <f>R$2632</f>
        <v>DELETE</v>
      </c>
    </row>
    <row r="2635" spans="2:18" ht="36" customHeight="1" x14ac:dyDescent="0.5">
      <c r="B2635" s="501"/>
      <c r="C2635" s="631"/>
      <c r="D2635" s="648"/>
      <c r="E2635" s="631"/>
      <c r="F2635" s="631"/>
      <c r="G2635" s="631"/>
      <c r="H2635" s="631"/>
      <c r="I2635" s="631"/>
      <c r="J2635" s="631"/>
      <c r="M2635" s="475"/>
      <c r="N2635" s="475"/>
      <c r="O2635" s="475"/>
      <c r="P2635" s="545"/>
      <c r="R2635" s="490" t="str">
        <f t="shared" ref="R2635" si="191">R$2614</f>
        <v>DELETE</v>
      </c>
    </row>
    <row r="2636" spans="2:18" ht="36" customHeight="1" x14ac:dyDescent="0.5">
      <c r="B2636" s="501"/>
      <c r="C2636" s="631" t="s">
        <v>1577</v>
      </c>
      <c r="D2636" s="648"/>
      <c r="E2636" s="631"/>
      <c r="F2636" s="631"/>
      <c r="G2636" s="631"/>
      <c r="H2636" s="631"/>
      <c r="I2636" s="631"/>
      <c r="J2636" s="631"/>
      <c r="M2636" s="475"/>
      <c r="N2636" s="475"/>
      <c r="O2636" s="475"/>
      <c r="P2636" s="545"/>
      <c r="R2636" s="490" t="str">
        <f>R$2644</f>
        <v>DELETE</v>
      </c>
    </row>
    <row r="2637" spans="2:18" ht="36" customHeight="1" x14ac:dyDescent="0.5">
      <c r="B2637" s="501"/>
      <c r="C2637" s="631" t="s">
        <v>1365</v>
      </c>
      <c r="D2637" s="648"/>
      <c r="E2637" s="631"/>
      <c r="F2637" s="631"/>
      <c r="G2637" s="631"/>
      <c r="H2637" s="631"/>
      <c r="I2637" s="631"/>
      <c r="J2637" s="631"/>
      <c r="M2637" s="475"/>
      <c r="N2637" s="475"/>
      <c r="O2637" s="475"/>
      <c r="P2637" s="545"/>
      <c r="R2637" s="490" t="str">
        <f>R$2644</f>
        <v>DELETE</v>
      </c>
    </row>
    <row r="2638" spans="2:18" ht="36" customHeight="1" x14ac:dyDescent="0.5">
      <c r="B2638" s="501"/>
      <c r="C2638" s="630"/>
      <c r="D2638" s="631"/>
      <c r="E2638" s="631"/>
      <c r="F2638" s="631"/>
      <c r="G2638" s="631"/>
      <c r="H2638" s="631"/>
      <c r="I2638" s="631"/>
      <c r="J2638" s="631"/>
      <c r="M2638" s="475"/>
      <c r="N2638" s="475"/>
      <c r="O2638" s="475"/>
      <c r="P2638" s="545"/>
      <c r="R2638" s="490" t="str">
        <f>R$2644</f>
        <v>DELETE</v>
      </c>
    </row>
    <row r="2639" spans="2:18" ht="36" customHeight="1" x14ac:dyDescent="0.5">
      <c r="B2639" s="501"/>
      <c r="C2639" s="631" t="s">
        <v>1358</v>
      </c>
      <c r="D2639" s="631"/>
      <c r="E2639" s="648"/>
      <c r="F2639" s="631"/>
      <c r="G2639" s="631"/>
      <c r="H2639" s="631"/>
      <c r="I2639" s="631"/>
      <c r="J2639" s="631"/>
      <c r="M2639" s="475"/>
      <c r="N2639" s="475"/>
      <c r="O2639" s="475">
        <f>Criteria!F399</f>
        <v>0</v>
      </c>
      <c r="P2639" s="545"/>
      <c r="R2639" s="490" t="str">
        <f>IF(O2639=0,"DELETE"," ")</f>
        <v>DELETE</v>
      </c>
    </row>
    <row r="2640" spans="2:18" ht="36" customHeight="1" x14ac:dyDescent="0.5">
      <c r="B2640" s="501"/>
      <c r="C2640" s="631" t="s">
        <v>1359</v>
      </c>
      <c r="D2640" s="631"/>
      <c r="E2640" s="648"/>
      <c r="F2640" s="631"/>
      <c r="G2640" s="631"/>
      <c r="H2640" s="631"/>
      <c r="I2640" s="631"/>
      <c r="J2640" s="631"/>
      <c r="M2640" s="475"/>
      <c r="N2640" s="475"/>
      <c r="O2640" s="475">
        <f>Criteria!F400</f>
        <v>0</v>
      </c>
      <c r="P2640" s="545"/>
      <c r="R2640" s="490" t="str">
        <f>IF(O2640=0,"DELETE"," ")</f>
        <v>DELETE</v>
      </c>
    </row>
    <row r="2641" spans="2:18" ht="36" customHeight="1" x14ac:dyDescent="0.5">
      <c r="B2641" s="501"/>
      <c r="C2641" s="631" t="s">
        <v>1360</v>
      </c>
      <c r="D2641" s="631"/>
      <c r="E2641" s="648"/>
      <c r="F2641" s="631"/>
      <c r="G2641" s="631"/>
      <c r="H2641" s="631"/>
      <c r="I2641" s="631"/>
      <c r="J2641" s="631"/>
      <c r="M2641" s="475"/>
      <c r="N2641" s="475"/>
      <c r="O2641" s="475">
        <f>Criteria!F401</f>
        <v>0</v>
      </c>
      <c r="P2641" s="545"/>
      <c r="R2641" s="490" t="str">
        <f>IF(O2641=0,"DELETE"," ")</f>
        <v>DELETE</v>
      </c>
    </row>
    <row r="2642" spans="2:18" ht="9" customHeight="1" x14ac:dyDescent="0.5">
      <c r="B2642" s="501"/>
      <c r="C2642" s="630"/>
      <c r="D2642" s="631"/>
      <c r="E2642" s="631"/>
      <c r="F2642" s="631"/>
      <c r="G2642" s="631"/>
      <c r="H2642" s="631"/>
      <c r="I2642" s="631"/>
      <c r="J2642" s="631"/>
      <c r="M2642" s="475"/>
      <c r="N2642" s="475"/>
      <c r="O2642" s="461"/>
      <c r="P2642" s="545"/>
      <c r="R2642" s="490" t="str">
        <f>R$2644</f>
        <v>DELETE</v>
      </c>
    </row>
    <row r="2643" spans="2:18" ht="9" customHeight="1" x14ac:dyDescent="0.5">
      <c r="B2643" s="501"/>
      <c r="C2643" s="630"/>
      <c r="D2643" s="631"/>
      <c r="E2643" s="631"/>
      <c r="F2643" s="631"/>
      <c r="G2643" s="631"/>
      <c r="H2643" s="631"/>
      <c r="I2643" s="631"/>
      <c r="J2643" s="631"/>
      <c r="M2643" s="475"/>
      <c r="N2643" s="475"/>
      <c r="O2643" s="475"/>
      <c r="P2643" s="545"/>
      <c r="R2643" s="490" t="str">
        <f>R$2644</f>
        <v>DELETE</v>
      </c>
    </row>
    <row r="2644" spans="2:18" ht="36.75" customHeight="1" x14ac:dyDescent="0.5">
      <c r="B2644" s="501"/>
      <c r="C2644" s="630"/>
      <c r="D2644" s="631"/>
      <c r="E2644" s="631"/>
      <c r="F2644" s="631"/>
      <c r="G2644" s="631"/>
      <c r="H2644" s="631"/>
      <c r="I2644" s="631"/>
      <c r="J2644" s="631"/>
      <c r="M2644" s="475"/>
      <c r="N2644" s="475"/>
      <c r="O2644" s="475">
        <f>SUM(O2639:O2643)</f>
        <v>0</v>
      </c>
      <c r="P2644" s="545"/>
      <c r="R2644" s="490" t="str">
        <f>IF(O2644=0,"DELETE"," ")</f>
        <v>DELETE</v>
      </c>
    </row>
    <row r="2645" spans="2:18" ht="9" customHeight="1" thickBot="1" x14ac:dyDescent="0.55000000000000004">
      <c r="B2645" s="501"/>
      <c r="C2645" s="630"/>
      <c r="D2645" s="631"/>
      <c r="E2645" s="631"/>
      <c r="F2645" s="631"/>
      <c r="G2645" s="631"/>
      <c r="H2645" s="631"/>
      <c r="I2645" s="631"/>
      <c r="J2645" s="631"/>
      <c r="M2645" s="475"/>
      <c r="N2645" s="475"/>
      <c r="O2645" s="462"/>
      <c r="P2645" s="545"/>
      <c r="R2645" s="490" t="str">
        <f>R$2644</f>
        <v>DELETE</v>
      </c>
    </row>
    <row r="2646" spans="2:18" ht="9" customHeight="1" thickTop="1" x14ac:dyDescent="0.5">
      <c r="B2646" s="501"/>
      <c r="C2646" s="630"/>
      <c r="D2646" s="631"/>
      <c r="E2646" s="631"/>
      <c r="F2646" s="631"/>
      <c r="G2646" s="631"/>
      <c r="H2646" s="631"/>
      <c r="I2646" s="631"/>
      <c r="J2646" s="631"/>
      <c r="M2646" s="475"/>
      <c r="N2646" s="475"/>
      <c r="O2646" s="475"/>
      <c r="P2646" s="545"/>
      <c r="R2646" s="490" t="str">
        <f>R$2644</f>
        <v>DELETE</v>
      </c>
    </row>
    <row r="2647" spans="2:18" ht="36" customHeight="1" x14ac:dyDescent="0.5">
      <c r="B2647" s="501"/>
      <c r="C2647" s="630"/>
      <c r="D2647" s="631"/>
      <c r="E2647" s="631"/>
      <c r="F2647" s="631"/>
      <c r="G2647" s="631"/>
      <c r="H2647" s="631"/>
      <c r="I2647" s="631"/>
      <c r="J2647" s="631"/>
      <c r="M2647" s="475"/>
      <c r="N2647" s="475"/>
      <c r="O2647" s="475"/>
      <c r="P2647" s="545"/>
      <c r="R2647" s="490" t="str">
        <f t="shared" ref="R2647:R2650" si="192">R$2614</f>
        <v>DELETE</v>
      </c>
    </row>
    <row r="2648" spans="2:18" ht="36" customHeight="1" x14ac:dyDescent="0.5">
      <c r="B2648" s="501"/>
      <c r="C2648" s="630"/>
      <c r="D2648" s="631"/>
      <c r="E2648" s="631"/>
      <c r="F2648" s="631"/>
      <c r="G2648" s="631"/>
      <c r="H2648" s="631"/>
      <c r="I2648" s="631"/>
      <c r="J2648" s="631"/>
      <c r="M2648" s="475"/>
      <c r="N2648" s="475"/>
      <c r="O2648" s="475"/>
      <c r="P2648" s="545"/>
      <c r="R2648" s="490" t="str">
        <f t="shared" si="192"/>
        <v>DELETE</v>
      </c>
    </row>
    <row r="2649" spans="2:18" ht="36" customHeight="1" x14ac:dyDescent="0.5">
      <c r="B2649" s="501"/>
      <c r="C2649" s="630"/>
      <c r="D2649" s="631"/>
      <c r="E2649" s="631"/>
      <c r="F2649" s="631"/>
      <c r="G2649" s="631"/>
      <c r="H2649" s="631"/>
      <c r="I2649" s="631"/>
      <c r="J2649" s="631"/>
      <c r="M2649" s="475"/>
      <c r="N2649" s="475"/>
      <c r="O2649" s="475"/>
      <c r="P2649" s="545"/>
      <c r="R2649" s="490" t="str">
        <f t="shared" si="192"/>
        <v>DELETE</v>
      </c>
    </row>
    <row r="2650" spans="2:18" ht="36" customHeight="1" x14ac:dyDescent="0.5">
      <c r="B2650" s="501"/>
      <c r="C2650" s="630"/>
      <c r="D2650" s="631"/>
      <c r="E2650" s="631"/>
      <c r="F2650" s="631"/>
      <c r="G2650" s="631"/>
      <c r="H2650" s="631"/>
      <c r="I2650" s="631"/>
      <c r="J2650" s="631"/>
      <c r="M2650" s="458"/>
      <c r="N2650" s="458"/>
      <c r="O2650" s="458"/>
      <c r="R2650" s="490" t="str">
        <f t="shared" si="192"/>
        <v>DELETE</v>
      </c>
    </row>
    <row r="2651" spans="2:18" ht="36" customHeight="1" x14ac:dyDescent="0.5">
      <c r="B2651" s="501"/>
      <c r="C2651" s="630"/>
      <c r="D2651" s="631"/>
      <c r="E2651" s="631"/>
      <c r="F2651" s="631"/>
      <c r="G2651" s="631"/>
      <c r="H2651" s="631"/>
      <c r="I2651" s="631"/>
      <c r="J2651" s="631"/>
      <c r="M2651" s="458"/>
      <c r="N2651" s="458"/>
      <c r="O2651" s="458" t="s">
        <v>112</v>
      </c>
      <c r="Q2651" s="450">
        <f>MAX($Q$103:Q2650)+1</f>
        <v>71</v>
      </c>
    </row>
    <row r="2652" spans="2:18" ht="36" customHeight="1" x14ac:dyDescent="0.5">
      <c r="B2652" s="502"/>
      <c r="C2652" s="631"/>
      <c r="D2652" s="630" t="str">
        <f>Criteria!E9</f>
        <v>ABC COMPANY (PROPRIETARY) LIMITED</v>
      </c>
      <c r="E2652" s="631"/>
      <c r="F2652" s="631"/>
      <c r="G2652" s="631"/>
      <c r="H2652" s="631"/>
      <c r="I2652" s="631"/>
      <c r="J2652" s="631"/>
      <c r="M2652" s="541"/>
      <c r="N2652" s="541"/>
      <c r="O2652" s="540"/>
    </row>
    <row r="2653" spans="2:18" ht="36" customHeight="1" x14ac:dyDescent="0.5">
      <c r="B2653" s="502"/>
      <c r="C2653" s="631"/>
      <c r="D2653" s="630" t="str">
        <f>Criteria!E10</f>
        <v>T/A SEAFRONT HOTEL, ABC RESTAURANT AND RENTAL PROPERTIES</v>
      </c>
      <c r="E2653" s="631"/>
      <c r="F2653" s="631"/>
      <c r="G2653" s="631"/>
      <c r="H2653" s="631"/>
      <c r="I2653" s="631"/>
      <c r="J2653" s="631"/>
      <c r="M2653" s="541"/>
      <c r="N2653" s="541"/>
      <c r="O2653" s="541"/>
      <c r="R2653" s="490" t="str">
        <f>IF(D2653=0,"DELETE"," ")</f>
        <v xml:space="preserve"> </v>
      </c>
    </row>
    <row r="2654" spans="2:18" ht="36" customHeight="1" x14ac:dyDescent="0.5">
      <c r="B2654" s="502"/>
      <c r="C2654" s="631"/>
      <c r="D2654" s="631"/>
      <c r="E2654" s="631"/>
      <c r="F2654" s="631"/>
      <c r="G2654" s="631"/>
      <c r="H2654" s="631"/>
      <c r="I2654" s="631"/>
      <c r="J2654" s="631"/>
      <c r="M2654" s="541"/>
      <c r="N2654" s="541"/>
      <c r="O2654" s="541"/>
    </row>
    <row r="2655" spans="2:18" ht="36" customHeight="1" x14ac:dyDescent="0.5">
      <c r="B2655" s="502"/>
      <c r="C2655" s="631"/>
      <c r="D2655" s="630" t="s">
        <v>415</v>
      </c>
      <c r="E2655" s="631"/>
      <c r="F2655" s="631"/>
      <c r="G2655" s="631"/>
      <c r="H2655" s="631"/>
      <c r="I2655" s="631"/>
      <c r="J2655" s="631"/>
      <c r="M2655" s="541"/>
      <c r="N2655" s="541"/>
      <c r="O2655" s="541"/>
    </row>
    <row r="2656" spans="2:18" ht="36" customHeight="1" x14ac:dyDescent="0.5">
      <c r="B2656" s="502"/>
      <c r="C2656" s="631"/>
      <c r="D2656" s="630" t="str">
        <f>Criteria!E20</f>
        <v>28 FEBRUARY 2026</v>
      </c>
      <c r="E2656" s="631"/>
      <c r="F2656" s="631"/>
      <c r="G2656" s="631"/>
      <c r="H2656" s="631"/>
      <c r="I2656" s="631"/>
      <c r="J2656" s="631" t="s">
        <v>282</v>
      </c>
      <c r="M2656" s="541"/>
      <c r="N2656" s="541"/>
      <c r="O2656" s="541"/>
    </row>
    <row r="2657" spans="2:23" ht="36" customHeight="1" x14ac:dyDescent="0.5">
      <c r="B2657" s="502"/>
      <c r="C2657" s="631"/>
      <c r="D2657" s="630"/>
      <c r="E2657" s="631"/>
      <c r="F2657" s="631"/>
      <c r="G2657" s="631"/>
      <c r="H2657" s="631"/>
      <c r="I2657" s="631"/>
      <c r="J2657" s="631"/>
      <c r="M2657" s="541"/>
      <c r="N2657" s="541"/>
      <c r="O2657" s="541"/>
    </row>
    <row r="2658" spans="2:23" ht="36" customHeight="1" x14ac:dyDescent="0.5">
      <c r="B2658" s="640"/>
      <c r="C2658" s="652"/>
      <c r="D2658" s="649"/>
      <c r="E2658" s="649"/>
      <c r="F2658" s="649"/>
      <c r="G2658" s="649"/>
      <c r="H2658" s="649"/>
      <c r="I2658" s="649"/>
      <c r="J2658" s="649"/>
      <c r="K2658" s="457"/>
      <c r="L2658" s="457"/>
      <c r="M2658" s="459"/>
      <c r="N2658" s="459"/>
      <c r="O2658" s="459"/>
      <c r="P2658" s="551"/>
      <c r="Q2658" s="457"/>
    </row>
    <row r="2659" spans="2:23" ht="36" customHeight="1" x14ac:dyDescent="0.5">
      <c r="B2659" s="501"/>
      <c r="C2659" s="630"/>
      <c r="D2659" s="631"/>
      <c r="E2659" s="631"/>
      <c r="F2659" s="631"/>
      <c r="G2659" s="631"/>
      <c r="H2659" s="631"/>
      <c r="I2659" s="631"/>
      <c r="J2659" s="631"/>
      <c r="L2659" s="451"/>
      <c r="M2659" s="448"/>
      <c r="N2659" s="448"/>
      <c r="O2659" s="453">
        <f>Criteria!E22</f>
        <v>2026</v>
      </c>
    </row>
    <row r="2660" spans="2:23" ht="36" customHeight="1" x14ac:dyDescent="0.5">
      <c r="B2660" s="501"/>
      <c r="C2660" s="630"/>
      <c r="D2660" s="631"/>
      <c r="E2660" s="631"/>
      <c r="F2660" s="631"/>
      <c r="G2660" s="631"/>
      <c r="H2660" s="631"/>
      <c r="I2660" s="631"/>
      <c r="J2660" s="631"/>
      <c r="L2660" s="451"/>
      <c r="M2660" s="448"/>
      <c r="N2660" s="448"/>
      <c r="O2660" s="458"/>
    </row>
    <row r="2661" spans="2:23" ht="36" customHeight="1" x14ac:dyDescent="0.5">
      <c r="B2661" s="501">
        <f>MAX($B$873:B2660)+1</f>
        <v>33</v>
      </c>
      <c r="C2661" s="636" t="str">
        <f>IF(W2661=2,"Reconciliation of operating profit before taxation","Reconciliation of operating loss before taxation")</f>
        <v>Reconciliation of operating profit before taxation</v>
      </c>
      <c r="D2661" s="631"/>
      <c r="E2661" s="631"/>
      <c r="F2661" s="631"/>
      <c r="G2661" s="631"/>
      <c r="H2661" s="631"/>
      <c r="I2661" s="631"/>
      <c r="J2661" s="631"/>
      <c r="L2661" s="451"/>
      <c r="M2661" s="448"/>
      <c r="N2661" s="448"/>
      <c r="O2661" s="458"/>
      <c r="W2661" s="491">
        <f>IF(SUM(S611:S626)&lt;0,1,2)</f>
        <v>2</v>
      </c>
    </row>
    <row r="2662" spans="2:23" ht="36" customHeight="1" x14ac:dyDescent="0.5">
      <c r="B2662" s="501"/>
      <c r="C2662" s="630" t="s">
        <v>1530</v>
      </c>
      <c r="D2662" s="631"/>
      <c r="E2662" s="631"/>
      <c r="F2662" s="631"/>
      <c r="G2662" s="631"/>
      <c r="H2662" s="631"/>
      <c r="I2662" s="631"/>
      <c r="J2662" s="631"/>
      <c r="L2662" s="451"/>
      <c r="M2662" s="448"/>
      <c r="N2662" s="448"/>
      <c r="O2662" s="458"/>
    </row>
    <row r="2663" spans="2:23" ht="36" customHeight="1" x14ac:dyDescent="0.5">
      <c r="B2663" s="501"/>
      <c r="C2663" s="630"/>
      <c r="D2663" s="631"/>
      <c r="E2663" s="631"/>
      <c r="F2663" s="631"/>
      <c r="G2663" s="631"/>
      <c r="H2663" s="631"/>
      <c r="I2663" s="631"/>
      <c r="J2663" s="631"/>
      <c r="L2663" s="451"/>
      <c r="M2663" s="448"/>
      <c r="N2663" s="448"/>
      <c r="O2663" s="458"/>
    </row>
    <row r="2664" spans="2:23" ht="36" customHeight="1" x14ac:dyDescent="0.5">
      <c r="B2664" s="501"/>
      <c r="C2664" s="632" t="str">
        <f>IF(W2664=2,"Operating profit","Operating loss")</f>
        <v>Operating profit</v>
      </c>
      <c r="D2664" s="648"/>
      <c r="E2664" s="631"/>
      <c r="F2664" s="631"/>
      <c r="G2664" s="631"/>
      <c r="H2664" s="631"/>
      <c r="I2664" s="631"/>
      <c r="J2664" s="631"/>
      <c r="L2664" s="451"/>
      <c r="M2664" s="448"/>
      <c r="N2664" s="448"/>
      <c r="O2664" s="458">
        <f>SUM(S611:S625)</f>
        <v>0</v>
      </c>
      <c r="S2664" s="496">
        <f>O2664</f>
        <v>0</v>
      </c>
      <c r="T2664" s="496"/>
      <c r="U2664" s="496"/>
      <c r="V2664" s="496"/>
      <c r="W2664" s="491">
        <f>IF(SUM(S611:S626)&lt;0,1,2)</f>
        <v>2</v>
      </c>
    </row>
    <row r="2665" spans="2:23" ht="36" customHeight="1" x14ac:dyDescent="0.5">
      <c r="B2665" s="501"/>
      <c r="C2665" s="631" t="s">
        <v>248</v>
      </c>
      <c r="D2665" s="648"/>
      <c r="E2665" s="631"/>
      <c r="F2665" s="631"/>
      <c r="G2665" s="631"/>
      <c r="H2665" s="631"/>
      <c r="I2665" s="631"/>
      <c r="J2665" s="631"/>
      <c r="L2665" s="451"/>
      <c r="M2665" s="448"/>
      <c r="N2665" s="448"/>
      <c r="O2665" s="458">
        <f>SUM(O2667:O2674)</f>
        <v>0</v>
      </c>
      <c r="R2665" s="490" t="str">
        <f>IF(COUNTIF(O2668:O2673,"&gt;0")&gt;0," ",IF(COUNTIF(O2668:O2673,"&lt;0")&gt;0," ","DELETE"))</f>
        <v>DELETE</v>
      </c>
      <c r="S2665" s="496">
        <f>O2665</f>
        <v>0</v>
      </c>
      <c r="T2665" s="496"/>
      <c r="U2665" s="496"/>
      <c r="V2665" s="496"/>
    </row>
    <row r="2666" spans="2:23" ht="9" customHeight="1" x14ac:dyDescent="0.5">
      <c r="B2666" s="501"/>
      <c r="C2666" s="631"/>
      <c r="D2666" s="648"/>
      <c r="E2666" s="631"/>
      <c r="F2666" s="631"/>
      <c r="G2666" s="631"/>
      <c r="H2666" s="631"/>
      <c r="I2666" s="631"/>
      <c r="J2666" s="631"/>
      <c r="L2666" s="451"/>
      <c r="M2666" s="448"/>
      <c r="N2666" s="448"/>
      <c r="O2666" s="458"/>
      <c r="R2666" s="490" t="str">
        <f>R2665</f>
        <v>DELETE</v>
      </c>
    </row>
    <row r="2667" spans="2:23" ht="9" customHeight="1" x14ac:dyDescent="0.5">
      <c r="B2667" s="501"/>
      <c r="C2667" s="631"/>
      <c r="D2667" s="648"/>
      <c r="E2667" s="631"/>
      <c r="F2667" s="631"/>
      <c r="G2667" s="631"/>
      <c r="H2667" s="631"/>
      <c r="I2667" s="631"/>
      <c r="J2667" s="631"/>
      <c r="L2667" s="451"/>
      <c r="M2667" s="448"/>
      <c r="N2667" s="448"/>
      <c r="O2667" s="587"/>
      <c r="R2667" s="490" t="str">
        <f>R2665</f>
        <v>DELETE</v>
      </c>
    </row>
    <row r="2668" spans="2:23" ht="36" customHeight="1" x14ac:dyDescent="0.5">
      <c r="B2668" s="501"/>
      <c r="C2668" s="631" t="s">
        <v>1258</v>
      </c>
      <c r="D2668" s="648"/>
      <c r="E2668" s="631"/>
      <c r="F2668" s="631"/>
      <c r="G2668" s="631"/>
      <c r="H2668" s="631"/>
      <c r="I2668" s="631"/>
      <c r="J2668" s="631"/>
      <c r="L2668" s="451"/>
      <c r="M2668" s="448"/>
      <c r="N2668" s="448"/>
      <c r="O2668" s="588">
        <f>TrialBalance!L141+TrialBalanceA!I141+TrialBalanceB!I141+TrialBalanceC!I141</f>
        <v>0</v>
      </c>
      <c r="R2668" s="490" t="str">
        <f t="shared" ref="R2668:R2673" si="193">IF(O2668=0,"DELETE"," ")</f>
        <v>DELETE</v>
      </c>
    </row>
    <row r="2669" spans="2:23" ht="36" customHeight="1" x14ac:dyDescent="0.5">
      <c r="B2669" s="501"/>
      <c r="C2669" s="631" t="s">
        <v>1255</v>
      </c>
      <c r="D2669" s="648"/>
      <c r="E2669" s="631"/>
      <c r="F2669" s="631"/>
      <c r="G2669" s="631"/>
      <c r="H2669" s="631"/>
      <c r="I2669" s="631"/>
      <c r="J2669" s="631"/>
      <c r="L2669" s="451"/>
      <c r="M2669" s="448"/>
      <c r="N2669" s="448"/>
      <c r="O2669" s="588">
        <f>TrialBalance!L140+TrialBalanceA!I140+TrialBalanceB!I140+TrialBalanceC!I140</f>
        <v>0</v>
      </c>
      <c r="R2669" s="490" t="str">
        <f t="shared" si="193"/>
        <v>DELETE</v>
      </c>
    </row>
    <row r="2670" spans="2:23" ht="36" customHeight="1" x14ac:dyDescent="0.5">
      <c r="B2670" s="501"/>
      <c r="C2670" s="631" t="s">
        <v>304</v>
      </c>
      <c r="D2670" s="648"/>
      <c r="E2670" s="631"/>
      <c r="F2670" s="631"/>
      <c r="G2670" s="631"/>
      <c r="H2670" s="631"/>
      <c r="I2670" s="631"/>
      <c r="J2670" s="631"/>
      <c r="L2670" s="451"/>
      <c r="M2670" s="448"/>
      <c r="N2670" s="448"/>
      <c r="O2670" s="588">
        <f>SUM(TrialBalance!L44:L46)+SUM(TrialBalance!L110:L111)+SUM(TrialBalanceA!I44:I46)+SUM(TrialBalanceA!I110:I111)+SUM(TrialBalanceB!I44:I46)+SUM(TrialBalanceB!I110:I111)+SUM(TrialBalanceC!I44:I46)+SUM(TrialBalanceC!I110:I111)</f>
        <v>0</v>
      </c>
      <c r="R2670" s="490" t="str">
        <f t="shared" si="193"/>
        <v>DELETE</v>
      </c>
    </row>
    <row r="2671" spans="2:23" ht="36" customHeight="1" x14ac:dyDescent="0.5">
      <c r="B2671" s="501"/>
      <c r="C2671" s="631" t="s">
        <v>1256</v>
      </c>
      <c r="D2671" s="648"/>
      <c r="E2671" s="631"/>
      <c r="F2671" s="631"/>
      <c r="G2671" s="631"/>
      <c r="H2671" s="631"/>
      <c r="I2671" s="631"/>
      <c r="J2671" s="631"/>
      <c r="L2671" s="451"/>
      <c r="M2671" s="448"/>
      <c r="N2671" s="448"/>
      <c r="O2671" s="588">
        <f>TrialBalance!L156+TrialBalanceA!I156+TrialBalanceB!I156+TrialBalanceC!I156</f>
        <v>0</v>
      </c>
      <c r="R2671" s="490" t="str">
        <f t="shared" si="193"/>
        <v>DELETE</v>
      </c>
    </row>
    <row r="2672" spans="2:23" ht="36" customHeight="1" x14ac:dyDescent="0.5">
      <c r="B2672" s="501"/>
      <c r="C2672" s="631" t="s">
        <v>588</v>
      </c>
      <c r="D2672" s="648"/>
      <c r="E2672" s="631"/>
      <c r="F2672" s="631"/>
      <c r="G2672" s="631"/>
      <c r="H2672" s="631"/>
      <c r="I2672" s="631"/>
      <c r="J2672" s="631"/>
      <c r="L2672" s="451"/>
      <c r="M2672" s="448"/>
      <c r="N2672" s="448"/>
      <c r="O2672" s="588">
        <f>IF(TrialBalance!L94&gt;0,TrialBalance!L94,0)+IF(TrialBalanceA!I94&gt;0,TrialBalanceA!I94,0)+IF(TrialBalanceB!I94&gt;0,TrialBalanceB!I94,0)+IF(TrialBalanceC!I94&gt;0,TrialBalanceC!I94,0)</f>
        <v>0</v>
      </c>
      <c r="R2672" s="490" t="str">
        <f t="shared" si="193"/>
        <v>DELETE</v>
      </c>
    </row>
    <row r="2673" spans="2:23" ht="36" customHeight="1" x14ac:dyDescent="0.5">
      <c r="B2673" s="501"/>
      <c r="C2673" s="631" t="s">
        <v>1309</v>
      </c>
      <c r="D2673" s="648"/>
      <c r="E2673" s="631"/>
      <c r="F2673" s="631"/>
      <c r="G2673" s="631"/>
      <c r="H2673" s="631"/>
      <c r="I2673" s="631"/>
      <c r="J2673" s="631"/>
      <c r="L2673" s="451"/>
      <c r="M2673" s="448"/>
      <c r="N2673" s="448"/>
      <c r="O2673" s="588">
        <f>TrialBalance!L33+TrialBalanceA!I33+TrialBalanceB!I33+TrialBalanceC!I33</f>
        <v>0</v>
      </c>
      <c r="R2673" s="490" t="str">
        <f t="shared" si="193"/>
        <v>DELETE</v>
      </c>
    </row>
    <row r="2674" spans="2:23" ht="9" customHeight="1" x14ac:dyDescent="0.5">
      <c r="B2674" s="501"/>
      <c r="C2674" s="631"/>
      <c r="D2674" s="648"/>
      <c r="E2674" s="631"/>
      <c r="F2674" s="631"/>
      <c r="G2674" s="631"/>
      <c r="H2674" s="631"/>
      <c r="I2674" s="631"/>
      <c r="J2674" s="631"/>
      <c r="L2674" s="451"/>
      <c r="M2674" s="448"/>
      <c r="N2674" s="448"/>
      <c r="O2674" s="589"/>
      <c r="R2674" s="490" t="str">
        <f>R2665</f>
        <v>DELETE</v>
      </c>
    </row>
    <row r="2675" spans="2:23" ht="9" customHeight="1" x14ac:dyDescent="0.5">
      <c r="B2675" s="501"/>
      <c r="C2675" s="631"/>
      <c r="D2675" s="648"/>
      <c r="E2675" s="631"/>
      <c r="F2675" s="631"/>
      <c r="G2675" s="631"/>
      <c r="H2675" s="631"/>
      <c r="I2675" s="631"/>
      <c r="J2675" s="631"/>
      <c r="L2675" s="451"/>
      <c r="M2675" s="448"/>
      <c r="N2675" s="448"/>
      <c r="O2675" s="461"/>
      <c r="R2675" s="490" t="str">
        <f>R2665</f>
        <v>DELETE</v>
      </c>
    </row>
    <row r="2676" spans="2:23" ht="9" customHeight="1" x14ac:dyDescent="0.5">
      <c r="B2676" s="501"/>
      <c r="C2676" s="631"/>
      <c r="D2676" s="648"/>
      <c r="E2676" s="631"/>
      <c r="F2676" s="631"/>
      <c r="G2676" s="631"/>
      <c r="H2676" s="631"/>
      <c r="I2676" s="631"/>
      <c r="J2676" s="631"/>
      <c r="L2676" s="451"/>
      <c r="M2676" s="448"/>
      <c r="N2676" s="448"/>
      <c r="O2676" s="458"/>
      <c r="R2676" s="490" t="str">
        <f>R2665</f>
        <v>DELETE</v>
      </c>
    </row>
    <row r="2677" spans="2:23" ht="36" customHeight="1" x14ac:dyDescent="0.5">
      <c r="B2677" s="501"/>
      <c r="C2677" s="631"/>
      <c r="D2677" s="648"/>
      <c r="E2677" s="631"/>
      <c r="F2677" s="631"/>
      <c r="G2677" s="631"/>
      <c r="H2677" s="631"/>
      <c r="I2677" s="631"/>
      <c r="J2677" s="631"/>
      <c r="L2677" s="451"/>
      <c r="M2677" s="448"/>
      <c r="N2677" s="448"/>
      <c r="O2677" s="458">
        <f>O2664+O2665</f>
        <v>0</v>
      </c>
      <c r="R2677" s="490" t="str">
        <f>R2665</f>
        <v>DELETE</v>
      </c>
    </row>
    <row r="2678" spans="2:23" ht="36" customHeight="1" x14ac:dyDescent="0.5">
      <c r="B2678" s="501"/>
      <c r="C2678" s="631" t="s">
        <v>108</v>
      </c>
      <c r="D2678" s="648"/>
      <c r="E2678" s="631"/>
      <c r="F2678" s="631"/>
      <c r="G2678" s="631"/>
      <c r="H2678" s="631"/>
      <c r="I2678" s="631"/>
      <c r="J2678" s="631"/>
      <c r="L2678" s="451"/>
      <c r="M2678" s="448"/>
      <c r="N2678" s="448"/>
      <c r="O2678" s="458">
        <f>SUM(O2681:O2683)</f>
        <v>0</v>
      </c>
      <c r="S2678" s="496">
        <f>O2678</f>
        <v>0</v>
      </c>
      <c r="T2678" s="496"/>
      <c r="U2678" s="496"/>
      <c r="V2678" s="496"/>
    </row>
    <row r="2679" spans="2:23" ht="9" customHeight="1" x14ac:dyDescent="0.5">
      <c r="B2679" s="501"/>
      <c r="C2679" s="631"/>
      <c r="D2679" s="648"/>
      <c r="E2679" s="631"/>
      <c r="F2679" s="631"/>
      <c r="G2679" s="631"/>
      <c r="H2679" s="631"/>
      <c r="I2679" s="631"/>
      <c r="J2679" s="631"/>
      <c r="L2679" s="451"/>
      <c r="M2679" s="448"/>
      <c r="N2679" s="448"/>
      <c r="O2679" s="458"/>
    </row>
    <row r="2680" spans="2:23" ht="9" customHeight="1" x14ac:dyDescent="0.5">
      <c r="B2680" s="501"/>
      <c r="C2680" s="631"/>
      <c r="D2680" s="648"/>
      <c r="E2680" s="631"/>
      <c r="F2680" s="631"/>
      <c r="G2680" s="631"/>
      <c r="H2680" s="631"/>
      <c r="I2680" s="631"/>
      <c r="J2680" s="631"/>
      <c r="L2680" s="451"/>
      <c r="M2680" s="448"/>
      <c r="N2680" s="448"/>
      <c r="O2680" s="587"/>
    </row>
    <row r="2681" spans="2:23" ht="36" customHeight="1" x14ac:dyDescent="0.5">
      <c r="B2681" s="501"/>
      <c r="C2681" s="632" t="str">
        <f>IF(W2681=2,"Decrease in inventories","Increase in inventories")</f>
        <v>Decrease in inventories</v>
      </c>
      <c r="D2681" s="648"/>
      <c r="E2681" s="631"/>
      <c r="F2681" s="631"/>
      <c r="G2681" s="631"/>
      <c r="H2681" s="631"/>
      <c r="I2681" s="631"/>
      <c r="J2681" s="631"/>
      <c r="L2681" s="451"/>
      <c r="M2681" s="448"/>
      <c r="N2681" s="448"/>
      <c r="O2681" s="588">
        <f>SUM(TrialBalance!N354:N358)-SUM(TrialBalance!L354:L358)</f>
        <v>0</v>
      </c>
      <c r="W2681" s="491">
        <f>IF(O2681&lt;0,1,2)</f>
        <v>2</v>
      </c>
    </row>
    <row r="2682" spans="2:23" ht="36" customHeight="1" x14ac:dyDescent="0.5">
      <c r="B2682" s="501"/>
      <c r="C2682" s="632" t="str">
        <f>IF(W2682=2,"Decrease in accounts receivable","Increase in accounts receivable")</f>
        <v>Decrease in accounts receivable</v>
      </c>
      <c r="D2682" s="648"/>
      <c r="E2682" s="631"/>
      <c r="F2682" s="631"/>
      <c r="G2682" s="631"/>
      <c r="H2682" s="631"/>
      <c r="I2682" s="631"/>
      <c r="J2682" s="631"/>
      <c r="L2682" s="451"/>
      <c r="M2682" s="448"/>
      <c r="N2682" s="448"/>
      <c r="O2682" s="588">
        <f>SUM(TrialBalance!N359:N365)-SUM(TrialBalance!L359:L365)</f>
        <v>0</v>
      </c>
      <c r="W2682" s="491">
        <f t="shared" ref="W2682:W2683" si="194">IF(O2682&lt;0,1,2)</f>
        <v>2</v>
      </c>
    </row>
    <row r="2683" spans="2:23" ht="36" customHeight="1" x14ac:dyDescent="0.5">
      <c r="B2683" s="501"/>
      <c r="C2683" s="632" t="str">
        <f>IF(W2683=2,"Increase in accounts payable","Decrease in accounts payable")</f>
        <v>Increase in accounts payable</v>
      </c>
      <c r="D2683" s="648"/>
      <c r="E2683" s="631"/>
      <c r="F2683" s="631"/>
      <c r="G2683" s="631"/>
      <c r="H2683" s="631"/>
      <c r="I2683" s="631"/>
      <c r="J2683" s="631"/>
      <c r="L2683" s="451"/>
      <c r="M2683" s="448"/>
      <c r="N2683" s="448"/>
      <c r="O2683" s="588">
        <f>SUM(TrialBalance!N379:N384)+SUM(TrialBalance!N395:N399)-SUM(TrialBalance!L379:L384)-SUM(TrialBalance!L395:L399)</f>
        <v>0</v>
      </c>
      <c r="W2683" s="491">
        <f t="shared" si="194"/>
        <v>2</v>
      </c>
    </row>
    <row r="2684" spans="2:23" ht="9" customHeight="1" x14ac:dyDescent="0.5">
      <c r="B2684" s="501"/>
      <c r="C2684" s="631"/>
      <c r="D2684" s="648"/>
      <c r="E2684" s="631"/>
      <c r="F2684" s="631"/>
      <c r="G2684" s="631"/>
      <c r="H2684" s="631"/>
      <c r="I2684" s="631"/>
      <c r="J2684" s="631"/>
      <c r="L2684" s="451"/>
      <c r="M2684" s="448"/>
      <c r="N2684" s="448"/>
      <c r="O2684" s="589"/>
    </row>
    <row r="2685" spans="2:23" ht="9" customHeight="1" x14ac:dyDescent="0.5">
      <c r="B2685" s="501"/>
      <c r="C2685" s="631"/>
      <c r="D2685" s="648"/>
      <c r="E2685" s="631"/>
      <c r="F2685" s="631"/>
      <c r="G2685" s="631"/>
      <c r="H2685" s="631"/>
      <c r="I2685" s="631"/>
      <c r="J2685" s="631"/>
      <c r="L2685" s="451"/>
      <c r="M2685" s="448"/>
      <c r="N2685" s="448"/>
      <c r="O2685" s="458"/>
    </row>
    <row r="2686" spans="2:23" ht="9" customHeight="1" x14ac:dyDescent="0.5">
      <c r="B2686" s="501"/>
      <c r="C2686" s="631"/>
      <c r="D2686" s="648"/>
      <c r="E2686" s="631"/>
      <c r="F2686" s="631"/>
      <c r="G2686" s="631"/>
      <c r="H2686" s="631"/>
      <c r="I2686" s="631"/>
      <c r="J2686" s="631"/>
      <c r="L2686" s="451"/>
      <c r="M2686" s="448"/>
      <c r="N2686" s="448"/>
      <c r="O2686" s="461"/>
    </row>
    <row r="2687" spans="2:23" ht="9" customHeight="1" x14ac:dyDescent="0.5">
      <c r="B2687" s="501"/>
      <c r="C2687" s="631"/>
      <c r="D2687" s="648"/>
      <c r="E2687" s="631"/>
      <c r="F2687" s="631"/>
      <c r="G2687" s="631"/>
      <c r="H2687" s="631"/>
      <c r="I2687" s="631"/>
      <c r="J2687" s="631"/>
      <c r="L2687" s="451"/>
      <c r="M2687" s="448"/>
      <c r="N2687" s="448"/>
      <c r="O2687" s="458"/>
    </row>
    <row r="2688" spans="2:23" ht="36.75" customHeight="1" x14ac:dyDescent="0.5">
      <c r="B2688" s="501"/>
      <c r="C2688" s="631" t="s">
        <v>247</v>
      </c>
      <c r="D2688" s="648"/>
      <c r="E2688" s="631"/>
      <c r="F2688" s="631"/>
      <c r="G2688" s="631"/>
      <c r="H2688" s="631"/>
      <c r="I2688" s="631"/>
      <c r="J2688" s="631"/>
      <c r="L2688" s="451"/>
      <c r="M2688" s="448"/>
      <c r="N2688" s="448"/>
      <c r="O2688" s="458">
        <f>SUM(S2664:S2685)</f>
        <v>0</v>
      </c>
      <c r="U2688" s="495"/>
      <c r="V2688" s="495"/>
    </row>
    <row r="2689" spans="2:18" ht="9" customHeight="1" thickBot="1" x14ac:dyDescent="0.55000000000000004">
      <c r="B2689" s="501"/>
      <c r="C2689" s="630"/>
      <c r="D2689" s="631"/>
      <c r="E2689" s="631"/>
      <c r="F2689" s="631"/>
      <c r="G2689" s="631"/>
      <c r="H2689" s="631"/>
      <c r="I2689" s="631"/>
      <c r="J2689" s="631"/>
      <c r="L2689" s="451"/>
      <c r="M2689" s="448"/>
      <c r="N2689" s="448"/>
      <c r="O2689" s="462"/>
    </row>
    <row r="2690" spans="2:18" ht="9" customHeight="1" thickTop="1" x14ac:dyDescent="0.5">
      <c r="B2690" s="501"/>
      <c r="C2690" s="630"/>
      <c r="D2690" s="631"/>
      <c r="E2690" s="631"/>
      <c r="F2690" s="631"/>
      <c r="G2690" s="631"/>
      <c r="H2690" s="631"/>
      <c r="I2690" s="631"/>
      <c r="J2690" s="631"/>
      <c r="L2690" s="451"/>
      <c r="M2690" s="448"/>
      <c r="N2690" s="448"/>
      <c r="O2690" s="475"/>
    </row>
    <row r="2691" spans="2:18" ht="36" customHeight="1" x14ac:dyDescent="0.5">
      <c r="B2691" s="502"/>
      <c r="C2691" s="631"/>
      <c r="D2691" s="631"/>
      <c r="E2691" s="631"/>
      <c r="F2691" s="631"/>
      <c r="G2691" s="631"/>
      <c r="H2691" s="631"/>
      <c r="I2691" s="631"/>
      <c r="J2691" s="631"/>
      <c r="L2691" s="451"/>
      <c r="M2691" s="448"/>
      <c r="N2691" s="448"/>
      <c r="O2691" s="458"/>
    </row>
    <row r="2692" spans="2:18" ht="36" customHeight="1" x14ac:dyDescent="0.5">
      <c r="B2692" s="502"/>
      <c r="C2692" s="631"/>
      <c r="D2692" s="631"/>
      <c r="E2692" s="631"/>
      <c r="F2692" s="631"/>
      <c r="G2692" s="631"/>
      <c r="H2692" s="631"/>
      <c r="I2692" s="631"/>
      <c r="J2692" s="631"/>
      <c r="M2692" s="458"/>
      <c r="N2692" s="458"/>
      <c r="O2692" s="458"/>
    </row>
    <row r="2693" spans="2:18" ht="36" customHeight="1" x14ac:dyDescent="0.5">
      <c r="B2693" s="502"/>
      <c r="C2693" s="631"/>
      <c r="D2693" s="631"/>
      <c r="E2693" s="631"/>
      <c r="F2693" s="631"/>
      <c r="G2693" s="631"/>
      <c r="H2693" s="631"/>
      <c r="I2693" s="631"/>
      <c r="J2693" s="631"/>
      <c r="M2693" s="475"/>
      <c r="N2693" s="475"/>
      <c r="O2693" s="475"/>
      <c r="P2693" s="545"/>
    </row>
    <row r="2694" spans="2:18" ht="36" customHeight="1" x14ac:dyDescent="0.5">
      <c r="B2694" s="502"/>
      <c r="C2694" s="631"/>
      <c r="D2694" s="631"/>
      <c r="E2694" s="631"/>
      <c r="F2694" s="631"/>
      <c r="G2694" s="631"/>
      <c r="H2694" s="631"/>
      <c r="I2694" s="631"/>
      <c r="J2694" s="631"/>
      <c r="M2694" s="475"/>
      <c r="N2694" s="475"/>
      <c r="O2694" s="475"/>
      <c r="P2694" s="545"/>
    </row>
    <row r="2695" spans="2:18" ht="36" customHeight="1" x14ac:dyDescent="0.5">
      <c r="B2695" s="502"/>
      <c r="C2695" s="631"/>
      <c r="D2695" s="631"/>
      <c r="E2695" s="631"/>
      <c r="F2695" s="631"/>
      <c r="G2695" s="631"/>
      <c r="H2695" s="631"/>
      <c r="I2695" s="631"/>
      <c r="J2695" s="631"/>
      <c r="M2695" s="475"/>
      <c r="N2695" s="475"/>
      <c r="O2695" s="458" t="s">
        <v>112</v>
      </c>
      <c r="Q2695" s="450">
        <f>MAX($Q$103:Q2694)+1</f>
        <v>72</v>
      </c>
    </row>
    <row r="2696" spans="2:18" ht="36" customHeight="1" x14ac:dyDescent="0.5">
      <c r="B2696" s="502"/>
      <c r="C2696" s="631"/>
      <c r="D2696" s="630" t="str">
        <f>Criteria!E9</f>
        <v>ABC COMPANY (PROPRIETARY) LIMITED</v>
      </c>
      <c r="E2696" s="631"/>
      <c r="F2696" s="631"/>
      <c r="G2696" s="631"/>
      <c r="H2696" s="631"/>
      <c r="I2696" s="631"/>
      <c r="J2696" s="631"/>
      <c r="M2696" s="541"/>
      <c r="N2696" s="541"/>
      <c r="O2696" s="540"/>
    </row>
    <row r="2697" spans="2:18" ht="36" customHeight="1" x14ac:dyDescent="0.5">
      <c r="B2697" s="502"/>
      <c r="C2697" s="631"/>
      <c r="D2697" s="630" t="str">
        <f>Criteria!E10</f>
        <v>T/A SEAFRONT HOTEL, ABC RESTAURANT AND RENTAL PROPERTIES</v>
      </c>
      <c r="E2697" s="631"/>
      <c r="F2697" s="631"/>
      <c r="G2697" s="631"/>
      <c r="H2697" s="631"/>
      <c r="I2697" s="631"/>
      <c r="J2697" s="631"/>
      <c r="M2697" s="541"/>
      <c r="N2697" s="541"/>
      <c r="O2697" s="541"/>
      <c r="R2697" s="490" t="str">
        <f>IF(D2697=0,"DELETE"," ")</f>
        <v xml:space="preserve"> </v>
      </c>
    </row>
    <row r="2698" spans="2:18" ht="36" customHeight="1" x14ac:dyDescent="0.5">
      <c r="B2698" s="502"/>
      <c r="C2698" s="631"/>
      <c r="D2698" s="631"/>
      <c r="E2698" s="631"/>
      <c r="F2698" s="631"/>
      <c r="G2698" s="631"/>
      <c r="H2698" s="631"/>
      <c r="I2698" s="631"/>
      <c r="J2698" s="631"/>
      <c r="M2698" s="541"/>
      <c r="N2698" s="541"/>
      <c r="O2698" s="541"/>
    </row>
    <row r="2699" spans="2:18" ht="36" customHeight="1" x14ac:dyDescent="0.5">
      <c r="B2699" s="502"/>
      <c r="C2699" s="631"/>
      <c r="D2699" s="630" t="s">
        <v>415</v>
      </c>
      <c r="E2699" s="631"/>
      <c r="F2699" s="631"/>
      <c r="G2699" s="631"/>
      <c r="H2699" s="631"/>
      <c r="I2699" s="631"/>
      <c r="J2699" s="631"/>
      <c r="M2699" s="541"/>
      <c r="N2699" s="541"/>
      <c r="O2699" s="541"/>
    </row>
    <row r="2700" spans="2:18" ht="36" customHeight="1" x14ac:dyDescent="0.5">
      <c r="B2700" s="502"/>
      <c r="C2700" s="631"/>
      <c r="D2700" s="630" t="str">
        <f>Criteria!E20</f>
        <v>28 FEBRUARY 2026</v>
      </c>
      <c r="E2700" s="631"/>
      <c r="F2700" s="631"/>
      <c r="G2700" s="631"/>
      <c r="H2700" s="631"/>
      <c r="I2700" s="631"/>
      <c r="J2700" s="631" t="s">
        <v>282</v>
      </c>
      <c r="M2700" s="541"/>
      <c r="N2700" s="541"/>
      <c r="O2700" s="541"/>
    </row>
    <row r="2701" spans="2:18" ht="36" customHeight="1" x14ac:dyDescent="0.5">
      <c r="B2701" s="502"/>
      <c r="C2701" s="631"/>
      <c r="D2701" s="631"/>
      <c r="E2701" s="631"/>
      <c r="F2701" s="631"/>
      <c r="G2701" s="631"/>
      <c r="H2701" s="631"/>
      <c r="I2701" s="631"/>
      <c r="J2701" s="631"/>
      <c r="M2701" s="475"/>
      <c r="N2701" s="475"/>
      <c r="O2701" s="475"/>
      <c r="P2701" s="545"/>
    </row>
    <row r="2702" spans="2:18" ht="36" customHeight="1" x14ac:dyDescent="0.5">
      <c r="B2702" s="641"/>
      <c r="C2702" s="649"/>
      <c r="D2702" s="649"/>
      <c r="E2702" s="649"/>
      <c r="F2702" s="649"/>
      <c r="G2702" s="649"/>
      <c r="H2702" s="649"/>
      <c r="I2702" s="649"/>
      <c r="J2702" s="649"/>
      <c r="K2702" s="457"/>
      <c r="L2702" s="457"/>
      <c r="M2702" s="459"/>
      <c r="N2702" s="459"/>
      <c r="O2702" s="459"/>
      <c r="P2702" s="551"/>
      <c r="Q2702" s="457"/>
    </row>
    <row r="2703" spans="2:18" ht="36" customHeight="1" x14ac:dyDescent="0.5">
      <c r="B2703" s="501">
        <f>MAX($B$873:B2702)+1</f>
        <v>34</v>
      </c>
      <c r="C2703" s="636" t="s">
        <v>1531</v>
      </c>
      <c r="D2703" s="631"/>
      <c r="E2703" s="631"/>
      <c r="F2703" s="631"/>
      <c r="G2703" s="631"/>
      <c r="H2703" s="631"/>
      <c r="I2703" s="631"/>
      <c r="J2703" s="631"/>
      <c r="M2703" s="475"/>
      <c r="N2703" s="475"/>
      <c r="O2703" s="475"/>
      <c r="P2703" s="545"/>
    </row>
    <row r="2704" spans="2:18" ht="36" customHeight="1" x14ac:dyDescent="0.5">
      <c r="B2704" s="502"/>
      <c r="C2704" s="631"/>
      <c r="D2704" s="631"/>
      <c r="E2704" s="631"/>
      <c r="F2704" s="631"/>
      <c r="G2704" s="631"/>
      <c r="H2704" s="631"/>
      <c r="I2704" s="631"/>
      <c r="J2704" s="631"/>
      <c r="M2704" s="475"/>
      <c r="N2704" s="475"/>
      <c r="O2704" s="475"/>
      <c r="P2704" s="545"/>
    </row>
    <row r="2705" spans="2:18" ht="36" customHeight="1" x14ac:dyDescent="0.5">
      <c r="B2705" s="502"/>
      <c r="C2705" s="631" t="s">
        <v>1739</v>
      </c>
      <c r="D2705" s="631"/>
      <c r="E2705" s="631"/>
      <c r="F2705" s="631"/>
      <c r="G2705" s="631"/>
      <c r="H2705" s="631"/>
      <c r="I2705" s="631"/>
      <c r="J2705" s="631"/>
      <c r="M2705" s="475"/>
      <c r="N2705" s="475"/>
      <c r="O2705" s="475"/>
      <c r="P2705" s="545"/>
    </row>
    <row r="2706" spans="2:18" ht="36" customHeight="1" x14ac:dyDescent="0.5">
      <c r="B2706" s="502"/>
      <c r="C2706" s="631" t="s">
        <v>1738</v>
      </c>
      <c r="D2706" s="631"/>
      <c r="E2706" s="631"/>
      <c r="F2706" s="631"/>
      <c r="G2706" s="631"/>
      <c r="H2706" s="631"/>
      <c r="I2706" s="631"/>
      <c r="J2706" s="631"/>
      <c r="M2706" s="475"/>
      <c r="N2706" s="475"/>
      <c r="O2706" s="475"/>
      <c r="P2706" s="545"/>
    </row>
    <row r="2707" spans="2:18" ht="36" customHeight="1" x14ac:dyDescent="0.5">
      <c r="B2707" s="502"/>
      <c r="C2707" s="631"/>
      <c r="D2707" s="631"/>
      <c r="E2707" s="631"/>
      <c r="F2707" s="631"/>
      <c r="G2707" s="631"/>
      <c r="H2707" s="631"/>
      <c r="I2707" s="631"/>
      <c r="J2707" s="631"/>
      <c r="M2707" s="475"/>
      <c r="N2707" s="475"/>
      <c r="O2707" s="475"/>
      <c r="P2707" s="545"/>
    </row>
    <row r="2708" spans="2:18" ht="36" customHeight="1" x14ac:dyDescent="0.5">
      <c r="B2708" s="502"/>
      <c r="C2708" s="650" t="s">
        <v>1007</v>
      </c>
      <c r="D2708" s="631"/>
      <c r="E2708" s="631"/>
      <c r="F2708" s="631"/>
      <c r="G2708" s="631"/>
      <c r="H2708" s="631"/>
      <c r="I2708" s="631"/>
      <c r="J2708" s="650" t="s">
        <v>998</v>
      </c>
      <c r="M2708" s="475"/>
      <c r="N2708" s="475"/>
      <c r="O2708" s="475"/>
      <c r="P2708" s="545"/>
    </row>
    <row r="2709" spans="2:18" ht="36" customHeight="1" x14ac:dyDescent="0.5">
      <c r="B2709" s="502"/>
      <c r="C2709" s="631" t="str">
        <f>Criteria!E41</f>
        <v>A Director</v>
      </c>
      <c r="D2709" s="648"/>
      <c r="E2709" s="631"/>
      <c r="F2709" s="631"/>
      <c r="G2709" s="631"/>
      <c r="H2709" s="631"/>
      <c r="I2709" s="631"/>
      <c r="J2709" s="631" t="s">
        <v>999</v>
      </c>
      <c r="M2709" s="475"/>
      <c r="N2709" s="475"/>
      <c r="O2709" s="475"/>
      <c r="P2709" s="545"/>
      <c r="R2709" s="490" t="str">
        <f>IF(C2709=0,"DELETE"," ")</f>
        <v xml:space="preserve"> </v>
      </c>
    </row>
    <row r="2710" spans="2:18" ht="36" customHeight="1" x14ac:dyDescent="0.5">
      <c r="B2710" s="502"/>
      <c r="C2710" s="631" t="str">
        <f>Criteria!E42</f>
        <v>B Director</v>
      </c>
      <c r="D2710" s="648"/>
      <c r="E2710" s="631"/>
      <c r="F2710" s="631"/>
      <c r="G2710" s="631"/>
      <c r="H2710" s="631"/>
      <c r="I2710" s="631"/>
      <c r="J2710" s="631" t="s">
        <v>999</v>
      </c>
      <c r="M2710" s="475"/>
      <c r="N2710" s="475"/>
      <c r="O2710" s="475"/>
      <c r="P2710" s="545"/>
      <c r="R2710" s="490" t="str">
        <f>IF(C2710=0,"DELETE"," ")</f>
        <v xml:space="preserve"> </v>
      </c>
    </row>
    <row r="2711" spans="2:18" ht="36" customHeight="1" x14ac:dyDescent="0.5">
      <c r="B2711" s="502"/>
      <c r="C2711" s="631">
        <f>Criteria!E43</f>
        <v>0</v>
      </c>
      <c r="D2711" s="648"/>
      <c r="E2711" s="631"/>
      <c r="F2711" s="631"/>
      <c r="G2711" s="631"/>
      <c r="H2711" s="631"/>
      <c r="I2711" s="631"/>
      <c r="J2711" s="631" t="s">
        <v>999</v>
      </c>
      <c r="M2711" s="475"/>
      <c r="N2711" s="475"/>
      <c r="O2711" s="475"/>
      <c r="P2711" s="545"/>
      <c r="R2711" s="490" t="str">
        <f>IF(C2711=0,"DELETE"," ")</f>
        <v>DELETE</v>
      </c>
    </row>
    <row r="2712" spans="2:18" ht="36" customHeight="1" x14ac:dyDescent="0.5">
      <c r="B2712" s="502"/>
      <c r="C2712" s="631">
        <f>Criteria!E44</f>
        <v>0</v>
      </c>
      <c r="D2712" s="648"/>
      <c r="E2712" s="631"/>
      <c r="F2712" s="631"/>
      <c r="G2712" s="631"/>
      <c r="H2712" s="631"/>
      <c r="I2712" s="631"/>
      <c r="J2712" s="631" t="s">
        <v>999</v>
      </c>
      <c r="M2712" s="475"/>
      <c r="N2712" s="475"/>
      <c r="O2712" s="475"/>
      <c r="P2712" s="545"/>
      <c r="R2712" s="490" t="str">
        <f>IF(C2712=0,"DELETE"," ")</f>
        <v>DELETE</v>
      </c>
    </row>
    <row r="2713" spans="2:18" ht="36" customHeight="1" x14ac:dyDescent="0.5">
      <c r="B2713" s="502"/>
      <c r="C2713" s="631">
        <f>Criteria!E45</f>
        <v>0</v>
      </c>
      <c r="D2713" s="648"/>
      <c r="E2713" s="631"/>
      <c r="F2713" s="631"/>
      <c r="G2713" s="631"/>
      <c r="H2713" s="631"/>
      <c r="I2713" s="631"/>
      <c r="J2713" s="631" t="s">
        <v>999</v>
      </c>
      <c r="M2713" s="475"/>
      <c r="N2713" s="475"/>
      <c r="O2713" s="475"/>
      <c r="P2713" s="545"/>
      <c r="R2713" s="490" t="str">
        <f>IF(C2713=0,"DELETE"," ")</f>
        <v>DELETE</v>
      </c>
    </row>
    <row r="2714" spans="2:18" ht="36" customHeight="1" x14ac:dyDescent="0.5">
      <c r="B2714" s="502"/>
      <c r="C2714" s="631"/>
      <c r="D2714" s="631"/>
      <c r="E2714" s="631"/>
      <c r="F2714" s="631"/>
      <c r="G2714" s="631"/>
      <c r="H2714" s="631"/>
      <c r="I2714" s="631"/>
      <c r="J2714" s="631"/>
      <c r="M2714" s="475"/>
      <c r="N2714" s="475"/>
      <c r="O2714" s="475"/>
      <c r="P2714" s="545"/>
    </row>
    <row r="2715" spans="2:18" ht="36" customHeight="1" x14ac:dyDescent="0.5">
      <c r="B2715" s="502"/>
      <c r="C2715" s="631" t="str">
        <f>CONCATENATE("The details of ",IF(MAX(Criteria!I41:I45)&gt;1,"directors' remuneration","the director's remuneration")," are comprehensively disclosed in Note ",B1212," of the")</f>
        <v>The details of directors' remuneration are comprehensively disclosed in Note 4 of the</v>
      </c>
      <c r="D2715" s="631"/>
      <c r="E2715" s="631"/>
      <c r="F2715" s="631"/>
      <c r="G2715" s="631"/>
      <c r="H2715" s="631"/>
      <c r="I2715" s="631"/>
      <c r="J2715" s="631"/>
      <c r="M2715" s="475"/>
      <c r="N2715" s="475"/>
      <c r="O2715" s="475"/>
      <c r="P2715" s="545"/>
    </row>
    <row r="2716" spans="2:18" ht="36" customHeight="1" x14ac:dyDescent="0.5">
      <c r="B2716" s="502"/>
      <c r="C2716" s="631" t="s">
        <v>1737</v>
      </c>
      <c r="D2716" s="631"/>
      <c r="E2716" s="631"/>
      <c r="F2716" s="631"/>
      <c r="G2716" s="631"/>
      <c r="H2716" s="631"/>
      <c r="I2716" s="631"/>
      <c r="J2716" s="631"/>
      <c r="M2716" s="475"/>
      <c r="N2716" s="475"/>
      <c r="O2716" s="475"/>
      <c r="P2716" s="545"/>
    </row>
    <row r="2717" spans="2:18" ht="36" customHeight="1" x14ac:dyDescent="0.5">
      <c r="B2717" s="502"/>
      <c r="C2717" s="631"/>
      <c r="D2717" s="631"/>
      <c r="E2717" s="631"/>
      <c r="F2717" s="631"/>
      <c r="G2717" s="631"/>
      <c r="H2717" s="631"/>
      <c r="I2717" s="631"/>
      <c r="J2717" s="631"/>
      <c r="M2717" s="475"/>
      <c r="N2717" s="475"/>
      <c r="O2717" s="475"/>
      <c r="P2717" s="545"/>
    </row>
    <row r="2718" spans="2:18" ht="36" customHeight="1" x14ac:dyDescent="0.5">
      <c r="B2718" s="502"/>
      <c r="C2718" s="631" t="str">
        <f>IF(SUM(Criteria!G528:H528)&gt;0,"Related party balances and transactions with entities with control, joint control or","There were no related party balances outstanding at year end and no further transactions")</f>
        <v>There were no related party balances outstanding at year end and no further transactions</v>
      </c>
      <c r="D2718" s="631"/>
      <c r="E2718" s="631"/>
      <c r="F2718" s="631"/>
      <c r="G2718" s="631"/>
      <c r="H2718" s="631"/>
      <c r="I2718" s="631"/>
      <c r="J2718" s="631"/>
      <c r="M2718" s="475"/>
      <c r="N2718" s="475"/>
      <c r="O2718" s="475"/>
      <c r="P2718" s="545"/>
    </row>
    <row r="2719" spans="2:18" ht="36" customHeight="1" x14ac:dyDescent="0.5">
      <c r="B2719" s="502"/>
      <c r="C2719" s="631" t="str">
        <f>IF(SUM(Criteria!G528:H528)&gt;0,"significant influence over the company are as follows:","with entities with control, joint control or significant influence over the company.")</f>
        <v>with entities with control, joint control or significant influence over the company.</v>
      </c>
      <c r="D2719" s="631"/>
      <c r="E2719" s="631"/>
      <c r="F2719" s="631"/>
      <c r="G2719" s="631"/>
      <c r="H2719" s="631"/>
      <c r="I2719" s="631"/>
      <c r="J2719" s="631"/>
      <c r="M2719" s="475"/>
      <c r="N2719" s="475"/>
      <c r="O2719" s="475"/>
      <c r="P2719" s="545"/>
    </row>
    <row r="2720" spans="2:18" ht="36" customHeight="1" x14ac:dyDescent="0.5">
      <c r="B2720" s="502"/>
      <c r="C2720" s="631"/>
      <c r="D2720" s="631"/>
      <c r="E2720" s="631"/>
      <c r="F2720" s="631"/>
      <c r="G2720" s="631"/>
      <c r="H2720" s="631"/>
      <c r="I2720" s="631"/>
      <c r="J2720" s="631"/>
      <c r="L2720" s="669" t="s">
        <v>767</v>
      </c>
      <c r="M2720" s="669"/>
      <c r="N2720" s="669"/>
      <c r="O2720" s="672" t="s">
        <v>106</v>
      </c>
      <c r="P2720" s="672"/>
      <c r="R2720" s="490" t="str">
        <f>IF(SUM(Criteria!G528:H528)&gt;0," ","DELETE")</f>
        <v>DELETE</v>
      </c>
    </row>
    <row r="2721" spans="2:18" ht="36" customHeight="1" x14ac:dyDescent="0.5">
      <c r="B2721" s="502"/>
      <c r="C2721" s="650" t="s">
        <v>1000</v>
      </c>
      <c r="D2721" s="631"/>
      <c r="E2721" s="631"/>
      <c r="F2721" s="631"/>
      <c r="G2721" s="631"/>
      <c r="H2721" s="631"/>
      <c r="I2721" s="631"/>
      <c r="J2721" s="631"/>
      <c r="L2721" s="668" t="s">
        <v>1004</v>
      </c>
      <c r="M2721" s="668"/>
      <c r="N2721" s="668"/>
      <c r="O2721" s="673" t="s">
        <v>1001</v>
      </c>
      <c r="P2721" s="673"/>
      <c r="R2721" s="490" t="str">
        <f>R2720</f>
        <v>DELETE</v>
      </c>
    </row>
    <row r="2722" spans="2:18" ht="36" customHeight="1" x14ac:dyDescent="0.5">
      <c r="B2722" s="502"/>
      <c r="C2722" s="631"/>
      <c r="D2722" s="631"/>
      <c r="E2722" s="631"/>
      <c r="F2722" s="631"/>
      <c r="G2722" s="631"/>
      <c r="H2722" s="631"/>
      <c r="I2722" s="631"/>
      <c r="J2722" s="631"/>
      <c r="M2722" s="475"/>
      <c r="N2722" s="475"/>
      <c r="O2722" s="475"/>
      <c r="P2722" s="545"/>
    </row>
    <row r="2723" spans="2:18" ht="36" customHeight="1" x14ac:dyDescent="0.5">
      <c r="B2723" s="502"/>
      <c r="C2723" s="631">
        <f>Criteria!C528</f>
        <v>0</v>
      </c>
      <c r="D2723" s="631"/>
      <c r="E2723" s="631"/>
      <c r="F2723" s="631"/>
      <c r="G2723" s="631"/>
      <c r="H2723" s="631"/>
      <c r="I2723" s="631"/>
      <c r="J2723" s="631"/>
      <c r="M2723" s="475">
        <f>-Criteria!F528</f>
        <v>0</v>
      </c>
      <c r="N2723" s="475"/>
      <c r="O2723" s="475">
        <f>Criteria!E528</f>
        <v>0</v>
      </c>
      <c r="P2723" s="545"/>
      <c r="R2723" s="490" t="str">
        <f>IF(M2723=0,IF(O2723=0,"DELETE"," ")," ")</f>
        <v>DELETE</v>
      </c>
    </row>
    <row r="2724" spans="2:18" ht="36" customHeight="1" x14ac:dyDescent="0.5">
      <c r="B2724" s="502"/>
      <c r="C2724" s="631">
        <f>Criteria!C529</f>
        <v>0</v>
      </c>
      <c r="D2724" s="631"/>
      <c r="E2724" s="631"/>
      <c r="F2724" s="631"/>
      <c r="G2724" s="631"/>
      <c r="H2724" s="631"/>
      <c r="I2724" s="631"/>
      <c r="J2724" s="631"/>
      <c r="M2724" s="475">
        <f>-Criteria!F529</f>
        <v>0</v>
      </c>
      <c r="N2724" s="475"/>
      <c r="O2724" s="475">
        <f>Criteria!E529</f>
        <v>0</v>
      </c>
      <c r="P2724" s="545"/>
      <c r="R2724" s="490" t="str">
        <f t="shared" ref="R2724:R2732" si="195">IF(M2724=0,IF(O2724=0,"DELETE"," ")," ")</f>
        <v>DELETE</v>
      </c>
    </row>
    <row r="2725" spans="2:18" ht="36" customHeight="1" x14ac:dyDescent="0.5">
      <c r="B2725" s="502"/>
      <c r="C2725" s="631">
        <f>Criteria!C530</f>
        <v>0</v>
      </c>
      <c r="D2725" s="631"/>
      <c r="E2725" s="631"/>
      <c r="F2725" s="631"/>
      <c r="G2725" s="631"/>
      <c r="H2725" s="631"/>
      <c r="I2725" s="631"/>
      <c r="J2725" s="631"/>
      <c r="M2725" s="475">
        <f>-Criteria!F530</f>
        <v>0</v>
      </c>
      <c r="N2725" s="475"/>
      <c r="O2725" s="475">
        <f>Criteria!E530</f>
        <v>0</v>
      </c>
      <c r="P2725" s="545"/>
      <c r="R2725" s="490" t="str">
        <f t="shared" si="195"/>
        <v>DELETE</v>
      </c>
    </row>
    <row r="2726" spans="2:18" ht="36" customHeight="1" x14ac:dyDescent="0.5">
      <c r="B2726" s="502"/>
      <c r="C2726" s="631">
        <f>Criteria!C531</f>
        <v>0</v>
      </c>
      <c r="D2726" s="631"/>
      <c r="E2726" s="631"/>
      <c r="F2726" s="631"/>
      <c r="G2726" s="631"/>
      <c r="H2726" s="631"/>
      <c r="I2726" s="631"/>
      <c r="J2726" s="631"/>
      <c r="M2726" s="475">
        <f>-Criteria!F531</f>
        <v>0</v>
      </c>
      <c r="N2726" s="475"/>
      <c r="O2726" s="475">
        <f>Criteria!E531</f>
        <v>0</v>
      </c>
      <c r="P2726" s="545"/>
      <c r="R2726" s="490" t="str">
        <f t="shared" si="195"/>
        <v>DELETE</v>
      </c>
    </row>
    <row r="2727" spans="2:18" ht="36" customHeight="1" x14ac:dyDescent="0.5">
      <c r="B2727" s="502"/>
      <c r="C2727" s="631">
        <f>Criteria!C532</f>
        <v>0</v>
      </c>
      <c r="D2727" s="631"/>
      <c r="E2727" s="631"/>
      <c r="F2727" s="631"/>
      <c r="G2727" s="631"/>
      <c r="H2727" s="631"/>
      <c r="I2727" s="631"/>
      <c r="J2727" s="631"/>
      <c r="M2727" s="475">
        <f>-Criteria!F532</f>
        <v>0</v>
      </c>
      <c r="N2727" s="475"/>
      <c r="O2727" s="475">
        <f>Criteria!E532</f>
        <v>0</v>
      </c>
      <c r="P2727" s="545"/>
      <c r="R2727" s="490" t="str">
        <f t="shared" si="195"/>
        <v>DELETE</v>
      </c>
    </row>
    <row r="2728" spans="2:18" ht="36" customHeight="1" x14ac:dyDescent="0.5">
      <c r="B2728" s="502"/>
      <c r="C2728" s="631">
        <f>Criteria!C533</f>
        <v>0</v>
      </c>
      <c r="D2728" s="631"/>
      <c r="E2728" s="631"/>
      <c r="F2728" s="631"/>
      <c r="G2728" s="631"/>
      <c r="H2728" s="631"/>
      <c r="I2728" s="631"/>
      <c r="J2728" s="631"/>
      <c r="M2728" s="475">
        <f>-Criteria!F533</f>
        <v>0</v>
      </c>
      <c r="N2728" s="475"/>
      <c r="O2728" s="475">
        <f>Criteria!E533</f>
        <v>0</v>
      </c>
      <c r="P2728" s="545"/>
      <c r="R2728" s="490" t="str">
        <f t="shared" si="195"/>
        <v>DELETE</v>
      </c>
    </row>
    <row r="2729" spans="2:18" ht="36" customHeight="1" x14ac:dyDescent="0.5">
      <c r="B2729" s="502"/>
      <c r="C2729" s="631">
        <f>Criteria!C534</f>
        <v>0</v>
      </c>
      <c r="D2729" s="631"/>
      <c r="E2729" s="631"/>
      <c r="F2729" s="631"/>
      <c r="G2729" s="631"/>
      <c r="H2729" s="631"/>
      <c r="I2729" s="631"/>
      <c r="J2729" s="631"/>
      <c r="M2729" s="475">
        <f>-Criteria!F534</f>
        <v>0</v>
      </c>
      <c r="N2729" s="475"/>
      <c r="O2729" s="475">
        <f>Criteria!E534</f>
        <v>0</v>
      </c>
      <c r="P2729" s="545"/>
      <c r="R2729" s="490" t="str">
        <f t="shared" si="195"/>
        <v>DELETE</v>
      </c>
    </row>
    <row r="2730" spans="2:18" ht="36" customHeight="1" x14ac:dyDescent="0.5">
      <c r="B2730" s="502"/>
      <c r="C2730" s="631">
        <f>Criteria!C535</f>
        <v>0</v>
      </c>
      <c r="D2730" s="631"/>
      <c r="E2730" s="631"/>
      <c r="F2730" s="631"/>
      <c r="G2730" s="631"/>
      <c r="H2730" s="631"/>
      <c r="I2730" s="631"/>
      <c r="J2730" s="631"/>
      <c r="M2730" s="475">
        <f>-Criteria!F535</f>
        <v>0</v>
      </c>
      <c r="N2730" s="475"/>
      <c r="O2730" s="475">
        <f>Criteria!E535</f>
        <v>0</v>
      </c>
      <c r="P2730" s="545"/>
      <c r="R2730" s="490" t="str">
        <f t="shared" si="195"/>
        <v>DELETE</v>
      </c>
    </row>
    <row r="2731" spans="2:18" ht="36" customHeight="1" x14ac:dyDescent="0.5">
      <c r="B2731" s="502"/>
      <c r="C2731" s="631">
        <f>Criteria!C536</f>
        <v>0</v>
      </c>
      <c r="D2731" s="631"/>
      <c r="E2731" s="631"/>
      <c r="F2731" s="631"/>
      <c r="G2731" s="631"/>
      <c r="H2731" s="631"/>
      <c r="I2731" s="631"/>
      <c r="J2731" s="631"/>
      <c r="M2731" s="475">
        <f>-Criteria!F536</f>
        <v>0</v>
      </c>
      <c r="N2731" s="475"/>
      <c r="O2731" s="475">
        <f>Criteria!E536</f>
        <v>0</v>
      </c>
      <c r="P2731" s="545"/>
      <c r="R2731" s="490" t="str">
        <f t="shared" si="195"/>
        <v>DELETE</v>
      </c>
    </row>
    <row r="2732" spans="2:18" ht="36" customHeight="1" x14ac:dyDescent="0.5">
      <c r="B2732" s="502"/>
      <c r="C2732" s="631">
        <f>Criteria!C537</f>
        <v>0</v>
      </c>
      <c r="D2732" s="631"/>
      <c r="E2732" s="631"/>
      <c r="F2732" s="631"/>
      <c r="G2732" s="631"/>
      <c r="H2732" s="631"/>
      <c r="I2732" s="631"/>
      <c r="J2732" s="631"/>
      <c r="M2732" s="475">
        <f>-Criteria!F537</f>
        <v>0</v>
      </c>
      <c r="N2732" s="475"/>
      <c r="O2732" s="475">
        <f>Criteria!E537</f>
        <v>0</v>
      </c>
      <c r="P2732" s="545"/>
      <c r="R2732" s="490" t="str">
        <f t="shared" si="195"/>
        <v>DELETE</v>
      </c>
    </row>
    <row r="2733" spans="2:18" ht="36" customHeight="1" x14ac:dyDescent="0.5">
      <c r="B2733" s="502"/>
      <c r="C2733" s="631"/>
      <c r="D2733" s="631"/>
      <c r="E2733" s="631"/>
      <c r="F2733" s="631"/>
      <c r="G2733" s="631"/>
      <c r="H2733" s="631"/>
      <c r="I2733" s="631"/>
      <c r="J2733" s="631"/>
      <c r="M2733" s="475"/>
      <c r="N2733" s="475"/>
      <c r="O2733" s="475"/>
      <c r="P2733" s="545"/>
    </row>
    <row r="2734" spans="2:18" ht="36" customHeight="1" x14ac:dyDescent="0.5">
      <c r="B2734" s="502"/>
      <c r="C2734" s="631"/>
      <c r="D2734" s="631"/>
      <c r="E2734" s="631"/>
      <c r="F2734" s="631"/>
      <c r="G2734" s="631"/>
      <c r="H2734" s="631"/>
      <c r="I2734" s="631"/>
      <c r="J2734" s="631"/>
      <c r="M2734" s="475"/>
      <c r="N2734" s="475"/>
      <c r="O2734" s="475"/>
      <c r="P2734" s="545"/>
    </row>
    <row r="2735" spans="2:18" ht="36" customHeight="1" x14ac:dyDescent="0.5">
      <c r="B2735" s="502"/>
      <c r="C2735" s="631"/>
      <c r="D2735" s="631"/>
      <c r="E2735" s="631"/>
      <c r="F2735" s="631"/>
      <c r="G2735" s="631"/>
      <c r="H2735" s="631"/>
      <c r="I2735" s="631"/>
      <c r="J2735" s="631"/>
      <c r="M2735" s="475"/>
      <c r="N2735" s="475"/>
      <c r="O2735" s="475"/>
      <c r="P2735" s="545"/>
    </row>
    <row r="2736" spans="2:18" ht="36" customHeight="1" x14ac:dyDescent="0.5">
      <c r="C2736" s="631"/>
      <c r="D2736" s="631"/>
      <c r="E2736" s="631"/>
      <c r="F2736" s="631"/>
      <c r="G2736" s="631"/>
      <c r="H2736" s="631"/>
      <c r="I2736" s="631"/>
      <c r="J2736" s="631"/>
      <c r="M2736" s="541"/>
      <c r="N2736" s="541"/>
      <c r="O2736" s="541"/>
    </row>
    <row r="2737" spans="3:22" ht="36" customHeight="1" x14ac:dyDescent="0.5">
      <c r="C2737" s="631"/>
      <c r="D2737" s="631"/>
      <c r="E2737" s="631"/>
      <c r="F2737" s="631"/>
      <c r="G2737" s="631"/>
      <c r="H2737" s="631"/>
      <c r="I2737" s="631"/>
      <c r="J2737" s="631"/>
      <c r="M2737" s="541"/>
      <c r="N2737" s="541"/>
      <c r="O2737" s="458" t="s">
        <v>112</v>
      </c>
      <c r="Q2737" s="450">
        <f>MAX($Q$103:Q2736)+1</f>
        <v>73</v>
      </c>
    </row>
    <row r="2738" spans="3:22" ht="36" customHeight="1" x14ac:dyDescent="0.5">
      <c r="C2738" s="520"/>
      <c r="D2738" s="615" t="str">
        <f>Criteria!E9</f>
        <v>ABC COMPANY (PROPRIETARY) LIMITED</v>
      </c>
      <c r="E2738" s="616"/>
      <c r="F2738" s="616"/>
      <c r="G2738" s="616"/>
      <c r="H2738" s="616"/>
      <c r="I2738" s="616"/>
      <c r="J2738" s="616"/>
      <c r="M2738" s="541"/>
      <c r="N2738" s="541"/>
      <c r="O2738" s="540"/>
    </row>
    <row r="2739" spans="3:22" ht="36" customHeight="1" x14ac:dyDescent="0.5">
      <c r="C2739" s="520"/>
      <c r="D2739" s="615" t="str">
        <f>IF(Criteria!E13=0," ",CONCATENATE("T/A ",Criteria!E13))</f>
        <v>T/A SEAFRONT HOTEL</v>
      </c>
      <c r="E2739" s="616"/>
      <c r="F2739" s="616"/>
      <c r="G2739" s="616"/>
      <c r="H2739" s="616"/>
      <c r="I2739" s="616"/>
      <c r="J2739" s="616"/>
      <c r="M2739" s="541"/>
      <c r="N2739" s="541"/>
      <c r="O2739" s="541"/>
      <c r="R2739" s="490" t="str">
        <f>IF(Criteria!E13=0,"DELETE"," ")</f>
        <v xml:space="preserve"> </v>
      </c>
    </row>
    <row r="2740" spans="3:22" ht="36" customHeight="1" x14ac:dyDescent="0.5">
      <c r="C2740" s="520"/>
      <c r="D2740" s="616"/>
      <c r="E2740" s="616"/>
      <c r="F2740" s="616"/>
      <c r="G2740" s="616"/>
      <c r="H2740" s="616"/>
      <c r="I2740" s="616"/>
      <c r="J2740" s="616"/>
      <c r="M2740" s="541"/>
      <c r="N2740" s="541"/>
      <c r="O2740" s="541"/>
    </row>
    <row r="2741" spans="3:22" ht="36" customHeight="1" x14ac:dyDescent="0.5">
      <c r="C2741" s="520"/>
      <c r="D2741" s="615" t="s">
        <v>109</v>
      </c>
      <c r="E2741" s="616"/>
      <c r="F2741" s="616"/>
      <c r="G2741" s="616"/>
      <c r="H2741" s="616"/>
      <c r="I2741" s="616"/>
      <c r="J2741" s="616"/>
      <c r="M2741" s="541"/>
      <c r="N2741" s="541"/>
      <c r="O2741" s="541"/>
    </row>
    <row r="2742" spans="3:22" ht="36" customHeight="1" x14ac:dyDescent="0.5">
      <c r="C2742" s="520"/>
      <c r="D2742" s="615" t="str">
        <f>Criteria!E20</f>
        <v>28 FEBRUARY 2026</v>
      </c>
      <c r="E2742" s="616"/>
      <c r="F2742" s="616"/>
      <c r="G2742" s="616"/>
      <c r="H2742" s="616"/>
      <c r="I2742" s="616"/>
      <c r="J2742" s="616"/>
      <c r="M2742" s="541"/>
      <c r="N2742" s="541"/>
      <c r="O2742" s="541"/>
    </row>
    <row r="2743" spans="3:22" ht="36" customHeight="1" x14ac:dyDescent="0.5">
      <c r="C2743" s="520"/>
      <c r="D2743" s="616"/>
      <c r="E2743" s="616"/>
      <c r="F2743" s="616"/>
      <c r="G2743" s="616"/>
      <c r="H2743" s="616"/>
      <c r="I2743" s="616"/>
      <c r="J2743" s="616"/>
      <c r="M2743" s="541"/>
      <c r="N2743" s="541"/>
      <c r="O2743" s="541"/>
    </row>
    <row r="2744" spans="3:22" ht="36" customHeight="1" x14ac:dyDescent="0.5">
      <c r="C2744" s="520"/>
      <c r="D2744" s="634"/>
      <c r="E2744" s="634"/>
      <c r="F2744" s="634"/>
      <c r="G2744" s="634"/>
      <c r="H2744" s="634"/>
      <c r="I2744" s="634"/>
      <c r="J2744" s="634"/>
      <c r="K2744" s="457"/>
      <c r="L2744" s="457"/>
      <c r="M2744" s="557"/>
      <c r="N2744" s="557"/>
      <c r="O2744" s="557"/>
      <c r="P2744" s="551"/>
      <c r="Q2744" s="457"/>
    </row>
    <row r="2745" spans="3:22" ht="36" customHeight="1" x14ac:dyDescent="0.5">
      <c r="C2745" s="520"/>
      <c r="D2745" s="616"/>
      <c r="E2745" s="616"/>
      <c r="F2745" s="616"/>
      <c r="G2745" s="616"/>
      <c r="H2745" s="616"/>
      <c r="I2745" s="616"/>
      <c r="J2745" s="645"/>
      <c r="K2745" s="450" t="s">
        <v>1494</v>
      </c>
      <c r="L2745" s="451"/>
      <c r="M2745" s="448"/>
      <c r="N2745" s="450"/>
      <c r="O2745" s="453">
        <f>Criteria!E22</f>
        <v>2026</v>
      </c>
      <c r="P2745" s="454"/>
    </row>
    <row r="2746" spans="3:22" ht="36" customHeight="1" x14ac:dyDescent="0.5">
      <c r="C2746" s="520"/>
      <c r="D2746" s="616"/>
      <c r="E2746" s="616"/>
      <c r="F2746" s="616"/>
      <c r="G2746" s="616"/>
      <c r="H2746" s="616"/>
      <c r="I2746" s="616"/>
      <c r="J2746" s="645"/>
      <c r="K2746" s="450"/>
      <c r="L2746" s="451"/>
      <c r="M2746" s="448"/>
      <c r="N2746" s="450"/>
      <c r="O2746" s="458"/>
      <c r="P2746" s="454"/>
    </row>
    <row r="2747" spans="3:22" ht="36" customHeight="1" x14ac:dyDescent="0.45">
      <c r="D2747" s="615" t="s">
        <v>1194</v>
      </c>
      <c r="E2747" s="616"/>
      <c r="F2747" s="616"/>
      <c r="G2747" s="616"/>
      <c r="H2747" s="616"/>
      <c r="I2747" s="616"/>
      <c r="J2747" s="645"/>
      <c r="K2747" s="450"/>
      <c r="L2747" s="451"/>
      <c r="M2747" s="448"/>
      <c r="N2747" s="450"/>
      <c r="O2747" s="458">
        <f>-SUM(TrialBalance!L5:L10)</f>
        <v>0</v>
      </c>
      <c r="P2747" s="454"/>
      <c r="R2747" s="490" t="str">
        <f>IF(O2747=0,IF(O2749=0," ","DELETE")," ")</f>
        <v xml:space="preserve"> </v>
      </c>
      <c r="S2747" s="495">
        <f>O2747</f>
        <v>0</v>
      </c>
      <c r="T2747" s="495"/>
      <c r="U2747" s="495"/>
      <c r="V2747" s="495"/>
    </row>
    <row r="2748" spans="3:22" ht="36" customHeight="1" x14ac:dyDescent="0.45">
      <c r="D2748" s="615"/>
      <c r="E2748" s="616"/>
      <c r="F2748" s="616"/>
      <c r="G2748" s="616"/>
      <c r="H2748" s="616"/>
      <c r="I2748" s="616"/>
      <c r="J2748" s="645"/>
      <c r="K2748" s="450"/>
      <c r="L2748" s="451"/>
      <c r="M2748" s="448"/>
      <c r="N2748" s="450"/>
      <c r="O2748" s="458"/>
      <c r="P2748" s="454"/>
      <c r="R2748" s="490" t="str">
        <f>R2747</f>
        <v xml:space="preserve"> </v>
      </c>
      <c r="S2748" s="495"/>
      <c r="T2748" s="495"/>
      <c r="U2748" s="495"/>
      <c r="V2748" s="495"/>
    </row>
    <row r="2749" spans="3:22" ht="36" customHeight="1" x14ac:dyDescent="0.45">
      <c r="D2749" s="615" t="s">
        <v>398</v>
      </c>
      <c r="E2749" s="616"/>
      <c r="F2749" s="616"/>
      <c r="G2749" s="616"/>
      <c r="H2749" s="616"/>
      <c r="I2749" s="616"/>
      <c r="J2749" s="645"/>
      <c r="K2749" s="450"/>
      <c r="L2749" s="451"/>
      <c r="M2749" s="448"/>
      <c r="N2749" s="450"/>
      <c r="O2749" s="458">
        <f>-TrialBalance!L11</f>
        <v>0</v>
      </c>
      <c r="P2749" s="454"/>
      <c r="R2749" s="490" t="str">
        <f t="shared" ref="R2749" si="196">IF(O2749=0,"DELETE"," ")</f>
        <v>DELETE</v>
      </c>
      <c r="S2749" s="495">
        <f>O2749</f>
        <v>0</v>
      </c>
      <c r="T2749" s="495"/>
      <c r="U2749" s="495"/>
      <c r="V2749" s="495"/>
    </row>
    <row r="2750" spans="3:22" ht="36" customHeight="1" x14ac:dyDescent="0.45">
      <c r="D2750" s="615"/>
      <c r="E2750" s="616"/>
      <c r="F2750" s="616"/>
      <c r="G2750" s="616"/>
      <c r="H2750" s="616"/>
      <c r="I2750" s="616"/>
      <c r="J2750" s="645"/>
      <c r="K2750" s="450"/>
      <c r="L2750" s="451"/>
      <c r="M2750" s="448"/>
      <c r="N2750" s="450"/>
      <c r="O2750" s="458"/>
      <c r="P2750" s="454"/>
      <c r="R2750" s="490" t="str">
        <f>R2749</f>
        <v>DELETE</v>
      </c>
    </row>
    <row r="2751" spans="3:22" ht="36" customHeight="1" x14ac:dyDescent="0.45">
      <c r="D2751" s="615" t="s">
        <v>1119</v>
      </c>
      <c r="E2751" s="616"/>
      <c r="F2751" s="616"/>
      <c r="G2751" s="616"/>
      <c r="H2751" s="616"/>
      <c r="I2751" s="616"/>
      <c r="J2751" s="645"/>
      <c r="K2751" s="450"/>
      <c r="L2751" s="451"/>
      <c r="M2751" s="448"/>
      <c r="N2751" s="450"/>
      <c r="O2751" s="458">
        <f>SUM(O2754:O2761)</f>
        <v>0</v>
      </c>
      <c r="P2751" s="454"/>
      <c r="R2751" s="490" t="str">
        <f t="shared" ref="R2751" si="197">IF(O2751=0,"DELETE"," ")</f>
        <v>DELETE</v>
      </c>
      <c r="S2751" s="495">
        <f>-O2751</f>
        <v>0</v>
      </c>
      <c r="T2751" s="495"/>
      <c r="U2751" s="495"/>
      <c r="V2751" s="495"/>
    </row>
    <row r="2752" spans="3:22" ht="9" customHeight="1" x14ac:dyDescent="0.45">
      <c r="C2752" s="575"/>
      <c r="D2752" s="616"/>
      <c r="E2752" s="616"/>
      <c r="F2752" s="616"/>
      <c r="G2752" s="616"/>
      <c r="H2752" s="616"/>
      <c r="I2752" s="616"/>
      <c r="J2752" s="645"/>
      <c r="K2752" s="450"/>
      <c r="L2752" s="451"/>
      <c r="M2752" s="448"/>
      <c r="N2752" s="450"/>
      <c r="O2752" s="458"/>
      <c r="P2752" s="454"/>
      <c r="R2752" s="490" t="str">
        <f>R2751</f>
        <v>DELETE</v>
      </c>
    </row>
    <row r="2753" spans="3:23" ht="9" customHeight="1" x14ac:dyDescent="0.45">
      <c r="C2753" s="575"/>
      <c r="D2753" s="616"/>
      <c r="E2753" s="616"/>
      <c r="F2753" s="616"/>
      <c r="G2753" s="616"/>
      <c r="H2753" s="616"/>
      <c r="I2753" s="616"/>
      <c r="J2753" s="645"/>
      <c r="K2753" s="450"/>
      <c r="L2753" s="451"/>
      <c r="M2753" s="448"/>
      <c r="N2753" s="450"/>
      <c r="O2753" s="587"/>
      <c r="P2753" s="454"/>
      <c r="R2753" s="490" t="str">
        <f>R2752</f>
        <v>DELETE</v>
      </c>
    </row>
    <row r="2754" spans="3:23" ht="36" customHeight="1" x14ac:dyDescent="0.45">
      <c r="C2754" s="575"/>
      <c r="D2754" s="616" t="s">
        <v>563</v>
      </c>
      <c r="E2754" s="616"/>
      <c r="F2754" s="616"/>
      <c r="G2754" s="616"/>
      <c r="H2754" s="616"/>
      <c r="I2754" s="616"/>
      <c r="J2754" s="645"/>
      <c r="K2754" s="450"/>
      <c r="L2754" s="451"/>
      <c r="M2754" s="448"/>
      <c r="N2754" s="450"/>
      <c r="O2754" s="588">
        <f>SUM(TrialBalance!L13:L16)</f>
        <v>0</v>
      </c>
      <c r="P2754" s="454"/>
      <c r="R2754" s="490" t="str">
        <f t="shared" ref="R2754:R2761" si="198">IF(O2754=0,"DELETE"," ")</f>
        <v>DELETE</v>
      </c>
    </row>
    <row r="2755" spans="3:23" ht="36" customHeight="1" x14ac:dyDescent="0.45">
      <c r="C2755" s="575"/>
      <c r="D2755" s="616" t="s">
        <v>301</v>
      </c>
      <c r="E2755" s="616"/>
      <c r="F2755" s="616"/>
      <c r="G2755" s="616"/>
      <c r="H2755" s="616"/>
      <c r="I2755" s="616"/>
      <c r="J2755" s="645"/>
      <c r="K2755" s="450"/>
      <c r="L2755" s="451"/>
      <c r="M2755" s="448"/>
      <c r="N2755" s="450"/>
      <c r="O2755" s="588">
        <f>TrialBalance!L17</f>
        <v>0</v>
      </c>
      <c r="P2755" s="454"/>
      <c r="R2755" s="490" t="str">
        <f t="shared" si="198"/>
        <v>DELETE</v>
      </c>
    </row>
    <row r="2756" spans="3:23" ht="36" customHeight="1" x14ac:dyDescent="0.45">
      <c r="C2756" s="575"/>
      <c r="D2756" s="616">
        <f>TrialBalance!C18</f>
        <v>0</v>
      </c>
      <c r="E2756" s="616"/>
      <c r="F2756" s="616"/>
      <c r="G2756" s="616"/>
      <c r="H2756" s="616"/>
      <c r="I2756" s="616"/>
      <c r="J2756" s="645"/>
      <c r="K2756" s="450"/>
      <c r="L2756" s="451"/>
      <c r="M2756" s="448"/>
      <c r="N2756" s="450"/>
      <c r="O2756" s="588">
        <f>TrialBalance!L18</f>
        <v>0</v>
      </c>
      <c r="P2756" s="454"/>
      <c r="R2756" s="490" t="str">
        <f t="shared" si="198"/>
        <v>DELETE</v>
      </c>
    </row>
    <row r="2757" spans="3:23" ht="36" customHeight="1" x14ac:dyDescent="0.45">
      <c r="C2757" s="575"/>
      <c r="D2757" s="616">
        <f>TrialBalance!C19</f>
        <v>0</v>
      </c>
      <c r="E2757" s="616"/>
      <c r="F2757" s="616"/>
      <c r="G2757" s="616"/>
      <c r="H2757" s="616"/>
      <c r="I2757" s="616"/>
      <c r="J2757" s="645"/>
      <c r="K2757" s="450"/>
      <c r="L2757" s="451"/>
      <c r="M2757" s="448"/>
      <c r="N2757" s="450"/>
      <c r="O2757" s="588">
        <f>TrialBalance!L19</f>
        <v>0</v>
      </c>
      <c r="P2757" s="454"/>
      <c r="R2757" s="490" t="str">
        <f t="shared" si="198"/>
        <v>DELETE</v>
      </c>
    </row>
    <row r="2758" spans="3:23" ht="36" customHeight="1" x14ac:dyDescent="0.45">
      <c r="C2758" s="575"/>
      <c r="D2758" s="616">
        <f>TrialBalance!C20</f>
        <v>0</v>
      </c>
      <c r="E2758" s="616"/>
      <c r="F2758" s="616"/>
      <c r="G2758" s="616"/>
      <c r="H2758" s="616"/>
      <c r="I2758" s="616"/>
      <c r="J2758" s="645"/>
      <c r="K2758" s="450"/>
      <c r="L2758" s="451"/>
      <c r="M2758" s="448"/>
      <c r="N2758" s="450"/>
      <c r="O2758" s="588">
        <f>TrialBalance!L20</f>
        <v>0</v>
      </c>
      <c r="P2758" s="454"/>
      <c r="R2758" s="490" t="str">
        <f t="shared" si="198"/>
        <v>DELETE</v>
      </c>
    </row>
    <row r="2759" spans="3:23" ht="36" customHeight="1" x14ac:dyDescent="0.45">
      <c r="C2759" s="575"/>
      <c r="D2759" s="616">
        <f>TrialBalance!C21</f>
        <v>0</v>
      </c>
      <c r="E2759" s="616"/>
      <c r="F2759" s="616"/>
      <c r="G2759" s="616"/>
      <c r="H2759" s="616"/>
      <c r="I2759" s="616"/>
      <c r="J2759" s="645"/>
      <c r="K2759" s="450"/>
      <c r="L2759" s="451"/>
      <c r="M2759" s="448"/>
      <c r="N2759" s="450"/>
      <c r="O2759" s="588">
        <f>TrialBalance!L21</f>
        <v>0</v>
      </c>
      <c r="P2759" s="454"/>
      <c r="R2759" s="490" t="str">
        <f t="shared" si="198"/>
        <v>DELETE</v>
      </c>
    </row>
    <row r="2760" spans="3:23" ht="36" customHeight="1" x14ac:dyDescent="0.45">
      <c r="C2760" s="575"/>
      <c r="D2760" s="616">
        <f>TrialBalance!C22</f>
        <v>0</v>
      </c>
      <c r="E2760" s="616"/>
      <c r="F2760" s="616"/>
      <c r="G2760" s="616"/>
      <c r="H2760" s="616"/>
      <c r="I2760" s="616"/>
      <c r="J2760" s="645"/>
      <c r="K2760" s="450"/>
      <c r="L2760" s="451"/>
      <c r="M2760" s="448"/>
      <c r="N2760" s="450"/>
      <c r="O2760" s="588">
        <f>TrialBalance!L22</f>
        <v>0</v>
      </c>
      <c r="P2760" s="454"/>
      <c r="R2760" s="490" t="str">
        <f t="shared" si="198"/>
        <v>DELETE</v>
      </c>
    </row>
    <row r="2761" spans="3:23" ht="36" customHeight="1" x14ac:dyDescent="0.45">
      <c r="C2761" s="575"/>
      <c r="D2761" s="616" t="s">
        <v>564</v>
      </c>
      <c r="E2761" s="616"/>
      <c r="F2761" s="616"/>
      <c r="G2761" s="616"/>
      <c r="H2761" s="616"/>
      <c r="I2761" s="616"/>
      <c r="J2761" s="645"/>
      <c r="K2761" s="450"/>
      <c r="L2761" s="451"/>
      <c r="M2761" s="448"/>
      <c r="N2761" s="450"/>
      <c r="O2761" s="588">
        <f>SUM(TrialBalance!L23:L26)</f>
        <v>0</v>
      </c>
      <c r="P2761" s="454"/>
      <c r="R2761" s="490" t="str">
        <f t="shared" si="198"/>
        <v>DELETE</v>
      </c>
    </row>
    <row r="2762" spans="3:23" ht="9" customHeight="1" x14ac:dyDescent="0.45">
      <c r="C2762" s="575"/>
      <c r="D2762" s="616"/>
      <c r="E2762" s="616"/>
      <c r="F2762" s="616"/>
      <c r="G2762" s="616"/>
      <c r="H2762" s="616"/>
      <c r="I2762" s="616"/>
      <c r="J2762" s="645"/>
      <c r="K2762" s="450"/>
      <c r="L2762" s="451"/>
      <c r="M2762" s="448"/>
      <c r="N2762" s="450"/>
      <c r="O2762" s="589"/>
      <c r="P2762" s="454"/>
      <c r="R2762" s="490" t="str">
        <f>R2751</f>
        <v>DELETE</v>
      </c>
    </row>
    <row r="2763" spans="3:23" ht="9" customHeight="1" x14ac:dyDescent="0.45">
      <c r="C2763" s="575"/>
      <c r="D2763" s="616"/>
      <c r="E2763" s="616"/>
      <c r="F2763" s="616"/>
      <c r="G2763" s="616"/>
      <c r="H2763" s="616"/>
      <c r="I2763" s="616"/>
      <c r="J2763" s="645"/>
      <c r="K2763" s="450"/>
      <c r="L2763" s="451"/>
      <c r="M2763" s="448"/>
      <c r="N2763" s="450"/>
      <c r="O2763" s="461"/>
      <c r="P2763" s="454"/>
      <c r="R2763" s="490" t="str">
        <f>R2751</f>
        <v>DELETE</v>
      </c>
    </row>
    <row r="2764" spans="3:23" ht="9" customHeight="1" x14ac:dyDescent="0.45">
      <c r="C2764" s="575"/>
      <c r="D2764" s="616"/>
      <c r="E2764" s="616"/>
      <c r="F2764" s="616"/>
      <c r="G2764" s="616"/>
      <c r="H2764" s="616"/>
      <c r="I2764" s="616"/>
      <c r="J2764" s="645"/>
      <c r="K2764" s="450"/>
      <c r="L2764" s="451"/>
      <c r="M2764" s="448"/>
      <c r="N2764" s="450"/>
      <c r="O2764" s="458"/>
      <c r="P2764" s="454"/>
      <c r="R2764" s="490" t="str">
        <f>R2763</f>
        <v>DELETE</v>
      </c>
    </row>
    <row r="2765" spans="3:23" ht="36" customHeight="1" x14ac:dyDescent="0.45">
      <c r="D2765" s="637" t="str">
        <f>IF(W2765=2,"Gross profit","Gross loss")</f>
        <v>Gross profit</v>
      </c>
      <c r="E2765" s="616"/>
      <c r="F2765" s="616"/>
      <c r="G2765" s="616"/>
      <c r="H2765" s="616"/>
      <c r="I2765" s="616"/>
      <c r="J2765" s="645"/>
      <c r="K2765" s="450"/>
      <c r="L2765" s="451"/>
      <c r="M2765" s="448"/>
      <c r="N2765" s="450"/>
      <c r="O2765" s="458">
        <f>SUM(S2747:S2762)</f>
        <v>0</v>
      </c>
      <c r="P2765" s="454"/>
      <c r="R2765" s="490" t="str">
        <f>R2764</f>
        <v>DELETE</v>
      </c>
      <c r="W2765" s="491">
        <f>IF(O2765&lt;0,1,2)</f>
        <v>2</v>
      </c>
    </row>
    <row r="2766" spans="3:23" ht="36" customHeight="1" x14ac:dyDescent="0.45">
      <c r="C2766" s="575"/>
      <c r="D2766" s="616"/>
      <c r="E2766" s="616"/>
      <c r="F2766" s="616"/>
      <c r="G2766" s="616"/>
      <c r="H2766" s="616"/>
      <c r="I2766" s="616"/>
      <c r="J2766" s="645"/>
      <c r="K2766" s="450"/>
      <c r="L2766" s="451"/>
      <c r="M2766" s="448"/>
      <c r="N2766" s="450"/>
      <c r="O2766" s="458"/>
      <c r="P2766" s="454"/>
      <c r="R2766" s="490" t="str">
        <f>R2765</f>
        <v>DELETE</v>
      </c>
    </row>
    <row r="2767" spans="3:23" ht="36" customHeight="1" x14ac:dyDescent="0.45">
      <c r="D2767" s="615" t="s">
        <v>1491</v>
      </c>
      <c r="E2767" s="616"/>
      <c r="F2767" s="616"/>
      <c r="G2767" s="616"/>
      <c r="H2767" s="616"/>
      <c r="I2767" s="616"/>
      <c r="J2767" s="645"/>
      <c r="K2767" s="450"/>
      <c r="L2767" s="451"/>
      <c r="M2767" s="448"/>
      <c r="N2767" s="450"/>
      <c r="O2767" s="458">
        <f>SUM(O2769:O2776)</f>
        <v>0</v>
      </c>
      <c r="P2767" s="454"/>
      <c r="R2767" s="490" t="str">
        <f t="shared" ref="R2767" si="199">IF(O2767=0,"DELETE"," ")</f>
        <v>DELETE</v>
      </c>
      <c r="S2767" s="495">
        <f>O2767</f>
        <v>0</v>
      </c>
      <c r="T2767" s="495"/>
    </row>
    <row r="2768" spans="3:23" ht="9" customHeight="1" x14ac:dyDescent="0.45">
      <c r="C2768" s="575"/>
      <c r="D2768" s="616"/>
      <c r="E2768" s="616"/>
      <c r="F2768" s="616"/>
      <c r="G2768" s="616"/>
      <c r="H2768" s="616"/>
      <c r="I2768" s="616"/>
      <c r="J2768" s="645"/>
      <c r="K2768" s="450"/>
      <c r="L2768" s="451"/>
      <c r="M2768" s="448"/>
      <c r="N2768" s="450"/>
      <c r="O2768" s="458"/>
      <c r="P2768" s="454"/>
      <c r="R2768" s="490" t="str">
        <f>R2767</f>
        <v>DELETE</v>
      </c>
    </row>
    <row r="2769" spans="3:22" ht="9" customHeight="1" x14ac:dyDescent="0.45">
      <c r="C2769" s="575"/>
      <c r="D2769" s="616"/>
      <c r="E2769" s="616"/>
      <c r="F2769" s="616"/>
      <c r="G2769" s="616"/>
      <c r="H2769" s="616"/>
      <c r="I2769" s="616"/>
      <c r="J2769" s="645"/>
      <c r="K2769" s="450"/>
      <c r="L2769" s="451"/>
      <c r="M2769" s="448"/>
      <c r="N2769" s="450"/>
      <c r="O2769" s="587"/>
      <c r="P2769" s="454"/>
      <c r="R2769" s="490" t="str">
        <f>R2767</f>
        <v>DELETE</v>
      </c>
    </row>
    <row r="2770" spans="3:22" ht="36" customHeight="1" x14ac:dyDescent="0.45">
      <c r="C2770" s="575"/>
      <c r="D2770" s="616" t="str">
        <f>TrialBalance!C28</f>
        <v>Insurance claims - Seafront Hotel</v>
      </c>
      <c r="E2770" s="616"/>
      <c r="F2770" s="616"/>
      <c r="G2770" s="616"/>
      <c r="H2770" s="616"/>
      <c r="I2770" s="616"/>
      <c r="J2770" s="645"/>
      <c r="K2770" s="450"/>
      <c r="L2770" s="451"/>
      <c r="M2770" s="448"/>
      <c r="N2770" s="450"/>
      <c r="O2770" s="588">
        <f>-TrialBalance!L28</f>
        <v>0</v>
      </c>
      <c r="P2770" s="454"/>
      <c r="R2770" s="490" t="str">
        <f t="shared" ref="R2770:R2774" si="200">IF(O2770=0,"DELETE"," ")</f>
        <v>DELETE</v>
      </c>
    </row>
    <row r="2771" spans="3:22" ht="36" customHeight="1" x14ac:dyDescent="0.45">
      <c r="C2771" s="575"/>
      <c r="D2771" s="616" t="str">
        <f>TrialBalance!C29</f>
        <v>Government grants received</v>
      </c>
      <c r="E2771" s="616"/>
      <c r="F2771" s="616"/>
      <c r="G2771" s="616"/>
      <c r="H2771" s="616"/>
      <c r="I2771" s="616"/>
      <c r="J2771" s="645"/>
      <c r="K2771" s="450"/>
      <c r="L2771" s="451"/>
      <c r="M2771" s="448"/>
      <c r="N2771" s="450"/>
      <c r="O2771" s="588">
        <f>-TrialBalance!L29</f>
        <v>0</v>
      </c>
      <c r="P2771" s="454"/>
      <c r="R2771" s="490" t="str">
        <f t="shared" si="200"/>
        <v>DELETE</v>
      </c>
    </row>
    <row r="2772" spans="3:22" ht="36" customHeight="1" x14ac:dyDescent="0.45">
      <c r="C2772" s="575"/>
      <c r="D2772" s="616">
        <f>TrialBalance!C30</f>
        <v>0</v>
      </c>
      <c r="E2772" s="616"/>
      <c r="F2772" s="616"/>
      <c r="G2772" s="616"/>
      <c r="H2772" s="616"/>
      <c r="I2772" s="616"/>
      <c r="J2772" s="645"/>
      <c r="K2772" s="450"/>
      <c r="L2772" s="451"/>
      <c r="M2772" s="448"/>
      <c r="N2772" s="450"/>
      <c r="O2772" s="588">
        <f>-TrialBalance!L30</f>
        <v>0</v>
      </c>
      <c r="P2772" s="454"/>
      <c r="R2772" s="490" t="str">
        <f t="shared" si="200"/>
        <v>DELETE</v>
      </c>
    </row>
    <row r="2773" spans="3:22" ht="36" customHeight="1" x14ac:dyDescent="0.45">
      <c r="C2773" s="575"/>
      <c r="D2773" s="616">
        <f>TrialBalance!C31</f>
        <v>0</v>
      </c>
      <c r="E2773" s="616"/>
      <c r="F2773" s="616"/>
      <c r="G2773" s="616"/>
      <c r="H2773" s="616"/>
      <c r="I2773" s="616"/>
      <c r="J2773" s="645"/>
      <c r="K2773" s="450"/>
      <c r="L2773" s="451"/>
      <c r="M2773" s="448"/>
      <c r="N2773" s="450"/>
      <c r="O2773" s="588">
        <f>-TrialBalance!L31</f>
        <v>0</v>
      </c>
      <c r="P2773" s="454"/>
      <c r="R2773" s="490" t="str">
        <f t="shared" si="200"/>
        <v>DELETE</v>
      </c>
    </row>
    <row r="2774" spans="3:22" ht="36" customHeight="1" x14ac:dyDescent="0.45">
      <c r="C2774" s="575"/>
      <c r="D2774" s="616">
        <f>TrialBalance!C32</f>
        <v>0</v>
      </c>
      <c r="E2774" s="616"/>
      <c r="F2774" s="616"/>
      <c r="G2774" s="616"/>
      <c r="H2774" s="616"/>
      <c r="I2774" s="616"/>
      <c r="J2774" s="645"/>
      <c r="K2774" s="450"/>
      <c r="L2774" s="451"/>
      <c r="M2774" s="448"/>
      <c r="N2774" s="450"/>
      <c r="O2774" s="588">
        <f>-TrialBalance!L32</f>
        <v>0</v>
      </c>
      <c r="P2774" s="454"/>
      <c r="R2774" s="490" t="str">
        <f t="shared" si="200"/>
        <v>DELETE</v>
      </c>
    </row>
    <row r="2775" spans="3:22" ht="36" customHeight="1" x14ac:dyDescent="0.45">
      <c r="C2775" s="575"/>
      <c r="D2775" s="616" t="str">
        <f>TrialBalance!C33</f>
        <v>Recoupment of depreciation</v>
      </c>
      <c r="E2775" s="616"/>
      <c r="F2775" s="616"/>
      <c r="G2775" s="616"/>
      <c r="H2775" s="616"/>
      <c r="I2775" s="616"/>
      <c r="J2775" s="645"/>
      <c r="K2775" s="450"/>
      <c r="L2775" s="451"/>
      <c r="M2775" s="448"/>
      <c r="N2775" s="450"/>
      <c r="O2775" s="588">
        <f>-TrialBalance!L33</f>
        <v>0</v>
      </c>
      <c r="P2775" s="454"/>
      <c r="R2775" s="490" t="str">
        <f t="shared" ref="R2775" si="201">IF(O2775=0,"DELETE"," ")</f>
        <v>DELETE</v>
      </c>
    </row>
    <row r="2776" spans="3:22" ht="9" customHeight="1" x14ac:dyDescent="0.45">
      <c r="C2776" s="575"/>
      <c r="D2776" s="616"/>
      <c r="E2776" s="616"/>
      <c r="F2776" s="616"/>
      <c r="G2776" s="616"/>
      <c r="H2776" s="616"/>
      <c r="I2776" s="616"/>
      <c r="J2776" s="645"/>
      <c r="K2776" s="450"/>
      <c r="L2776" s="451"/>
      <c r="M2776" s="448"/>
      <c r="N2776" s="450"/>
      <c r="O2776" s="589"/>
      <c r="P2776" s="454"/>
      <c r="R2776" s="490" t="str">
        <f>R2767</f>
        <v>DELETE</v>
      </c>
    </row>
    <row r="2777" spans="3:22" ht="9" customHeight="1" x14ac:dyDescent="0.45">
      <c r="C2777" s="575"/>
      <c r="D2777" s="616"/>
      <c r="E2777" s="616"/>
      <c r="F2777" s="616"/>
      <c r="G2777" s="616"/>
      <c r="H2777" s="616"/>
      <c r="I2777" s="616"/>
      <c r="J2777" s="645"/>
      <c r="K2777" s="450"/>
      <c r="L2777" s="451"/>
      <c r="M2777" s="448"/>
      <c r="N2777" s="450"/>
      <c r="O2777" s="479"/>
      <c r="P2777" s="454"/>
      <c r="R2777" s="490" t="str">
        <f>R2776</f>
        <v>DELETE</v>
      </c>
    </row>
    <row r="2778" spans="3:22" ht="9" customHeight="1" x14ac:dyDescent="0.45">
      <c r="C2778" s="575"/>
      <c r="D2778" s="616"/>
      <c r="E2778" s="616"/>
      <c r="F2778" s="616"/>
      <c r="G2778" s="616"/>
      <c r="H2778" s="616"/>
      <c r="I2778" s="616"/>
      <c r="J2778" s="645"/>
      <c r="K2778" s="450"/>
      <c r="L2778" s="451"/>
      <c r="M2778" s="448"/>
      <c r="N2778" s="450"/>
      <c r="O2778" s="458"/>
      <c r="P2778" s="454"/>
      <c r="R2778" s="490" t="str">
        <f>R2777</f>
        <v>DELETE</v>
      </c>
    </row>
    <row r="2779" spans="3:22" ht="36" customHeight="1" x14ac:dyDescent="0.45">
      <c r="C2779" s="575"/>
      <c r="D2779" s="616"/>
      <c r="E2779" s="616"/>
      <c r="F2779" s="616"/>
      <c r="G2779" s="616"/>
      <c r="H2779" s="616"/>
      <c r="I2779" s="616"/>
      <c r="J2779" s="645"/>
      <c r="K2779" s="450"/>
      <c r="L2779" s="451"/>
      <c r="M2779" s="448"/>
      <c r="N2779" s="450"/>
      <c r="O2779" s="458">
        <f>SUM(S2747:S2767)</f>
        <v>0</v>
      </c>
      <c r="P2779" s="454"/>
      <c r="R2779" s="490" t="str">
        <f>R2767</f>
        <v>DELETE</v>
      </c>
    </row>
    <row r="2780" spans="3:22" ht="36" customHeight="1" x14ac:dyDescent="0.45">
      <c r="C2780" s="575"/>
      <c r="D2780" s="616"/>
      <c r="E2780" s="616"/>
      <c r="F2780" s="616"/>
      <c r="G2780" s="616"/>
      <c r="H2780" s="616"/>
      <c r="I2780" s="616"/>
      <c r="J2780" s="645"/>
      <c r="K2780" s="450"/>
      <c r="L2780" s="451"/>
      <c r="M2780" s="448"/>
      <c r="N2780" s="450"/>
      <c r="O2780" s="458"/>
      <c r="P2780" s="454"/>
      <c r="R2780" s="490" t="str">
        <f>R2779</f>
        <v>DELETE</v>
      </c>
    </row>
    <row r="2781" spans="3:22" ht="36" customHeight="1" x14ac:dyDescent="0.45">
      <c r="D2781" s="615" t="s">
        <v>1532</v>
      </c>
      <c r="E2781" s="616"/>
      <c r="F2781" s="616"/>
      <c r="G2781" s="616"/>
      <c r="H2781" s="616"/>
      <c r="I2781" s="616"/>
      <c r="J2781" s="645"/>
      <c r="K2781" s="450"/>
      <c r="L2781" s="451"/>
      <c r="M2781" s="448"/>
      <c r="N2781" s="450"/>
      <c r="O2781" s="458">
        <f>SUM(O2783:O2812)</f>
        <v>0</v>
      </c>
      <c r="P2781" s="454"/>
      <c r="R2781" s="490" t="str">
        <f t="shared" ref="R2781" si="202">IF(O2781=0,"DELETE"," ")</f>
        <v>DELETE</v>
      </c>
      <c r="S2781" s="495">
        <f>-O2781</f>
        <v>0</v>
      </c>
      <c r="T2781" s="495"/>
      <c r="U2781" s="495"/>
      <c r="V2781" s="495"/>
    </row>
    <row r="2782" spans="3:22" ht="9" customHeight="1" x14ac:dyDescent="0.45">
      <c r="C2782" s="575"/>
      <c r="D2782" s="616"/>
      <c r="E2782" s="616"/>
      <c r="F2782" s="616"/>
      <c r="G2782" s="616"/>
      <c r="H2782" s="616"/>
      <c r="I2782" s="616"/>
      <c r="J2782" s="645"/>
      <c r="K2782" s="450"/>
      <c r="L2782" s="451"/>
      <c r="M2782" s="448"/>
      <c r="N2782" s="450"/>
      <c r="O2782" s="458"/>
      <c r="P2782" s="454"/>
      <c r="R2782" s="490" t="str">
        <f>R2781</f>
        <v>DELETE</v>
      </c>
    </row>
    <row r="2783" spans="3:22" ht="9" customHeight="1" x14ac:dyDescent="0.45">
      <c r="C2783" s="575"/>
      <c r="D2783" s="616"/>
      <c r="E2783" s="616"/>
      <c r="F2783" s="616"/>
      <c r="G2783" s="616"/>
      <c r="H2783" s="616"/>
      <c r="I2783" s="616"/>
      <c r="J2783" s="645"/>
      <c r="K2783" s="450"/>
      <c r="L2783" s="451"/>
      <c r="M2783" s="448"/>
      <c r="N2783" s="450"/>
      <c r="O2783" s="587"/>
      <c r="P2783" s="454"/>
      <c r="R2783" s="490" t="str">
        <f>R2782</f>
        <v>DELETE</v>
      </c>
    </row>
    <row r="2784" spans="3:22" ht="36" customHeight="1" x14ac:dyDescent="0.45">
      <c r="C2784" s="575"/>
      <c r="D2784" s="616" t="s">
        <v>302</v>
      </c>
      <c r="E2784" s="616"/>
      <c r="F2784" s="616"/>
      <c r="G2784" s="616"/>
      <c r="H2784" s="616"/>
      <c r="I2784" s="616"/>
      <c r="J2784" s="645"/>
      <c r="K2784" s="450"/>
      <c r="L2784" s="451"/>
      <c r="M2784" s="448"/>
      <c r="N2784" s="450"/>
      <c r="O2784" s="588">
        <f>TrialBalance!L40</f>
        <v>0</v>
      </c>
      <c r="P2784" s="454"/>
      <c r="R2784" s="490" t="str">
        <f t="shared" ref="R2784:R2811" si="203">IF(O2784=0,"DELETE"," ")</f>
        <v>DELETE</v>
      </c>
    </row>
    <row r="2785" spans="3:22" ht="36" customHeight="1" x14ac:dyDescent="0.45">
      <c r="C2785" s="575"/>
      <c r="D2785" s="616" t="s">
        <v>831</v>
      </c>
      <c r="E2785" s="616"/>
      <c r="F2785" s="616"/>
      <c r="G2785" s="616"/>
      <c r="H2785" s="616"/>
      <c r="I2785" s="616"/>
      <c r="J2785" s="645"/>
      <c r="K2785" s="450"/>
      <c r="L2785" s="451"/>
      <c r="M2785" s="448"/>
      <c r="N2785" s="450"/>
      <c r="O2785" s="588">
        <f>TrialBalance!L41</f>
        <v>0</v>
      </c>
      <c r="P2785" s="454"/>
      <c r="R2785" s="490" t="str">
        <f t="shared" si="203"/>
        <v>DELETE</v>
      </c>
    </row>
    <row r="2786" spans="3:22" ht="36" customHeight="1" x14ac:dyDescent="0.45">
      <c r="C2786" s="575"/>
      <c r="D2786" s="616" t="s">
        <v>303</v>
      </c>
      <c r="E2786" s="616"/>
      <c r="F2786" s="616"/>
      <c r="G2786" s="616"/>
      <c r="H2786" s="616"/>
      <c r="I2786" s="616"/>
      <c r="J2786" s="645"/>
      <c r="K2786" s="450"/>
      <c r="L2786" s="451"/>
      <c r="M2786" s="448"/>
      <c r="N2786" s="450"/>
      <c r="O2786" s="588">
        <f>TrialBalance!L42</f>
        <v>0</v>
      </c>
      <c r="P2786" s="454"/>
      <c r="R2786" s="490" t="str">
        <f t="shared" si="203"/>
        <v>DELETE</v>
      </c>
    </row>
    <row r="2787" spans="3:22" ht="36" customHeight="1" x14ac:dyDescent="0.45">
      <c r="C2787" s="575"/>
      <c r="D2787" s="616" t="s">
        <v>304</v>
      </c>
      <c r="E2787" s="616"/>
      <c r="F2787" s="616"/>
      <c r="G2787" s="616"/>
      <c r="H2787" s="616"/>
      <c r="I2787" s="616"/>
      <c r="J2787" s="645"/>
      <c r="K2787" s="450">
        <f>B$1212</f>
        <v>4</v>
      </c>
      <c r="L2787" s="451"/>
      <c r="M2787" s="448"/>
      <c r="N2787" s="450"/>
      <c r="O2787" s="588">
        <f>SUM(TrialBalance!L44:L46)</f>
        <v>0</v>
      </c>
      <c r="P2787" s="454"/>
      <c r="R2787" s="490" t="str">
        <f t="shared" si="203"/>
        <v>DELETE</v>
      </c>
    </row>
    <row r="2788" spans="3:22" ht="36" customHeight="1" x14ac:dyDescent="0.45">
      <c r="C2788" s="575"/>
      <c r="D2788" s="616" t="s">
        <v>565</v>
      </c>
      <c r="E2788" s="616"/>
      <c r="F2788" s="616"/>
      <c r="G2788" s="616"/>
      <c r="H2788" s="616"/>
      <c r="I2788" s="616"/>
      <c r="J2788" s="645"/>
      <c r="K2788" s="450"/>
      <c r="L2788" s="451"/>
      <c r="M2788" s="448"/>
      <c r="N2788" s="450"/>
      <c r="O2788" s="588">
        <f>TrialBalance!L47</f>
        <v>0</v>
      </c>
      <c r="P2788" s="454"/>
      <c r="R2788" s="490" t="str">
        <f t="shared" si="203"/>
        <v>DELETE</v>
      </c>
      <c r="S2788" s="496"/>
      <c r="T2788" s="496"/>
      <c r="U2788" s="496"/>
      <c r="V2788" s="496"/>
    </row>
    <row r="2789" spans="3:22" ht="36" customHeight="1" x14ac:dyDescent="0.45">
      <c r="C2789" s="575"/>
      <c r="D2789" s="616" t="s">
        <v>871</v>
      </c>
      <c r="E2789" s="616"/>
      <c r="F2789" s="616"/>
      <c r="G2789" s="616"/>
      <c r="H2789" s="616"/>
      <c r="I2789" s="616"/>
      <c r="J2789" s="645"/>
      <c r="K2789" s="450"/>
      <c r="L2789" s="451"/>
      <c r="M2789" s="448"/>
      <c r="N2789" s="450"/>
      <c r="O2789" s="588">
        <f>TrialBalance!L48</f>
        <v>0</v>
      </c>
      <c r="P2789" s="454"/>
      <c r="R2789" s="490" t="str">
        <f t="shared" si="203"/>
        <v>DELETE</v>
      </c>
    </row>
    <row r="2790" spans="3:22" ht="36" customHeight="1" x14ac:dyDescent="0.45">
      <c r="C2790" s="575"/>
      <c r="D2790" s="616" t="s">
        <v>69</v>
      </c>
      <c r="E2790" s="616"/>
      <c r="F2790" s="616"/>
      <c r="G2790" s="616"/>
      <c r="H2790" s="616"/>
      <c r="I2790" s="616"/>
      <c r="J2790" s="645"/>
      <c r="K2790" s="450"/>
      <c r="L2790" s="451"/>
      <c r="M2790" s="448"/>
      <c r="N2790" s="450"/>
      <c r="O2790" s="588">
        <f>TrialBalance!L49</f>
        <v>0</v>
      </c>
      <c r="P2790" s="454"/>
      <c r="R2790" s="490" t="str">
        <f t="shared" si="203"/>
        <v>DELETE</v>
      </c>
    </row>
    <row r="2791" spans="3:22" ht="36" customHeight="1" x14ac:dyDescent="0.45">
      <c r="C2791" s="575"/>
      <c r="D2791" s="616" t="s">
        <v>305</v>
      </c>
      <c r="E2791" s="616"/>
      <c r="F2791" s="616"/>
      <c r="G2791" s="616"/>
      <c r="H2791" s="616"/>
      <c r="I2791" s="616"/>
      <c r="J2791" s="645"/>
      <c r="K2791" s="450"/>
      <c r="L2791" s="451"/>
      <c r="M2791" s="448"/>
      <c r="N2791" s="450"/>
      <c r="O2791" s="588">
        <f>TrialBalance!L50</f>
        <v>0</v>
      </c>
      <c r="P2791" s="454"/>
      <c r="R2791" s="490" t="str">
        <f t="shared" si="203"/>
        <v>DELETE</v>
      </c>
    </row>
    <row r="2792" spans="3:22" ht="36" customHeight="1" x14ac:dyDescent="0.45">
      <c r="C2792" s="575"/>
      <c r="D2792" s="616" t="s">
        <v>587</v>
      </c>
      <c r="E2792" s="616"/>
      <c r="F2792" s="616"/>
      <c r="G2792" s="616"/>
      <c r="H2792" s="616"/>
      <c r="I2792" s="616"/>
      <c r="J2792" s="645"/>
      <c r="K2792" s="450"/>
      <c r="L2792" s="451"/>
      <c r="M2792" s="448"/>
      <c r="N2792" s="450"/>
      <c r="O2792" s="588">
        <f>SUM(TrialBalance!L51:L52)</f>
        <v>0</v>
      </c>
      <c r="P2792" s="454"/>
      <c r="R2792" s="490" t="str">
        <f t="shared" si="203"/>
        <v>DELETE</v>
      </c>
    </row>
    <row r="2793" spans="3:22" ht="36" customHeight="1" x14ac:dyDescent="0.45">
      <c r="C2793" s="575"/>
      <c r="D2793" s="616" t="s">
        <v>585</v>
      </c>
      <c r="E2793" s="616"/>
      <c r="F2793" s="616"/>
      <c r="G2793" s="616"/>
      <c r="H2793" s="616"/>
      <c r="I2793" s="616"/>
      <c r="J2793" s="645"/>
      <c r="K2793" s="450"/>
      <c r="L2793" s="451"/>
      <c r="M2793" s="448"/>
      <c r="N2793" s="450"/>
      <c r="O2793" s="588">
        <f>TrialBalance!L53</f>
        <v>0</v>
      </c>
      <c r="P2793" s="454"/>
      <c r="R2793" s="490" t="str">
        <f t="shared" si="203"/>
        <v>DELETE</v>
      </c>
    </row>
    <row r="2794" spans="3:22" ht="36" customHeight="1" x14ac:dyDescent="0.45">
      <c r="C2794" s="575"/>
      <c r="D2794" s="616" t="s">
        <v>566</v>
      </c>
      <c r="E2794" s="616"/>
      <c r="F2794" s="616"/>
      <c r="G2794" s="616"/>
      <c r="H2794" s="616"/>
      <c r="I2794" s="616"/>
      <c r="J2794" s="645"/>
      <c r="K2794" s="450"/>
      <c r="L2794" s="451"/>
      <c r="M2794" s="448"/>
      <c r="N2794" s="450"/>
      <c r="O2794" s="588">
        <f>SUM(TrialBalance!L55:L59)</f>
        <v>0</v>
      </c>
      <c r="P2794" s="454"/>
      <c r="R2794" s="490" t="str">
        <f t="shared" si="203"/>
        <v>DELETE</v>
      </c>
    </row>
    <row r="2795" spans="3:22" ht="36" customHeight="1" x14ac:dyDescent="0.45">
      <c r="C2795" s="575"/>
      <c r="D2795" s="616" t="s">
        <v>547</v>
      </c>
      <c r="E2795" s="616"/>
      <c r="F2795" s="616"/>
      <c r="G2795" s="616"/>
      <c r="H2795" s="616"/>
      <c r="I2795" s="616"/>
      <c r="J2795" s="645"/>
      <c r="K2795" s="450">
        <f>B$1212</f>
        <v>4</v>
      </c>
      <c r="L2795" s="451"/>
      <c r="M2795" s="448"/>
      <c r="N2795" s="450"/>
      <c r="O2795" s="588">
        <f>SUM(TrialBalance!L61:L63)</f>
        <v>0</v>
      </c>
      <c r="P2795" s="454"/>
      <c r="R2795" s="490" t="str">
        <f t="shared" si="203"/>
        <v>DELETE</v>
      </c>
    </row>
    <row r="2796" spans="3:22" ht="36" customHeight="1" x14ac:dyDescent="0.45">
      <c r="C2796" s="575"/>
      <c r="D2796" s="616" t="s">
        <v>77</v>
      </c>
      <c r="E2796" s="616"/>
      <c r="F2796" s="616"/>
      <c r="G2796" s="616"/>
      <c r="H2796" s="616"/>
      <c r="I2796" s="616"/>
      <c r="J2796" s="645"/>
      <c r="K2796" s="450"/>
      <c r="L2796" s="451"/>
      <c r="M2796" s="448"/>
      <c r="N2796" s="450"/>
      <c r="O2796" s="588">
        <f>TrialBalance!L64</f>
        <v>0</v>
      </c>
      <c r="P2796" s="454"/>
      <c r="R2796" s="490" t="str">
        <f t="shared" si="203"/>
        <v>DELETE</v>
      </c>
    </row>
    <row r="2797" spans="3:22" ht="36" customHeight="1" x14ac:dyDescent="0.45">
      <c r="C2797" s="575"/>
      <c r="D2797" s="616" t="s">
        <v>1756</v>
      </c>
      <c r="E2797" s="616"/>
      <c r="F2797" s="616"/>
      <c r="G2797" s="616"/>
      <c r="H2797" s="616"/>
      <c r="I2797" s="616"/>
      <c r="J2797" s="645"/>
      <c r="K2797" s="450"/>
      <c r="L2797" s="451"/>
      <c r="M2797" s="448"/>
      <c r="N2797" s="450"/>
      <c r="O2797" s="588">
        <f>TrialBalance!L65</f>
        <v>0</v>
      </c>
      <c r="P2797" s="454"/>
      <c r="R2797" s="490" t="str">
        <f t="shared" ref="R2797" si="204">IF(O2797=0,"DELETE"," ")</f>
        <v>DELETE</v>
      </c>
    </row>
    <row r="2798" spans="3:22" ht="36" customHeight="1" x14ac:dyDescent="0.45">
      <c r="C2798" s="575"/>
      <c r="D2798" s="616" t="s">
        <v>286</v>
      </c>
      <c r="E2798" s="616"/>
      <c r="F2798" s="616"/>
      <c r="G2798" s="616"/>
      <c r="H2798" s="616"/>
      <c r="I2798" s="616"/>
      <c r="J2798" s="645"/>
      <c r="K2798" s="450"/>
      <c r="L2798" s="451"/>
      <c r="M2798" s="448"/>
      <c r="N2798" s="450"/>
      <c r="O2798" s="588">
        <f>SUM(TrialBalance!L66:L68)</f>
        <v>0</v>
      </c>
      <c r="P2798" s="454"/>
      <c r="R2798" s="490" t="str">
        <f t="shared" si="203"/>
        <v>DELETE</v>
      </c>
    </row>
    <row r="2799" spans="3:22" ht="36" customHeight="1" x14ac:dyDescent="0.45">
      <c r="C2799" s="575"/>
      <c r="D2799" s="616" t="s">
        <v>872</v>
      </c>
      <c r="E2799" s="616"/>
      <c r="F2799" s="616"/>
      <c r="G2799" s="616"/>
      <c r="H2799" s="616"/>
      <c r="I2799" s="616"/>
      <c r="J2799" s="645"/>
      <c r="K2799" s="450"/>
      <c r="L2799" s="451"/>
      <c r="M2799" s="448"/>
      <c r="N2799" s="450"/>
      <c r="O2799" s="588">
        <f>SUM(TrialBalance!L69:L70)</f>
        <v>0</v>
      </c>
      <c r="P2799" s="454"/>
      <c r="R2799" s="490" t="str">
        <f t="shared" si="203"/>
        <v>DELETE</v>
      </c>
    </row>
    <row r="2800" spans="3:22" ht="36" customHeight="1" x14ac:dyDescent="0.45">
      <c r="C2800" s="575"/>
      <c r="D2800" s="616" t="s">
        <v>287</v>
      </c>
      <c r="E2800" s="616"/>
      <c r="F2800" s="616"/>
      <c r="G2800" s="616"/>
      <c r="H2800" s="616"/>
      <c r="I2800" s="616"/>
      <c r="J2800" s="645"/>
      <c r="K2800" s="450"/>
      <c r="L2800" s="451"/>
      <c r="M2800" s="448"/>
      <c r="N2800" s="450"/>
      <c r="O2800" s="588">
        <f>TrialBalance!L71</f>
        <v>0</v>
      </c>
      <c r="P2800" s="454"/>
      <c r="R2800" s="490" t="str">
        <f t="shared" si="203"/>
        <v>DELETE</v>
      </c>
    </row>
    <row r="2801" spans="3:23" ht="36" customHeight="1" x14ac:dyDescent="0.45">
      <c r="C2801" s="575"/>
      <c r="D2801" s="616" t="s">
        <v>425</v>
      </c>
      <c r="E2801" s="616"/>
      <c r="F2801" s="616"/>
      <c r="G2801" s="616"/>
      <c r="H2801" s="616"/>
      <c r="I2801" s="616"/>
      <c r="J2801" s="645"/>
      <c r="K2801" s="450"/>
      <c r="L2801" s="451"/>
      <c r="M2801" s="448"/>
      <c r="N2801" s="450"/>
      <c r="O2801" s="588">
        <f>TrialBalance!L72</f>
        <v>0</v>
      </c>
      <c r="P2801" s="454"/>
      <c r="R2801" s="490" t="str">
        <f t="shared" si="203"/>
        <v>DELETE</v>
      </c>
    </row>
    <row r="2802" spans="3:23" ht="36" customHeight="1" x14ac:dyDescent="0.45">
      <c r="C2802" s="575"/>
      <c r="D2802" s="616">
        <f>TrialBalance!C73</f>
        <v>0</v>
      </c>
      <c r="E2802" s="616"/>
      <c r="F2802" s="616"/>
      <c r="G2802" s="616"/>
      <c r="H2802" s="616"/>
      <c r="I2802" s="616"/>
      <c r="J2802" s="645"/>
      <c r="K2802" s="450"/>
      <c r="L2802" s="451"/>
      <c r="M2802" s="448"/>
      <c r="N2802" s="450"/>
      <c r="O2802" s="588">
        <f>TrialBalance!L73</f>
        <v>0</v>
      </c>
      <c r="P2802" s="454"/>
      <c r="R2802" s="490" t="str">
        <f t="shared" si="203"/>
        <v>DELETE</v>
      </c>
    </row>
    <row r="2803" spans="3:23" ht="36" customHeight="1" x14ac:dyDescent="0.45">
      <c r="C2803" s="575"/>
      <c r="D2803" s="616">
        <f>TrialBalance!C74</f>
        <v>0</v>
      </c>
      <c r="E2803" s="616"/>
      <c r="F2803" s="616"/>
      <c r="G2803" s="616"/>
      <c r="H2803" s="616"/>
      <c r="I2803" s="616"/>
      <c r="J2803" s="645"/>
      <c r="K2803" s="450"/>
      <c r="L2803" s="451"/>
      <c r="M2803" s="448"/>
      <c r="N2803" s="450"/>
      <c r="O2803" s="588">
        <f>TrialBalance!L74</f>
        <v>0</v>
      </c>
      <c r="P2803" s="454"/>
      <c r="R2803" s="490" t="str">
        <f t="shared" si="203"/>
        <v>DELETE</v>
      </c>
    </row>
    <row r="2804" spans="3:23" ht="36" customHeight="1" x14ac:dyDescent="0.45">
      <c r="C2804" s="575"/>
      <c r="D2804" s="616">
        <f>TrialBalance!C75</f>
        <v>0</v>
      </c>
      <c r="E2804" s="616"/>
      <c r="F2804" s="616"/>
      <c r="G2804" s="616"/>
      <c r="H2804" s="616"/>
      <c r="I2804" s="616"/>
      <c r="J2804" s="645"/>
      <c r="K2804" s="450"/>
      <c r="L2804" s="451"/>
      <c r="M2804" s="448"/>
      <c r="N2804" s="450"/>
      <c r="O2804" s="588">
        <f>TrialBalance!L75</f>
        <v>0</v>
      </c>
      <c r="P2804" s="454"/>
      <c r="R2804" s="490" t="str">
        <f t="shared" si="203"/>
        <v>DELETE</v>
      </c>
    </row>
    <row r="2805" spans="3:23" ht="36" customHeight="1" x14ac:dyDescent="0.45">
      <c r="C2805" s="575"/>
      <c r="D2805" s="616">
        <f>TrialBalance!C76</f>
        <v>0</v>
      </c>
      <c r="E2805" s="616"/>
      <c r="F2805" s="616"/>
      <c r="G2805" s="616"/>
      <c r="H2805" s="616"/>
      <c r="I2805" s="616"/>
      <c r="J2805" s="645"/>
      <c r="K2805" s="450"/>
      <c r="L2805" s="451"/>
      <c r="M2805" s="448"/>
      <c r="N2805" s="450"/>
      <c r="O2805" s="588">
        <f>TrialBalance!L76</f>
        <v>0</v>
      </c>
      <c r="P2805" s="454"/>
      <c r="R2805" s="490" t="str">
        <f t="shared" si="203"/>
        <v>DELETE</v>
      </c>
    </row>
    <row r="2806" spans="3:23" ht="36" customHeight="1" x14ac:dyDescent="0.45">
      <c r="C2806" s="575"/>
      <c r="D2806" s="616">
        <f>TrialBalance!C77</f>
        <v>0</v>
      </c>
      <c r="E2806" s="616"/>
      <c r="F2806" s="616"/>
      <c r="G2806" s="616"/>
      <c r="H2806" s="616"/>
      <c r="I2806" s="616"/>
      <c r="J2806" s="645"/>
      <c r="K2806" s="450"/>
      <c r="L2806" s="451"/>
      <c r="M2806" s="448"/>
      <c r="N2806" s="450"/>
      <c r="O2806" s="588">
        <f>TrialBalance!L77</f>
        <v>0</v>
      </c>
      <c r="P2806" s="454"/>
      <c r="R2806" s="490" t="str">
        <f t="shared" si="203"/>
        <v>DELETE</v>
      </c>
    </row>
    <row r="2807" spans="3:23" ht="36" customHeight="1" x14ac:dyDescent="0.45">
      <c r="C2807" s="575"/>
      <c r="D2807" s="616">
        <f>TrialBalance!C78</f>
        <v>0</v>
      </c>
      <c r="E2807" s="616"/>
      <c r="F2807" s="616"/>
      <c r="G2807" s="616"/>
      <c r="H2807" s="616"/>
      <c r="I2807" s="616"/>
      <c r="J2807" s="645"/>
      <c r="K2807" s="450"/>
      <c r="L2807" s="451"/>
      <c r="M2807" s="448"/>
      <c r="N2807" s="450"/>
      <c r="O2807" s="588">
        <f>TrialBalance!L78</f>
        <v>0</v>
      </c>
      <c r="P2807" s="454"/>
      <c r="R2807" s="490" t="str">
        <f t="shared" si="203"/>
        <v>DELETE</v>
      </c>
    </row>
    <row r="2808" spans="3:23" ht="36" customHeight="1" x14ac:dyDescent="0.45">
      <c r="C2808" s="575"/>
      <c r="D2808" s="616">
        <f>TrialBalance!C79</f>
        <v>0</v>
      </c>
      <c r="E2808" s="616"/>
      <c r="F2808" s="616"/>
      <c r="G2808" s="616"/>
      <c r="H2808" s="616"/>
      <c r="I2808" s="616"/>
      <c r="J2808" s="645"/>
      <c r="K2808" s="450"/>
      <c r="L2808" s="451"/>
      <c r="M2808" s="448"/>
      <c r="N2808" s="450"/>
      <c r="O2808" s="588">
        <f>TrialBalance!L79</f>
        <v>0</v>
      </c>
      <c r="P2808" s="454"/>
      <c r="R2808" s="490" t="str">
        <f t="shared" si="203"/>
        <v>DELETE</v>
      </c>
    </row>
    <row r="2809" spans="3:23" ht="36" customHeight="1" x14ac:dyDescent="0.45">
      <c r="C2809" s="575"/>
      <c r="D2809" s="616">
        <f>TrialBalance!C80</f>
        <v>0</v>
      </c>
      <c r="E2809" s="616"/>
      <c r="F2809" s="616"/>
      <c r="G2809" s="616"/>
      <c r="H2809" s="616"/>
      <c r="I2809" s="616"/>
      <c r="J2809" s="645"/>
      <c r="K2809" s="450"/>
      <c r="L2809" s="451"/>
      <c r="M2809" s="448"/>
      <c r="N2809" s="450"/>
      <c r="O2809" s="588">
        <f>TrialBalance!L80</f>
        <v>0</v>
      </c>
      <c r="P2809" s="454"/>
      <c r="R2809" s="490" t="str">
        <f t="shared" si="203"/>
        <v>DELETE</v>
      </c>
    </row>
    <row r="2810" spans="3:23" ht="36" customHeight="1" x14ac:dyDescent="0.45">
      <c r="C2810" s="575"/>
      <c r="D2810" s="616">
        <f>TrialBalance!C81</f>
        <v>0</v>
      </c>
      <c r="E2810" s="616"/>
      <c r="F2810" s="616"/>
      <c r="G2810" s="616"/>
      <c r="H2810" s="616"/>
      <c r="I2810" s="616"/>
      <c r="J2810" s="645"/>
      <c r="K2810" s="450"/>
      <c r="L2810" s="451"/>
      <c r="M2810" s="448"/>
      <c r="N2810" s="450"/>
      <c r="O2810" s="588">
        <f>TrialBalance!L81</f>
        <v>0</v>
      </c>
      <c r="P2810" s="454"/>
      <c r="R2810" s="490" t="str">
        <f t="shared" si="203"/>
        <v>DELETE</v>
      </c>
    </row>
    <row r="2811" spans="3:23" ht="36" customHeight="1" x14ac:dyDescent="0.45">
      <c r="C2811" s="575"/>
      <c r="D2811" s="616">
        <f>TrialBalance!C82</f>
        <v>0</v>
      </c>
      <c r="E2811" s="616"/>
      <c r="F2811" s="616"/>
      <c r="G2811" s="616"/>
      <c r="H2811" s="616"/>
      <c r="I2811" s="616"/>
      <c r="J2811" s="645"/>
      <c r="K2811" s="450"/>
      <c r="L2811" s="451"/>
      <c r="M2811" s="448"/>
      <c r="N2811" s="450"/>
      <c r="O2811" s="588">
        <f>TrialBalance!L82</f>
        <v>0</v>
      </c>
      <c r="P2811" s="454"/>
      <c r="R2811" s="490" t="str">
        <f t="shared" si="203"/>
        <v>DELETE</v>
      </c>
    </row>
    <row r="2812" spans="3:23" ht="9" customHeight="1" x14ac:dyDescent="0.45">
      <c r="C2812" s="575"/>
      <c r="D2812" s="616"/>
      <c r="E2812" s="616"/>
      <c r="F2812" s="616"/>
      <c r="G2812" s="616"/>
      <c r="H2812" s="616"/>
      <c r="I2812" s="616"/>
      <c r="J2812" s="645"/>
      <c r="K2812" s="450"/>
      <c r="L2812" s="451"/>
      <c r="M2812" s="448"/>
      <c r="N2812" s="450"/>
      <c r="O2812" s="589"/>
      <c r="P2812" s="454"/>
      <c r="R2812" s="490" t="str">
        <f>R2781</f>
        <v>DELETE</v>
      </c>
    </row>
    <row r="2813" spans="3:23" ht="9" customHeight="1" x14ac:dyDescent="0.45">
      <c r="C2813" s="575"/>
      <c r="D2813" s="616"/>
      <c r="E2813" s="616"/>
      <c r="F2813" s="616"/>
      <c r="G2813" s="616"/>
      <c r="H2813" s="616"/>
      <c r="I2813" s="616"/>
      <c r="J2813" s="645"/>
      <c r="K2813" s="450"/>
      <c r="L2813" s="451"/>
      <c r="M2813" s="448"/>
      <c r="N2813" s="450"/>
      <c r="O2813" s="461"/>
      <c r="P2813" s="454"/>
    </row>
    <row r="2814" spans="3:23" ht="9" customHeight="1" x14ac:dyDescent="0.45">
      <c r="C2814" s="575"/>
      <c r="D2814" s="616"/>
      <c r="E2814" s="616"/>
      <c r="F2814" s="616"/>
      <c r="G2814" s="616"/>
      <c r="H2814" s="616"/>
      <c r="I2814" s="616"/>
      <c r="J2814" s="645"/>
      <c r="K2814" s="450"/>
      <c r="L2814" s="451"/>
      <c r="M2814" s="448"/>
      <c r="N2814" s="450"/>
      <c r="O2814" s="458"/>
      <c r="P2814" s="454"/>
    </row>
    <row r="2815" spans="3:23" ht="36" customHeight="1" x14ac:dyDescent="0.45">
      <c r="D2815" s="637" t="str">
        <f>IF(W2815=2,"Operating profit","Operating loss")</f>
        <v>Operating profit</v>
      </c>
      <c r="E2815" s="616"/>
      <c r="F2815" s="616"/>
      <c r="G2815" s="616"/>
      <c r="H2815" s="616"/>
      <c r="I2815" s="616"/>
      <c r="J2815" s="645"/>
      <c r="K2815" s="450"/>
      <c r="L2815" s="451"/>
      <c r="M2815" s="448"/>
      <c r="N2815" s="450"/>
      <c r="O2815" s="458">
        <f>SUM(S2747:S2813)</f>
        <v>0</v>
      </c>
      <c r="P2815" s="454"/>
      <c r="W2815" s="491">
        <f>IF(O2815&lt;0,1,2)</f>
        <v>2</v>
      </c>
    </row>
    <row r="2816" spans="3:23" ht="36" customHeight="1" x14ac:dyDescent="0.45">
      <c r="C2816" s="575"/>
      <c r="D2816" s="616"/>
      <c r="E2816" s="616" t="s">
        <v>289</v>
      </c>
      <c r="F2816" s="616"/>
      <c r="G2816" s="616"/>
      <c r="H2816" s="616"/>
      <c r="I2816" s="616"/>
      <c r="J2816" s="645"/>
      <c r="K2816" s="450"/>
      <c r="L2816" s="451"/>
      <c r="M2816" s="448"/>
      <c r="N2816" s="450"/>
      <c r="O2816" s="458"/>
      <c r="P2816" s="454"/>
    </row>
    <row r="2817" spans="3:23" ht="36" customHeight="1" x14ac:dyDescent="0.45">
      <c r="C2817" s="575"/>
      <c r="D2817" s="616"/>
      <c r="E2817" s="616"/>
      <c r="F2817" s="616"/>
      <c r="G2817" s="616"/>
      <c r="H2817" s="616"/>
      <c r="I2817" s="616"/>
      <c r="J2817" s="645"/>
      <c r="K2817" s="450"/>
      <c r="L2817" s="450"/>
      <c r="M2817" s="458"/>
      <c r="N2817" s="458"/>
      <c r="O2817" s="458"/>
      <c r="P2817" s="454"/>
    </row>
    <row r="2818" spans="3:23" ht="36" customHeight="1" x14ac:dyDescent="0.45">
      <c r="C2818" s="575"/>
      <c r="D2818" s="616"/>
      <c r="E2818" s="616"/>
      <c r="F2818" s="616"/>
      <c r="G2818" s="616"/>
      <c r="H2818" s="616"/>
      <c r="I2818" s="616"/>
      <c r="J2818" s="645"/>
      <c r="K2818" s="450"/>
      <c r="L2818" s="450"/>
      <c r="M2818" s="475"/>
      <c r="N2818" s="475"/>
      <c r="O2818" s="475"/>
      <c r="P2818" s="521"/>
    </row>
    <row r="2819" spans="3:23" ht="36" customHeight="1" x14ac:dyDescent="0.45">
      <c r="C2819" s="575"/>
      <c r="D2819" s="616"/>
      <c r="E2819" s="616"/>
      <c r="F2819" s="616"/>
      <c r="G2819" s="616"/>
      <c r="H2819" s="616"/>
      <c r="I2819" s="616"/>
      <c r="J2819" s="645"/>
      <c r="K2819" s="450"/>
      <c r="L2819" s="450"/>
      <c r="M2819" s="458"/>
      <c r="N2819" s="458"/>
      <c r="O2819" s="458"/>
      <c r="P2819" s="454"/>
    </row>
    <row r="2820" spans="3:23" ht="36" customHeight="1" x14ac:dyDescent="0.45">
      <c r="C2820" s="575"/>
      <c r="D2820" s="616"/>
      <c r="E2820" s="616"/>
      <c r="F2820" s="616"/>
      <c r="G2820" s="616"/>
      <c r="H2820" s="616"/>
      <c r="I2820" s="616"/>
      <c r="J2820" s="645"/>
      <c r="K2820" s="450"/>
      <c r="L2820" s="450"/>
      <c r="M2820" s="458"/>
      <c r="N2820" s="458"/>
      <c r="O2820" s="458" t="s">
        <v>112</v>
      </c>
      <c r="P2820" s="454"/>
      <c r="Q2820" s="450">
        <f>MAX($Q$103:Q2819)+1</f>
        <v>74</v>
      </c>
    </row>
    <row r="2821" spans="3:23" ht="36" customHeight="1" x14ac:dyDescent="0.45">
      <c r="C2821" s="575"/>
      <c r="D2821" s="615" t="str">
        <f>Criteria!E9</f>
        <v>ABC COMPANY (PROPRIETARY) LIMITED</v>
      </c>
      <c r="E2821" s="616"/>
      <c r="F2821" s="616"/>
      <c r="G2821" s="616"/>
      <c r="H2821" s="616"/>
      <c r="I2821" s="616"/>
      <c r="J2821" s="645"/>
      <c r="K2821" s="450"/>
      <c r="L2821" s="450"/>
      <c r="M2821" s="458"/>
      <c r="N2821" s="458"/>
      <c r="O2821" s="540"/>
    </row>
    <row r="2822" spans="3:23" ht="36" customHeight="1" x14ac:dyDescent="0.45">
      <c r="C2822" s="575"/>
      <c r="D2822" s="615" t="str">
        <f>IF(Criteria!E13=0," ",CONCATENATE("T/A ",Criteria!E13))</f>
        <v>T/A SEAFRONT HOTEL</v>
      </c>
      <c r="E2822" s="616"/>
      <c r="F2822" s="616"/>
      <c r="G2822" s="616"/>
      <c r="H2822" s="616"/>
      <c r="I2822" s="616"/>
      <c r="J2822" s="645"/>
      <c r="K2822" s="450"/>
      <c r="L2822" s="450"/>
      <c r="M2822" s="458"/>
      <c r="N2822" s="458"/>
      <c r="O2822" s="458"/>
      <c r="P2822" s="454"/>
      <c r="R2822" s="490" t="str">
        <f>IF(Criteria!E13=0,"DELETE"," ")</f>
        <v xml:space="preserve"> </v>
      </c>
    </row>
    <row r="2823" spans="3:23" ht="36" customHeight="1" x14ac:dyDescent="0.45">
      <c r="C2823" s="575"/>
      <c r="D2823" s="616"/>
      <c r="E2823" s="616"/>
      <c r="F2823" s="616"/>
      <c r="G2823" s="616"/>
      <c r="H2823" s="616"/>
      <c r="I2823" s="616"/>
      <c r="J2823" s="645"/>
      <c r="K2823" s="450"/>
      <c r="L2823" s="450"/>
      <c r="M2823" s="458"/>
      <c r="N2823" s="458"/>
      <c r="O2823" s="458"/>
      <c r="P2823" s="454"/>
    </row>
    <row r="2824" spans="3:23" ht="36" customHeight="1" x14ac:dyDescent="0.45">
      <c r="C2824" s="575"/>
      <c r="D2824" s="615" t="s">
        <v>109</v>
      </c>
      <c r="E2824" s="616"/>
      <c r="F2824" s="616"/>
      <c r="G2824" s="616"/>
      <c r="H2824" s="616"/>
      <c r="I2824" s="616"/>
      <c r="J2824" s="645"/>
      <c r="K2824" s="450"/>
      <c r="L2824" s="450"/>
      <c r="M2824" s="458"/>
      <c r="N2824" s="458"/>
      <c r="O2824" s="458"/>
      <c r="P2824" s="454"/>
    </row>
    <row r="2825" spans="3:23" ht="36" customHeight="1" x14ac:dyDescent="0.45">
      <c r="C2825" s="575"/>
      <c r="D2825" s="615" t="str">
        <f>D2742</f>
        <v>28 FEBRUARY 2026</v>
      </c>
      <c r="E2825" s="616"/>
      <c r="F2825" s="616"/>
      <c r="G2825" s="616"/>
      <c r="H2825" s="616"/>
      <c r="I2825" s="616"/>
      <c r="J2825" s="616" t="s">
        <v>118</v>
      </c>
      <c r="K2825" s="450"/>
      <c r="L2825" s="450"/>
      <c r="M2825" s="458"/>
      <c r="N2825" s="458"/>
      <c r="O2825" s="458"/>
      <c r="P2825" s="454"/>
    </row>
    <row r="2826" spans="3:23" ht="36" customHeight="1" x14ac:dyDescent="0.45">
      <c r="C2826" s="575"/>
      <c r="D2826" s="616"/>
      <c r="E2826" s="616"/>
      <c r="F2826" s="616"/>
      <c r="G2826" s="616"/>
      <c r="H2826" s="616"/>
      <c r="I2826" s="616"/>
      <c r="J2826" s="645"/>
      <c r="K2826" s="467"/>
      <c r="L2826" s="467"/>
      <c r="M2826" s="461"/>
      <c r="N2826" s="461"/>
      <c r="O2826" s="461"/>
      <c r="P2826" s="454"/>
    </row>
    <row r="2827" spans="3:23" ht="36" customHeight="1" x14ac:dyDescent="0.45">
      <c r="C2827" s="575"/>
      <c r="D2827" s="634"/>
      <c r="E2827" s="634"/>
      <c r="F2827" s="634"/>
      <c r="G2827" s="634"/>
      <c r="H2827" s="634"/>
      <c r="I2827" s="634"/>
      <c r="J2827" s="647"/>
      <c r="M2827" s="541"/>
      <c r="N2827" s="541"/>
      <c r="O2827" s="541"/>
      <c r="P2827" s="486"/>
      <c r="Q2827" s="457"/>
    </row>
    <row r="2828" spans="3:23" ht="36" customHeight="1" x14ac:dyDescent="0.45">
      <c r="C2828" s="575"/>
      <c r="D2828" s="616"/>
      <c r="E2828" s="616"/>
      <c r="F2828" s="616"/>
      <c r="G2828" s="616"/>
      <c r="H2828" s="616"/>
      <c r="I2828" s="616"/>
      <c r="J2828" s="645"/>
      <c r="K2828" s="450" t="s">
        <v>1494</v>
      </c>
      <c r="L2828" s="451"/>
      <c r="M2828" s="448"/>
      <c r="N2828" s="450"/>
      <c r="O2828" s="453">
        <f>Criteria!E22</f>
        <v>2026</v>
      </c>
      <c r="P2828" s="454"/>
    </row>
    <row r="2829" spans="3:23" ht="36" customHeight="1" x14ac:dyDescent="0.45">
      <c r="C2829" s="575"/>
      <c r="D2829" s="616"/>
      <c r="E2829" s="616"/>
      <c r="F2829" s="616"/>
      <c r="G2829" s="616"/>
      <c r="H2829" s="616"/>
      <c r="I2829" s="616"/>
      <c r="J2829" s="645"/>
      <c r="K2829" s="450"/>
      <c r="L2829" s="451"/>
      <c r="M2829" s="448"/>
      <c r="N2829" s="450"/>
      <c r="O2829" s="458"/>
      <c r="P2829" s="454"/>
    </row>
    <row r="2830" spans="3:23" ht="36" customHeight="1" x14ac:dyDescent="0.45">
      <c r="D2830" s="637" t="str">
        <f>IF(W2830=2,"Operating profit","Operating loss")</f>
        <v>Operating profit</v>
      </c>
      <c r="E2830" s="616"/>
      <c r="F2830" s="616"/>
      <c r="G2830" s="616"/>
      <c r="H2830" s="616"/>
      <c r="I2830" s="616"/>
      <c r="J2830" s="645"/>
      <c r="K2830" s="450"/>
      <c r="L2830" s="451"/>
      <c r="M2830" s="448"/>
      <c r="N2830" s="450"/>
      <c r="O2830" s="458">
        <f>SUM(S2747:S2812)</f>
        <v>0</v>
      </c>
      <c r="P2830" s="454"/>
      <c r="U2830" s="491" t="b">
        <f>O2830=O2815</f>
        <v>1</v>
      </c>
      <c r="W2830" s="491">
        <f>IF(O2830&lt;0,1,2)</f>
        <v>2</v>
      </c>
    </row>
    <row r="2831" spans="3:23" ht="36" customHeight="1" x14ac:dyDescent="0.45">
      <c r="C2831" s="575"/>
      <c r="D2831" s="616"/>
      <c r="E2831" s="616" t="s">
        <v>290</v>
      </c>
      <c r="F2831" s="616"/>
      <c r="G2831" s="616"/>
      <c r="H2831" s="616"/>
      <c r="I2831" s="616"/>
      <c r="J2831" s="645"/>
      <c r="K2831" s="450"/>
      <c r="L2831" s="451"/>
      <c r="M2831" s="448"/>
      <c r="N2831" s="450"/>
      <c r="O2831" s="458"/>
      <c r="P2831" s="454"/>
    </row>
    <row r="2832" spans="3:23" ht="36" customHeight="1" x14ac:dyDescent="0.45">
      <c r="C2832" s="575"/>
      <c r="D2832" s="616"/>
      <c r="E2832" s="616"/>
      <c r="F2832" s="616"/>
      <c r="G2832" s="616"/>
      <c r="H2832" s="616"/>
      <c r="I2832" s="616"/>
      <c r="J2832" s="645"/>
      <c r="K2832" s="450"/>
      <c r="L2832" s="451"/>
      <c r="M2832" s="448"/>
      <c r="N2832" s="450"/>
      <c r="O2832" s="458"/>
      <c r="P2832" s="454"/>
    </row>
    <row r="2833" spans="3:22" ht="36" customHeight="1" x14ac:dyDescent="0.45">
      <c r="D2833" s="615" t="s">
        <v>1533</v>
      </c>
      <c r="E2833" s="616"/>
      <c r="F2833" s="616"/>
      <c r="G2833" s="616"/>
      <c r="H2833" s="616"/>
      <c r="I2833" s="616"/>
      <c r="J2833" s="645"/>
      <c r="K2833" s="450"/>
      <c r="L2833" s="451"/>
      <c r="M2833" s="448"/>
      <c r="N2833" s="450"/>
      <c r="O2833" s="458">
        <f>SUM(O2836:O2870)</f>
        <v>0</v>
      </c>
      <c r="P2833" s="454"/>
      <c r="R2833" s="490" t="str">
        <f t="shared" ref="R2833" si="205">IF(O2833=0,"DELETE"," ")</f>
        <v>DELETE</v>
      </c>
      <c r="S2833" s="495">
        <f>-O2833</f>
        <v>0</v>
      </c>
      <c r="T2833" s="495"/>
      <c r="U2833" s="495"/>
      <c r="V2833" s="495"/>
    </row>
    <row r="2834" spans="3:22" ht="9" customHeight="1" x14ac:dyDescent="0.45">
      <c r="C2834" s="575"/>
      <c r="D2834" s="616"/>
      <c r="E2834" s="616"/>
      <c r="F2834" s="616"/>
      <c r="G2834" s="616"/>
      <c r="H2834" s="616"/>
      <c r="I2834" s="616"/>
      <c r="J2834" s="645"/>
      <c r="K2834" s="450"/>
      <c r="L2834" s="451"/>
      <c r="M2834" s="448"/>
      <c r="N2834" s="450"/>
      <c r="O2834" s="458"/>
      <c r="P2834" s="454"/>
      <c r="R2834" s="490" t="str">
        <f>R2833</f>
        <v>DELETE</v>
      </c>
    </row>
    <row r="2835" spans="3:22" ht="9" customHeight="1" x14ac:dyDescent="0.45">
      <c r="C2835" s="575"/>
      <c r="D2835" s="616"/>
      <c r="E2835" s="616"/>
      <c r="F2835" s="616"/>
      <c r="G2835" s="616"/>
      <c r="H2835" s="616"/>
      <c r="I2835" s="616"/>
      <c r="J2835" s="645"/>
      <c r="K2835" s="450"/>
      <c r="L2835" s="451"/>
      <c r="M2835" s="448"/>
      <c r="N2835" s="450"/>
      <c r="O2835" s="587"/>
      <c r="P2835" s="454"/>
      <c r="R2835" s="490" t="str">
        <f>R2834</f>
        <v>DELETE</v>
      </c>
    </row>
    <row r="2836" spans="3:22" ht="36" customHeight="1" x14ac:dyDescent="0.45">
      <c r="C2836" s="575"/>
      <c r="D2836" s="616" t="s">
        <v>233</v>
      </c>
      <c r="E2836" s="616"/>
      <c r="F2836" s="616"/>
      <c r="G2836" s="616"/>
      <c r="H2836" s="616"/>
      <c r="I2836" s="616"/>
      <c r="J2836" s="645"/>
      <c r="K2836" s="450"/>
      <c r="L2836" s="451"/>
      <c r="M2836" s="448"/>
      <c r="N2836" s="450"/>
      <c r="O2836" s="588">
        <f>SUM(TrialBalance!L102:L102)</f>
        <v>0</v>
      </c>
      <c r="P2836" s="454"/>
      <c r="R2836" s="490" t="str">
        <f t="shared" ref="R2836:R2868" si="206">IF(O2836=0,"DELETE"," ")</f>
        <v>DELETE</v>
      </c>
    </row>
    <row r="2837" spans="3:22" ht="36" customHeight="1" x14ac:dyDescent="0.45">
      <c r="C2837" s="575"/>
      <c r="D2837" s="616" t="s">
        <v>729</v>
      </c>
      <c r="E2837" s="616"/>
      <c r="F2837" s="616"/>
      <c r="G2837" s="616"/>
      <c r="H2837" s="616"/>
      <c r="I2837" s="616"/>
      <c r="J2837" s="645"/>
      <c r="K2837" s="450"/>
      <c r="L2837" s="451"/>
      <c r="M2837" s="448"/>
      <c r="N2837" s="450"/>
      <c r="O2837" s="588">
        <f>SUM(TrialBalance!L99:L101)</f>
        <v>0</v>
      </c>
      <c r="P2837" s="454"/>
      <c r="R2837" s="490" t="str">
        <f t="shared" si="206"/>
        <v>DELETE</v>
      </c>
    </row>
    <row r="2838" spans="3:22" ht="36" customHeight="1" x14ac:dyDescent="0.45">
      <c r="C2838" s="575"/>
      <c r="D2838" s="616" t="s">
        <v>235</v>
      </c>
      <c r="E2838" s="616"/>
      <c r="F2838" s="616"/>
      <c r="G2838" s="616"/>
      <c r="H2838" s="616"/>
      <c r="I2838" s="616"/>
      <c r="J2838" s="645"/>
      <c r="K2838" s="450"/>
      <c r="L2838" s="451"/>
      <c r="M2838" s="448"/>
      <c r="N2838" s="450"/>
      <c r="O2838" s="588">
        <f>TrialBalance!L103</f>
        <v>0</v>
      </c>
      <c r="P2838" s="454"/>
      <c r="R2838" s="490" t="str">
        <f t="shared" si="206"/>
        <v>DELETE</v>
      </c>
    </row>
    <row r="2839" spans="3:22" ht="36" customHeight="1" x14ac:dyDescent="0.45">
      <c r="C2839" s="575"/>
      <c r="D2839" s="616" t="s">
        <v>237</v>
      </c>
      <c r="E2839" s="616"/>
      <c r="F2839" s="616"/>
      <c r="G2839" s="616"/>
      <c r="H2839" s="616"/>
      <c r="I2839" s="616"/>
      <c r="J2839" s="645"/>
      <c r="K2839" s="450"/>
      <c r="L2839" s="451"/>
      <c r="M2839" s="448"/>
      <c r="N2839" s="450"/>
      <c r="O2839" s="588">
        <f>TrialBalance!L104</f>
        <v>0</v>
      </c>
      <c r="P2839" s="454"/>
      <c r="R2839" s="490" t="str">
        <f t="shared" si="206"/>
        <v>DELETE</v>
      </c>
    </row>
    <row r="2840" spans="3:22" ht="36" customHeight="1" x14ac:dyDescent="0.45">
      <c r="C2840" s="575"/>
      <c r="D2840" s="616" t="s">
        <v>291</v>
      </c>
      <c r="E2840" s="616"/>
      <c r="F2840" s="616"/>
      <c r="G2840" s="616"/>
      <c r="H2840" s="616"/>
      <c r="I2840" s="616"/>
      <c r="J2840" s="645"/>
      <c r="K2840" s="450"/>
      <c r="L2840" s="451"/>
      <c r="M2840" s="448"/>
      <c r="N2840" s="450"/>
      <c r="O2840" s="588">
        <f>TrialBalance!L105</f>
        <v>0</v>
      </c>
      <c r="P2840" s="454"/>
      <c r="R2840" s="490" t="str">
        <f t="shared" si="206"/>
        <v>DELETE</v>
      </c>
    </row>
    <row r="2841" spans="3:22" ht="36" customHeight="1" x14ac:dyDescent="0.45">
      <c r="C2841" s="575"/>
      <c r="D2841" s="616" t="s">
        <v>240</v>
      </c>
      <c r="E2841" s="616"/>
      <c r="F2841" s="616"/>
      <c r="G2841" s="616"/>
      <c r="H2841" s="616"/>
      <c r="I2841" s="616"/>
      <c r="J2841" s="645"/>
      <c r="K2841" s="450"/>
      <c r="L2841" s="451"/>
      <c r="M2841" s="448"/>
      <c r="N2841" s="450"/>
      <c r="O2841" s="588">
        <f>TrialBalance!L106</f>
        <v>0</v>
      </c>
      <c r="P2841" s="454"/>
      <c r="R2841" s="490" t="str">
        <f t="shared" si="206"/>
        <v>DELETE</v>
      </c>
    </row>
    <row r="2842" spans="3:22" ht="36" customHeight="1" x14ac:dyDescent="0.45">
      <c r="C2842" s="575"/>
      <c r="D2842" s="616" t="s">
        <v>873</v>
      </c>
      <c r="E2842" s="616"/>
      <c r="F2842" s="616"/>
      <c r="G2842" s="616"/>
      <c r="H2842" s="616"/>
      <c r="I2842" s="616"/>
      <c r="J2842" s="645"/>
      <c r="K2842" s="450"/>
      <c r="L2842" s="451"/>
      <c r="M2842" s="448"/>
      <c r="N2842" s="450"/>
      <c r="O2842" s="588">
        <f>TrialBalance!L107</f>
        <v>0</v>
      </c>
      <c r="P2842" s="454"/>
      <c r="R2842" s="490" t="str">
        <f t="shared" si="206"/>
        <v>DELETE</v>
      </c>
    </row>
    <row r="2843" spans="3:22" ht="36" customHeight="1" x14ac:dyDescent="0.45">
      <c r="C2843" s="575"/>
      <c r="D2843" s="616" t="s">
        <v>1759</v>
      </c>
      <c r="E2843" s="616"/>
      <c r="F2843" s="616"/>
      <c r="G2843" s="616"/>
      <c r="H2843" s="616"/>
      <c r="I2843" s="616"/>
      <c r="J2843" s="645"/>
      <c r="K2843" s="450"/>
      <c r="L2843" s="451"/>
      <c r="M2843" s="448"/>
      <c r="N2843" s="450"/>
      <c r="O2843" s="588">
        <f>TrialBalance!L108</f>
        <v>0</v>
      </c>
      <c r="P2843" s="454"/>
      <c r="R2843" s="490" t="str">
        <f t="shared" ref="R2843" si="207">IF(O2843=0,"DELETE"," ")</f>
        <v>DELETE</v>
      </c>
    </row>
    <row r="2844" spans="3:22" ht="36" customHeight="1" x14ac:dyDescent="0.45">
      <c r="C2844" s="575"/>
      <c r="D2844" s="616" t="s">
        <v>304</v>
      </c>
      <c r="E2844" s="616"/>
      <c r="F2844" s="616"/>
      <c r="G2844" s="616"/>
      <c r="H2844" s="616"/>
      <c r="I2844" s="616"/>
      <c r="J2844" s="645"/>
      <c r="K2844" s="450">
        <f>B$1212</f>
        <v>4</v>
      </c>
      <c r="L2844" s="451"/>
      <c r="M2844" s="448"/>
      <c r="N2844" s="450"/>
      <c r="O2844" s="588">
        <f>SUM(TrialBalance!L110:L111)</f>
        <v>0</v>
      </c>
      <c r="P2844" s="454"/>
      <c r="R2844" s="490" t="str">
        <f t="shared" si="206"/>
        <v>DELETE</v>
      </c>
    </row>
    <row r="2845" spans="3:22" ht="36" customHeight="1" x14ac:dyDescent="0.45">
      <c r="C2845" s="575"/>
      <c r="D2845" s="616" t="str">
        <f>IF(MAX(Criteria!I41:I45)&gt;1,"Directors' remuneration","Director's remuneration")</f>
        <v>Directors' remuneration</v>
      </c>
      <c r="E2845" s="616"/>
      <c r="F2845" s="616"/>
      <c r="G2845" s="616"/>
      <c r="H2845" s="616"/>
      <c r="I2845" s="616"/>
      <c r="J2845" s="645"/>
      <c r="K2845" s="450">
        <f>B$1212</f>
        <v>4</v>
      </c>
      <c r="L2845" s="451"/>
      <c r="M2845" s="448"/>
      <c r="N2845" s="450"/>
      <c r="O2845" s="588">
        <f>SUM(TrialBalance!L113:L117)</f>
        <v>0</v>
      </c>
      <c r="P2845" s="454"/>
      <c r="R2845" s="490" t="str">
        <f t="shared" si="206"/>
        <v>DELETE</v>
      </c>
    </row>
    <row r="2846" spans="3:22" ht="36" customHeight="1" x14ac:dyDescent="0.45">
      <c r="C2846" s="575"/>
      <c r="D2846" s="616" t="s">
        <v>292</v>
      </c>
      <c r="E2846" s="616"/>
      <c r="F2846" s="616"/>
      <c r="G2846" s="616"/>
      <c r="H2846" s="616"/>
      <c r="I2846" s="616"/>
      <c r="J2846" s="645"/>
      <c r="K2846" s="450"/>
      <c r="L2846" s="451"/>
      <c r="M2846" s="448"/>
      <c r="N2846" s="450"/>
      <c r="O2846" s="588">
        <f>TrialBalance!L118</f>
        <v>0</v>
      </c>
      <c r="P2846" s="454"/>
      <c r="R2846" s="490" t="str">
        <f t="shared" si="206"/>
        <v>DELETE</v>
      </c>
    </row>
    <row r="2847" spans="3:22" ht="36" customHeight="1" x14ac:dyDescent="0.45">
      <c r="C2847" s="575"/>
      <c r="D2847" s="616" t="s">
        <v>408</v>
      </c>
      <c r="E2847" s="616"/>
      <c r="F2847" s="616"/>
      <c r="G2847" s="616"/>
      <c r="H2847" s="616"/>
      <c r="I2847" s="616"/>
      <c r="J2847" s="645"/>
      <c r="K2847" s="450"/>
      <c r="L2847" s="451"/>
      <c r="M2847" s="448"/>
      <c r="N2847" s="450"/>
      <c r="O2847" s="588">
        <f>TrialBalance!L119</f>
        <v>0</v>
      </c>
      <c r="P2847" s="454"/>
      <c r="R2847" s="490" t="str">
        <f t="shared" si="206"/>
        <v>DELETE</v>
      </c>
    </row>
    <row r="2848" spans="3:22" ht="36" customHeight="1" x14ac:dyDescent="0.45">
      <c r="C2848" s="575"/>
      <c r="D2848" s="616" t="s">
        <v>357</v>
      </c>
      <c r="E2848" s="616"/>
      <c r="F2848" s="616"/>
      <c r="G2848" s="616"/>
      <c r="H2848" s="616"/>
      <c r="I2848" s="616"/>
      <c r="J2848" s="645"/>
      <c r="K2848" s="450"/>
      <c r="L2848" s="451"/>
      <c r="M2848" s="448"/>
      <c r="N2848" s="450"/>
      <c r="O2848" s="588">
        <f>TrialBalance!L120</f>
        <v>0</v>
      </c>
      <c r="P2848" s="454"/>
      <c r="R2848" s="490" t="str">
        <f t="shared" si="206"/>
        <v>DELETE</v>
      </c>
    </row>
    <row r="2849" spans="3:18" ht="36" customHeight="1" x14ac:dyDescent="0.45">
      <c r="C2849" s="575"/>
      <c r="D2849" s="616" t="s">
        <v>410</v>
      </c>
      <c r="E2849" s="616"/>
      <c r="F2849" s="616"/>
      <c r="G2849" s="616"/>
      <c r="H2849" s="616"/>
      <c r="I2849" s="616"/>
      <c r="J2849" s="645"/>
      <c r="K2849" s="450"/>
      <c r="L2849" s="451"/>
      <c r="M2849" s="448"/>
      <c r="N2849" s="450"/>
      <c r="O2849" s="588">
        <f>TrialBalance!L121</f>
        <v>0</v>
      </c>
      <c r="P2849" s="454"/>
      <c r="R2849" s="490" t="str">
        <f t="shared" si="206"/>
        <v>DELETE</v>
      </c>
    </row>
    <row r="2850" spans="3:18" ht="36" customHeight="1" x14ac:dyDescent="0.45">
      <c r="C2850" s="575"/>
      <c r="D2850" s="616" t="str">
        <f>TrialBalance!C156</f>
        <v>Impairment losses</v>
      </c>
      <c r="E2850" s="616"/>
      <c r="F2850" s="616"/>
      <c r="G2850" s="616"/>
      <c r="H2850" s="616"/>
      <c r="I2850" s="616"/>
      <c r="J2850" s="645"/>
      <c r="K2850" s="450"/>
      <c r="L2850" s="451"/>
      <c r="M2850" s="448"/>
      <c r="N2850" s="450"/>
      <c r="O2850" s="588">
        <f>TrialBalance!L156</f>
        <v>0</v>
      </c>
      <c r="P2850" s="454"/>
      <c r="R2850" s="490" t="str">
        <f>IF(O2850=0,"DELETE"," ")</f>
        <v>DELETE</v>
      </c>
    </row>
    <row r="2851" spans="3:18" ht="36" customHeight="1" x14ac:dyDescent="0.45">
      <c r="C2851" s="575"/>
      <c r="D2851" s="616" t="s">
        <v>561</v>
      </c>
      <c r="E2851" s="616"/>
      <c r="F2851" s="616"/>
      <c r="G2851" s="616"/>
      <c r="H2851" s="616"/>
      <c r="I2851" s="616"/>
      <c r="J2851" s="645"/>
      <c r="K2851" s="450"/>
      <c r="L2851" s="451"/>
      <c r="M2851" s="448"/>
      <c r="N2851" s="450"/>
      <c r="O2851" s="588">
        <f>TrialBalance!L122+TrialBalance!L123</f>
        <v>0</v>
      </c>
      <c r="P2851" s="454"/>
      <c r="R2851" s="490" t="str">
        <f t="shared" si="206"/>
        <v>DELETE</v>
      </c>
    </row>
    <row r="2852" spans="3:18" ht="36" customHeight="1" x14ac:dyDescent="0.45">
      <c r="C2852" s="575"/>
      <c r="D2852" s="616" t="s">
        <v>588</v>
      </c>
      <c r="E2852" s="616"/>
      <c r="F2852" s="616"/>
      <c r="G2852" s="616"/>
      <c r="H2852" s="616"/>
      <c r="I2852" s="616"/>
      <c r="J2852" s="645"/>
      <c r="K2852" s="450"/>
      <c r="L2852" s="451"/>
      <c r="M2852" s="448"/>
      <c r="N2852" s="450"/>
      <c r="O2852" s="588">
        <f>IF(TrialBalance!L94&gt;0,TrialBalance!L94,0)</f>
        <v>0</v>
      </c>
      <c r="P2852" s="454"/>
      <c r="R2852" s="490" t="str">
        <f>IF(O2852=0,"DELETE"," ")</f>
        <v>DELETE</v>
      </c>
    </row>
    <row r="2853" spans="3:18" ht="36" customHeight="1" x14ac:dyDescent="0.45">
      <c r="C2853" s="575"/>
      <c r="D2853" s="616" t="s">
        <v>874</v>
      </c>
      <c r="E2853" s="616"/>
      <c r="F2853" s="616"/>
      <c r="G2853" s="616"/>
      <c r="H2853" s="616"/>
      <c r="I2853" s="616"/>
      <c r="J2853" s="645"/>
      <c r="K2853" s="450"/>
      <c r="L2853" s="451"/>
      <c r="M2853" s="448"/>
      <c r="N2853" s="450"/>
      <c r="O2853" s="588">
        <f>TrialBalance!L124</f>
        <v>0</v>
      </c>
      <c r="P2853" s="454"/>
      <c r="R2853" s="490" t="str">
        <f t="shared" si="206"/>
        <v>DELETE</v>
      </c>
    </row>
    <row r="2854" spans="3:18" ht="36" customHeight="1" x14ac:dyDescent="0.45">
      <c r="C2854" s="575"/>
      <c r="D2854" s="616" t="s">
        <v>293</v>
      </c>
      <c r="E2854" s="616"/>
      <c r="F2854" s="616"/>
      <c r="G2854" s="616"/>
      <c r="H2854" s="616"/>
      <c r="I2854" s="616"/>
      <c r="J2854" s="645"/>
      <c r="K2854" s="450"/>
      <c r="L2854" s="451"/>
      <c r="M2854" s="448"/>
      <c r="N2854" s="450"/>
      <c r="O2854" s="588">
        <f>TrialBalance!L125</f>
        <v>0</v>
      </c>
      <c r="P2854" s="454"/>
      <c r="R2854" s="490" t="str">
        <f t="shared" si="206"/>
        <v>DELETE</v>
      </c>
    </row>
    <row r="2855" spans="3:18" ht="36" customHeight="1" x14ac:dyDescent="0.45">
      <c r="C2855" s="575"/>
      <c r="D2855" s="616" t="s">
        <v>286</v>
      </c>
      <c r="E2855" s="616"/>
      <c r="F2855" s="616"/>
      <c r="G2855" s="616"/>
      <c r="H2855" s="616"/>
      <c r="I2855" s="616"/>
      <c r="J2855" s="645"/>
      <c r="K2855" s="450"/>
      <c r="L2855" s="451"/>
      <c r="M2855" s="448"/>
      <c r="N2855" s="450"/>
      <c r="O2855" s="588">
        <f>SUM(TrialBalance!L126:L127)</f>
        <v>0</v>
      </c>
      <c r="P2855" s="454"/>
      <c r="R2855" s="490" t="str">
        <f t="shared" si="206"/>
        <v>DELETE</v>
      </c>
    </row>
    <row r="2856" spans="3:18" ht="36" customHeight="1" x14ac:dyDescent="0.45">
      <c r="C2856" s="575"/>
      <c r="D2856" s="616" t="s">
        <v>294</v>
      </c>
      <c r="E2856" s="616"/>
      <c r="F2856" s="616"/>
      <c r="G2856" s="616"/>
      <c r="H2856" s="616"/>
      <c r="I2856" s="616"/>
      <c r="J2856" s="645"/>
      <c r="K2856" s="450"/>
      <c r="L2856" s="451"/>
      <c r="M2856" s="448"/>
      <c r="N2856" s="450"/>
      <c r="O2856" s="588">
        <f>TrialBalance!L128</f>
        <v>0</v>
      </c>
      <c r="P2856" s="454"/>
      <c r="R2856" s="490" t="str">
        <f t="shared" si="206"/>
        <v>DELETE</v>
      </c>
    </row>
    <row r="2857" spans="3:18" ht="36" customHeight="1" x14ac:dyDescent="0.45">
      <c r="C2857" s="575"/>
      <c r="D2857" s="616" t="s">
        <v>875</v>
      </c>
      <c r="E2857" s="616"/>
      <c r="F2857" s="616"/>
      <c r="G2857" s="616"/>
      <c r="H2857" s="616"/>
      <c r="I2857" s="616"/>
      <c r="J2857" s="645"/>
      <c r="K2857" s="450"/>
      <c r="L2857" s="451"/>
      <c r="M2857" s="448"/>
      <c r="N2857" s="450"/>
      <c r="O2857" s="588">
        <f>TrialBalance!L129</f>
        <v>0</v>
      </c>
      <c r="P2857" s="454"/>
      <c r="R2857" s="490" t="str">
        <f t="shared" si="206"/>
        <v>DELETE</v>
      </c>
    </row>
    <row r="2858" spans="3:18" ht="36" customHeight="1" x14ac:dyDescent="0.45">
      <c r="C2858" s="575"/>
      <c r="D2858" s="616" t="s">
        <v>94</v>
      </c>
      <c r="E2858" s="616"/>
      <c r="F2858" s="616"/>
      <c r="G2858" s="616"/>
      <c r="H2858" s="616"/>
      <c r="I2858" s="616"/>
      <c r="J2858" s="645"/>
      <c r="K2858" s="450"/>
      <c r="L2858" s="451"/>
      <c r="M2858" s="448"/>
      <c r="N2858" s="450"/>
      <c r="O2858" s="588">
        <f>TrialBalance!L130</f>
        <v>0</v>
      </c>
      <c r="P2858" s="454"/>
      <c r="R2858" s="490" t="str">
        <f t="shared" si="206"/>
        <v>DELETE</v>
      </c>
    </row>
    <row r="2859" spans="3:18" ht="36" customHeight="1" x14ac:dyDescent="0.45">
      <c r="C2859" s="575"/>
      <c r="D2859" s="616">
        <f>TrialBalance!C131</f>
        <v>0</v>
      </c>
      <c r="E2859" s="616"/>
      <c r="F2859" s="616"/>
      <c r="G2859" s="616"/>
      <c r="H2859" s="616"/>
      <c r="I2859" s="616"/>
      <c r="J2859" s="645"/>
      <c r="K2859" s="450"/>
      <c r="L2859" s="451"/>
      <c r="M2859" s="448"/>
      <c r="N2859" s="450"/>
      <c r="O2859" s="588">
        <f>TrialBalance!L131</f>
        <v>0</v>
      </c>
      <c r="P2859" s="454"/>
      <c r="R2859" s="490" t="str">
        <f t="shared" si="206"/>
        <v>DELETE</v>
      </c>
    </row>
    <row r="2860" spans="3:18" ht="36" customHeight="1" x14ac:dyDescent="0.45">
      <c r="C2860" s="575"/>
      <c r="D2860" s="616">
        <f>TrialBalance!C132</f>
        <v>0</v>
      </c>
      <c r="E2860" s="616"/>
      <c r="F2860" s="616"/>
      <c r="G2860" s="616"/>
      <c r="H2860" s="616"/>
      <c r="I2860" s="616"/>
      <c r="J2860" s="645"/>
      <c r="K2860" s="450"/>
      <c r="L2860" s="451"/>
      <c r="M2860" s="448"/>
      <c r="N2860" s="450"/>
      <c r="O2860" s="588">
        <f>TrialBalance!L132</f>
        <v>0</v>
      </c>
      <c r="P2860" s="454"/>
      <c r="R2860" s="490" t="str">
        <f t="shared" si="206"/>
        <v>DELETE</v>
      </c>
    </row>
    <row r="2861" spans="3:18" ht="36" customHeight="1" x14ac:dyDescent="0.45">
      <c r="C2861" s="575"/>
      <c r="D2861" s="616">
        <f>TrialBalance!C133</f>
        <v>0</v>
      </c>
      <c r="E2861" s="616"/>
      <c r="F2861" s="616"/>
      <c r="G2861" s="616"/>
      <c r="H2861" s="616"/>
      <c r="I2861" s="616"/>
      <c r="J2861" s="645"/>
      <c r="K2861" s="450"/>
      <c r="L2861" s="451"/>
      <c r="M2861" s="448"/>
      <c r="N2861" s="450"/>
      <c r="O2861" s="588">
        <f>TrialBalance!L133</f>
        <v>0</v>
      </c>
      <c r="P2861" s="454"/>
      <c r="R2861" s="490" t="str">
        <f t="shared" si="206"/>
        <v>DELETE</v>
      </c>
    </row>
    <row r="2862" spans="3:18" ht="36" customHeight="1" x14ac:dyDescent="0.45">
      <c r="C2862" s="575"/>
      <c r="D2862" s="616">
        <f>TrialBalance!C134</f>
        <v>0</v>
      </c>
      <c r="E2862" s="616"/>
      <c r="F2862" s="616"/>
      <c r="G2862" s="616"/>
      <c r="H2862" s="616"/>
      <c r="I2862" s="616"/>
      <c r="J2862" s="645"/>
      <c r="K2862" s="450"/>
      <c r="L2862" s="451"/>
      <c r="M2862" s="448"/>
      <c r="N2862" s="450"/>
      <c r="O2862" s="588">
        <f>TrialBalance!L134</f>
        <v>0</v>
      </c>
      <c r="P2862" s="454"/>
      <c r="R2862" s="490" t="str">
        <f t="shared" si="206"/>
        <v>DELETE</v>
      </c>
    </row>
    <row r="2863" spans="3:18" ht="36" customHeight="1" x14ac:dyDescent="0.45">
      <c r="C2863" s="575"/>
      <c r="D2863" s="616">
        <f>TrialBalance!C135</f>
        <v>0</v>
      </c>
      <c r="E2863" s="616"/>
      <c r="F2863" s="616"/>
      <c r="G2863" s="616"/>
      <c r="H2863" s="616"/>
      <c r="I2863" s="616"/>
      <c r="J2863" s="645"/>
      <c r="K2863" s="450"/>
      <c r="L2863" s="451"/>
      <c r="M2863" s="448"/>
      <c r="N2863" s="450"/>
      <c r="O2863" s="588">
        <f>TrialBalance!L135</f>
        <v>0</v>
      </c>
      <c r="P2863" s="454"/>
      <c r="R2863" s="490" t="str">
        <f t="shared" si="206"/>
        <v>DELETE</v>
      </c>
    </row>
    <row r="2864" spans="3:18" ht="36" customHeight="1" x14ac:dyDescent="0.45">
      <c r="C2864" s="575"/>
      <c r="D2864" s="616">
        <f>TrialBalance!C136</f>
        <v>0</v>
      </c>
      <c r="E2864" s="616"/>
      <c r="F2864" s="616"/>
      <c r="G2864" s="616"/>
      <c r="H2864" s="616"/>
      <c r="I2864" s="616"/>
      <c r="J2864" s="645"/>
      <c r="K2864" s="450"/>
      <c r="L2864" s="451"/>
      <c r="M2864" s="448"/>
      <c r="N2864" s="450"/>
      <c r="O2864" s="588">
        <f>TrialBalance!L136</f>
        <v>0</v>
      </c>
      <c r="P2864" s="454"/>
      <c r="R2864" s="490" t="str">
        <f t="shared" si="206"/>
        <v>DELETE</v>
      </c>
    </row>
    <row r="2865" spans="3:23" ht="36" customHeight="1" x14ac:dyDescent="0.45">
      <c r="C2865" s="575"/>
      <c r="D2865" s="616">
        <f>TrialBalance!C137</f>
        <v>0</v>
      </c>
      <c r="E2865" s="616"/>
      <c r="F2865" s="616"/>
      <c r="G2865" s="616"/>
      <c r="H2865" s="616"/>
      <c r="I2865" s="616"/>
      <c r="J2865" s="645"/>
      <c r="K2865" s="450"/>
      <c r="L2865" s="451"/>
      <c r="M2865" s="448"/>
      <c r="N2865" s="450"/>
      <c r="O2865" s="588">
        <f>TrialBalance!L137</f>
        <v>0</v>
      </c>
      <c r="P2865" s="454"/>
      <c r="R2865" s="490" t="str">
        <f t="shared" si="206"/>
        <v>DELETE</v>
      </c>
    </row>
    <row r="2866" spans="3:23" ht="36" customHeight="1" x14ac:dyDescent="0.45">
      <c r="C2866" s="575"/>
      <c r="D2866" s="616">
        <f>TrialBalance!C138</f>
        <v>0</v>
      </c>
      <c r="E2866" s="616"/>
      <c r="F2866" s="616"/>
      <c r="G2866" s="616"/>
      <c r="H2866" s="616"/>
      <c r="I2866" s="616"/>
      <c r="J2866" s="645"/>
      <c r="K2866" s="450"/>
      <c r="L2866" s="451"/>
      <c r="M2866" s="448"/>
      <c r="N2866" s="450"/>
      <c r="O2866" s="588">
        <f>TrialBalance!L138</f>
        <v>0</v>
      </c>
      <c r="P2866" s="454"/>
      <c r="R2866" s="490" t="str">
        <f t="shared" si="206"/>
        <v>DELETE</v>
      </c>
    </row>
    <row r="2867" spans="3:23" ht="36" customHeight="1" x14ac:dyDescent="0.45">
      <c r="C2867" s="575"/>
      <c r="D2867" s="616">
        <f>TrialBalance!C139</f>
        <v>0</v>
      </c>
      <c r="E2867" s="616"/>
      <c r="F2867" s="616"/>
      <c r="G2867" s="616"/>
      <c r="H2867" s="616"/>
      <c r="I2867" s="616"/>
      <c r="J2867" s="645"/>
      <c r="K2867" s="450"/>
      <c r="L2867" s="451"/>
      <c r="M2867" s="448"/>
      <c r="N2867" s="450"/>
      <c r="O2867" s="588">
        <f>TrialBalance!L139</f>
        <v>0</v>
      </c>
      <c r="P2867" s="454"/>
      <c r="R2867" s="490" t="str">
        <f t="shared" si="206"/>
        <v>DELETE</v>
      </c>
    </row>
    <row r="2868" spans="3:23" ht="36" customHeight="1" x14ac:dyDescent="0.45">
      <c r="C2868" s="575"/>
      <c r="D2868" s="616" t="str">
        <f>TrialBalance!C140</f>
        <v>Amortisation of prepaid lease agreement</v>
      </c>
      <c r="E2868" s="616"/>
      <c r="F2868" s="616"/>
      <c r="G2868" s="616"/>
      <c r="H2868" s="616"/>
      <c r="I2868" s="616"/>
      <c r="J2868" s="645"/>
      <c r="K2868" s="450"/>
      <c r="L2868" s="451"/>
      <c r="M2868" s="448"/>
      <c r="N2868" s="450"/>
      <c r="O2868" s="588">
        <f>TrialBalance!L140</f>
        <v>0</v>
      </c>
      <c r="P2868" s="454"/>
      <c r="R2868" s="490" t="str">
        <f t="shared" si="206"/>
        <v>DELETE</v>
      </c>
    </row>
    <row r="2869" spans="3:23" ht="36" customHeight="1" x14ac:dyDescent="0.45">
      <c r="C2869" s="575"/>
      <c r="D2869" s="616" t="str">
        <f>TrialBalance!C141</f>
        <v>Amortisation of goodwill</v>
      </c>
      <c r="E2869" s="616"/>
      <c r="F2869" s="616"/>
      <c r="G2869" s="616"/>
      <c r="H2869" s="616"/>
      <c r="I2869" s="616"/>
      <c r="J2869" s="645"/>
      <c r="K2869" s="450"/>
      <c r="L2869" s="451"/>
      <c r="M2869" s="448"/>
      <c r="N2869" s="450"/>
      <c r="O2869" s="588">
        <f>TrialBalance!L141</f>
        <v>0</v>
      </c>
      <c r="P2869" s="454"/>
      <c r="R2869" s="490" t="str">
        <f t="shared" ref="R2869" si="208">IF(O2869=0,"DELETE"," ")</f>
        <v>DELETE</v>
      </c>
    </row>
    <row r="2870" spans="3:23" ht="9" customHeight="1" x14ac:dyDescent="0.45">
      <c r="C2870" s="575"/>
      <c r="D2870" s="616"/>
      <c r="E2870" s="616"/>
      <c r="F2870" s="616"/>
      <c r="G2870" s="616"/>
      <c r="H2870" s="616"/>
      <c r="I2870" s="616"/>
      <c r="J2870" s="645"/>
      <c r="K2870" s="450"/>
      <c r="L2870" s="451"/>
      <c r="M2870" s="448"/>
      <c r="N2870" s="450"/>
      <c r="O2870" s="589"/>
      <c r="P2870" s="454"/>
      <c r="R2870" s="490" t="str">
        <f>R2833</f>
        <v>DELETE</v>
      </c>
    </row>
    <row r="2871" spans="3:23" ht="9" customHeight="1" x14ac:dyDescent="0.45">
      <c r="C2871" s="575"/>
      <c r="D2871" s="616"/>
      <c r="E2871" s="616"/>
      <c r="F2871" s="616"/>
      <c r="G2871" s="616"/>
      <c r="H2871" s="616"/>
      <c r="I2871" s="616"/>
      <c r="J2871" s="645"/>
      <c r="K2871" s="450"/>
      <c r="L2871" s="451"/>
      <c r="M2871" s="448"/>
      <c r="N2871" s="450"/>
      <c r="O2871" s="461"/>
      <c r="P2871" s="454"/>
    </row>
    <row r="2872" spans="3:23" ht="9" customHeight="1" x14ac:dyDescent="0.45">
      <c r="C2872" s="575"/>
      <c r="D2872" s="616"/>
      <c r="E2872" s="616"/>
      <c r="F2872" s="616"/>
      <c r="G2872" s="616"/>
      <c r="H2872" s="616"/>
      <c r="I2872" s="616"/>
      <c r="J2872" s="645"/>
      <c r="K2872" s="450"/>
      <c r="L2872" s="451"/>
      <c r="M2872" s="448"/>
      <c r="N2872" s="450"/>
      <c r="O2872" s="458"/>
      <c r="P2872" s="454"/>
    </row>
    <row r="2873" spans="3:23" ht="36" customHeight="1" x14ac:dyDescent="0.45">
      <c r="D2873" s="637" t="str">
        <f>IF(W2873=2,"Operating profit for the year","Operating loss for the year")</f>
        <v>Operating profit for the year</v>
      </c>
      <c r="E2873" s="616"/>
      <c r="F2873" s="616"/>
      <c r="G2873" s="616"/>
      <c r="H2873" s="616"/>
      <c r="I2873" s="616"/>
      <c r="J2873" s="645"/>
      <c r="K2873" s="450">
        <f>B1212</f>
        <v>4</v>
      </c>
      <c r="L2873" s="451"/>
      <c r="M2873" s="448"/>
      <c r="N2873" s="450"/>
      <c r="O2873" s="458">
        <f>SUM(S2747:S2870)</f>
        <v>0</v>
      </c>
      <c r="P2873" s="454"/>
      <c r="W2873" s="491">
        <f>IF(O2873&lt;0,1,2)</f>
        <v>2</v>
      </c>
    </row>
    <row r="2874" spans="3:23" ht="36" customHeight="1" x14ac:dyDescent="0.45">
      <c r="C2874" s="575"/>
      <c r="D2874" s="616"/>
      <c r="E2874" s="616"/>
      <c r="F2874" s="616"/>
      <c r="G2874" s="616"/>
      <c r="H2874" s="616"/>
      <c r="I2874" s="616"/>
      <c r="J2874" s="645"/>
      <c r="K2874" s="450"/>
      <c r="L2874" s="451"/>
      <c r="M2874" s="448"/>
      <c r="N2874" s="450"/>
      <c r="O2874" s="458"/>
      <c r="P2874" s="454"/>
    </row>
    <row r="2875" spans="3:23" ht="36" customHeight="1" x14ac:dyDescent="0.45">
      <c r="D2875" s="616" t="s">
        <v>225</v>
      </c>
      <c r="E2875" s="616"/>
      <c r="F2875" s="616"/>
      <c r="G2875" s="616"/>
      <c r="H2875" s="616"/>
      <c r="I2875" s="616"/>
      <c r="J2875" s="645"/>
      <c r="K2875" s="450">
        <f>B1325</f>
        <v>5</v>
      </c>
      <c r="L2875" s="451"/>
      <c r="M2875" s="448"/>
      <c r="N2875" s="450"/>
      <c r="O2875" s="458">
        <f>-SUM(TrialBalance!L83:L93)-SUM(TrialBalance!L95:L96)+IF(TrialBalance!L94&lt;0,-TrialBalance!L94,0)</f>
        <v>0</v>
      </c>
      <c r="P2875" s="454"/>
      <c r="R2875" s="490" t="str">
        <f t="shared" ref="R2875" si="209">IF(O2875=0,"DELETE"," ")</f>
        <v>DELETE</v>
      </c>
      <c r="S2875" s="495">
        <f>O2875</f>
        <v>0</v>
      </c>
      <c r="T2875" s="495"/>
      <c r="U2875" s="495"/>
      <c r="V2875" s="495"/>
    </row>
    <row r="2876" spans="3:23" ht="36" customHeight="1" x14ac:dyDescent="0.45">
      <c r="D2876" s="616"/>
      <c r="E2876" s="616"/>
      <c r="F2876" s="616"/>
      <c r="G2876" s="616"/>
      <c r="H2876" s="616"/>
      <c r="I2876" s="616"/>
      <c r="J2876" s="645"/>
      <c r="K2876" s="450"/>
      <c r="L2876" s="451"/>
      <c r="M2876" s="448"/>
      <c r="N2876" s="450"/>
      <c r="O2876" s="458"/>
      <c r="P2876" s="454"/>
      <c r="R2876" s="490" t="str">
        <f>R2875</f>
        <v>DELETE</v>
      </c>
      <c r="S2876" s="495"/>
      <c r="T2876" s="495"/>
      <c r="U2876" s="495"/>
      <c r="V2876" s="495"/>
    </row>
    <row r="2877" spans="3:23" ht="36" customHeight="1" x14ac:dyDescent="0.45">
      <c r="D2877" s="616" t="s">
        <v>1534</v>
      </c>
      <c r="E2877" s="616"/>
      <c r="F2877" s="616"/>
      <c r="G2877" s="616"/>
      <c r="H2877" s="616"/>
      <c r="I2877" s="616"/>
      <c r="J2877" s="645"/>
      <c r="K2877" s="450">
        <f>B1384</f>
        <v>6</v>
      </c>
      <c r="L2877" s="451"/>
      <c r="M2877" s="448"/>
      <c r="N2877" s="450"/>
      <c r="O2877" s="458">
        <f>SUM(TrialBalance!L144:L154)</f>
        <v>0</v>
      </c>
      <c r="P2877" s="454"/>
      <c r="R2877" s="490" t="str">
        <f t="shared" ref="R2877" si="210">IF(O2877=0,"DELETE"," ")</f>
        <v>DELETE</v>
      </c>
      <c r="S2877" s="495">
        <f>-O2877</f>
        <v>0</v>
      </c>
      <c r="T2877" s="495"/>
      <c r="U2877" s="495"/>
      <c r="V2877" s="495"/>
    </row>
    <row r="2878" spans="3:23" ht="9" customHeight="1" x14ac:dyDescent="0.45">
      <c r="C2878" s="575"/>
      <c r="D2878" s="616"/>
      <c r="E2878" s="616"/>
      <c r="F2878" s="616"/>
      <c r="G2878" s="616"/>
      <c r="H2878" s="616"/>
      <c r="I2878" s="616"/>
      <c r="J2878" s="645"/>
      <c r="K2878" s="450"/>
      <c r="L2878" s="451"/>
      <c r="M2878" s="448"/>
      <c r="N2878" s="450"/>
      <c r="O2878" s="461"/>
      <c r="P2878" s="454"/>
    </row>
    <row r="2879" spans="3:23" ht="9" customHeight="1" x14ac:dyDescent="0.45">
      <c r="C2879" s="575"/>
      <c r="D2879" s="616"/>
      <c r="E2879" s="616"/>
      <c r="F2879" s="616"/>
      <c r="G2879" s="616"/>
      <c r="H2879" s="616"/>
      <c r="I2879" s="616"/>
      <c r="J2879" s="645"/>
      <c r="K2879" s="450"/>
      <c r="L2879" s="451"/>
      <c r="M2879" s="448"/>
      <c r="N2879" s="450"/>
      <c r="O2879" s="458"/>
      <c r="P2879" s="454"/>
    </row>
    <row r="2880" spans="3:23" ht="36" customHeight="1" x14ac:dyDescent="0.45">
      <c r="D2880" s="637" t="str">
        <f>IF(W2880=2,"Profit before taxation","Loss before taxation")</f>
        <v>Profit before taxation</v>
      </c>
      <c r="E2880" s="616"/>
      <c r="F2880" s="616"/>
      <c r="G2880" s="616"/>
      <c r="H2880" s="616"/>
      <c r="I2880" s="616"/>
      <c r="J2880" s="645"/>
      <c r="K2880" s="450"/>
      <c r="L2880" s="451"/>
      <c r="M2880" s="448"/>
      <c r="N2880" s="450"/>
      <c r="O2880" s="458">
        <f>SUM(S2747:S2879)</f>
        <v>0</v>
      </c>
      <c r="P2880" s="454"/>
      <c r="W2880" s="491">
        <f>IF(O2880&lt;0,1,2)</f>
        <v>2</v>
      </c>
    </row>
    <row r="2881" spans="3:23" ht="36" customHeight="1" x14ac:dyDescent="0.45">
      <c r="C2881" s="610"/>
      <c r="D2881" s="616"/>
      <c r="E2881" s="616"/>
      <c r="F2881" s="616"/>
      <c r="G2881" s="616"/>
      <c r="H2881" s="616"/>
      <c r="I2881" s="616"/>
      <c r="J2881" s="645"/>
      <c r="K2881" s="450"/>
      <c r="L2881" s="451"/>
      <c r="M2881" s="448"/>
      <c r="N2881" s="450"/>
      <c r="O2881" s="458"/>
      <c r="P2881" s="454"/>
    </row>
    <row r="2882" spans="3:23" ht="36" customHeight="1" x14ac:dyDescent="0.45">
      <c r="D2882" s="637" t="s">
        <v>1535</v>
      </c>
      <c r="E2882" s="616"/>
      <c r="F2882" s="616"/>
      <c r="G2882" s="616"/>
      <c r="H2882" s="616"/>
      <c r="I2882" s="616"/>
      <c r="J2882" s="645"/>
      <c r="K2882" s="450"/>
      <c r="L2882" s="451"/>
      <c r="M2882" s="448"/>
      <c r="N2882" s="450"/>
      <c r="O2882" s="458"/>
      <c r="P2882" s="454"/>
      <c r="R2882" s="490" t="str">
        <f>IF(COUNTIF(O2883:O2885,"=0")=3,"DELETE"," ")</f>
        <v>DELETE</v>
      </c>
    </row>
    <row r="2883" spans="3:23" ht="36" customHeight="1" x14ac:dyDescent="0.45">
      <c r="C2883" s="610"/>
      <c r="D2883" s="628" t="str">
        <f>IF(W2883=2,CONCATENATE("Net profit - ",Criteria!H14),CONCATENATE("Net loss - ",Criteria!H14))</f>
        <v>Net profit - ABC Restaurant</v>
      </c>
      <c r="E2883" s="616"/>
      <c r="F2883" s="616"/>
      <c r="G2883" s="616"/>
      <c r="H2883" s="616"/>
      <c r="I2883" s="616"/>
      <c r="J2883" s="616"/>
      <c r="K2883" s="448" t="s">
        <v>698</v>
      </c>
      <c r="L2883" s="451"/>
      <c r="M2883" s="448"/>
      <c r="N2883" s="448"/>
      <c r="O2883" s="458">
        <f>-TrialBalance!L35</f>
        <v>0</v>
      </c>
      <c r="R2883" s="490" t="str">
        <f t="shared" ref="R2883:R2885" si="211">IF(O2883=0,"DELETE"," ")</f>
        <v>DELETE</v>
      </c>
      <c r="S2883" s="495">
        <f>O2883</f>
        <v>0</v>
      </c>
      <c r="W2883" s="491">
        <f>IF(O2883&lt;0,1,2)</f>
        <v>2</v>
      </c>
    </row>
    <row r="2884" spans="3:23" ht="36" customHeight="1" x14ac:dyDescent="0.45">
      <c r="C2884" s="610"/>
      <c r="D2884" s="628" t="str">
        <f>IF(W2884=2,CONCATENATE("Net profit - ",Criteria!H15),CONCATENATE("Net loss - ",Criteria!H15))</f>
        <v>Net profit - Rental Properties</v>
      </c>
      <c r="E2884" s="616"/>
      <c r="F2884" s="616"/>
      <c r="G2884" s="616"/>
      <c r="H2884" s="616"/>
      <c r="I2884" s="616"/>
      <c r="J2884" s="616"/>
      <c r="K2884" s="448" t="s">
        <v>699</v>
      </c>
      <c r="L2884" s="451"/>
      <c r="M2884" s="448"/>
      <c r="N2884" s="448"/>
      <c r="O2884" s="458">
        <f>-TrialBalance!L36</f>
        <v>0</v>
      </c>
      <c r="R2884" s="490" t="str">
        <f t="shared" si="211"/>
        <v>DELETE</v>
      </c>
      <c r="S2884" s="495">
        <f>O2884</f>
        <v>0</v>
      </c>
      <c r="W2884" s="491">
        <f>IF(O2884&lt;0,1,2)</f>
        <v>2</v>
      </c>
    </row>
    <row r="2885" spans="3:23" ht="36" customHeight="1" x14ac:dyDescent="0.45">
      <c r="C2885" s="610"/>
      <c r="D2885" s="628" t="str">
        <f>IF(W2885=2,CONCATENATE("Net profit - ",Criteria!H16),CONCATENATE("Net loss - ",Criteria!H16))</f>
        <v xml:space="preserve">Net profit - </v>
      </c>
      <c r="E2885" s="616"/>
      <c r="F2885" s="616"/>
      <c r="G2885" s="616"/>
      <c r="H2885" s="616"/>
      <c r="I2885" s="616"/>
      <c r="J2885" s="616"/>
      <c r="K2885" s="448" t="s">
        <v>700</v>
      </c>
      <c r="L2885" s="451"/>
      <c r="M2885" s="448"/>
      <c r="N2885" s="448"/>
      <c r="O2885" s="458">
        <f>-TrialBalance!L37</f>
        <v>0</v>
      </c>
      <c r="R2885" s="490" t="str">
        <f t="shared" si="211"/>
        <v>DELETE</v>
      </c>
      <c r="S2885" s="495">
        <f>O2885</f>
        <v>0</v>
      </c>
      <c r="W2885" s="491">
        <f>IF(O2885&lt;0,1,2)</f>
        <v>2</v>
      </c>
    </row>
    <row r="2886" spans="3:23" ht="9" customHeight="1" x14ac:dyDescent="0.45">
      <c r="C2886" s="610"/>
      <c r="D2886" s="616"/>
      <c r="E2886" s="616"/>
      <c r="F2886" s="616"/>
      <c r="G2886" s="616"/>
      <c r="H2886" s="616"/>
      <c r="I2886" s="616"/>
      <c r="J2886" s="645"/>
      <c r="K2886" s="450"/>
      <c r="L2886" s="451"/>
      <c r="M2886" s="448"/>
      <c r="N2886" s="450"/>
      <c r="O2886" s="461"/>
      <c r="P2886" s="454"/>
      <c r="R2886" s="490" t="str">
        <f>R2888</f>
        <v>DELETE</v>
      </c>
    </row>
    <row r="2887" spans="3:23" ht="9" customHeight="1" x14ac:dyDescent="0.45">
      <c r="C2887" s="610"/>
      <c r="D2887" s="616"/>
      <c r="E2887" s="616"/>
      <c r="F2887" s="616"/>
      <c r="G2887" s="616"/>
      <c r="H2887" s="616"/>
      <c r="I2887" s="616"/>
      <c r="J2887" s="645"/>
      <c r="K2887" s="450"/>
      <c r="L2887" s="451"/>
      <c r="M2887" s="448"/>
      <c r="N2887" s="450"/>
      <c r="O2887" s="458"/>
      <c r="P2887" s="454"/>
      <c r="R2887" s="490" t="str">
        <f>R2888</f>
        <v>DELETE</v>
      </c>
    </row>
    <row r="2888" spans="3:23" ht="36" customHeight="1" x14ac:dyDescent="0.45">
      <c r="C2888" s="610"/>
      <c r="D2888" s="616"/>
      <c r="E2888" s="616"/>
      <c r="F2888" s="616"/>
      <c r="G2888" s="616"/>
      <c r="H2888" s="616"/>
      <c r="I2888" s="616"/>
      <c r="J2888" s="645"/>
      <c r="K2888" s="450"/>
      <c r="L2888" s="451"/>
      <c r="M2888" s="448"/>
      <c r="N2888" s="450"/>
      <c r="O2888" s="458">
        <f>SUM(S2747:S2886)</f>
        <v>0</v>
      </c>
      <c r="P2888" s="454"/>
      <c r="R2888" s="490" t="str">
        <f>R2882</f>
        <v>DELETE</v>
      </c>
    </row>
    <row r="2889" spans="3:23" ht="36" customHeight="1" x14ac:dyDescent="0.45">
      <c r="C2889" s="575"/>
      <c r="D2889" s="616"/>
      <c r="E2889" s="616"/>
      <c r="F2889" s="616"/>
      <c r="G2889" s="616"/>
      <c r="H2889" s="616"/>
      <c r="I2889" s="616"/>
      <c r="J2889" s="645"/>
      <c r="K2889" s="450"/>
      <c r="L2889" s="451"/>
      <c r="M2889" s="448"/>
      <c r="N2889" s="450"/>
      <c r="O2889" s="458"/>
      <c r="P2889" s="454"/>
      <c r="R2889" s="490" t="str">
        <f>R2888</f>
        <v>DELETE</v>
      </c>
      <c r="U2889" s="498"/>
      <c r="V2889" s="498"/>
    </row>
    <row r="2890" spans="3:23" ht="36" customHeight="1" x14ac:dyDescent="0.45">
      <c r="D2890" s="616" t="s">
        <v>1536</v>
      </c>
      <c r="E2890" s="616"/>
      <c r="F2890" s="616"/>
      <c r="G2890" s="616"/>
      <c r="H2890" s="616"/>
      <c r="I2890" s="616"/>
      <c r="J2890" s="645"/>
      <c r="K2890" s="450">
        <f>B1469</f>
        <v>8</v>
      </c>
      <c r="L2890" s="451"/>
      <c r="M2890" s="448"/>
      <c r="N2890" s="450"/>
      <c r="O2890" s="458">
        <f>SUM(TrialBalance!L158:L163)</f>
        <v>0</v>
      </c>
      <c r="P2890" s="454"/>
      <c r="S2890" s="495">
        <f>-O2890</f>
        <v>0</v>
      </c>
      <c r="T2890" s="495"/>
      <c r="U2890" s="491" t="b">
        <f>O2890=O1490</f>
        <v>1</v>
      </c>
    </row>
    <row r="2891" spans="3:23" ht="8.25" customHeight="1" x14ac:dyDescent="0.45">
      <c r="D2891" s="615"/>
      <c r="E2891" s="616"/>
      <c r="F2891" s="616"/>
      <c r="G2891" s="616"/>
      <c r="H2891" s="616"/>
      <c r="I2891" s="616"/>
      <c r="J2891" s="645"/>
      <c r="K2891" s="450"/>
      <c r="L2891" s="451"/>
      <c r="M2891" s="448"/>
      <c r="N2891" s="450"/>
      <c r="O2891" s="461"/>
      <c r="P2891" s="454"/>
      <c r="R2891" s="490" t="str">
        <f t="shared" ref="R2891:R2893" si="212">R$2895</f>
        <v>DELETE</v>
      </c>
      <c r="S2891" s="495"/>
      <c r="T2891" s="495"/>
    </row>
    <row r="2892" spans="3:23" ht="8.25" customHeight="1" x14ac:dyDescent="0.45">
      <c r="D2892" s="615"/>
      <c r="E2892" s="616"/>
      <c r="F2892" s="616"/>
      <c r="G2892" s="616"/>
      <c r="H2892" s="616"/>
      <c r="I2892" s="616"/>
      <c r="J2892" s="645"/>
      <c r="K2892" s="450"/>
      <c r="L2892" s="451"/>
      <c r="M2892" s="448"/>
      <c r="N2892" s="450"/>
      <c r="O2892" s="458"/>
      <c r="P2892" s="454"/>
      <c r="R2892" s="490" t="str">
        <f t="shared" si="212"/>
        <v>DELETE</v>
      </c>
      <c r="S2892" s="495"/>
      <c r="T2892" s="495"/>
    </row>
    <row r="2893" spans="3:23" ht="36" customHeight="1" x14ac:dyDescent="0.45">
      <c r="D2893" s="615"/>
      <c r="E2893" s="616"/>
      <c r="F2893" s="616"/>
      <c r="G2893" s="616"/>
      <c r="H2893" s="616"/>
      <c r="I2893" s="616"/>
      <c r="J2893" s="645"/>
      <c r="K2893" s="450"/>
      <c r="L2893" s="451"/>
      <c r="M2893" s="448"/>
      <c r="N2893" s="450"/>
      <c r="O2893" s="458">
        <f>SUM(S2747:S2891)</f>
        <v>0</v>
      </c>
      <c r="P2893" s="454"/>
      <c r="R2893" s="490" t="str">
        <f t="shared" si="212"/>
        <v>DELETE</v>
      </c>
      <c r="S2893" s="495"/>
      <c r="T2893" s="495"/>
    </row>
    <row r="2894" spans="3:23" ht="36" customHeight="1" x14ac:dyDescent="0.45">
      <c r="D2894" s="615"/>
      <c r="E2894" s="616"/>
      <c r="F2894" s="616"/>
      <c r="G2894" s="616"/>
      <c r="H2894" s="616"/>
      <c r="I2894" s="616"/>
      <c r="J2894" s="645"/>
      <c r="K2894" s="450"/>
      <c r="L2894" s="451"/>
      <c r="M2894" s="448"/>
      <c r="N2894" s="450"/>
      <c r="O2894" s="458"/>
      <c r="P2894" s="454"/>
      <c r="R2894" s="490" t="str">
        <f>R$2895</f>
        <v>DELETE</v>
      </c>
      <c r="S2894" s="495"/>
      <c r="T2894" s="495"/>
    </row>
    <row r="2895" spans="3:23" ht="36" customHeight="1" x14ac:dyDescent="0.45">
      <c r="D2895" s="616" t="s">
        <v>1745</v>
      </c>
      <c r="E2895" s="616"/>
      <c r="F2895" s="616"/>
      <c r="G2895" s="616"/>
      <c r="H2895" s="616"/>
      <c r="I2895" s="616"/>
      <c r="J2895" s="645"/>
      <c r="K2895" s="450">
        <f>B1448</f>
        <v>7</v>
      </c>
      <c r="L2895" s="451"/>
      <c r="M2895" s="448"/>
      <c r="N2895" s="450"/>
      <c r="O2895" s="458">
        <f>-TrialBalance!L97</f>
        <v>0</v>
      </c>
      <c r="P2895" s="454"/>
      <c r="R2895" s="490" t="str">
        <f>IF(O2895=0,"DELETE"," ")</f>
        <v>DELETE</v>
      </c>
      <c r="S2895" s="495">
        <f>O2895</f>
        <v>0</v>
      </c>
      <c r="T2895" s="495"/>
      <c r="U2895" s="491" t="b">
        <f>O2895=O1453</f>
        <v>1</v>
      </c>
    </row>
    <row r="2896" spans="3:23" ht="9" customHeight="1" x14ac:dyDescent="0.45">
      <c r="C2896" s="575"/>
      <c r="D2896" s="616"/>
      <c r="E2896" s="616"/>
      <c r="F2896" s="616"/>
      <c r="G2896" s="616"/>
      <c r="H2896" s="616"/>
      <c r="I2896" s="616"/>
      <c r="J2896" s="645"/>
      <c r="K2896" s="450"/>
      <c r="L2896" s="451"/>
      <c r="M2896" s="448"/>
      <c r="N2896" s="450"/>
      <c r="O2896" s="461"/>
      <c r="P2896" s="454"/>
    </row>
    <row r="2897" spans="3:23" ht="9" customHeight="1" x14ac:dyDescent="0.45">
      <c r="C2897" s="575"/>
      <c r="D2897" s="616"/>
      <c r="E2897" s="616"/>
      <c r="F2897" s="616"/>
      <c r="G2897" s="616"/>
      <c r="H2897" s="616"/>
      <c r="I2897" s="616"/>
      <c r="J2897" s="645"/>
      <c r="K2897" s="450"/>
      <c r="L2897" s="451"/>
      <c r="M2897" s="448"/>
      <c r="N2897" s="450"/>
      <c r="O2897" s="458"/>
      <c r="P2897" s="454"/>
    </row>
    <row r="2898" spans="3:23" ht="36.75" customHeight="1" x14ac:dyDescent="0.45">
      <c r="D2898" s="637" t="str">
        <f>IF(W2898=2,"Total comprehensive income for the year","Total comprehensive loss for the year")</f>
        <v>Total comprehensive income for the year</v>
      </c>
      <c r="E2898" s="616"/>
      <c r="F2898" s="616"/>
      <c r="G2898" s="616"/>
      <c r="H2898" s="616"/>
      <c r="I2898" s="616"/>
      <c r="J2898" s="645"/>
      <c r="K2898" s="450"/>
      <c r="L2898" s="451"/>
      <c r="M2898" s="448"/>
      <c r="N2898" s="450"/>
      <c r="O2898" s="458">
        <f>SUM(S2747:S2896)</f>
        <v>0</v>
      </c>
      <c r="P2898" s="454"/>
      <c r="U2898" s="491" t="b">
        <f>-SUM(TrialBalance!L5:L163)='FS2'!O2898</f>
        <v>1</v>
      </c>
      <c r="W2898" s="491">
        <f>IF(O2898&lt;0,1,2)</f>
        <v>2</v>
      </c>
    </row>
    <row r="2899" spans="3:23" ht="9" customHeight="1" thickBot="1" x14ac:dyDescent="0.5">
      <c r="C2899" s="575"/>
      <c r="D2899" s="616"/>
      <c r="E2899" s="616"/>
      <c r="F2899" s="616"/>
      <c r="G2899" s="616"/>
      <c r="H2899" s="616"/>
      <c r="I2899" s="616"/>
      <c r="J2899" s="645"/>
      <c r="K2899" s="450"/>
      <c r="L2899" s="451"/>
      <c r="M2899" s="448"/>
      <c r="N2899" s="450"/>
      <c r="O2899" s="462"/>
      <c r="P2899" s="454"/>
    </row>
    <row r="2900" spans="3:23" ht="9" customHeight="1" thickTop="1" x14ac:dyDescent="0.45">
      <c r="C2900" s="575"/>
      <c r="D2900" s="616"/>
      <c r="E2900" s="616"/>
      <c r="F2900" s="616"/>
      <c r="G2900" s="616"/>
      <c r="H2900" s="616"/>
      <c r="I2900" s="616"/>
      <c r="J2900" s="645"/>
      <c r="K2900" s="450"/>
      <c r="L2900" s="451"/>
      <c r="M2900" s="448"/>
      <c r="N2900" s="450"/>
      <c r="O2900" s="458"/>
      <c r="P2900" s="454"/>
    </row>
    <row r="2901" spans="3:23" ht="36" customHeight="1" x14ac:dyDescent="0.45">
      <c r="C2901" s="575"/>
      <c r="D2901" s="616"/>
      <c r="E2901" s="616"/>
      <c r="F2901" s="616"/>
      <c r="G2901" s="616"/>
      <c r="H2901" s="616"/>
      <c r="I2901" s="616"/>
      <c r="J2901" s="645"/>
      <c r="K2901" s="450"/>
      <c r="L2901" s="450"/>
      <c r="M2901" s="458"/>
      <c r="N2901" s="458"/>
      <c r="O2901" s="458"/>
      <c r="P2901" s="454"/>
    </row>
    <row r="2902" spans="3:23" ht="36" customHeight="1" x14ac:dyDescent="0.5">
      <c r="C2902" s="520"/>
      <c r="D2902" s="616"/>
      <c r="E2902" s="616"/>
      <c r="F2902" s="616"/>
      <c r="G2902" s="616"/>
      <c r="H2902" s="616"/>
      <c r="I2902" s="616"/>
      <c r="J2902" s="616"/>
      <c r="M2902" s="555"/>
      <c r="N2902" s="555"/>
      <c r="O2902" s="555"/>
      <c r="P2902" s="545"/>
    </row>
    <row r="2903" spans="3:23" ht="36" customHeight="1" x14ac:dyDescent="0.5">
      <c r="C2903" s="520"/>
      <c r="D2903" s="616"/>
      <c r="E2903" s="616"/>
      <c r="F2903" s="616"/>
      <c r="G2903" s="616"/>
      <c r="H2903" s="616"/>
      <c r="I2903" s="616"/>
      <c r="J2903" s="616"/>
      <c r="M2903" s="541"/>
      <c r="N2903" s="541"/>
      <c r="O2903" s="541"/>
    </row>
    <row r="2904" spans="3:23" ht="36" customHeight="1" x14ac:dyDescent="0.5">
      <c r="C2904" s="520"/>
      <c r="D2904" s="616"/>
      <c r="E2904" s="616"/>
      <c r="F2904" s="616"/>
      <c r="G2904" s="616"/>
      <c r="H2904" s="616"/>
      <c r="I2904" s="616"/>
      <c r="J2904" s="616"/>
      <c r="M2904" s="541"/>
      <c r="N2904" s="541"/>
      <c r="O2904" s="458" t="s">
        <v>112</v>
      </c>
      <c r="Q2904" s="450">
        <f>MAX($Q$103:Q2903)+1</f>
        <v>75</v>
      </c>
    </row>
    <row r="2905" spans="3:23" ht="36" customHeight="1" x14ac:dyDescent="0.5">
      <c r="C2905" s="520"/>
      <c r="D2905" s="615" t="str">
        <f>Criteria!E9</f>
        <v>ABC COMPANY (PROPRIETARY) LIMITED</v>
      </c>
      <c r="E2905" s="616"/>
      <c r="F2905" s="616"/>
      <c r="G2905" s="616"/>
      <c r="H2905" s="616"/>
      <c r="I2905" s="616"/>
      <c r="J2905" s="616"/>
      <c r="M2905" s="541"/>
      <c r="N2905" s="541"/>
      <c r="O2905" s="540"/>
    </row>
    <row r="2906" spans="3:23" ht="36" customHeight="1" x14ac:dyDescent="0.5">
      <c r="C2906" s="520"/>
      <c r="D2906" s="615" t="str">
        <f>Criteria!E10</f>
        <v>T/A SEAFRONT HOTEL, ABC RESTAURANT AND RENTAL PROPERTIES</v>
      </c>
      <c r="E2906" s="616"/>
      <c r="F2906" s="616"/>
      <c r="G2906" s="616"/>
      <c r="H2906" s="616"/>
      <c r="I2906" s="616"/>
      <c r="J2906" s="616"/>
      <c r="M2906" s="541"/>
      <c r="N2906" s="541"/>
      <c r="O2906" s="541"/>
      <c r="R2906" s="490" t="str">
        <f>IF(D2906=0,"DELETE"," ")</f>
        <v xml:space="preserve"> </v>
      </c>
    </row>
    <row r="2907" spans="3:23" ht="36" customHeight="1" x14ac:dyDescent="0.5">
      <c r="C2907" s="520"/>
      <c r="D2907" s="616"/>
      <c r="E2907" s="616"/>
      <c r="F2907" s="616"/>
      <c r="G2907" s="616"/>
      <c r="H2907" s="616"/>
      <c r="I2907" s="616"/>
      <c r="J2907" s="616"/>
      <c r="M2907" s="541"/>
      <c r="N2907" s="541"/>
      <c r="O2907" s="541"/>
    </row>
    <row r="2908" spans="3:23" ht="36" customHeight="1" x14ac:dyDescent="0.5">
      <c r="C2908" s="520"/>
      <c r="D2908" s="615" t="s">
        <v>295</v>
      </c>
      <c r="E2908" s="616"/>
      <c r="F2908" s="616"/>
      <c r="G2908" s="616"/>
      <c r="H2908" s="616"/>
      <c r="I2908" s="616"/>
      <c r="J2908" s="616"/>
      <c r="M2908" s="541"/>
      <c r="N2908" s="541"/>
      <c r="O2908" s="541"/>
    </row>
    <row r="2909" spans="3:23" ht="36" customHeight="1" x14ac:dyDescent="0.5">
      <c r="C2909" s="520"/>
      <c r="D2909" s="615" t="str">
        <f>Criteria!E20</f>
        <v>28 FEBRUARY 2026</v>
      </c>
      <c r="E2909" s="616"/>
      <c r="F2909" s="616"/>
      <c r="G2909" s="616"/>
      <c r="H2909" s="616"/>
      <c r="I2909" s="616"/>
      <c r="J2909" s="616"/>
      <c r="M2909" s="541"/>
      <c r="N2909" s="541"/>
      <c r="O2909" s="541"/>
    </row>
    <row r="2910" spans="3:23" ht="36" customHeight="1" x14ac:dyDescent="0.5">
      <c r="C2910" s="520"/>
      <c r="D2910" s="616"/>
      <c r="E2910" s="616"/>
      <c r="F2910" s="616"/>
      <c r="G2910" s="616"/>
      <c r="H2910" s="616"/>
      <c r="I2910" s="616"/>
      <c r="J2910" s="616"/>
      <c r="M2910" s="541"/>
      <c r="N2910" s="541"/>
      <c r="O2910" s="541"/>
    </row>
    <row r="2911" spans="3:23" ht="36" customHeight="1" x14ac:dyDescent="0.5">
      <c r="C2911" s="520"/>
      <c r="D2911" s="634"/>
      <c r="E2911" s="634"/>
      <c r="F2911" s="634"/>
      <c r="G2911" s="634"/>
      <c r="H2911" s="634"/>
      <c r="I2911" s="634"/>
      <c r="J2911" s="634"/>
      <c r="K2911" s="457"/>
      <c r="L2911" s="457"/>
      <c r="M2911" s="557"/>
      <c r="N2911" s="557"/>
      <c r="O2911" s="557"/>
      <c r="P2911" s="551"/>
      <c r="Q2911" s="457"/>
    </row>
    <row r="2912" spans="3:23" ht="36" customHeight="1" x14ac:dyDescent="0.5">
      <c r="C2912" s="520"/>
      <c r="D2912" s="616"/>
      <c r="E2912" s="616"/>
      <c r="F2912" s="616"/>
      <c r="G2912" s="616"/>
      <c r="H2912" s="616"/>
      <c r="I2912" s="616"/>
      <c r="J2912" s="616"/>
      <c r="M2912" s="541"/>
      <c r="N2912" s="541"/>
      <c r="O2912" s="541"/>
    </row>
    <row r="2913" spans="3:20" ht="36" customHeight="1" x14ac:dyDescent="0.5">
      <c r="C2913" s="520"/>
      <c r="D2913" s="616" t="str">
        <f>IF(O2913&lt;0,"Net loss before taxation","Net profit before taxation")</f>
        <v>Net profit before taxation</v>
      </c>
      <c r="E2913" s="616"/>
      <c r="F2913" s="616"/>
      <c r="G2913" s="616"/>
      <c r="H2913" s="616"/>
      <c r="I2913" s="616"/>
      <c r="J2913" s="616"/>
      <c r="M2913" s="541"/>
      <c r="N2913" s="541"/>
      <c r="O2913" s="541">
        <f>O634</f>
        <v>0</v>
      </c>
      <c r="S2913" s="496">
        <f>O2913</f>
        <v>0</v>
      </c>
      <c r="T2913" s="496"/>
    </row>
    <row r="2914" spans="3:20" ht="36" customHeight="1" x14ac:dyDescent="0.5">
      <c r="C2914" s="520"/>
      <c r="D2914" s="616"/>
      <c r="E2914" s="616"/>
      <c r="F2914" s="616"/>
      <c r="G2914" s="616"/>
      <c r="H2914" s="616"/>
      <c r="I2914" s="616"/>
      <c r="J2914" s="616"/>
      <c r="M2914" s="541"/>
      <c r="N2914" s="541"/>
      <c r="O2914" s="541"/>
    </row>
    <row r="2915" spans="3:20" ht="36" customHeight="1" x14ac:dyDescent="0.5">
      <c r="C2915" s="520"/>
      <c r="D2915" s="615" t="s">
        <v>1537</v>
      </c>
      <c r="E2915" s="616"/>
      <c r="F2915" s="616"/>
      <c r="G2915" s="616"/>
      <c r="H2915" s="616"/>
      <c r="I2915" s="616"/>
      <c r="J2915" s="616"/>
      <c r="M2915" s="541"/>
      <c r="N2915" s="541"/>
      <c r="O2915" s="541">
        <f>SUM(M2915:M2931)</f>
        <v>0</v>
      </c>
      <c r="R2915" s="490" t="str">
        <f>IF(O2915=0,"DELETE"," ")</f>
        <v>DELETE</v>
      </c>
      <c r="S2915" s="496">
        <f>O2915</f>
        <v>0</v>
      </c>
      <c r="T2915" s="496"/>
    </row>
    <row r="2916" spans="3:20" ht="36" customHeight="1" x14ac:dyDescent="0.5">
      <c r="C2916" s="520"/>
      <c r="D2916" s="616" t="s">
        <v>1258</v>
      </c>
      <c r="E2916" s="616"/>
      <c r="F2916" s="616"/>
      <c r="G2916" s="616"/>
      <c r="H2916" s="616"/>
      <c r="I2916" s="616"/>
      <c r="J2916" s="616"/>
      <c r="M2916" s="541">
        <f>TrialBalance!L141+TrialBalanceA!I141+TrialBalanceB!I141+TrialBalanceC!I141</f>
        <v>0</v>
      </c>
      <c r="N2916" s="541"/>
      <c r="O2916" s="541"/>
      <c r="R2916" s="490" t="str">
        <f>IF(M2916=0,"DELETE"," ")</f>
        <v>DELETE</v>
      </c>
      <c r="S2916" s="496"/>
      <c r="T2916" s="496"/>
    </row>
    <row r="2917" spans="3:20" ht="36" customHeight="1" x14ac:dyDescent="0.5">
      <c r="C2917" s="520"/>
      <c r="D2917" s="616" t="s">
        <v>1255</v>
      </c>
      <c r="E2917" s="616"/>
      <c r="F2917" s="616"/>
      <c r="G2917" s="616"/>
      <c r="H2917" s="616"/>
      <c r="I2917" s="616"/>
      <c r="J2917" s="616"/>
      <c r="M2917" s="541">
        <f>TrialBalance!L140+TrialBalanceA!I140+TrialBalanceB!I140+TrialBalanceC!I140</f>
        <v>0</v>
      </c>
      <c r="N2917" s="541"/>
      <c r="O2917" s="541"/>
      <c r="R2917" s="490" t="str">
        <f t="shared" ref="R2917:R2930" si="213">IF(M2917=0,"DELETE"," ")</f>
        <v>DELETE</v>
      </c>
      <c r="S2917" s="496"/>
      <c r="T2917" s="496"/>
    </row>
    <row r="2918" spans="3:20" ht="36" customHeight="1" x14ac:dyDescent="0.5">
      <c r="C2918" s="520"/>
      <c r="D2918" s="616" t="s">
        <v>590</v>
      </c>
      <c r="E2918" s="616"/>
      <c r="F2918" s="616"/>
      <c r="G2918" s="616"/>
      <c r="H2918" s="616"/>
      <c r="I2918" s="616"/>
      <c r="J2918" s="616"/>
      <c r="M2918" s="541">
        <f>O3001</f>
        <v>0</v>
      </c>
      <c r="N2918" s="541"/>
      <c r="O2918" s="541"/>
      <c r="R2918" s="490" t="str">
        <f t="shared" si="213"/>
        <v>DELETE</v>
      </c>
    </row>
    <row r="2919" spans="3:20" ht="36" customHeight="1" x14ac:dyDescent="0.5">
      <c r="C2919" s="520"/>
      <c r="D2919" s="616" t="s">
        <v>304</v>
      </c>
      <c r="E2919" s="616"/>
      <c r="F2919" s="616"/>
      <c r="G2919" s="616"/>
      <c r="H2919" s="616"/>
      <c r="I2919" s="616"/>
      <c r="J2919" s="616"/>
      <c r="M2919" s="541">
        <f>O1308</f>
        <v>0</v>
      </c>
      <c r="N2919" s="541"/>
      <c r="O2919" s="541"/>
      <c r="R2919" s="490" t="str">
        <f t="shared" si="213"/>
        <v>DELETE</v>
      </c>
    </row>
    <row r="2920" spans="3:20" ht="36" customHeight="1" x14ac:dyDescent="0.5">
      <c r="C2920" s="520"/>
      <c r="D2920" s="616" t="s">
        <v>292</v>
      </c>
      <c r="E2920" s="616"/>
      <c r="F2920" s="616"/>
      <c r="G2920" s="616"/>
      <c r="H2920" s="616"/>
      <c r="I2920" s="616"/>
      <c r="J2920" s="616"/>
      <c r="M2920" s="541">
        <f>TrialBalance!L118+TrialBalanceA!I118+TrialBalanceB!I118+TrialBalanceC!I118</f>
        <v>0</v>
      </c>
      <c r="N2920" s="541"/>
      <c r="O2920" s="541"/>
      <c r="R2920" s="490" t="str">
        <f t="shared" si="213"/>
        <v>DELETE</v>
      </c>
    </row>
    <row r="2921" spans="3:20" ht="36" customHeight="1" x14ac:dyDescent="0.5">
      <c r="C2921" s="520"/>
      <c r="D2921" s="616" t="s">
        <v>357</v>
      </c>
      <c r="E2921" s="616"/>
      <c r="F2921" s="616"/>
      <c r="G2921" s="616"/>
      <c r="H2921" s="616"/>
      <c r="I2921" s="616"/>
      <c r="J2921" s="616"/>
      <c r="M2921" s="541">
        <f>TrialBalance!L120+TrialBalanceA!I120+TrialBalanceB!I120+TrialBalanceC!I120</f>
        <v>0</v>
      </c>
      <c r="N2921" s="541"/>
      <c r="O2921" s="541"/>
      <c r="R2921" s="490" t="str">
        <f t="shared" si="213"/>
        <v>DELETE</v>
      </c>
    </row>
    <row r="2922" spans="3:20" ht="36" customHeight="1" x14ac:dyDescent="0.5">
      <c r="C2922" s="520"/>
      <c r="D2922" s="616" t="s">
        <v>1256</v>
      </c>
      <c r="E2922" s="616"/>
      <c r="F2922" s="616"/>
      <c r="G2922" s="616"/>
      <c r="H2922" s="616"/>
      <c r="I2922" s="616"/>
      <c r="J2922" s="616"/>
      <c r="M2922" s="541">
        <f>TrialBalance!L156+TrialBalanceA!I156+TrialBalanceB!I156+TrialBalanceC!I156</f>
        <v>0</v>
      </c>
      <c r="N2922" s="541"/>
      <c r="O2922" s="541"/>
      <c r="R2922" s="490" t="str">
        <f>IF(M2922=0,"DELETE"," ")</f>
        <v>DELETE</v>
      </c>
    </row>
    <row r="2923" spans="3:20" ht="36" customHeight="1" x14ac:dyDescent="0.5">
      <c r="C2923" s="520"/>
      <c r="D2923" s="616" t="s">
        <v>561</v>
      </c>
      <c r="E2923" s="616"/>
      <c r="F2923" s="616"/>
      <c r="G2923" s="616"/>
      <c r="H2923" s="616"/>
      <c r="I2923" s="616"/>
      <c r="J2923" s="616"/>
      <c r="M2923" s="541">
        <f>TrialBalance!L123+TrialBalanceA!I123+TrialBalanceB!I123+TrialBalanceC!I123</f>
        <v>0</v>
      </c>
      <c r="N2923" s="541"/>
      <c r="O2923" s="541"/>
      <c r="R2923" s="490" t="str">
        <f t="shared" si="213"/>
        <v>DELETE</v>
      </c>
    </row>
    <row r="2924" spans="3:20" ht="36" customHeight="1" x14ac:dyDescent="0.5">
      <c r="C2924" s="520"/>
      <c r="D2924" s="616" t="s">
        <v>588</v>
      </c>
      <c r="E2924" s="616"/>
      <c r="F2924" s="616"/>
      <c r="G2924" s="616"/>
      <c r="H2924" s="616"/>
      <c r="I2924" s="616"/>
      <c r="J2924" s="616"/>
      <c r="M2924" s="541">
        <f>IF(TrialBalance!L94&gt;0,TrialBalance!L94,0)+IF(TrialBalanceA!I94&gt;0,TrialBalanceA!I94,0)+IF(TrialBalanceB!I94&gt;0,TrialBalanceB!I94,0)+IF(TrialBalanceC!I94&gt;0,TrialBalanceC!I94,0)</f>
        <v>0</v>
      </c>
      <c r="N2924" s="541"/>
      <c r="O2924" s="541"/>
      <c r="R2924" s="490" t="str">
        <f t="shared" si="213"/>
        <v>DELETE</v>
      </c>
    </row>
    <row r="2925" spans="3:20" ht="36" customHeight="1" x14ac:dyDescent="0.5">
      <c r="C2925" s="520"/>
      <c r="D2925" s="616" t="str">
        <f>Criteria!C497</f>
        <v>section 8(4)(a) Recoupment of allowances</v>
      </c>
      <c r="E2925" s="616"/>
      <c r="F2925" s="616"/>
      <c r="G2925" s="616"/>
      <c r="H2925" s="616"/>
      <c r="I2925" s="616"/>
      <c r="J2925" s="616"/>
      <c r="M2925" s="541">
        <f>Criteria!G497</f>
        <v>0</v>
      </c>
      <c r="N2925" s="541"/>
      <c r="O2925" s="541"/>
      <c r="R2925" s="490" t="str">
        <f t="shared" si="213"/>
        <v>DELETE</v>
      </c>
    </row>
    <row r="2926" spans="3:20" ht="36" customHeight="1" x14ac:dyDescent="0.5">
      <c r="C2926" s="520"/>
      <c r="D2926" s="616" t="s">
        <v>94</v>
      </c>
      <c r="E2926" s="616"/>
      <c r="F2926" s="616"/>
      <c r="G2926" s="616"/>
      <c r="H2926" s="616"/>
      <c r="I2926" s="616"/>
      <c r="J2926" s="616"/>
      <c r="M2926" s="541">
        <f>TrialBalance!L130+TrialBalanceA!I130+TrialBalanceB!I130+TrialBalanceC!I130</f>
        <v>0</v>
      </c>
      <c r="N2926" s="541"/>
      <c r="O2926" s="541"/>
      <c r="R2926" s="490" t="str">
        <f t="shared" si="213"/>
        <v>DELETE</v>
      </c>
    </row>
    <row r="2927" spans="3:20" ht="36" customHeight="1" x14ac:dyDescent="0.5">
      <c r="C2927" s="520"/>
      <c r="D2927" s="616">
        <f>Criteria!C498</f>
        <v>0</v>
      </c>
      <c r="E2927" s="616"/>
      <c r="F2927" s="616"/>
      <c r="G2927" s="616"/>
      <c r="H2927" s="616"/>
      <c r="I2927" s="616"/>
      <c r="J2927" s="616"/>
      <c r="M2927" s="541">
        <f>Criteria!G498</f>
        <v>0</v>
      </c>
      <c r="N2927" s="541"/>
      <c r="O2927" s="541"/>
      <c r="R2927" s="490" t="str">
        <f t="shared" si="213"/>
        <v>DELETE</v>
      </c>
    </row>
    <row r="2928" spans="3:20" ht="36" customHeight="1" x14ac:dyDescent="0.5">
      <c r="C2928" s="520"/>
      <c r="D2928" s="616">
        <f>Criteria!C499</f>
        <v>0</v>
      </c>
      <c r="E2928" s="616"/>
      <c r="F2928" s="616"/>
      <c r="G2928" s="616"/>
      <c r="H2928" s="616"/>
      <c r="I2928" s="616"/>
      <c r="J2928" s="616"/>
      <c r="M2928" s="541">
        <f>Criteria!G499</f>
        <v>0</v>
      </c>
      <c r="N2928" s="541"/>
      <c r="O2928" s="541"/>
      <c r="R2928" s="490" t="str">
        <f t="shared" si="213"/>
        <v>DELETE</v>
      </c>
    </row>
    <row r="2929" spans="3:20" ht="36" customHeight="1" x14ac:dyDescent="0.5">
      <c r="C2929" s="520"/>
      <c r="D2929" s="616">
        <f>Criteria!C500</f>
        <v>0</v>
      </c>
      <c r="E2929" s="616"/>
      <c r="F2929" s="616"/>
      <c r="G2929" s="616"/>
      <c r="H2929" s="616"/>
      <c r="I2929" s="616"/>
      <c r="J2929" s="616"/>
      <c r="M2929" s="541">
        <f>Criteria!G500</f>
        <v>0</v>
      </c>
      <c r="N2929" s="541"/>
      <c r="O2929" s="541"/>
      <c r="R2929" s="490" t="str">
        <f t="shared" si="213"/>
        <v>DELETE</v>
      </c>
    </row>
    <row r="2930" spans="3:20" ht="36" customHeight="1" x14ac:dyDescent="0.5">
      <c r="C2930" s="520"/>
      <c r="D2930" s="616">
        <f>Criteria!C501</f>
        <v>0</v>
      </c>
      <c r="E2930" s="616"/>
      <c r="F2930" s="616"/>
      <c r="G2930" s="616"/>
      <c r="H2930" s="616"/>
      <c r="I2930" s="616"/>
      <c r="J2930" s="616"/>
      <c r="M2930" s="541">
        <f>Criteria!G501</f>
        <v>0</v>
      </c>
      <c r="N2930" s="541"/>
      <c r="O2930" s="541"/>
      <c r="R2930" s="490" t="str">
        <f t="shared" si="213"/>
        <v>DELETE</v>
      </c>
    </row>
    <row r="2931" spans="3:20" ht="9" customHeight="1" x14ac:dyDescent="0.5">
      <c r="C2931" s="520"/>
      <c r="D2931" s="616"/>
      <c r="E2931" s="616"/>
      <c r="F2931" s="616"/>
      <c r="G2931" s="616"/>
      <c r="H2931" s="616"/>
      <c r="I2931" s="616"/>
      <c r="J2931" s="616"/>
      <c r="M2931" s="554"/>
      <c r="N2931" s="554"/>
      <c r="O2931" s="554"/>
      <c r="R2931" s="490" t="str">
        <f>R2915</f>
        <v>DELETE</v>
      </c>
    </row>
    <row r="2932" spans="3:20" ht="9" customHeight="1" x14ac:dyDescent="0.5">
      <c r="C2932" s="520"/>
      <c r="D2932" s="616"/>
      <c r="E2932" s="616"/>
      <c r="F2932" s="616"/>
      <c r="G2932" s="616"/>
      <c r="H2932" s="616"/>
      <c r="I2932" s="616"/>
      <c r="J2932" s="616"/>
      <c r="M2932" s="541"/>
      <c r="N2932" s="541"/>
      <c r="O2932" s="541"/>
      <c r="R2932" s="490" t="str">
        <f>R2931</f>
        <v>DELETE</v>
      </c>
    </row>
    <row r="2933" spans="3:20" ht="36" customHeight="1" x14ac:dyDescent="0.5">
      <c r="C2933" s="520"/>
      <c r="D2933" s="616"/>
      <c r="E2933" s="616"/>
      <c r="F2933" s="616"/>
      <c r="G2933" s="616"/>
      <c r="H2933" s="616"/>
      <c r="I2933" s="616"/>
      <c r="J2933" s="616"/>
      <c r="M2933" s="541"/>
      <c r="N2933" s="541"/>
      <c r="O2933" s="541">
        <f>SUM(O2913:O2923)</f>
        <v>0</v>
      </c>
      <c r="R2933" s="490" t="str">
        <f>R2931</f>
        <v>DELETE</v>
      </c>
    </row>
    <row r="2934" spans="3:20" ht="36" customHeight="1" x14ac:dyDescent="0.5">
      <c r="C2934" s="520"/>
      <c r="D2934" s="616"/>
      <c r="E2934" s="616"/>
      <c r="F2934" s="616"/>
      <c r="G2934" s="616"/>
      <c r="H2934" s="616"/>
      <c r="I2934" s="616"/>
      <c r="J2934" s="616"/>
      <c r="M2934" s="541"/>
      <c r="N2934" s="541"/>
      <c r="O2934" s="541"/>
      <c r="R2934" s="490" t="str">
        <f>R2933</f>
        <v>DELETE</v>
      </c>
    </row>
    <row r="2935" spans="3:20" ht="36" customHeight="1" x14ac:dyDescent="0.5">
      <c r="C2935" s="520"/>
      <c r="D2935" s="615" t="s">
        <v>100</v>
      </c>
      <c r="E2935" s="616"/>
      <c r="F2935" s="616"/>
      <c r="G2935" s="616"/>
      <c r="H2935" s="616"/>
      <c r="I2935" s="616"/>
      <c r="J2935" s="616"/>
      <c r="M2935" s="541"/>
      <c r="N2935" s="541"/>
      <c r="O2935" s="541">
        <f>SUM(M2936:M2946)</f>
        <v>0</v>
      </c>
      <c r="R2935" s="490" t="str">
        <f>IF(O2935=0,"DELETE"," ")</f>
        <v>DELETE</v>
      </c>
      <c r="S2935" s="496">
        <f>-O2935</f>
        <v>0</v>
      </c>
      <c r="T2935" s="496"/>
    </row>
    <row r="2936" spans="3:20" ht="36" customHeight="1" x14ac:dyDescent="0.5">
      <c r="C2936" s="520"/>
      <c r="D2936" s="616" t="str">
        <f>Criteria!C503</f>
        <v>section 11 (e) Wear-and-tear allowance</v>
      </c>
      <c r="E2936" s="616"/>
      <c r="F2936" s="616"/>
      <c r="G2936" s="616"/>
      <c r="H2936" s="616"/>
      <c r="I2936" s="616"/>
      <c r="J2936" s="616"/>
      <c r="K2936" s="456"/>
      <c r="M2936" s="541">
        <f>Criteria!G503</f>
        <v>0</v>
      </c>
      <c r="N2936" s="541"/>
      <c r="O2936" s="541"/>
      <c r="R2936" s="490" t="str">
        <f t="shared" ref="R2936:R2942" si="214">IF(M2936=0,"DELETE"," ")</f>
        <v>DELETE</v>
      </c>
    </row>
    <row r="2937" spans="3:20" ht="36" customHeight="1" x14ac:dyDescent="0.5">
      <c r="C2937" s="520"/>
      <c r="D2937" s="616" t="str">
        <f>Criteria!C504</f>
        <v>a13 quin Commercial buildings allowance</v>
      </c>
      <c r="E2937" s="616"/>
      <c r="F2937" s="616"/>
      <c r="G2937" s="616"/>
      <c r="H2937" s="616"/>
      <c r="I2937" s="616"/>
      <c r="J2937" s="616"/>
      <c r="K2937" s="456"/>
      <c r="M2937" s="541">
        <f>Criteria!G504</f>
        <v>0</v>
      </c>
      <c r="N2937" s="541"/>
      <c r="O2937" s="541"/>
      <c r="R2937" s="490" t="str">
        <f t="shared" si="214"/>
        <v>DELETE</v>
      </c>
    </row>
    <row r="2938" spans="3:20" ht="36" customHeight="1" x14ac:dyDescent="0.5">
      <c r="C2938" s="520"/>
      <c r="D2938" s="616" t="str">
        <f>Criteria!C505</f>
        <v>section 11(o) Scrapping allowance</v>
      </c>
      <c r="E2938" s="616"/>
      <c r="F2938" s="616"/>
      <c r="G2938" s="616"/>
      <c r="H2938" s="616"/>
      <c r="I2938" s="616"/>
      <c r="J2938" s="616"/>
      <c r="K2938" s="456"/>
      <c r="M2938" s="541">
        <f>Criteria!G505</f>
        <v>0</v>
      </c>
      <c r="N2938" s="541"/>
      <c r="O2938" s="541"/>
      <c r="R2938" s="490" t="str">
        <f t="shared" si="214"/>
        <v>DELETE</v>
      </c>
    </row>
    <row r="2939" spans="3:20" ht="36" customHeight="1" x14ac:dyDescent="0.5">
      <c r="C2939" s="520"/>
      <c r="D2939" s="616" t="s">
        <v>591</v>
      </c>
      <c r="E2939" s="616"/>
      <c r="F2939" s="616"/>
      <c r="G2939" s="616"/>
      <c r="H2939" s="616"/>
      <c r="I2939" s="616"/>
      <c r="J2939" s="616"/>
      <c r="K2939" s="456"/>
      <c r="M2939" s="541">
        <f>-TrialBalance!L91-TrialBalanceA!I91-TrialBalanceB!I91-TrialBalanceC!I91</f>
        <v>0</v>
      </c>
      <c r="N2939" s="541"/>
      <c r="O2939" s="541"/>
      <c r="R2939" s="490" t="str">
        <f t="shared" si="214"/>
        <v>DELETE</v>
      </c>
    </row>
    <row r="2940" spans="3:20" ht="36" customHeight="1" x14ac:dyDescent="0.5">
      <c r="C2940" s="520"/>
      <c r="D2940" s="616" t="s">
        <v>1297</v>
      </c>
      <c r="E2940" s="616"/>
      <c r="F2940" s="616"/>
      <c r="G2940" s="616"/>
      <c r="H2940" s="616"/>
      <c r="I2940" s="616"/>
      <c r="J2940" s="616"/>
      <c r="K2940" s="456"/>
      <c r="M2940" s="541">
        <f>-TrialBalance!L92-TrialBalanceA!I92-TrialBalanceB!I92-TrialBalanceC!I92</f>
        <v>0</v>
      </c>
      <c r="N2940" s="541"/>
      <c r="O2940" s="541"/>
      <c r="R2940" s="490" t="str">
        <f>IF(M2940=0,"DELETE"," ")</f>
        <v>DELETE</v>
      </c>
    </row>
    <row r="2941" spans="3:20" ht="36" customHeight="1" x14ac:dyDescent="0.5">
      <c r="C2941" s="520"/>
      <c r="D2941" s="616" t="s">
        <v>589</v>
      </c>
      <c r="E2941" s="616"/>
      <c r="F2941" s="616"/>
      <c r="G2941" s="616"/>
      <c r="H2941" s="616"/>
      <c r="I2941" s="616"/>
      <c r="J2941" s="616"/>
      <c r="M2941" s="541">
        <f>IF(TrialBalance!L94&lt;0,-TrialBalance!L94,0)+IF(TrialBalanceA!I94&lt;0,-TrialBalanceA!I94,0)+IF(TrialBalanceB!I94&lt;0,-TrialBalanceB!I94,0)+IF(TrialBalanceC!I94&lt;0,-TrialBalanceC!I94,0)</f>
        <v>0</v>
      </c>
      <c r="N2941" s="541"/>
      <c r="O2941" s="541"/>
      <c r="R2941" s="490" t="str">
        <f t="shared" si="214"/>
        <v>DELETE</v>
      </c>
    </row>
    <row r="2942" spans="3:20" ht="36" customHeight="1" x14ac:dyDescent="0.5">
      <c r="C2942" s="520"/>
      <c r="D2942" s="616" t="s">
        <v>1009</v>
      </c>
      <c r="E2942" s="616"/>
      <c r="F2942" s="616"/>
      <c r="G2942" s="616"/>
      <c r="H2942" s="616"/>
      <c r="I2942" s="616"/>
      <c r="J2942" s="616"/>
      <c r="M2942" s="541">
        <f>-TrialBalance!L29-TrialBalanceA!I29-TrialBalanceB!I29-TrialBalanceC!I29</f>
        <v>0</v>
      </c>
      <c r="N2942" s="541"/>
      <c r="O2942" s="541"/>
      <c r="R2942" s="490" t="str">
        <f t="shared" si="214"/>
        <v>DELETE</v>
      </c>
    </row>
    <row r="2943" spans="3:20" ht="36" customHeight="1" x14ac:dyDescent="0.5">
      <c r="C2943" s="520"/>
      <c r="D2943" s="616" t="s">
        <v>1309</v>
      </c>
      <c r="E2943" s="616"/>
      <c r="F2943" s="616"/>
      <c r="G2943" s="616"/>
      <c r="H2943" s="616"/>
      <c r="I2943" s="616"/>
      <c r="J2943" s="616"/>
      <c r="M2943" s="541">
        <f>-TrialBalance!L33-TrialBalanceA!I33-TrialBalanceB!I33-TrialBalanceC!I33</f>
        <v>0</v>
      </c>
      <c r="N2943" s="541"/>
      <c r="O2943" s="541"/>
      <c r="R2943" s="490" t="str">
        <f t="shared" ref="R2943" si="215">IF(M2943=0,"DELETE"," ")</f>
        <v>DELETE</v>
      </c>
    </row>
    <row r="2944" spans="3:20" ht="36" customHeight="1" x14ac:dyDescent="0.5">
      <c r="C2944" s="520"/>
      <c r="D2944" s="646">
        <f>Criteria!C506</f>
        <v>0</v>
      </c>
      <c r="E2944" s="616"/>
      <c r="F2944" s="616"/>
      <c r="G2944" s="616"/>
      <c r="H2944" s="616"/>
      <c r="I2944" s="616"/>
      <c r="J2944" s="616"/>
      <c r="M2944" s="541">
        <f>Criteria!G506</f>
        <v>0</v>
      </c>
      <c r="N2944" s="541"/>
      <c r="O2944" s="541"/>
      <c r="R2944" s="490" t="str">
        <f t="shared" ref="R2944:R2945" si="216">IF(M2944=0,"DELETE"," ")</f>
        <v>DELETE</v>
      </c>
    </row>
    <row r="2945" spans="3:20" ht="36" customHeight="1" x14ac:dyDescent="0.5">
      <c r="C2945" s="520"/>
      <c r="D2945" s="646">
        <f>Criteria!C507</f>
        <v>0</v>
      </c>
      <c r="E2945" s="616"/>
      <c r="F2945" s="616"/>
      <c r="G2945" s="616"/>
      <c r="H2945" s="616"/>
      <c r="I2945" s="616"/>
      <c r="J2945" s="616"/>
      <c r="M2945" s="541">
        <f>Criteria!G507</f>
        <v>0</v>
      </c>
      <c r="N2945" s="541"/>
      <c r="O2945" s="541"/>
      <c r="R2945" s="490" t="str">
        <f t="shared" si="216"/>
        <v>DELETE</v>
      </c>
    </row>
    <row r="2946" spans="3:20" ht="9" customHeight="1" x14ac:dyDescent="0.5">
      <c r="C2946" s="520"/>
      <c r="D2946" s="616"/>
      <c r="E2946" s="616"/>
      <c r="F2946" s="616"/>
      <c r="G2946" s="616"/>
      <c r="H2946" s="616"/>
      <c r="I2946" s="616"/>
      <c r="J2946" s="616"/>
      <c r="M2946" s="554"/>
      <c r="N2946" s="554"/>
      <c r="O2946" s="554"/>
      <c r="R2946" s="490" t="str">
        <f>R2947</f>
        <v>DELETE</v>
      </c>
    </row>
    <row r="2947" spans="3:20" ht="9" customHeight="1" x14ac:dyDescent="0.5">
      <c r="C2947" s="520"/>
      <c r="D2947" s="616"/>
      <c r="E2947" s="616"/>
      <c r="F2947" s="616"/>
      <c r="G2947" s="616"/>
      <c r="H2947" s="616"/>
      <c r="I2947" s="616"/>
      <c r="J2947" s="616"/>
      <c r="M2947" s="541"/>
      <c r="N2947" s="541"/>
      <c r="O2947" s="541"/>
      <c r="R2947" s="490" t="str">
        <f>R2948</f>
        <v>DELETE</v>
      </c>
    </row>
    <row r="2948" spans="3:20" ht="36" customHeight="1" x14ac:dyDescent="0.5">
      <c r="C2948" s="520"/>
      <c r="D2948" s="616"/>
      <c r="E2948" s="616"/>
      <c r="F2948" s="616"/>
      <c r="G2948" s="616"/>
      <c r="H2948" s="616"/>
      <c r="I2948" s="616"/>
      <c r="J2948" s="616"/>
      <c r="M2948" s="541"/>
      <c r="N2948" s="541"/>
      <c r="O2948" s="541">
        <f>SUM(S2913:S2945)</f>
        <v>0</v>
      </c>
      <c r="R2948" s="490" t="str">
        <f>R2949</f>
        <v>DELETE</v>
      </c>
    </row>
    <row r="2949" spans="3:20" ht="36" customHeight="1" x14ac:dyDescent="0.5">
      <c r="C2949" s="520"/>
      <c r="D2949" s="616" t="s">
        <v>176</v>
      </c>
      <c r="E2949" s="616"/>
      <c r="F2949" s="616"/>
      <c r="G2949" s="616"/>
      <c r="H2949" s="616"/>
      <c r="I2949" s="616"/>
      <c r="J2949" s="616"/>
      <c r="M2949" s="541"/>
      <c r="N2949" s="541"/>
      <c r="O2949" s="541">
        <f>-Criteria!G493</f>
        <v>0</v>
      </c>
      <c r="R2949" s="490" t="str">
        <f>IF(O2949=0,"DELETE"," ")</f>
        <v>DELETE</v>
      </c>
      <c r="S2949" s="495">
        <f>O2949</f>
        <v>0</v>
      </c>
      <c r="T2949" s="495"/>
    </row>
    <row r="2950" spans="3:20" ht="9" customHeight="1" x14ac:dyDescent="0.5">
      <c r="C2950" s="520"/>
      <c r="D2950" s="616"/>
      <c r="E2950" s="616"/>
      <c r="F2950" s="616"/>
      <c r="G2950" s="616"/>
      <c r="H2950" s="616"/>
      <c r="I2950" s="616"/>
      <c r="J2950" s="616"/>
      <c r="M2950" s="554"/>
      <c r="N2950" s="554"/>
      <c r="O2950" s="554"/>
    </row>
    <row r="2951" spans="3:20" ht="9" customHeight="1" x14ac:dyDescent="0.5">
      <c r="C2951" s="520"/>
      <c r="D2951" s="616"/>
      <c r="E2951" s="616"/>
      <c r="F2951" s="616"/>
      <c r="G2951" s="616"/>
      <c r="H2951" s="616"/>
      <c r="I2951" s="616"/>
      <c r="J2951" s="616"/>
      <c r="M2951" s="541"/>
      <c r="N2951" s="541"/>
      <c r="O2951" s="541"/>
    </row>
    <row r="2952" spans="3:20" ht="36.75" customHeight="1" x14ac:dyDescent="0.5">
      <c r="C2952" s="520"/>
      <c r="D2952" s="615" t="str">
        <f>IF(O2952&lt;0,"Estimated tax loss carried forward","Taxable income for the year")</f>
        <v>Taxable income for the year</v>
      </c>
      <c r="E2952" s="616"/>
      <c r="F2952" s="616"/>
      <c r="G2952" s="616"/>
      <c r="H2952" s="616"/>
      <c r="I2952" s="616"/>
      <c r="J2952" s="616"/>
      <c r="M2952" s="541"/>
      <c r="N2952" s="541"/>
      <c r="O2952" s="541">
        <f>SUM(S2913:S2950)</f>
        <v>0</v>
      </c>
    </row>
    <row r="2953" spans="3:20" ht="9" customHeight="1" thickBot="1" x14ac:dyDescent="0.55000000000000004">
      <c r="C2953" s="520"/>
      <c r="D2953" s="616"/>
      <c r="E2953" s="616"/>
      <c r="F2953" s="616"/>
      <c r="G2953" s="616"/>
      <c r="H2953" s="616"/>
      <c r="I2953" s="616"/>
      <c r="J2953" s="616"/>
      <c r="M2953" s="541"/>
      <c r="N2953" s="541"/>
      <c r="O2953" s="552"/>
    </row>
    <row r="2954" spans="3:20" ht="9" customHeight="1" thickTop="1" x14ac:dyDescent="0.5">
      <c r="C2954" s="520"/>
      <c r="D2954" s="616"/>
      <c r="E2954" s="616"/>
      <c r="F2954" s="616"/>
      <c r="G2954" s="616"/>
      <c r="H2954" s="616"/>
      <c r="I2954" s="616"/>
      <c r="J2954" s="616"/>
      <c r="M2954" s="541"/>
      <c r="N2954" s="541"/>
      <c r="O2954" s="541"/>
    </row>
    <row r="2955" spans="3:20" ht="36" customHeight="1" x14ac:dyDescent="0.5">
      <c r="C2955" s="520"/>
      <c r="D2955" s="616"/>
      <c r="E2955" s="616"/>
      <c r="F2955" s="616"/>
      <c r="G2955" s="616"/>
      <c r="H2955" s="616"/>
      <c r="I2955" s="616"/>
      <c r="J2955" s="616"/>
      <c r="K2955" s="489"/>
    </row>
    <row r="2956" spans="3:20" ht="36" customHeight="1" x14ac:dyDescent="0.5">
      <c r="C2956" s="520"/>
      <c r="D2956" s="616" t="s">
        <v>243</v>
      </c>
      <c r="E2956" s="616"/>
      <c r="F2956" s="616"/>
      <c r="G2956" s="616"/>
      <c r="H2956" s="616" t="str">
        <f>IF(Criteria!F480="Yes","Small Business Corporation tax","Normal tax")</f>
        <v>Normal tax</v>
      </c>
      <c r="I2956" s="616"/>
      <c r="J2956" s="616"/>
      <c r="M2956" s="562"/>
    </row>
    <row r="2957" spans="3:20" ht="36" customHeight="1" x14ac:dyDescent="0.5">
      <c r="C2957" s="520"/>
      <c r="D2957" s="616"/>
      <c r="E2957" s="616"/>
      <c r="F2957" s="616"/>
      <c r="G2957" s="616"/>
      <c r="H2957" s="616"/>
      <c r="I2957" s="616" t="str">
        <f>IF(Criteria!F480="Yes","Tax at reduced rates","Tax rate")</f>
        <v>Tax rate</v>
      </c>
      <c r="J2957" s="616"/>
      <c r="M2957" s="511">
        <f>IF(Criteria!F480="Yes"," ",Criteria!F478)</f>
        <v>0.27</v>
      </c>
      <c r="N2957" s="549"/>
      <c r="O2957" s="563">
        <f>ROUND(IF(O2952&lt;0,0,IF(Criteria!F480="No",O2952*Criteria!F478,IF(Criteria!I481="Yes",Criteria!K490,IF(Criteria!N481="Yes",Criteria!P490,IF(Criteria!S481="Yes",Criteria!U490))))),2)</f>
        <v>0</v>
      </c>
    </row>
    <row r="2958" spans="3:20" ht="9" customHeight="1" x14ac:dyDescent="0.5">
      <c r="C2958" s="520"/>
      <c r="D2958" s="616"/>
      <c r="E2958" s="616"/>
      <c r="F2958" s="616"/>
      <c r="G2958" s="616"/>
      <c r="H2958" s="616"/>
      <c r="I2958" s="616"/>
      <c r="J2958" s="616"/>
      <c r="O2958" s="564"/>
    </row>
    <row r="2959" spans="3:20" ht="9" customHeight="1" x14ac:dyDescent="0.5">
      <c r="C2959" s="520"/>
      <c r="D2959" s="616"/>
      <c r="E2959" s="616"/>
      <c r="F2959" s="616"/>
      <c r="G2959" s="616"/>
      <c r="H2959" s="616"/>
      <c r="I2959" s="616"/>
      <c r="J2959" s="616"/>
      <c r="O2959" s="563"/>
    </row>
    <row r="2960" spans="3:20" ht="36" customHeight="1" x14ac:dyDescent="0.5">
      <c r="C2960" s="520"/>
      <c r="D2960" s="616" t="s">
        <v>72</v>
      </c>
      <c r="E2960" s="616"/>
      <c r="F2960" s="616"/>
      <c r="G2960" s="616"/>
      <c r="H2960" s="616"/>
      <c r="I2960" s="616"/>
      <c r="J2960" s="616"/>
      <c r="O2960" s="563">
        <f>SUM(O2957:O2959)</f>
        <v>0</v>
      </c>
      <c r="S2960" s="496">
        <f>O2960</f>
        <v>0</v>
      </c>
      <c r="T2960" s="496"/>
    </row>
    <row r="2961" spans="3:20" ht="36" customHeight="1" x14ac:dyDescent="0.5">
      <c r="C2961" s="520"/>
      <c r="D2961" s="616"/>
      <c r="E2961" s="616"/>
      <c r="F2961" s="616"/>
      <c r="G2961" s="616"/>
      <c r="H2961" s="616"/>
      <c r="I2961" s="616"/>
      <c r="J2961" s="616"/>
      <c r="O2961" s="563"/>
    </row>
    <row r="2962" spans="3:20" ht="36" customHeight="1" x14ac:dyDescent="0.5">
      <c r="C2962" s="520"/>
      <c r="D2962" s="616" t="s">
        <v>100</v>
      </c>
      <c r="E2962" s="616"/>
      <c r="F2962" s="616"/>
      <c r="G2962" s="616"/>
      <c r="H2962" s="616"/>
      <c r="I2962" s="616"/>
      <c r="J2962" s="616"/>
      <c r="O2962" s="563">
        <f>SUM(M2964:M2967)</f>
        <v>0</v>
      </c>
      <c r="S2962" s="496">
        <f>-O2962</f>
        <v>0</v>
      </c>
      <c r="T2962" s="496"/>
    </row>
    <row r="2963" spans="3:20" ht="36" customHeight="1" x14ac:dyDescent="0.5">
      <c r="C2963" s="520"/>
      <c r="D2963" s="616" t="s">
        <v>73</v>
      </c>
      <c r="E2963" s="616"/>
      <c r="F2963" s="616"/>
      <c r="G2963" s="616"/>
      <c r="H2963" s="616"/>
      <c r="I2963" s="616"/>
      <c r="J2963" s="616"/>
      <c r="O2963" s="563"/>
    </row>
    <row r="2964" spans="3:20" ht="36" customHeight="1" x14ac:dyDescent="0.5">
      <c r="C2964" s="520"/>
      <c r="D2964" s="616"/>
      <c r="E2964" s="616" t="s">
        <v>74</v>
      </c>
      <c r="F2964" s="616"/>
      <c r="G2964" s="616"/>
      <c r="H2964" s="616"/>
      <c r="I2964" s="616"/>
      <c r="J2964" s="616"/>
      <c r="M2964" s="563">
        <f>TrialBalance!L390</f>
        <v>0</v>
      </c>
      <c r="O2964" s="563"/>
    </row>
    <row r="2965" spans="3:20" ht="36" customHeight="1" x14ac:dyDescent="0.5">
      <c r="C2965" s="520"/>
      <c r="D2965" s="616"/>
      <c r="E2965" s="616" t="s">
        <v>75</v>
      </c>
      <c r="F2965" s="616"/>
      <c r="G2965" s="616"/>
      <c r="H2965" s="616"/>
      <c r="I2965" s="616"/>
      <c r="J2965" s="616"/>
      <c r="M2965" s="563">
        <f>TrialBalance!L391</f>
        <v>0</v>
      </c>
      <c r="O2965" s="563"/>
    </row>
    <row r="2966" spans="3:20" ht="36" customHeight="1" x14ac:dyDescent="0.5">
      <c r="C2966" s="520"/>
      <c r="D2966" s="616"/>
      <c r="E2966" s="616" t="s">
        <v>76</v>
      </c>
      <c r="F2966" s="616"/>
      <c r="G2966" s="616"/>
      <c r="H2966" s="616"/>
      <c r="I2966" s="616"/>
      <c r="J2966" s="616"/>
      <c r="M2966" s="563">
        <f>TrialBalance!L392</f>
        <v>0</v>
      </c>
      <c r="O2966" s="563"/>
      <c r="R2966" s="490" t="str">
        <f>IF(M2966=0,"DELETE"," ")</f>
        <v>DELETE</v>
      </c>
    </row>
    <row r="2967" spans="3:20" ht="9" customHeight="1" x14ac:dyDescent="0.5">
      <c r="C2967" s="520"/>
      <c r="D2967" s="616"/>
      <c r="E2967" s="616"/>
      <c r="F2967" s="616"/>
      <c r="G2967" s="616"/>
      <c r="H2967" s="616"/>
      <c r="I2967" s="616"/>
      <c r="J2967" s="616"/>
      <c r="M2967" s="564"/>
      <c r="N2967" s="543"/>
      <c r="O2967" s="564"/>
    </row>
    <row r="2968" spans="3:20" ht="9" customHeight="1" x14ac:dyDescent="0.5">
      <c r="C2968" s="520"/>
      <c r="D2968" s="616"/>
      <c r="E2968" s="616"/>
      <c r="F2968" s="616"/>
      <c r="G2968" s="616"/>
      <c r="H2968" s="616"/>
      <c r="I2968" s="616"/>
      <c r="J2968" s="616"/>
      <c r="O2968" s="563"/>
    </row>
    <row r="2969" spans="3:20" ht="36.75" customHeight="1" x14ac:dyDescent="0.5">
      <c r="C2969" s="520"/>
      <c r="D2969" s="616" t="str">
        <f>IF(O2969&lt;0,"Income tax refundable","Net income tax payable")</f>
        <v>Net income tax payable</v>
      </c>
      <c r="E2969" s="616"/>
      <c r="F2969" s="616"/>
      <c r="G2969" s="616"/>
      <c r="H2969" s="616"/>
      <c r="I2969" s="616"/>
      <c r="J2969" s="616"/>
      <c r="O2969" s="563">
        <f>SUM(S2955:S2967)</f>
        <v>0</v>
      </c>
    </row>
    <row r="2970" spans="3:20" ht="9" customHeight="1" thickBot="1" x14ac:dyDescent="0.55000000000000004">
      <c r="C2970" s="520"/>
      <c r="D2970" s="616"/>
      <c r="E2970" s="616"/>
      <c r="F2970" s="616"/>
      <c r="G2970" s="616"/>
      <c r="H2970" s="616"/>
      <c r="I2970" s="616"/>
      <c r="J2970" s="616"/>
      <c r="O2970" s="565"/>
    </row>
    <row r="2971" spans="3:20" ht="9" customHeight="1" thickTop="1" x14ac:dyDescent="0.5">
      <c r="C2971" s="520"/>
      <c r="D2971" s="616"/>
      <c r="E2971" s="616"/>
      <c r="F2971" s="616"/>
      <c r="G2971" s="616"/>
      <c r="H2971" s="616"/>
      <c r="I2971" s="616"/>
      <c r="J2971" s="616"/>
      <c r="O2971" s="544"/>
    </row>
    <row r="2972" spans="3:20" ht="36" customHeight="1" x14ac:dyDescent="0.5">
      <c r="C2972" s="520"/>
      <c r="D2972" s="616"/>
      <c r="E2972" s="616"/>
      <c r="F2972" s="616"/>
      <c r="G2972" s="616"/>
      <c r="H2972" s="616"/>
      <c r="I2972" s="616"/>
      <c r="J2972" s="616"/>
    </row>
    <row r="2973" spans="3:20" ht="36" customHeight="1" x14ac:dyDescent="0.5">
      <c r="C2973" s="520"/>
      <c r="D2973" s="616"/>
      <c r="E2973" s="616"/>
      <c r="F2973" s="616"/>
      <c r="G2973" s="616"/>
      <c r="H2973" s="616"/>
      <c r="I2973" s="616"/>
      <c r="J2973" s="616"/>
    </row>
    <row r="2974" spans="3:20" ht="36" customHeight="1" x14ac:dyDescent="0.5">
      <c r="C2974" s="520"/>
      <c r="D2974" s="616"/>
      <c r="E2974" s="616"/>
      <c r="F2974" s="616"/>
      <c r="G2974" s="616"/>
      <c r="H2974" s="616"/>
      <c r="I2974" s="616"/>
      <c r="J2974" s="616"/>
    </row>
    <row r="2975" spans="3:20" ht="36" customHeight="1" x14ac:dyDescent="0.5">
      <c r="C2975" s="520"/>
      <c r="D2975" s="616"/>
      <c r="E2975" s="616"/>
      <c r="F2975" s="616"/>
      <c r="G2975" s="616"/>
      <c r="H2975" s="616"/>
      <c r="I2975" s="616"/>
      <c r="J2975" s="616"/>
    </row>
    <row r="2976" spans="3:20" ht="36" customHeight="1" x14ac:dyDescent="0.5">
      <c r="C2976" s="520"/>
      <c r="D2976" s="616"/>
      <c r="E2976" s="616"/>
      <c r="F2976" s="616"/>
      <c r="G2976" s="616"/>
      <c r="H2976" s="616"/>
      <c r="I2976" s="616"/>
      <c r="J2976" s="616"/>
      <c r="M2976" s="544"/>
      <c r="N2976" s="545"/>
      <c r="O2976" s="544"/>
      <c r="P2976" s="545"/>
    </row>
    <row r="2977" spans="3:23" ht="36" customHeight="1" x14ac:dyDescent="0.5">
      <c r="C2977" s="520"/>
      <c r="D2977" s="616"/>
      <c r="E2977" s="616"/>
      <c r="F2977" s="616"/>
      <c r="G2977" s="616"/>
      <c r="H2977" s="616"/>
      <c r="I2977" s="616"/>
      <c r="J2977" s="616"/>
    </row>
    <row r="2978" spans="3:23" ht="36" customHeight="1" x14ac:dyDescent="0.5">
      <c r="C2978" s="520"/>
      <c r="D2978" s="616"/>
      <c r="E2978" s="616"/>
      <c r="F2978" s="616"/>
      <c r="G2978" s="616"/>
      <c r="H2978" s="616"/>
      <c r="I2978" s="616"/>
      <c r="J2978" s="616"/>
      <c r="M2978" s="540"/>
      <c r="O2978" s="454" t="s">
        <v>112</v>
      </c>
      <c r="Q2978" s="450">
        <f>MAX($Q$103:Q2977)+1</f>
        <v>76</v>
      </c>
      <c r="R2978" s="490" t="str">
        <f>R$2997</f>
        <v>DELETE</v>
      </c>
    </row>
    <row r="2979" spans="3:23" ht="36" customHeight="1" x14ac:dyDescent="0.5">
      <c r="C2979" s="520"/>
      <c r="D2979" s="615" t="str">
        <f>Criteria!E9</f>
        <v>ABC COMPANY (PROPRIETARY) LIMITED</v>
      </c>
      <c r="E2979" s="616"/>
      <c r="F2979" s="616"/>
      <c r="G2979" s="616"/>
      <c r="H2979" s="616"/>
      <c r="I2979" s="616"/>
      <c r="J2979" s="616"/>
      <c r="M2979" s="540"/>
      <c r="O2979" s="540"/>
      <c r="R2979" s="490" t="str">
        <f>R$2997</f>
        <v>DELETE</v>
      </c>
    </row>
    <row r="2980" spans="3:23" ht="36" customHeight="1" x14ac:dyDescent="0.5">
      <c r="C2980" s="520"/>
      <c r="D2980" s="615" t="str">
        <f>Criteria!E10</f>
        <v>T/A SEAFRONT HOTEL, ABC RESTAURANT AND RENTAL PROPERTIES</v>
      </c>
      <c r="E2980" s="616"/>
      <c r="F2980" s="616"/>
      <c r="G2980" s="616"/>
      <c r="H2980" s="616"/>
      <c r="I2980" s="616"/>
      <c r="J2980" s="616"/>
      <c r="M2980" s="540"/>
      <c r="O2980" s="540"/>
      <c r="R2980" s="490" t="str">
        <f>IF(R$2997="DELETE","DELETE",IF(D2980=0,"DELETE"," "))</f>
        <v>DELETE</v>
      </c>
    </row>
    <row r="2981" spans="3:23" ht="36" customHeight="1" x14ac:dyDescent="0.5">
      <c r="C2981" s="520"/>
      <c r="D2981" s="616"/>
      <c r="E2981" s="616"/>
      <c r="F2981" s="616"/>
      <c r="G2981" s="616"/>
      <c r="H2981" s="616"/>
      <c r="I2981" s="616"/>
      <c r="J2981" s="616"/>
      <c r="M2981" s="540"/>
      <c r="O2981" s="540"/>
      <c r="R2981" s="490" t="str">
        <f t="shared" ref="R2981:R2996" si="217">R$2997</f>
        <v>DELETE</v>
      </c>
    </row>
    <row r="2982" spans="3:23" ht="36" customHeight="1" x14ac:dyDescent="0.5">
      <c r="C2982" s="520"/>
      <c r="D2982" s="615" t="s">
        <v>1744</v>
      </c>
      <c r="E2982" s="616"/>
      <c r="F2982" s="616"/>
      <c r="G2982" s="616"/>
      <c r="H2982" s="616"/>
      <c r="I2982" s="616"/>
      <c r="J2982" s="616"/>
      <c r="M2982" s="540"/>
      <c r="O2982" s="540"/>
      <c r="R2982" s="490" t="str">
        <f t="shared" si="217"/>
        <v>DELETE</v>
      </c>
    </row>
    <row r="2983" spans="3:23" ht="36" customHeight="1" x14ac:dyDescent="0.5">
      <c r="C2983" s="520"/>
      <c r="D2983" s="615" t="str">
        <f>CONCATENATE("YEAR ENDED ",Criteria!E20)</f>
        <v>YEAR ENDED 28 FEBRUARY 2026</v>
      </c>
      <c r="E2983" s="616"/>
      <c r="F2983" s="616"/>
      <c r="G2983" s="616"/>
      <c r="H2983" s="616"/>
      <c r="I2983" s="616"/>
      <c r="J2983" s="616"/>
      <c r="M2983" s="540"/>
      <c r="O2983" s="540"/>
      <c r="R2983" s="490" t="str">
        <f t="shared" si="217"/>
        <v>DELETE</v>
      </c>
    </row>
    <row r="2984" spans="3:23" ht="36" customHeight="1" x14ac:dyDescent="0.5">
      <c r="C2984" s="520"/>
      <c r="D2984" s="616"/>
      <c r="E2984" s="616"/>
      <c r="F2984" s="616"/>
      <c r="G2984" s="616"/>
      <c r="H2984" s="616"/>
      <c r="I2984" s="616"/>
      <c r="J2984" s="616"/>
      <c r="M2984" s="540"/>
      <c r="O2984" s="540"/>
      <c r="R2984" s="490" t="str">
        <f t="shared" si="217"/>
        <v>DELETE</v>
      </c>
    </row>
    <row r="2985" spans="3:23" ht="36" customHeight="1" x14ac:dyDescent="0.5">
      <c r="C2985" s="591"/>
      <c r="D2985" s="634"/>
      <c r="E2985" s="634"/>
      <c r="F2985" s="634"/>
      <c r="G2985" s="634"/>
      <c r="H2985" s="634"/>
      <c r="I2985" s="634"/>
      <c r="J2985" s="634"/>
      <c r="K2985" s="457"/>
      <c r="L2985" s="457"/>
      <c r="M2985" s="551"/>
      <c r="N2985" s="551"/>
      <c r="O2985" s="551"/>
      <c r="P2985" s="551"/>
      <c r="Q2985" s="457"/>
      <c r="R2985" s="490" t="str">
        <f t="shared" si="217"/>
        <v>DELETE</v>
      </c>
    </row>
    <row r="2986" spans="3:23" ht="36" customHeight="1" x14ac:dyDescent="0.5">
      <c r="C2986" s="520"/>
      <c r="D2986" s="616"/>
      <c r="E2986" s="616"/>
      <c r="F2986" s="616"/>
      <c r="G2986" s="616"/>
      <c r="H2986" s="616"/>
      <c r="I2986" s="616"/>
      <c r="J2986" s="616"/>
      <c r="M2986" s="540"/>
      <c r="O2986" s="540"/>
      <c r="R2986" s="490" t="str">
        <f t="shared" si="217"/>
        <v>DELETE</v>
      </c>
    </row>
    <row r="2987" spans="3:23" ht="36" customHeight="1" x14ac:dyDescent="0.5">
      <c r="C2987" s="520"/>
      <c r="D2987" s="616"/>
      <c r="E2987" s="616"/>
      <c r="F2987" s="616"/>
      <c r="G2987" s="616"/>
      <c r="H2987" s="616"/>
      <c r="I2987" s="616"/>
      <c r="J2987" s="616"/>
      <c r="M2987" s="540"/>
      <c r="O2987" s="540"/>
      <c r="R2987" s="490" t="str">
        <f t="shared" si="217"/>
        <v>DELETE</v>
      </c>
    </row>
    <row r="2988" spans="3:23" ht="36" customHeight="1" x14ac:dyDescent="0.5">
      <c r="C2988" s="520">
        <v>1</v>
      </c>
      <c r="D2988" s="630" t="s">
        <v>1538</v>
      </c>
      <c r="E2988" s="616"/>
      <c r="F2988" s="616"/>
      <c r="G2988" s="616"/>
      <c r="H2988" s="616"/>
      <c r="I2988" s="616"/>
      <c r="J2988" s="616"/>
      <c r="M2988" s="540"/>
      <c r="O2988" s="540"/>
      <c r="R2988" s="490" t="str">
        <f t="shared" si="217"/>
        <v>DELETE</v>
      </c>
    </row>
    <row r="2989" spans="3:23" ht="36" customHeight="1" x14ac:dyDescent="0.5">
      <c r="C2989" s="520"/>
      <c r="D2989" s="616"/>
      <c r="E2989" s="616"/>
      <c r="F2989" s="616"/>
      <c r="G2989" s="616"/>
      <c r="H2989" s="616"/>
      <c r="I2989" s="616"/>
      <c r="J2989" s="616"/>
      <c r="M2989" s="540"/>
      <c r="O2989" s="540"/>
      <c r="R2989" s="490" t="str">
        <f t="shared" si="217"/>
        <v>DELETE</v>
      </c>
    </row>
    <row r="2990" spans="3:23" ht="36" customHeight="1" x14ac:dyDescent="0.5">
      <c r="C2990" s="520"/>
      <c r="D2990" s="628" t="s">
        <v>853</v>
      </c>
      <c r="E2990" s="616"/>
      <c r="F2990" s="616"/>
      <c r="G2990" s="616"/>
      <c r="H2990" s="616"/>
      <c r="I2990" s="616"/>
      <c r="J2990" s="616"/>
      <c r="M2990" s="540"/>
      <c r="O2990" s="541">
        <f>Criteria!G510</f>
        <v>0</v>
      </c>
      <c r="R2990" s="490" t="str">
        <f t="shared" si="217"/>
        <v>DELETE</v>
      </c>
      <c r="W2990" s="491">
        <f>IF(M2990&lt;0,1,IF(M2990=0,IF(O2990&lt;0,1,2),2))</f>
        <v>2</v>
      </c>
    </row>
    <row r="2991" spans="3:23" ht="36" customHeight="1" x14ac:dyDescent="0.5">
      <c r="C2991" s="520"/>
      <c r="D2991" s="628"/>
      <c r="E2991" s="616"/>
      <c r="F2991" s="616"/>
      <c r="G2991" s="616"/>
      <c r="H2991" s="616"/>
      <c r="I2991" s="616"/>
      <c r="J2991" s="616"/>
      <c r="M2991" s="540"/>
      <c r="O2991" s="541"/>
      <c r="R2991" s="490" t="str">
        <f t="shared" si="217"/>
        <v>DELETE</v>
      </c>
    </row>
    <row r="2992" spans="3:23" ht="36" customHeight="1" x14ac:dyDescent="0.5">
      <c r="C2992" s="520"/>
      <c r="D2992" s="628" t="s">
        <v>876</v>
      </c>
      <c r="E2992" s="616"/>
      <c r="F2992" s="616"/>
      <c r="G2992" s="616"/>
      <c r="H2992" s="616"/>
      <c r="I2992" s="616"/>
      <c r="J2992" s="616"/>
      <c r="M2992" s="540"/>
      <c r="O2992" s="541">
        <f>-Criteria!H510</f>
        <v>0</v>
      </c>
      <c r="R2992" s="490" t="str">
        <f t="shared" si="217"/>
        <v>DELETE</v>
      </c>
    </row>
    <row r="2993" spans="3:18" ht="36" customHeight="1" x14ac:dyDescent="0.5">
      <c r="C2993" s="520"/>
      <c r="D2993" s="616"/>
      <c r="E2993" s="616"/>
      <c r="F2993" s="616"/>
      <c r="G2993" s="616"/>
      <c r="H2993" s="616"/>
      <c r="I2993" s="616"/>
      <c r="J2993" s="616"/>
      <c r="M2993" s="540"/>
      <c r="O2993" s="541"/>
      <c r="R2993" s="490" t="str">
        <f t="shared" si="217"/>
        <v>DELETE</v>
      </c>
    </row>
    <row r="2994" spans="3:18" ht="36" customHeight="1" x14ac:dyDescent="0.5">
      <c r="C2994" s="520"/>
      <c r="D2994" s="616" t="s">
        <v>849</v>
      </c>
      <c r="E2994" s="616"/>
      <c r="F2994" s="616"/>
      <c r="G2994" s="616"/>
      <c r="H2994" s="616"/>
      <c r="I2994" s="616"/>
      <c r="J2994" s="616"/>
      <c r="M2994" s="540"/>
      <c r="O2994" s="541">
        <f>-Criteria!G494</f>
        <v>0</v>
      </c>
      <c r="R2994" s="490" t="str">
        <f t="shared" si="217"/>
        <v>DELETE</v>
      </c>
    </row>
    <row r="2995" spans="3:18" ht="9" customHeight="1" x14ac:dyDescent="0.5">
      <c r="C2995" s="520"/>
      <c r="D2995" s="616"/>
      <c r="E2995" s="616"/>
      <c r="F2995" s="616"/>
      <c r="G2995" s="616"/>
      <c r="H2995" s="616"/>
      <c r="I2995" s="616"/>
      <c r="J2995" s="616"/>
      <c r="M2995" s="540"/>
      <c r="O2995" s="554"/>
      <c r="R2995" s="490" t="str">
        <f t="shared" si="217"/>
        <v>DELETE</v>
      </c>
    </row>
    <row r="2996" spans="3:18" ht="9" customHeight="1" x14ac:dyDescent="0.5">
      <c r="C2996" s="520"/>
      <c r="D2996" s="616"/>
      <c r="E2996" s="616"/>
      <c r="F2996" s="616"/>
      <c r="G2996" s="616"/>
      <c r="H2996" s="616"/>
      <c r="I2996" s="616"/>
      <c r="J2996" s="616"/>
      <c r="M2996" s="540"/>
      <c r="O2996" s="541"/>
      <c r="R2996" s="490" t="str">
        <f t="shared" si="217"/>
        <v>DELETE</v>
      </c>
    </row>
    <row r="2997" spans="3:18" ht="36.75" customHeight="1" x14ac:dyDescent="0.5">
      <c r="C2997" s="520"/>
      <c r="D2997" s="616" t="str">
        <f>IF(O2997&lt;0,"Loss carried forward","Profit subject to CGT")</f>
        <v>Profit subject to CGT</v>
      </c>
      <c r="E2997" s="616"/>
      <c r="F2997" s="616"/>
      <c r="G2997" s="616"/>
      <c r="H2997" s="616"/>
      <c r="I2997" s="616"/>
      <c r="J2997" s="616"/>
      <c r="M2997" s="540"/>
      <c r="O2997" s="541">
        <f>SUM(O2990:O2995)</f>
        <v>0</v>
      </c>
      <c r="R2997" s="490" t="str">
        <f>IF(O2990-O2992-O2994=0,"DELETE"," ")</f>
        <v>DELETE</v>
      </c>
    </row>
    <row r="2998" spans="3:18" ht="9" customHeight="1" thickBot="1" x14ac:dyDescent="0.55000000000000004">
      <c r="C2998" s="520"/>
      <c r="D2998" s="616"/>
      <c r="E2998" s="616"/>
      <c r="F2998" s="616"/>
      <c r="G2998" s="616"/>
      <c r="H2998" s="616"/>
      <c r="I2998" s="616"/>
      <c r="J2998" s="616"/>
      <c r="M2998" s="540"/>
      <c r="O2998" s="552"/>
      <c r="R2998" s="490" t="str">
        <f t="shared" ref="R2998:R3004" si="218">R$2997</f>
        <v>DELETE</v>
      </c>
    </row>
    <row r="2999" spans="3:18" ht="9" customHeight="1" thickTop="1" x14ac:dyDescent="0.5">
      <c r="C2999" s="520"/>
      <c r="D2999" s="616"/>
      <c r="E2999" s="616"/>
      <c r="F2999" s="616"/>
      <c r="G2999" s="616"/>
      <c r="H2999" s="616"/>
      <c r="I2999" s="616"/>
      <c r="J2999" s="616"/>
      <c r="M2999" s="540"/>
      <c r="O2999" s="605"/>
      <c r="R2999" s="490" t="str">
        <f t="shared" si="218"/>
        <v>DELETE</v>
      </c>
    </row>
    <row r="3000" spans="3:18" ht="9" customHeight="1" x14ac:dyDescent="0.5">
      <c r="C3000" s="520"/>
      <c r="D3000" s="616"/>
      <c r="E3000" s="616"/>
      <c r="F3000" s="616"/>
      <c r="G3000" s="616"/>
      <c r="H3000" s="616"/>
      <c r="I3000" s="616"/>
      <c r="J3000" s="616"/>
      <c r="M3000" s="540"/>
      <c r="O3000" s="540"/>
      <c r="R3000" s="490" t="str">
        <f t="shared" si="218"/>
        <v>DELETE</v>
      </c>
    </row>
    <row r="3001" spans="3:18" ht="36.75" customHeight="1" x14ac:dyDescent="0.5">
      <c r="C3001" s="520"/>
      <c r="D3001" s="616" t="s">
        <v>586</v>
      </c>
      <c r="E3001" s="616"/>
      <c r="F3001" s="616"/>
      <c r="G3001" s="616"/>
      <c r="H3001" s="616"/>
      <c r="I3001" s="616"/>
      <c r="J3001" s="616"/>
      <c r="M3001" s="540"/>
      <c r="O3001" s="541">
        <f>ROUND(IF(O2997&gt;0,O2997*0.8,0),0)</f>
        <v>0</v>
      </c>
      <c r="R3001" s="490" t="str">
        <f t="shared" si="218"/>
        <v>DELETE</v>
      </c>
    </row>
    <row r="3002" spans="3:18" ht="9" customHeight="1" thickBot="1" x14ac:dyDescent="0.55000000000000004">
      <c r="C3002" s="520"/>
      <c r="D3002" s="616"/>
      <c r="E3002" s="616"/>
      <c r="F3002" s="616"/>
      <c r="G3002" s="616"/>
      <c r="H3002" s="616"/>
      <c r="I3002" s="616"/>
      <c r="J3002" s="616"/>
      <c r="M3002" s="540"/>
      <c r="O3002" s="553"/>
      <c r="R3002" s="490" t="str">
        <f t="shared" si="218"/>
        <v>DELETE</v>
      </c>
    </row>
    <row r="3003" spans="3:18" ht="9" customHeight="1" thickTop="1" x14ac:dyDescent="0.5">
      <c r="C3003" s="520"/>
      <c r="D3003" s="616"/>
      <c r="E3003" s="616"/>
      <c r="F3003" s="616"/>
      <c r="G3003" s="616"/>
      <c r="H3003" s="616"/>
      <c r="I3003" s="616"/>
      <c r="J3003" s="616"/>
      <c r="M3003" s="540"/>
      <c r="O3003" s="540"/>
      <c r="R3003" s="490" t="str">
        <f t="shared" si="218"/>
        <v>DELETE</v>
      </c>
    </row>
    <row r="3004" spans="3:18" ht="36" customHeight="1" x14ac:dyDescent="0.5">
      <c r="C3004" s="520"/>
      <c r="D3004" s="616"/>
      <c r="E3004" s="616"/>
      <c r="F3004" s="616"/>
      <c r="G3004" s="616"/>
      <c r="H3004" s="616"/>
      <c r="I3004" s="616"/>
      <c r="J3004" s="616"/>
      <c r="M3004" s="540"/>
      <c r="O3004" s="540"/>
      <c r="R3004" s="490" t="str">
        <f t="shared" si="218"/>
        <v>DELETE</v>
      </c>
    </row>
    <row r="3005" spans="3:18" ht="36" customHeight="1" x14ac:dyDescent="0.5">
      <c r="C3005" s="520"/>
      <c r="D3005" s="616"/>
      <c r="E3005" s="616"/>
      <c r="F3005" s="616"/>
      <c r="G3005" s="616"/>
      <c r="H3005" s="616"/>
      <c r="I3005" s="616"/>
      <c r="J3005" s="616"/>
      <c r="M3005" s="606"/>
      <c r="O3005" s="540"/>
      <c r="R3005" s="490" t="str">
        <f t="shared" ref="R3005:R3041" si="219">R$2997</f>
        <v>DELETE</v>
      </c>
    </row>
    <row r="3006" spans="3:18" ht="36" customHeight="1" x14ac:dyDescent="0.5">
      <c r="C3006" s="520"/>
      <c r="D3006" s="616"/>
      <c r="E3006" s="616"/>
      <c r="F3006" s="616"/>
      <c r="G3006" s="616"/>
      <c r="H3006" s="616"/>
      <c r="I3006" s="616"/>
      <c r="J3006" s="616"/>
      <c r="M3006" s="540"/>
      <c r="O3006" s="540"/>
      <c r="R3006" s="490" t="str">
        <f t="shared" si="219"/>
        <v>DELETE</v>
      </c>
    </row>
    <row r="3007" spans="3:18" ht="36" customHeight="1" x14ac:dyDescent="0.5">
      <c r="C3007" s="520"/>
      <c r="D3007" s="616"/>
      <c r="E3007" s="616"/>
      <c r="F3007" s="616"/>
      <c r="G3007" s="616"/>
      <c r="H3007" s="616"/>
      <c r="I3007" s="616"/>
      <c r="J3007" s="616"/>
      <c r="M3007" s="540"/>
      <c r="O3007" s="540"/>
      <c r="R3007" s="490" t="str">
        <f t="shared" si="219"/>
        <v>DELETE</v>
      </c>
    </row>
    <row r="3008" spans="3:18" ht="36" customHeight="1" x14ac:dyDescent="0.5">
      <c r="C3008" s="520"/>
      <c r="D3008" s="616"/>
      <c r="E3008" s="616"/>
      <c r="F3008" s="616"/>
      <c r="G3008" s="616"/>
      <c r="H3008" s="616"/>
      <c r="I3008" s="616"/>
      <c r="J3008" s="616"/>
      <c r="M3008" s="540"/>
      <c r="O3008" s="540"/>
      <c r="R3008" s="490" t="str">
        <f t="shared" si="219"/>
        <v>DELETE</v>
      </c>
    </row>
    <row r="3009" spans="3:18" ht="36" customHeight="1" x14ac:dyDescent="0.5">
      <c r="C3009" s="520"/>
      <c r="D3009" s="616"/>
      <c r="E3009" s="616"/>
      <c r="F3009" s="616"/>
      <c r="G3009" s="616"/>
      <c r="H3009" s="616"/>
      <c r="I3009" s="616"/>
      <c r="J3009" s="616"/>
      <c r="M3009" s="540"/>
      <c r="O3009" s="540"/>
      <c r="R3009" s="490" t="str">
        <f t="shared" si="219"/>
        <v>DELETE</v>
      </c>
    </row>
    <row r="3010" spans="3:18" ht="36" customHeight="1" x14ac:dyDescent="0.5">
      <c r="C3010" s="520"/>
      <c r="D3010" s="616"/>
      <c r="E3010" s="616"/>
      <c r="F3010" s="616"/>
      <c r="G3010" s="616"/>
      <c r="H3010" s="616"/>
      <c r="I3010" s="616"/>
      <c r="J3010" s="616"/>
      <c r="M3010" s="540"/>
      <c r="O3010" s="540"/>
      <c r="R3010" s="490" t="str">
        <f t="shared" si="219"/>
        <v>DELETE</v>
      </c>
    </row>
    <row r="3011" spans="3:18" ht="36" customHeight="1" x14ac:dyDescent="0.5">
      <c r="C3011" s="520"/>
      <c r="D3011" s="616"/>
      <c r="E3011" s="616"/>
      <c r="F3011" s="616"/>
      <c r="G3011" s="616"/>
      <c r="H3011" s="616"/>
      <c r="I3011" s="616"/>
      <c r="J3011" s="616"/>
      <c r="M3011" s="540"/>
      <c r="O3011" s="540"/>
      <c r="R3011" s="490" t="str">
        <f t="shared" si="219"/>
        <v>DELETE</v>
      </c>
    </row>
    <row r="3012" spans="3:18" ht="36" customHeight="1" x14ac:dyDescent="0.5">
      <c r="C3012" s="520"/>
      <c r="D3012" s="616"/>
      <c r="E3012" s="616"/>
      <c r="F3012" s="616"/>
      <c r="G3012" s="616"/>
      <c r="H3012" s="616"/>
      <c r="I3012" s="616"/>
      <c r="J3012" s="616"/>
      <c r="M3012" s="540"/>
      <c r="O3012" s="540"/>
      <c r="R3012" s="490" t="str">
        <f t="shared" si="219"/>
        <v>DELETE</v>
      </c>
    </row>
    <row r="3013" spans="3:18" ht="36" customHeight="1" x14ac:dyDescent="0.5">
      <c r="C3013" s="520"/>
      <c r="D3013" s="616"/>
      <c r="E3013" s="616"/>
      <c r="F3013" s="616"/>
      <c r="G3013" s="616"/>
      <c r="H3013" s="616"/>
      <c r="I3013" s="616"/>
      <c r="J3013" s="616"/>
      <c r="M3013" s="540"/>
      <c r="O3013" s="540"/>
      <c r="R3013" s="490" t="str">
        <f t="shared" si="219"/>
        <v>DELETE</v>
      </c>
    </row>
    <row r="3014" spans="3:18" ht="36" customHeight="1" x14ac:dyDescent="0.5">
      <c r="C3014" s="520"/>
      <c r="D3014" s="616"/>
      <c r="E3014" s="616"/>
      <c r="F3014" s="616"/>
      <c r="G3014" s="616"/>
      <c r="H3014" s="616"/>
      <c r="I3014" s="616"/>
      <c r="J3014" s="616"/>
      <c r="M3014" s="540"/>
      <c r="O3014" s="540"/>
      <c r="R3014" s="490" t="str">
        <f t="shared" si="219"/>
        <v>DELETE</v>
      </c>
    </row>
    <row r="3015" spans="3:18" ht="36" customHeight="1" x14ac:dyDescent="0.5">
      <c r="C3015" s="520"/>
      <c r="D3015" s="616"/>
      <c r="E3015" s="616"/>
      <c r="F3015" s="616"/>
      <c r="G3015" s="616"/>
      <c r="H3015" s="616"/>
      <c r="I3015" s="616"/>
      <c r="J3015" s="616"/>
      <c r="M3015" s="540"/>
      <c r="O3015" s="540"/>
      <c r="R3015" s="490" t="str">
        <f t="shared" si="219"/>
        <v>DELETE</v>
      </c>
    </row>
    <row r="3016" spans="3:18" ht="36" customHeight="1" x14ac:dyDescent="0.5">
      <c r="C3016" s="520"/>
      <c r="D3016" s="616"/>
      <c r="E3016" s="616"/>
      <c r="F3016" s="616"/>
      <c r="G3016" s="616"/>
      <c r="H3016" s="616"/>
      <c r="I3016" s="616"/>
      <c r="J3016" s="616"/>
      <c r="M3016" s="540"/>
      <c r="O3016" s="540"/>
      <c r="R3016" s="490" t="str">
        <f t="shared" si="219"/>
        <v>DELETE</v>
      </c>
    </row>
    <row r="3017" spans="3:18" ht="36" customHeight="1" x14ac:dyDescent="0.5">
      <c r="C3017" s="520"/>
      <c r="D3017" s="616"/>
      <c r="E3017" s="616"/>
      <c r="F3017" s="616"/>
      <c r="G3017" s="616"/>
      <c r="H3017" s="616"/>
      <c r="I3017" s="616"/>
      <c r="J3017" s="616"/>
      <c r="M3017" s="540"/>
      <c r="O3017" s="540"/>
      <c r="R3017" s="490" t="str">
        <f t="shared" si="219"/>
        <v>DELETE</v>
      </c>
    </row>
    <row r="3018" spans="3:18" ht="36" customHeight="1" x14ac:dyDescent="0.5">
      <c r="C3018" s="520"/>
      <c r="D3018" s="616"/>
      <c r="E3018" s="616"/>
      <c r="F3018" s="616"/>
      <c r="G3018" s="616"/>
      <c r="H3018" s="616"/>
      <c r="I3018" s="616"/>
      <c r="J3018" s="616"/>
      <c r="M3018" s="540"/>
      <c r="O3018" s="540"/>
      <c r="R3018" s="490" t="str">
        <f t="shared" si="219"/>
        <v>DELETE</v>
      </c>
    </row>
    <row r="3019" spans="3:18" ht="36" customHeight="1" x14ac:dyDescent="0.5">
      <c r="C3019" s="520"/>
      <c r="D3019" s="616"/>
      <c r="E3019" s="616"/>
      <c r="F3019" s="616"/>
      <c r="G3019" s="616"/>
      <c r="H3019" s="616"/>
      <c r="I3019" s="616"/>
      <c r="J3019" s="616"/>
      <c r="M3019" s="540"/>
      <c r="O3019" s="540"/>
      <c r="R3019" s="490" t="str">
        <f t="shared" si="219"/>
        <v>DELETE</v>
      </c>
    </row>
    <row r="3020" spans="3:18" ht="36" customHeight="1" x14ac:dyDescent="0.5">
      <c r="C3020" s="520"/>
      <c r="D3020" s="616"/>
      <c r="E3020" s="616"/>
      <c r="F3020" s="616"/>
      <c r="G3020" s="616"/>
      <c r="H3020" s="616"/>
      <c r="I3020" s="616"/>
      <c r="J3020" s="616"/>
      <c r="M3020" s="540"/>
      <c r="O3020" s="540"/>
      <c r="R3020" s="490" t="str">
        <f t="shared" si="219"/>
        <v>DELETE</v>
      </c>
    </row>
    <row r="3021" spans="3:18" ht="36" customHeight="1" x14ac:dyDescent="0.5">
      <c r="C3021" s="520"/>
      <c r="D3021" s="616"/>
      <c r="E3021" s="616"/>
      <c r="F3021" s="616"/>
      <c r="G3021" s="616"/>
      <c r="H3021" s="616"/>
      <c r="I3021" s="616"/>
      <c r="J3021" s="616"/>
      <c r="M3021" s="540"/>
      <c r="O3021" s="540"/>
      <c r="R3021" s="490" t="str">
        <f t="shared" si="219"/>
        <v>DELETE</v>
      </c>
    </row>
    <row r="3022" spans="3:18" ht="36" customHeight="1" x14ac:dyDescent="0.5">
      <c r="C3022" s="520"/>
      <c r="D3022" s="616"/>
      <c r="E3022" s="616"/>
      <c r="F3022" s="616"/>
      <c r="G3022" s="616"/>
      <c r="H3022" s="616"/>
      <c r="I3022" s="616"/>
      <c r="J3022" s="616"/>
      <c r="M3022" s="540"/>
      <c r="O3022" s="540"/>
      <c r="R3022" s="490" t="str">
        <f t="shared" si="219"/>
        <v>DELETE</v>
      </c>
    </row>
    <row r="3023" spans="3:18" ht="36" customHeight="1" x14ac:dyDescent="0.5">
      <c r="C3023" s="520"/>
      <c r="D3023" s="616"/>
      <c r="E3023" s="616"/>
      <c r="F3023" s="616"/>
      <c r="G3023" s="616"/>
      <c r="H3023" s="616"/>
      <c r="I3023" s="616"/>
      <c r="J3023" s="616"/>
      <c r="M3023" s="540"/>
      <c r="O3023" s="540"/>
      <c r="R3023" s="490" t="str">
        <f t="shared" si="219"/>
        <v>DELETE</v>
      </c>
    </row>
    <row r="3024" spans="3:18" ht="36" customHeight="1" x14ac:dyDescent="0.5">
      <c r="C3024" s="520"/>
      <c r="D3024" s="616"/>
      <c r="E3024" s="616"/>
      <c r="F3024" s="616"/>
      <c r="G3024" s="616"/>
      <c r="H3024" s="616"/>
      <c r="I3024" s="616"/>
      <c r="J3024" s="616"/>
      <c r="M3024" s="540"/>
      <c r="O3024" s="540"/>
      <c r="R3024" s="490" t="str">
        <f t="shared" si="219"/>
        <v>DELETE</v>
      </c>
    </row>
    <row r="3025" spans="3:18" ht="36" customHeight="1" x14ac:dyDescent="0.5">
      <c r="C3025" s="520"/>
      <c r="D3025" s="616"/>
      <c r="E3025" s="616"/>
      <c r="F3025" s="616"/>
      <c r="G3025" s="616"/>
      <c r="H3025" s="616"/>
      <c r="I3025" s="616"/>
      <c r="J3025" s="616"/>
      <c r="M3025" s="540"/>
      <c r="O3025" s="540"/>
      <c r="R3025" s="490" t="str">
        <f t="shared" si="219"/>
        <v>DELETE</v>
      </c>
    </row>
    <row r="3026" spans="3:18" ht="36" customHeight="1" x14ac:dyDescent="0.5">
      <c r="C3026" s="520"/>
      <c r="D3026" s="616"/>
      <c r="E3026" s="616"/>
      <c r="F3026" s="616"/>
      <c r="G3026" s="616"/>
      <c r="H3026" s="616"/>
      <c r="I3026" s="616"/>
      <c r="J3026" s="616"/>
      <c r="M3026" s="540"/>
      <c r="O3026" s="540"/>
      <c r="R3026" s="490" t="str">
        <f t="shared" si="219"/>
        <v>DELETE</v>
      </c>
    </row>
    <row r="3027" spans="3:18" ht="36" customHeight="1" x14ac:dyDescent="0.5">
      <c r="C3027" s="520"/>
      <c r="D3027" s="616"/>
      <c r="E3027" s="616"/>
      <c r="F3027" s="616"/>
      <c r="G3027" s="616"/>
      <c r="H3027" s="616"/>
      <c r="I3027" s="616"/>
      <c r="J3027" s="616"/>
      <c r="M3027" s="540"/>
      <c r="O3027" s="540"/>
      <c r="R3027" s="490" t="str">
        <f t="shared" si="219"/>
        <v>DELETE</v>
      </c>
    </row>
    <row r="3028" spans="3:18" ht="36" customHeight="1" x14ac:dyDescent="0.5">
      <c r="C3028" s="520"/>
      <c r="D3028" s="616"/>
      <c r="E3028" s="616"/>
      <c r="F3028" s="616"/>
      <c r="G3028" s="616"/>
      <c r="H3028" s="616"/>
      <c r="I3028" s="616"/>
      <c r="J3028" s="616"/>
      <c r="M3028" s="540"/>
      <c r="O3028" s="540"/>
      <c r="R3028" s="490" t="str">
        <f t="shared" si="219"/>
        <v>DELETE</v>
      </c>
    </row>
    <row r="3029" spans="3:18" ht="36" customHeight="1" x14ac:dyDescent="0.5">
      <c r="C3029" s="520"/>
      <c r="D3029" s="616"/>
      <c r="E3029" s="616"/>
      <c r="F3029" s="616"/>
      <c r="G3029" s="616"/>
      <c r="H3029" s="616"/>
      <c r="I3029" s="616"/>
      <c r="J3029" s="616"/>
      <c r="M3029" s="540"/>
      <c r="O3029" s="540"/>
      <c r="R3029" s="490" t="str">
        <f t="shared" si="219"/>
        <v>DELETE</v>
      </c>
    </row>
    <row r="3030" spans="3:18" ht="36" customHeight="1" x14ac:dyDescent="0.5">
      <c r="C3030" s="520"/>
      <c r="D3030" s="616"/>
      <c r="E3030" s="616"/>
      <c r="F3030" s="616"/>
      <c r="G3030" s="616"/>
      <c r="H3030" s="616"/>
      <c r="I3030" s="616"/>
      <c r="J3030" s="616"/>
      <c r="M3030" s="540"/>
      <c r="O3030" s="540"/>
      <c r="R3030" s="490" t="str">
        <f t="shared" si="219"/>
        <v>DELETE</v>
      </c>
    </row>
    <row r="3031" spans="3:18" ht="36" customHeight="1" x14ac:dyDescent="0.5">
      <c r="C3031" s="520"/>
      <c r="D3031" s="616"/>
      <c r="E3031" s="616"/>
      <c r="F3031" s="616"/>
      <c r="G3031" s="616"/>
      <c r="H3031" s="616"/>
      <c r="I3031" s="616"/>
      <c r="J3031" s="616"/>
      <c r="M3031" s="540"/>
      <c r="O3031" s="540"/>
      <c r="R3031" s="490" t="str">
        <f t="shared" si="219"/>
        <v>DELETE</v>
      </c>
    </row>
    <row r="3032" spans="3:18" ht="36" customHeight="1" x14ac:dyDescent="0.5">
      <c r="C3032" s="520"/>
      <c r="D3032" s="616"/>
      <c r="E3032" s="616"/>
      <c r="F3032" s="616"/>
      <c r="G3032" s="616"/>
      <c r="H3032" s="616"/>
      <c r="I3032" s="616"/>
      <c r="J3032" s="616"/>
      <c r="M3032" s="540"/>
      <c r="O3032" s="540"/>
      <c r="R3032" s="490" t="str">
        <f t="shared" si="219"/>
        <v>DELETE</v>
      </c>
    </row>
    <row r="3033" spans="3:18" ht="36" customHeight="1" x14ac:dyDescent="0.5">
      <c r="C3033" s="520"/>
      <c r="D3033" s="616"/>
      <c r="E3033" s="616"/>
      <c r="F3033" s="616"/>
      <c r="G3033" s="616"/>
      <c r="H3033" s="616"/>
      <c r="I3033" s="616"/>
      <c r="J3033" s="616"/>
      <c r="M3033" s="540"/>
      <c r="O3033" s="540"/>
      <c r="R3033" s="490" t="str">
        <f t="shared" si="219"/>
        <v>DELETE</v>
      </c>
    </row>
    <row r="3034" spans="3:18" ht="36" customHeight="1" x14ac:dyDescent="0.5">
      <c r="C3034" s="520"/>
      <c r="D3034" s="616"/>
      <c r="E3034" s="616"/>
      <c r="F3034" s="616"/>
      <c r="G3034" s="616"/>
      <c r="H3034" s="616"/>
      <c r="I3034" s="616"/>
      <c r="J3034" s="616"/>
      <c r="M3034" s="540"/>
      <c r="O3034" s="540"/>
      <c r="R3034" s="490" t="str">
        <f t="shared" si="219"/>
        <v>DELETE</v>
      </c>
    </row>
    <row r="3035" spans="3:18" ht="36" customHeight="1" x14ac:dyDescent="0.5">
      <c r="C3035" s="520"/>
      <c r="D3035" s="616"/>
      <c r="E3035" s="616"/>
      <c r="F3035" s="616"/>
      <c r="G3035" s="616"/>
      <c r="H3035" s="616"/>
      <c r="I3035" s="616"/>
      <c r="J3035" s="616"/>
      <c r="M3035" s="540"/>
      <c r="O3035" s="540"/>
      <c r="R3035" s="490" t="str">
        <f t="shared" si="219"/>
        <v>DELETE</v>
      </c>
    </row>
    <row r="3036" spans="3:18" ht="36" customHeight="1" x14ac:dyDescent="0.5">
      <c r="C3036" s="520"/>
      <c r="D3036" s="616"/>
      <c r="E3036" s="616"/>
      <c r="F3036" s="616"/>
      <c r="G3036" s="616"/>
      <c r="H3036" s="616"/>
      <c r="I3036" s="616"/>
      <c r="J3036" s="616"/>
      <c r="M3036" s="540"/>
      <c r="O3036" s="540"/>
      <c r="R3036" s="490" t="str">
        <f t="shared" si="219"/>
        <v>DELETE</v>
      </c>
    </row>
    <row r="3037" spans="3:18" ht="36" customHeight="1" x14ac:dyDescent="0.5">
      <c r="C3037" s="520"/>
      <c r="D3037" s="616"/>
      <c r="E3037" s="616"/>
      <c r="F3037" s="616"/>
      <c r="G3037" s="616"/>
      <c r="H3037" s="616"/>
      <c r="I3037" s="616"/>
      <c r="J3037" s="616"/>
      <c r="M3037" s="540"/>
      <c r="O3037" s="540"/>
      <c r="R3037" s="490" t="str">
        <f t="shared" si="219"/>
        <v>DELETE</v>
      </c>
    </row>
    <row r="3038" spans="3:18" ht="36" customHeight="1" x14ac:dyDescent="0.5">
      <c r="C3038" s="520"/>
      <c r="D3038" s="616"/>
      <c r="E3038" s="616"/>
      <c r="F3038" s="616"/>
      <c r="G3038" s="616"/>
      <c r="H3038" s="616"/>
      <c r="I3038" s="616"/>
      <c r="J3038" s="616"/>
      <c r="M3038" s="540"/>
      <c r="O3038" s="540"/>
      <c r="R3038" s="490" t="str">
        <f t="shared" si="219"/>
        <v>DELETE</v>
      </c>
    </row>
    <row r="3039" spans="3:18" ht="36" customHeight="1" x14ac:dyDescent="0.5">
      <c r="C3039" s="520"/>
      <c r="D3039" s="616"/>
      <c r="E3039" s="616"/>
      <c r="F3039" s="616"/>
      <c r="G3039" s="616"/>
      <c r="H3039" s="616"/>
      <c r="I3039" s="616"/>
      <c r="J3039" s="616"/>
      <c r="M3039" s="540"/>
      <c r="O3039" s="540"/>
      <c r="R3039" s="490" t="str">
        <f t="shared" si="219"/>
        <v>DELETE</v>
      </c>
    </row>
    <row r="3040" spans="3:18" ht="36" customHeight="1" x14ac:dyDescent="0.5">
      <c r="C3040" s="520"/>
      <c r="D3040" s="616"/>
      <c r="E3040" s="616"/>
      <c r="F3040" s="616"/>
      <c r="G3040" s="616"/>
      <c r="H3040" s="616"/>
      <c r="I3040" s="616"/>
      <c r="J3040" s="616"/>
      <c r="M3040" s="545"/>
      <c r="N3040" s="545"/>
      <c r="O3040" s="545"/>
      <c r="P3040" s="545"/>
      <c r="R3040" s="490" t="str">
        <f t="shared" si="219"/>
        <v>DELETE</v>
      </c>
    </row>
    <row r="3041" spans="3:23" ht="36" customHeight="1" x14ac:dyDescent="0.5">
      <c r="C3041" s="520"/>
      <c r="D3041" s="616"/>
      <c r="E3041" s="616"/>
      <c r="F3041" s="616"/>
      <c r="G3041" s="616"/>
      <c r="H3041" s="616"/>
      <c r="I3041" s="616"/>
      <c r="J3041" s="616"/>
      <c r="M3041" s="545"/>
      <c r="N3041" s="545"/>
      <c r="O3041" s="545"/>
      <c r="P3041" s="545"/>
      <c r="R3041" s="490" t="str">
        <f t="shared" si="219"/>
        <v>DELETE</v>
      </c>
    </row>
    <row r="3042" spans="3:23" ht="36" customHeight="1" x14ac:dyDescent="0.5">
      <c r="C3042" s="520"/>
      <c r="D3042" s="616"/>
      <c r="E3042" s="616"/>
      <c r="F3042" s="616"/>
      <c r="G3042" s="616"/>
      <c r="H3042" s="616"/>
      <c r="I3042" s="616"/>
      <c r="J3042" s="616"/>
      <c r="M3042" s="541"/>
      <c r="N3042" s="541"/>
      <c r="O3042" s="458" t="s">
        <v>112</v>
      </c>
      <c r="Q3042" s="450">
        <v>1</v>
      </c>
      <c r="R3042" s="490" t="str">
        <f>IF(SUM(S3054:S3056)+SUM(S3074:S3081)+SUM(S3182:S3191)+O3199=0,"DELETE"," ")</f>
        <v>DELETE</v>
      </c>
      <c r="T3042" s="498"/>
      <c r="U3042" s="494"/>
      <c r="V3042" s="494"/>
      <c r="W3042" s="498"/>
    </row>
    <row r="3043" spans="3:23" ht="36" customHeight="1" x14ac:dyDescent="0.5">
      <c r="C3043" s="520"/>
      <c r="D3043" s="615" t="s">
        <v>562</v>
      </c>
      <c r="E3043" s="616"/>
      <c r="F3043" s="616"/>
      <c r="G3043" s="616"/>
      <c r="H3043" s="616"/>
      <c r="I3043" s="616"/>
      <c r="J3043" s="616"/>
      <c r="M3043" s="541"/>
      <c r="N3043" s="541"/>
      <c r="O3043" s="541"/>
      <c r="R3043" s="490" t="str">
        <f t="shared" ref="R3043:R3053" si="220">R$3042</f>
        <v>DELETE</v>
      </c>
      <c r="T3043" s="498"/>
      <c r="U3043" s="493"/>
    </row>
    <row r="3044" spans="3:23" ht="36" customHeight="1" x14ac:dyDescent="0.5">
      <c r="C3044" s="520"/>
      <c r="D3044" s="616"/>
      <c r="E3044" s="616"/>
      <c r="F3044" s="616"/>
      <c r="G3044" s="616"/>
      <c r="H3044" s="616"/>
      <c r="I3044" s="616"/>
      <c r="J3044" s="616"/>
      <c r="M3044" s="541"/>
      <c r="N3044" s="541"/>
      <c r="O3044" s="541"/>
      <c r="R3044" s="490" t="str">
        <f t="shared" si="220"/>
        <v>DELETE</v>
      </c>
      <c r="T3044" s="498"/>
    </row>
    <row r="3045" spans="3:23" ht="36" customHeight="1" x14ac:dyDescent="0.5">
      <c r="C3045" s="520"/>
      <c r="D3045" s="615" t="str">
        <f>Criteria!E9</f>
        <v>ABC COMPANY (PROPRIETARY) LIMITED</v>
      </c>
      <c r="E3045" s="616"/>
      <c r="F3045" s="616"/>
      <c r="G3045" s="616"/>
      <c r="H3045" s="616"/>
      <c r="I3045" s="616"/>
      <c r="J3045" s="616"/>
      <c r="M3045" s="541"/>
      <c r="N3045" s="541"/>
      <c r="O3045" s="540"/>
      <c r="R3045" s="490" t="str">
        <f t="shared" si="220"/>
        <v>DELETE</v>
      </c>
      <c r="T3045" s="498"/>
    </row>
    <row r="3046" spans="3:23" ht="36" customHeight="1" x14ac:dyDescent="0.5">
      <c r="C3046" s="520"/>
      <c r="D3046" s="615" t="str">
        <f>CONCATENATE("T/A ",Criteria!E14)</f>
        <v>T/A ABC RESTAURANT</v>
      </c>
      <c r="E3046" s="616"/>
      <c r="F3046" s="616"/>
      <c r="G3046" s="616"/>
      <c r="H3046" s="616"/>
      <c r="I3046" s="616"/>
      <c r="J3046" s="616"/>
      <c r="M3046" s="541"/>
      <c r="N3046" s="541"/>
      <c r="O3046" s="541"/>
      <c r="R3046" s="490" t="str">
        <f t="shared" si="220"/>
        <v>DELETE</v>
      </c>
      <c r="T3046" s="498"/>
    </row>
    <row r="3047" spans="3:23" ht="36" customHeight="1" x14ac:dyDescent="0.5">
      <c r="C3047" s="520"/>
      <c r="D3047" s="616"/>
      <c r="E3047" s="616"/>
      <c r="F3047" s="616"/>
      <c r="G3047" s="616"/>
      <c r="H3047" s="616"/>
      <c r="I3047" s="616"/>
      <c r="J3047" s="616"/>
      <c r="M3047" s="541"/>
      <c r="N3047" s="541"/>
      <c r="O3047" s="541"/>
      <c r="R3047" s="490" t="str">
        <f t="shared" si="220"/>
        <v>DELETE</v>
      </c>
      <c r="T3047" s="498"/>
    </row>
    <row r="3048" spans="3:23" ht="36" customHeight="1" x14ac:dyDescent="0.5">
      <c r="C3048" s="520"/>
      <c r="D3048" s="615" t="s">
        <v>109</v>
      </c>
      <c r="E3048" s="616"/>
      <c r="F3048" s="616"/>
      <c r="G3048" s="616"/>
      <c r="H3048" s="616"/>
      <c r="I3048" s="616"/>
      <c r="J3048" s="616"/>
      <c r="M3048" s="541"/>
      <c r="N3048" s="541"/>
      <c r="O3048" s="541"/>
      <c r="R3048" s="490" t="str">
        <f t="shared" si="220"/>
        <v>DELETE</v>
      </c>
      <c r="T3048" s="498"/>
    </row>
    <row r="3049" spans="3:23" ht="36" customHeight="1" x14ac:dyDescent="0.5">
      <c r="C3049" s="520"/>
      <c r="D3049" s="615" t="str">
        <f>Criteria!E20</f>
        <v>28 FEBRUARY 2026</v>
      </c>
      <c r="E3049" s="616"/>
      <c r="F3049" s="616"/>
      <c r="G3049" s="616"/>
      <c r="H3049" s="616"/>
      <c r="I3049" s="616"/>
      <c r="J3049" s="616"/>
      <c r="M3049" s="541"/>
      <c r="N3049" s="541"/>
      <c r="O3049" s="541"/>
      <c r="R3049" s="490" t="str">
        <f t="shared" si="220"/>
        <v>DELETE</v>
      </c>
      <c r="T3049" s="498"/>
    </row>
    <row r="3050" spans="3:23" ht="36" customHeight="1" x14ac:dyDescent="0.5">
      <c r="C3050" s="520"/>
      <c r="D3050" s="616"/>
      <c r="E3050" s="616"/>
      <c r="F3050" s="616"/>
      <c r="G3050" s="616"/>
      <c r="H3050" s="616"/>
      <c r="I3050" s="616"/>
      <c r="J3050" s="616"/>
      <c r="M3050" s="541"/>
      <c r="N3050" s="541"/>
      <c r="O3050" s="541"/>
      <c r="R3050" s="490" t="str">
        <f t="shared" si="220"/>
        <v>DELETE</v>
      </c>
      <c r="T3050" s="498"/>
    </row>
    <row r="3051" spans="3:23" ht="36" customHeight="1" x14ac:dyDescent="0.5">
      <c r="C3051" s="520"/>
      <c r="D3051" s="634"/>
      <c r="E3051" s="634"/>
      <c r="F3051" s="634"/>
      <c r="G3051" s="634"/>
      <c r="H3051" s="634"/>
      <c r="I3051" s="634"/>
      <c r="J3051" s="634"/>
      <c r="K3051" s="457"/>
      <c r="L3051" s="457"/>
      <c r="M3051" s="557"/>
      <c r="N3051" s="557"/>
      <c r="O3051" s="557"/>
      <c r="P3051" s="551"/>
      <c r="Q3051" s="457"/>
      <c r="R3051" s="490" t="str">
        <f t="shared" si="220"/>
        <v>DELETE</v>
      </c>
      <c r="T3051" s="498"/>
    </row>
    <row r="3052" spans="3:23" ht="36" customHeight="1" x14ac:dyDescent="0.5">
      <c r="C3052" s="520"/>
      <c r="D3052" s="616"/>
      <c r="E3052" s="616"/>
      <c r="F3052" s="616"/>
      <c r="G3052" s="616"/>
      <c r="H3052" s="616"/>
      <c r="I3052" s="616"/>
      <c r="J3052" s="645"/>
      <c r="K3052" s="450" t="s">
        <v>1494</v>
      </c>
      <c r="L3052" s="451"/>
      <c r="M3052" s="448"/>
      <c r="N3052" s="450"/>
      <c r="O3052" s="453">
        <f>Criteria!E22</f>
        <v>2026</v>
      </c>
      <c r="P3052" s="454"/>
      <c r="R3052" s="490" t="str">
        <f t="shared" si="220"/>
        <v>DELETE</v>
      </c>
      <c r="T3052" s="498"/>
    </row>
    <row r="3053" spans="3:23" ht="36" customHeight="1" x14ac:dyDescent="0.5">
      <c r="C3053" s="520"/>
      <c r="D3053" s="616"/>
      <c r="E3053" s="616"/>
      <c r="F3053" s="616"/>
      <c r="G3053" s="616"/>
      <c r="H3053" s="616"/>
      <c r="I3053" s="616"/>
      <c r="J3053" s="645"/>
      <c r="K3053" s="450"/>
      <c r="L3053" s="451"/>
      <c r="M3053" s="448"/>
      <c r="N3053" s="450"/>
      <c r="O3053" s="458"/>
      <c r="P3053" s="454"/>
      <c r="R3053" s="490" t="str">
        <f t="shared" si="220"/>
        <v>DELETE</v>
      </c>
      <c r="T3053" s="498"/>
    </row>
    <row r="3054" spans="3:23" ht="36" customHeight="1" x14ac:dyDescent="0.45">
      <c r="D3054" s="615" t="s">
        <v>1194</v>
      </c>
      <c r="E3054" s="616"/>
      <c r="F3054" s="616"/>
      <c r="G3054" s="616"/>
      <c r="H3054" s="616"/>
      <c r="I3054" s="616"/>
      <c r="J3054" s="645"/>
      <c r="K3054" s="450"/>
      <c r="L3054" s="451"/>
      <c r="M3054" s="448"/>
      <c r="N3054" s="450"/>
      <c r="O3054" s="458">
        <f>-SUM(TrialBalanceA!I5:I10)</f>
        <v>0</v>
      </c>
      <c r="P3054" s="454"/>
      <c r="R3054" s="490" t="str">
        <f>IF(R3042="DELETE","DELETE",IF(O3054=0,IF(O3056=0," ","DELETE")," "))</f>
        <v>DELETE</v>
      </c>
      <c r="S3054" s="495">
        <f>O3054</f>
        <v>0</v>
      </c>
      <c r="T3054" s="498"/>
      <c r="U3054" s="495"/>
      <c r="V3054" s="495"/>
    </row>
    <row r="3055" spans="3:23" ht="36" customHeight="1" x14ac:dyDescent="0.45">
      <c r="D3055" s="615"/>
      <c r="E3055" s="616"/>
      <c r="F3055" s="616"/>
      <c r="G3055" s="616"/>
      <c r="H3055" s="616"/>
      <c r="I3055" s="616"/>
      <c r="J3055" s="645"/>
      <c r="K3055" s="450"/>
      <c r="L3055" s="451"/>
      <c r="M3055" s="448"/>
      <c r="N3055" s="450"/>
      <c r="O3055" s="458"/>
      <c r="P3055" s="454"/>
      <c r="R3055" s="490" t="str">
        <f>R3054</f>
        <v>DELETE</v>
      </c>
      <c r="S3055" s="495"/>
      <c r="T3055" s="498"/>
      <c r="U3055" s="495"/>
      <c r="V3055" s="495"/>
    </row>
    <row r="3056" spans="3:23" ht="36" customHeight="1" x14ac:dyDescent="0.45">
      <c r="D3056" s="615" t="s">
        <v>398</v>
      </c>
      <c r="E3056" s="616"/>
      <c r="F3056" s="616"/>
      <c r="G3056" s="616"/>
      <c r="H3056" s="616"/>
      <c r="I3056" s="616"/>
      <c r="J3056" s="645"/>
      <c r="K3056" s="450"/>
      <c r="L3056" s="451"/>
      <c r="M3056" s="448"/>
      <c r="N3056" s="450"/>
      <c r="O3056" s="458">
        <f>-TrialBalanceA!I11</f>
        <v>0</v>
      </c>
      <c r="P3056" s="454"/>
      <c r="R3056" s="490" t="str">
        <f>IF(R$3042="DELETE","DELETE",IF(O3056=0,"DELETE"," "))</f>
        <v>DELETE</v>
      </c>
      <c r="S3056" s="495">
        <f>O3056</f>
        <v>0</v>
      </c>
      <c r="T3056" s="498"/>
      <c r="U3056" s="495"/>
      <c r="V3056" s="495"/>
    </row>
    <row r="3057" spans="3:22" ht="36" customHeight="1" x14ac:dyDescent="0.45">
      <c r="D3057" s="615"/>
      <c r="E3057" s="616"/>
      <c r="F3057" s="616"/>
      <c r="G3057" s="616"/>
      <c r="H3057" s="616"/>
      <c r="I3057" s="616"/>
      <c r="J3057" s="645"/>
      <c r="K3057" s="450"/>
      <c r="L3057" s="451"/>
      <c r="M3057" s="448"/>
      <c r="N3057" s="450"/>
      <c r="O3057" s="458"/>
      <c r="P3057" s="454"/>
      <c r="R3057" s="490" t="str">
        <f>R3056</f>
        <v>DELETE</v>
      </c>
      <c r="T3057" s="498"/>
    </row>
    <row r="3058" spans="3:22" ht="36" customHeight="1" x14ac:dyDescent="0.45">
      <c r="D3058" s="615" t="s">
        <v>1119</v>
      </c>
      <c r="E3058" s="616"/>
      <c r="F3058" s="616"/>
      <c r="G3058" s="616"/>
      <c r="H3058" s="616"/>
      <c r="I3058" s="616"/>
      <c r="J3058" s="645"/>
      <c r="K3058" s="450"/>
      <c r="L3058" s="451"/>
      <c r="M3058" s="448"/>
      <c r="N3058" s="450"/>
      <c r="O3058" s="458">
        <f>SUM(O3061:O3068)</f>
        <v>0</v>
      </c>
      <c r="P3058" s="454"/>
      <c r="R3058" s="490" t="str">
        <f>IF(R$3042="DELETE","DELETE",IF(O3058=0,"DELETE"," "))</f>
        <v>DELETE</v>
      </c>
      <c r="S3058" s="495">
        <f>-O3058</f>
        <v>0</v>
      </c>
      <c r="T3058" s="498"/>
      <c r="U3058" s="495"/>
      <c r="V3058" s="495"/>
    </row>
    <row r="3059" spans="3:22" ht="9" customHeight="1" x14ac:dyDescent="0.45">
      <c r="C3059" s="575"/>
      <c r="D3059" s="616"/>
      <c r="E3059" s="616"/>
      <c r="F3059" s="616"/>
      <c r="G3059" s="616"/>
      <c r="H3059" s="616"/>
      <c r="I3059" s="616"/>
      <c r="J3059" s="645"/>
      <c r="K3059" s="450"/>
      <c r="L3059" s="451"/>
      <c r="M3059" s="448"/>
      <c r="N3059" s="450"/>
      <c r="O3059" s="458"/>
      <c r="P3059" s="454"/>
      <c r="R3059" s="490" t="str">
        <f>R3058</f>
        <v>DELETE</v>
      </c>
      <c r="T3059" s="498"/>
    </row>
    <row r="3060" spans="3:22" ht="9" customHeight="1" x14ac:dyDescent="0.45">
      <c r="C3060" s="575"/>
      <c r="D3060" s="616"/>
      <c r="E3060" s="616"/>
      <c r="F3060" s="616"/>
      <c r="G3060" s="616"/>
      <c r="H3060" s="616"/>
      <c r="I3060" s="616"/>
      <c r="J3060" s="645"/>
      <c r="K3060" s="450"/>
      <c r="L3060" s="451"/>
      <c r="M3060" s="448"/>
      <c r="N3060" s="450"/>
      <c r="O3060" s="587"/>
      <c r="P3060" s="454"/>
      <c r="R3060" s="490" t="str">
        <f>R3059</f>
        <v>DELETE</v>
      </c>
      <c r="T3060" s="498"/>
    </row>
    <row r="3061" spans="3:22" ht="36" customHeight="1" x14ac:dyDescent="0.45">
      <c r="C3061" s="575"/>
      <c r="D3061" s="616" t="s">
        <v>563</v>
      </c>
      <c r="E3061" s="616"/>
      <c r="F3061" s="616"/>
      <c r="G3061" s="616"/>
      <c r="H3061" s="616"/>
      <c r="I3061" s="616"/>
      <c r="J3061" s="645"/>
      <c r="K3061" s="450"/>
      <c r="L3061" s="451"/>
      <c r="M3061" s="448"/>
      <c r="N3061" s="450"/>
      <c r="O3061" s="588">
        <f>SUM(TrialBalanceA!I13:I16)</f>
        <v>0</v>
      </c>
      <c r="P3061" s="454"/>
      <c r="R3061" s="490" t="str">
        <f t="shared" ref="R3061:R3068" si="221">IF(R$3042="DELETE","DELETE",IF(O3061=0,"DELETE"," "))</f>
        <v>DELETE</v>
      </c>
      <c r="T3061" s="498"/>
    </row>
    <row r="3062" spans="3:22" ht="36" customHeight="1" x14ac:dyDescent="0.45">
      <c r="C3062" s="575"/>
      <c r="D3062" s="616" t="s">
        <v>301</v>
      </c>
      <c r="E3062" s="616"/>
      <c r="F3062" s="616"/>
      <c r="G3062" s="616"/>
      <c r="H3062" s="616"/>
      <c r="I3062" s="616"/>
      <c r="J3062" s="645"/>
      <c r="K3062" s="450"/>
      <c r="L3062" s="451"/>
      <c r="M3062" s="448"/>
      <c r="N3062" s="450"/>
      <c r="O3062" s="588">
        <f>TrialBalanceA!I17</f>
        <v>0</v>
      </c>
      <c r="P3062" s="454"/>
      <c r="R3062" s="490" t="str">
        <f t="shared" si="221"/>
        <v>DELETE</v>
      </c>
      <c r="T3062" s="498"/>
    </row>
    <row r="3063" spans="3:22" ht="36" customHeight="1" x14ac:dyDescent="0.45">
      <c r="C3063" s="575"/>
      <c r="D3063" s="616">
        <f>TrialBalanceA!C18</f>
        <v>0</v>
      </c>
      <c r="E3063" s="616"/>
      <c r="F3063" s="616"/>
      <c r="G3063" s="616"/>
      <c r="H3063" s="616"/>
      <c r="I3063" s="616"/>
      <c r="J3063" s="645"/>
      <c r="K3063" s="450"/>
      <c r="L3063" s="451"/>
      <c r="M3063" s="448"/>
      <c r="N3063" s="450"/>
      <c r="O3063" s="588">
        <f>TrialBalanceA!I18</f>
        <v>0</v>
      </c>
      <c r="P3063" s="454"/>
      <c r="R3063" s="490" t="str">
        <f t="shared" si="221"/>
        <v>DELETE</v>
      </c>
      <c r="T3063" s="498"/>
    </row>
    <row r="3064" spans="3:22" ht="36" customHeight="1" x14ac:dyDescent="0.45">
      <c r="C3064" s="575"/>
      <c r="D3064" s="616">
        <f>TrialBalanceA!C19</f>
        <v>0</v>
      </c>
      <c r="E3064" s="616"/>
      <c r="F3064" s="616"/>
      <c r="G3064" s="616"/>
      <c r="H3064" s="616"/>
      <c r="I3064" s="616"/>
      <c r="J3064" s="645"/>
      <c r="K3064" s="450"/>
      <c r="L3064" s="451"/>
      <c r="M3064" s="448"/>
      <c r="N3064" s="450"/>
      <c r="O3064" s="588">
        <f>TrialBalanceA!I19</f>
        <v>0</v>
      </c>
      <c r="P3064" s="454"/>
      <c r="R3064" s="490" t="str">
        <f t="shared" si="221"/>
        <v>DELETE</v>
      </c>
      <c r="T3064" s="498"/>
    </row>
    <row r="3065" spans="3:22" ht="36" customHeight="1" x14ac:dyDescent="0.45">
      <c r="C3065" s="575"/>
      <c r="D3065" s="616">
        <f>TrialBalanceA!C20</f>
        <v>0</v>
      </c>
      <c r="E3065" s="616"/>
      <c r="F3065" s="616"/>
      <c r="G3065" s="616"/>
      <c r="H3065" s="616"/>
      <c r="I3065" s="616"/>
      <c r="J3065" s="645"/>
      <c r="K3065" s="450"/>
      <c r="L3065" s="451"/>
      <c r="M3065" s="448"/>
      <c r="N3065" s="450"/>
      <c r="O3065" s="588">
        <f>TrialBalanceA!I20</f>
        <v>0</v>
      </c>
      <c r="P3065" s="454"/>
      <c r="R3065" s="490" t="str">
        <f t="shared" si="221"/>
        <v>DELETE</v>
      </c>
      <c r="T3065" s="498"/>
    </row>
    <row r="3066" spans="3:22" ht="36" customHeight="1" x14ac:dyDescent="0.45">
      <c r="C3066" s="575"/>
      <c r="D3066" s="616">
        <f>TrialBalanceA!C21</f>
        <v>0</v>
      </c>
      <c r="E3066" s="616"/>
      <c r="F3066" s="616"/>
      <c r="G3066" s="616"/>
      <c r="H3066" s="616"/>
      <c r="I3066" s="616"/>
      <c r="J3066" s="645"/>
      <c r="K3066" s="450"/>
      <c r="L3066" s="451"/>
      <c r="M3066" s="448"/>
      <c r="N3066" s="450"/>
      <c r="O3066" s="588">
        <f>TrialBalanceA!I21</f>
        <v>0</v>
      </c>
      <c r="P3066" s="454"/>
      <c r="R3066" s="490" t="str">
        <f t="shared" si="221"/>
        <v>DELETE</v>
      </c>
      <c r="T3066" s="498"/>
    </row>
    <row r="3067" spans="3:22" ht="36" customHeight="1" x14ac:dyDescent="0.45">
      <c r="C3067" s="575"/>
      <c r="D3067" s="616">
        <f>TrialBalanceA!C22</f>
        <v>0</v>
      </c>
      <c r="E3067" s="616"/>
      <c r="F3067" s="616"/>
      <c r="G3067" s="616"/>
      <c r="H3067" s="616"/>
      <c r="I3067" s="616"/>
      <c r="J3067" s="645"/>
      <c r="K3067" s="450"/>
      <c r="L3067" s="451"/>
      <c r="M3067" s="448"/>
      <c r="N3067" s="450"/>
      <c r="O3067" s="588">
        <f>TrialBalanceA!I22</f>
        <v>0</v>
      </c>
      <c r="P3067" s="454"/>
      <c r="R3067" s="490" t="str">
        <f t="shared" si="221"/>
        <v>DELETE</v>
      </c>
      <c r="T3067" s="498"/>
    </row>
    <row r="3068" spans="3:22" ht="36" customHeight="1" x14ac:dyDescent="0.45">
      <c r="C3068" s="575"/>
      <c r="D3068" s="616" t="s">
        <v>564</v>
      </c>
      <c r="E3068" s="616"/>
      <c r="F3068" s="616"/>
      <c r="G3068" s="616"/>
      <c r="H3068" s="616"/>
      <c r="I3068" s="616"/>
      <c r="J3068" s="645"/>
      <c r="K3068" s="450"/>
      <c r="L3068" s="451"/>
      <c r="M3068" s="448"/>
      <c r="N3068" s="450"/>
      <c r="O3068" s="588">
        <f>SUM(TrialBalanceA!I23:I26)</f>
        <v>0</v>
      </c>
      <c r="P3068" s="454"/>
      <c r="R3068" s="490" t="str">
        <f t="shared" si="221"/>
        <v>DELETE</v>
      </c>
      <c r="T3068" s="498"/>
    </row>
    <row r="3069" spans="3:22" ht="9" customHeight="1" x14ac:dyDescent="0.45">
      <c r="C3069" s="575"/>
      <c r="D3069" s="616"/>
      <c r="E3069" s="616"/>
      <c r="F3069" s="616"/>
      <c r="G3069" s="616"/>
      <c r="H3069" s="616"/>
      <c r="I3069" s="616"/>
      <c r="J3069" s="645"/>
      <c r="K3069" s="450"/>
      <c r="L3069" s="451"/>
      <c r="M3069" s="448"/>
      <c r="N3069" s="450"/>
      <c r="O3069" s="589"/>
      <c r="P3069" s="454"/>
      <c r="R3069" s="490" t="str">
        <f>R3058</f>
        <v>DELETE</v>
      </c>
      <c r="T3069" s="498"/>
    </row>
    <row r="3070" spans="3:22" ht="9" customHeight="1" x14ac:dyDescent="0.45">
      <c r="C3070" s="575"/>
      <c r="D3070" s="616"/>
      <c r="E3070" s="616"/>
      <c r="F3070" s="616"/>
      <c r="G3070" s="616"/>
      <c r="H3070" s="616"/>
      <c r="I3070" s="616"/>
      <c r="J3070" s="645"/>
      <c r="K3070" s="450"/>
      <c r="L3070" s="451"/>
      <c r="M3070" s="448"/>
      <c r="N3070" s="450"/>
      <c r="O3070" s="461"/>
      <c r="P3070" s="454"/>
      <c r="R3070" s="490" t="str">
        <f>R3058</f>
        <v>DELETE</v>
      </c>
      <c r="T3070" s="498"/>
    </row>
    <row r="3071" spans="3:22" ht="9" customHeight="1" x14ac:dyDescent="0.45">
      <c r="C3071" s="575"/>
      <c r="D3071" s="616"/>
      <c r="E3071" s="616"/>
      <c r="F3071" s="616"/>
      <c r="G3071" s="616"/>
      <c r="H3071" s="616"/>
      <c r="I3071" s="616"/>
      <c r="J3071" s="645"/>
      <c r="K3071" s="450"/>
      <c r="L3071" s="451"/>
      <c r="M3071" s="448"/>
      <c r="N3071" s="450"/>
      <c r="O3071" s="458"/>
      <c r="P3071" s="454"/>
      <c r="R3071" s="490" t="str">
        <f>R3070</f>
        <v>DELETE</v>
      </c>
      <c r="T3071" s="498"/>
    </row>
    <row r="3072" spans="3:22" ht="36" customHeight="1" x14ac:dyDescent="0.45">
      <c r="D3072" s="637" t="str">
        <f>IF(O3072&lt;0,"Gross loss","Gross profit")</f>
        <v>Gross profit</v>
      </c>
      <c r="E3072" s="616"/>
      <c r="F3072" s="616"/>
      <c r="G3072" s="616"/>
      <c r="H3072" s="616"/>
      <c r="I3072" s="616"/>
      <c r="J3072" s="645"/>
      <c r="K3072" s="450"/>
      <c r="L3072" s="451"/>
      <c r="M3072" s="448"/>
      <c r="N3072" s="450"/>
      <c r="O3072" s="458">
        <f>SUM(S3054:S3069)</f>
        <v>0</v>
      </c>
      <c r="P3072" s="454"/>
      <c r="R3072" s="490" t="str">
        <f>R3071</f>
        <v>DELETE</v>
      </c>
      <c r="T3072" s="498"/>
    </row>
    <row r="3073" spans="3:22" ht="36" customHeight="1" x14ac:dyDescent="0.45">
      <c r="C3073" s="575"/>
      <c r="D3073" s="616"/>
      <c r="E3073" s="616"/>
      <c r="F3073" s="616"/>
      <c r="G3073" s="616"/>
      <c r="H3073" s="616"/>
      <c r="I3073" s="616"/>
      <c r="J3073" s="645"/>
      <c r="K3073" s="450"/>
      <c r="L3073" s="451"/>
      <c r="M3073" s="448"/>
      <c r="N3073" s="450"/>
      <c r="O3073" s="458"/>
      <c r="P3073" s="454"/>
      <c r="R3073" s="490" t="str">
        <f>R3072</f>
        <v>DELETE</v>
      </c>
      <c r="T3073" s="498"/>
    </row>
    <row r="3074" spans="3:22" ht="36" customHeight="1" x14ac:dyDescent="0.45">
      <c r="D3074" s="615" t="s">
        <v>1491</v>
      </c>
      <c r="E3074" s="616"/>
      <c r="F3074" s="616"/>
      <c r="G3074" s="616"/>
      <c r="H3074" s="616"/>
      <c r="I3074" s="616"/>
      <c r="J3074" s="645"/>
      <c r="K3074" s="450"/>
      <c r="L3074" s="451"/>
      <c r="M3074" s="448"/>
      <c r="N3074" s="450"/>
      <c r="O3074" s="458">
        <f>SUM(O3076:O3083)</f>
        <v>0</v>
      </c>
      <c r="P3074" s="454"/>
      <c r="R3074" s="490" t="str">
        <f t="shared" ref="R3074" si="222">IF(R$3042="DELETE","DELETE",IF(O3074=0,"DELETE"," "))</f>
        <v>DELETE</v>
      </c>
      <c r="S3074" s="495">
        <f>O3074</f>
        <v>0</v>
      </c>
      <c r="T3074" s="498"/>
      <c r="U3074" s="495"/>
      <c r="V3074" s="495"/>
    </row>
    <row r="3075" spans="3:22" ht="9" customHeight="1" x14ac:dyDescent="0.45">
      <c r="C3075" s="575"/>
      <c r="D3075" s="616"/>
      <c r="E3075" s="616"/>
      <c r="F3075" s="616"/>
      <c r="G3075" s="616"/>
      <c r="H3075" s="616"/>
      <c r="I3075" s="616"/>
      <c r="J3075" s="645"/>
      <c r="K3075" s="450"/>
      <c r="L3075" s="451"/>
      <c r="M3075" s="448"/>
      <c r="N3075" s="450"/>
      <c r="O3075" s="458"/>
      <c r="P3075" s="454"/>
      <c r="R3075" s="490" t="str">
        <f>R3074</f>
        <v>DELETE</v>
      </c>
      <c r="T3075" s="498"/>
    </row>
    <row r="3076" spans="3:22" ht="9" customHeight="1" x14ac:dyDescent="0.45">
      <c r="C3076" s="575"/>
      <c r="D3076" s="616"/>
      <c r="E3076" s="616"/>
      <c r="F3076" s="616"/>
      <c r="G3076" s="616"/>
      <c r="H3076" s="616"/>
      <c r="I3076" s="616"/>
      <c r="J3076" s="645"/>
      <c r="K3076" s="450"/>
      <c r="L3076" s="451"/>
      <c r="M3076" s="448"/>
      <c r="N3076" s="450"/>
      <c r="O3076" s="587"/>
      <c r="P3076" s="454"/>
      <c r="R3076" s="490" t="str">
        <f>R3074</f>
        <v>DELETE</v>
      </c>
      <c r="T3076" s="498"/>
    </row>
    <row r="3077" spans="3:22" ht="36" customHeight="1" x14ac:dyDescent="0.45">
      <c r="C3077" s="575"/>
      <c r="D3077" s="616" t="str">
        <f>TrialBalanceA!C28</f>
        <v>Insurance claims - ABC Restaurant</v>
      </c>
      <c r="E3077" s="616"/>
      <c r="F3077" s="616"/>
      <c r="G3077" s="616"/>
      <c r="H3077" s="616"/>
      <c r="I3077" s="616"/>
      <c r="J3077" s="645"/>
      <c r="K3077" s="450"/>
      <c r="L3077" s="451"/>
      <c r="M3077" s="448"/>
      <c r="N3077" s="450"/>
      <c r="O3077" s="588">
        <f>-TrialBalanceA!I28</f>
        <v>0</v>
      </c>
      <c r="P3077" s="454"/>
      <c r="R3077" s="490" t="str">
        <f t="shared" ref="R3077:R3081" si="223">IF(R$3042="DELETE","DELETE",IF(O3077=0,"DELETE"," "))</f>
        <v>DELETE</v>
      </c>
      <c r="T3077" s="498"/>
    </row>
    <row r="3078" spans="3:22" ht="36" customHeight="1" x14ac:dyDescent="0.45">
      <c r="C3078" s="575"/>
      <c r="D3078" s="616" t="str">
        <f>TrialBalanceA!C29</f>
        <v>Government grants received</v>
      </c>
      <c r="E3078" s="616"/>
      <c r="F3078" s="616"/>
      <c r="G3078" s="616"/>
      <c r="H3078" s="616"/>
      <c r="I3078" s="616"/>
      <c r="J3078" s="645"/>
      <c r="K3078" s="450"/>
      <c r="L3078" s="451"/>
      <c r="M3078" s="448"/>
      <c r="N3078" s="450"/>
      <c r="O3078" s="588">
        <f>-TrialBalanceA!I29</f>
        <v>0</v>
      </c>
      <c r="P3078" s="454"/>
      <c r="R3078" s="490" t="str">
        <f t="shared" si="223"/>
        <v>DELETE</v>
      </c>
      <c r="T3078" s="498"/>
    </row>
    <row r="3079" spans="3:22" ht="36" customHeight="1" x14ac:dyDescent="0.45">
      <c r="C3079" s="575"/>
      <c r="D3079" s="616">
        <f>TrialBalanceA!C30</f>
        <v>0</v>
      </c>
      <c r="E3079" s="616"/>
      <c r="F3079" s="616"/>
      <c r="G3079" s="616"/>
      <c r="H3079" s="616"/>
      <c r="I3079" s="616"/>
      <c r="J3079" s="645"/>
      <c r="K3079" s="450"/>
      <c r="L3079" s="451"/>
      <c r="M3079" s="448"/>
      <c r="N3079" s="450"/>
      <c r="O3079" s="588">
        <f>-TrialBalanceA!I30</f>
        <v>0</v>
      </c>
      <c r="P3079" s="454"/>
      <c r="R3079" s="490" t="str">
        <f t="shared" si="223"/>
        <v>DELETE</v>
      </c>
      <c r="T3079" s="498"/>
    </row>
    <row r="3080" spans="3:22" ht="36" customHeight="1" x14ac:dyDescent="0.45">
      <c r="C3080" s="575"/>
      <c r="D3080" s="616">
        <f>TrialBalanceA!C31</f>
        <v>0</v>
      </c>
      <c r="E3080" s="616"/>
      <c r="F3080" s="616"/>
      <c r="G3080" s="616"/>
      <c r="H3080" s="616"/>
      <c r="I3080" s="616"/>
      <c r="J3080" s="645"/>
      <c r="K3080" s="450"/>
      <c r="L3080" s="451"/>
      <c r="M3080" s="448"/>
      <c r="N3080" s="450"/>
      <c r="O3080" s="588">
        <f>-TrialBalanceA!I31</f>
        <v>0</v>
      </c>
      <c r="P3080" s="454"/>
      <c r="R3080" s="490" t="str">
        <f t="shared" si="223"/>
        <v>DELETE</v>
      </c>
      <c r="T3080" s="498"/>
    </row>
    <row r="3081" spans="3:22" ht="36" customHeight="1" x14ac:dyDescent="0.45">
      <c r="C3081" s="575"/>
      <c r="D3081" s="616">
        <f>TrialBalanceA!C32</f>
        <v>0</v>
      </c>
      <c r="E3081" s="616"/>
      <c r="F3081" s="616"/>
      <c r="G3081" s="616"/>
      <c r="H3081" s="616"/>
      <c r="I3081" s="616"/>
      <c r="J3081" s="645"/>
      <c r="K3081" s="450"/>
      <c r="L3081" s="451"/>
      <c r="M3081" s="448"/>
      <c r="N3081" s="450"/>
      <c r="O3081" s="588">
        <f>-TrialBalanceA!I32</f>
        <v>0</v>
      </c>
      <c r="P3081" s="454"/>
      <c r="R3081" s="490" t="str">
        <f t="shared" si="223"/>
        <v>DELETE</v>
      </c>
      <c r="T3081" s="498"/>
    </row>
    <row r="3082" spans="3:22" ht="36" customHeight="1" x14ac:dyDescent="0.45">
      <c r="C3082" s="575"/>
      <c r="D3082" s="616" t="str">
        <f>TrialBalanceA!C33</f>
        <v>Recoupment of depreciation</v>
      </c>
      <c r="E3082" s="616"/>
      <c r="F3082" s="616"/>
      <c r="G3082" s="616"/>
      <c r="H3082" s="616"/>
      <c r="I3082" s="616"/>
      <c r="J3082" s="645"/>
      <c r="K3082" s="450"/>
      <c r="L3082" s="451"/>
      <c r="M3082" s="448"/>
      <c r="N3082" s="450"/>
      <c r="O3082" s="588">
        <f>-TrialBalanceA!I33</f>
        <v>0</v>
      </c>
      <c r="P3082" s="454"/>
      <c r="R3082" s="490" t="str">
        <f t="shared" ref="R3082" si="224">IF(R$3042="DELETE","DELETE",IF(O3082=0,"DELETE"," "))</f>
        <v>DELETE</v>
      </c>
      <c r="T3082" s="498"/>
    </row>
    <row r="3083" spans="3:22" ht="9" customHeight="1" x14ac:dyDescent="0.45">
      <c r="C3083" s="575"/>
      <c r="D3083" s="616"/>
      <c r="E3083" s="616"/>
      <c r="F3083" s="616"/>
      <c r="G3083" s="616"/>
      <c r="H3083" s="616"/>
      <c r="I3083" s="616"/>
      <c r="J3083" s="645"/>
      <c r="K3083" s="450"/>
      <c r="L3083" s="451"/>
      <c r="M3083" s="448"/>
      <c r="N3083" s="450"/>
      <c r="O3083" s="589"/>
      <c r="P3083" s="454"/>
      <c r="R3083" s="490" t="str">
        <f>R3074</f>
        <v>DELETE</v>
      </c>
      <c r="T3083" s="498"/>
    </row>
    <row r="3084" spans="3:22" ht="9" customHeight="1" x14ac:dyDescent="0.45">
      <c r="C3084" s="575"/>
      <c r="D3084" s="616"/>
      <c r="E3084" s="616"/>
      <c r="F3084" s="616"/>
      <c r="G3084" s="616"/>
      <c r="H3084" s="616"/>
      <c r="I3084" s="616"/>
      <c r="J3084" s="645"/>
      <c r="K3084" s="450"/>
      <c r="L3084" s="451"/>
      <c r="M3084" s="448"/>
      <c r="N3084" s="450"/>
      <c r="O3084" s="479"/>
      <c r="P3084" s="454"/>
      <c r="R3084" s="490" t="str">
        <f>R3083</f>
        <v>DELETE</v>
      </c>
      <c r="T3084" s="498"/>
    </row>
    <row r="3085" spans="3:22" ht="9" customHeight="1" x14ac:dyDescent="0.45">
      <c r="C3085" s="575"/>
      <c r="D3085" s="616"/>
      <c r="E3085" s="616"/>
      <c r="F3085" s="616"/>
      <c r="G3085" s="616"/>
      <c r="H3085" s="616"/>
      <c r="I3085" s="616"/>
      <c r="J3085" s="645"/>
      <c r="K3085" s="450"/>
      <c r="L3085" s="451"/>
      <c r="M3085" s="448"/>
      <c r="N3085" s="450"/>
      <c r="O3085" s="458"/>
      <c r="P3085" s="454"/>
      <c r="R3085" s="490" t="str">
        <f>R3084</f>
        <v>DELETE</v>
      </c>
      <c r="T3085" s="498"/>
    </row>
    <row r="3086" spans="3:22" ht="36" customHeight="1" x14ac:dyDescent="0.45">
      <c r="C3086" s="575"/>
      <c r="D3086" s="616"/>
      <c r="E3086" s="616"/>
      <c r="F3086" s="616"/>
      <c r="G3086" s="616"/>
      <c r="H3086" s="616"/>
      <c r="I3086" s="616"/>
      <c r="J3086" s="645"/>
      <c r="K3086" s="450"/>
      <c r="L3086" s="451"/>
      <c r="M3086" s="448"/>
      <c r="N3086" s="450"/>
      <c r="O3086" s="458">
        <f>SUM(S3054:S3074)</f>
        <v>0</v>
      </c>
      <c r="P3086" s="454"/>
      <c r="R3086" s="490" t="str">
        <f>R3074</f>
        <v>DELETE</v>
      </c>
      <c r="T3086" s="498"/>
    </row>
    <row r="3087" spans="3:22" ht="36" customHeight="1" x14ac:dyDescent="0.45">
      <c r="C3087" s="575"/>
      <c r="D3087" s="616"/>
      <c r="E3087" s="616"/>
      <c r="F3087" s="616"/>
      <c r="G3087" s="616"/>
      <c r="H3087" s="616"/>
      <c r="I3087" s="616"/>
      <c r="J3087" s="645"/>
      <c r="K3087" s="450"/>
      <c r="L3087" s="451"/>
      <c r="M3087" s="448"/>
      <c r="N3087" s="450"/>
      <c r="O3087" s="458"/>
      <c r="P3087" s="454"/>
      <c r="R3087" s="490" t="str">
        <f>R3086</f>
        <v>DELETE</v>
      </c>
      <c r="T3087" s="498"/>
    </row>
    <row r="3088" spans="3:22" ht="36" customHeight="1" x14ac:dyDescent="0.45">
      <c r="D3088" s="615" t="s">
        <v>1532</v>
      </c>
      <c r="E3088" s="616"/>
      <c r="F3088" s="616"/>
      <c r="G3088" s="616"/>
      <c r="H3088" s="616"/>
      <c r="I3088" s="616"/>
      <c r="J3088" s="645"/>
      <c r="K3088" s="450"/>
      <c r="L3088" s="451"/>
      <c r="M3088" s="448"/>
      <c r="N3088" s="450"/>
      <c r="O3088" s="458">
        <f>SUM(O3090:O3119)</f>
        <v>0</v>
      </c>
      <c r="P3088" s="454"/>
      <c r="R3088" s="490" t="str">
        <f t="shared" ref="R3088" si="225">IF(R$3042="DELETE","DELETE",IF(O3088=0,"DELETE"," "))</f>
        <v>DELETE</v>
      </c>
      <c r="S3088" s="495">
        <f>-O3088</f>
        <v>0</v>
      </c>
      <c r="T3088" s="498"/>
      <c r="U3088" s="495"/>
      <c r="V3088" s="495"/>
    </row>
    <row r="3089" spans="3:22" ht="9" customHeight="1" x14ac:dyDescent="0.45">
      <c r="C3089" s="575"/>
      <c r="D3089" s="616"/>
      <c r="E3089" s="616"/>
      <c r="F3089" s="616"/>
      <c r="G3089" s="616"/>
      <c r="H3089" s="616"/>
      <c r="I3089" s="616"/>
      <c r="J3089" s="645"/>
      <c r="K3089" s="450"/>
      <c r="L3089" s="451"/>
      <c r="M3089" s="448"/>
      <c r="N3089" s="450"/>
      <c r="O3089" s="458"/>
      <c r="P3089" s="454"/>
      <c r="R3089" s="490" t="str">
        <f>R3088</f>
        <v>DELETE</v>
      </c>
      <c r="T3089" s="498"/>
    </row>
    <row r="3090" spans="3:22" ht="9" customHeight="1" x14ac:dyDescent="0.45">
      <c r="C3090" s="575"/>
      <c r="D3090" s="616"/>
      <c r="E3090" s="616"/>
      <c r="F3090" s="616"/>
      <c r="G3090" s="616"/>
      <c r="H3090" s="616"/>
      <c r="I3090" s="616"/>
      <c r="J3090" s="645"/>
      <c r="K3090" s="450"/>
      <c r="L3090" s="451"/>
      <c r="M3090" s="448"/>
      <c r="N3090" s="450"/>
      <c r="O3090" s="587"/>
      <c r="P3090" s="454"/>
      <c r="R3090" s="490" t="str">
        <f>R3089</f>
        <v>DELETE</v>
      </c>
      <c r="T3090" s="498"/>
    </row>
    <row r="3091" spans="3:22" ht="36" customHeight="1" x14ac:dyDescent="0.45">
      <c r="C3091" s="575"/>
      <c r="D3091" s="616" t="s">
        <v>302</v>
      </c>
      <c r="E3091" s="616"/>
      <c r="F3091" s="616"/>
      <c r="G3091" s="616"/>
      <c r="H3091" s="616"/>
      <c r="I3091" s="616"/>
      <c r="J3091" s="645"/>
      <c r="K3091" s="450"/>
      <c r="L3091" s="451"/>
      <c r="M3091" s="448"/>
      <c r="N3091" s="450"/>
      <c r="O3091" s="588">
        <f>TrialBalanceA!I40</f>
        <v>0</v>
      </c>
      <c r="P3091" s="454"/>
      <c r="R3091" s="490" t="str">
        <f t="shared" ref="R3091:R3118" si="226">IF(R$3042="DELETE","DELETE",IF(O3091=0,"DELETE"," "))</f>
        <v>DELETE</v>
      </c>
      <c r="T3091" s="498"/>
    </row>
    <row r="3092" spans="3:22" ht="36" customHeight="1" x14ac:dyDescent="0.45">
      <c r="C3092" s="575"/>
      <c r="D3092" s="616" t="s">
        <v>831</v>
      </c>
      <c r="E3092" s="616"/>
      <c r="F3092" s="616"/>
      <c r="G3092" s="616"/>
      <c r="H3092" s="616"/>
      <c r="I3092" s="616"/>
      <c r="J3092" s="645"/>
      <c r="K3092" s="450"/>
      <c r="L3092" s="451"/>
      <c r="M3092" s="448"/>
      <c r="N3092" s="450"/>
      <c r="O3092" s="588">
        <f>TrialBalanceA!I41</f>
        <v>0</v>
      </c>
      <c r="P3092" s="454"/>
      <c r="R3092" s="490" t="str">
        <f t="shared" si="226"/>
        <v>DELETE</v>
      </c>
      <c r="T3092" s="498"/>
    </row>
    <row r="3093" spans="3:22" ht="36" customHeight="1" x14ac:dyDescent="0.45">
      <c r="C3093" s="575"/>
      <c r="D3093" s="616" t="s">
        <v>303</v>
      </c>
      <c r="E3093" s="616"/>
      <c r="F3093" s="616"/>
      <c r="G3093" s="616"/>
      <c r="H3093" s="616"/>
      <c r="I3093" s="616"/>
      <c r="J3093" s="645"/>
      <c r="K3093" s="450"/>
      <c r="L3093" s="451"/>
      <c r="M3093" s="448"/>
      <c r="N3093" s="450"/>
      <c r="O3093" s="588">
        <f>TrialBalanceA!I42</f>
        <v>0</v>
      </c>
      <c r="P3093" s="454"/>
      <c r="R3093" s="490" t="str">
        <f t="shared" si="226"/>
        <v>DELETE</v>
      </c>
      <c r="T3093" s="498"/>
    </row>
    <row r="3094" spans="3:22" ht="36" customHeight="1" x14ac:dyDescent="0.45">
      <c r="C3094" s="575"/>
      <c r="D3094" s="616" t="s">
        <v>304</v>
      </c>
      <c r="E3094" s="616"/>
      <c r="F3094" s="616"/>
      <c r="G3094" s="616"/>
      <c r="H3094" s="616"/>
      <c r="I3094" s="616"/>
      <c r="J3094" s="645"/>
      <c r="K3094" s="450">
        <f>B$1212</f>
        <v>4</v>
      </c>
      <c r="L3094" s="451"/>
      <c r="M3094" s="448"/>
      <c r="N3094" s="450"/>
      <c r="O3094" s="588">
        <f>SUM(TrialBalanceA!I44:I46)</f>
        <v>0</v>
      </c>
      <c r="P3094" s="454"/>
      <c r="R3094" s="490" t="str">
        <f t="shared" si="226"/>
        <v>DELETE</v>
      </c>
      <c r="T3094" s="498"/>
    </row>
    <row r="3095" spans="3:22" ht="36" customHeight="1" x14ac:dyDescent="0.45">
      <c r="C3095" s="575"/>
      <c r="D3095" s="616" t="s">
        <v>565</v>
      </c>
      <c r="E3095" s="616"/>
      <c r="F3095" s="616"/>
      <c r="G3095" s="616"/>
      <c r="H3095" s="616"/>
      <c r="I3095" s="616"/>
      <c r="J3095" s="645"/>
      <c r="K3095" s="450"/>
      <c r="L3095" s="451"/>
      <c r="M3095" s="448"/>
      <c r="N3095" s="450"/>
      <c r="O3095" s="588">
        <f>TrialBalanceA!I47</f>
        <v>0</v>
      </c>
      <c r="P3095" s="454"/>
      <c r="R3095" s="490" t="str">
        <f t="shared" si="226"/>
        <v>DELETE</v>
      </c>
      <c r="S3095" s="496"/>
      <c r="T3095" s="498"/>
      <c r="U3095" s="496"/>
      <c r="V3095" s="496"/>
    </row>
    <row r="3096" spans="3:22" ht="36" customHeight="1" x14ac:dyDescent="0.45">
      <c r="C3096" s="575"/>
      <c r="D3096" s="616" t="s">
        <v>871</v>
      </c>
      <c r="E3096" s="616"/>
      <c r="F3096" s="616"/>
      <c r="G3096" s="616"/>
      <c r="H3096" s="616"/>
      <c r="I3096" s="616"/>
      <c r="J3096" s="645"/>
      <c r="K3096" s="450"/>
      <c r="L3096" s="451"/>
      <c r="M3096" s="448"/>
      <c r="N3096" s="450"/>
      <c r="O3096" s="588">
        <f>TrialBalanceA!I48</f>
        <v>0</v>
      </c>
      <c r="P3096" s="454"/>
      <c r="R3096" s="490" t="str">
        <f t="shared" si="226"/>
        <v>DELETE</v>
      </c>
      <c r="T3096" s="498"/>
    </row>
    <row r="3097" spans="3:22" ht="36" customHeight="1" x14ac:dyDescent="0.45">
      <c r="C3097" s="575"/>
      <c r="D3097" s="616" t="s">
        <v>69</v>
      </c>
      <c r="E3097" s="616"/>
      <c r="F3097" s="616"/>
      <c r="G3097" s="616"/>
      <c r="H3097" s="616"/>
      <c r="I3097" s="616"/>
      <c r="J3097" s="645"/>
      <c r="K3097" s="450"/>
      <c r="L3097" s="451"/>
      <c r="M3097" s="448"/>
      <c r="N3097" s="450"/>
      <c r="O3097" s="588">
        <f>TrialBalanceA!I49</f>
        <v>0</v>
      </c>
      <c r="P3097" s="454"/>
      <c r="R3097" s="490" t="str">
        <f t="shared" si="226"/>
        <v>DELETE</v>
      </c>
      <c r="T3097" s="498"/>
    </row>
    <row r="3098" spans="3:22" ht="36" customHeight="1" x14ac:dyDescent="0.45">
      <c r="C3098" s="575"/>
      <c r="D3098" s="616" t="s">
        <v>305</v>
      </c>
      <c r="E3098" s="616"/>
      <c r="F3098" s="616"/>
      <c r="G3098" s="616"/>
      <c r="H3098" s="616"/>
      <c r="I3098" s="616"/>
      <c r="J3098" s="645"/>
      <c r="K3098" s="450"/>
      <c r="L3098" s="451"/>
      <c r="M3098" s="448"/>
      <c r="N3098" s="450"/>
      <c r="O3098" s="588">
        <f>TrialBalanceA!I50</f>
        <v>0</v>
      </c>
      <c r="P3098" s="454"/>
      <c r="R3098" s="490" t="str">
        <f t="shared" si="226"/>
        <v>DELETE</v>
      </c>
      <c r="T3098" s="498"/>
    </row>
    <row r="3099" spans="3:22" ht="36" customHeight="1" x14ac:dyDescent="0.45">
      <c r="C3099" s="575"/>
      <c r="D3099" s="616" t="s">
        <v>587</v>
      </c>
      <c r="E3099" s="616"/>
      <c r="F3099" s="616"/>
      <c r="G3099" s="616"/>
      <c r="H3099" s="616"/>
      <c r="I3099" s="616"/>
      <c r="J3099" s="645"/>
      <c r="K3099" s="450"/>
      <c r="L3099" s="451"/>
      <c r="M3099" s="448"/>
      <c r="N3099" s="450"/>
      <c r="O3099" s="588">
        <f>SUM(TrialBalanceA!I51:I52)</f>
        <v>0</v>
      </c>
      <c r="P3099" s="454"/>
      <c r="R3099" s="490" t="str">
        <f t="shared" si="226"/>
        <v>DELETE</v>
      </c>
      <c r="T3099" s="498"/>
    </row>
    <row r="3100" spans="3:22" ht="36" customHeight="1" x14ac:dyDescent="0.45">
      <c r="C3100" s="575"/>
      <c r="D3100" s="616" t="s">
        <v>585</v>
      </c>
      <c r="E3100" s="616"/>
      <c r="F3100" s="616"/>
      <c r="G3100" s="616"/>
      <c r="H3100" s="616"/>
      <c r="I3100" s="616"/>
      <c r="J3100" s="645"/>
      <c r="K3100" s="450"/>
      <c r="L3100" s="451"/>
      <c r="M3100" s="448"/>
      <c r="N3100" s="450"/>
      <c r="O3100" s="588">
        <f>TrialBalanceA!I53</f>
        <v>0</v>
      </c>
      <c r="P3100" s="454"/>
      <c r="R3100" s="490" t="str">
        <f t="shared" si="226"/>
        <v>DELETE</v>
      </c>
      <c r="T3100" s="498"/>
    </row>
    <row r="3101" spans="3:22" ht="36" customHeight="1" x14ac:dyDescent="0.45">
      <c r="C3101" s="575"/>
      <c r="D3101" s="616" t="s">
        <v>566</v>
      </c>
      <c r="E3101" s="616"/>
      <c r="F3101" s="616"/>
      <c r="G3101" s="616"/>
      <c r="H3101" s="616"/>
      <c r="I3101" s="616"/>
      <c r="J3101" s="645"/>
      <c r="K3101" s="450"/>
      <c r="L3101" s="451"/>
      <c r="M3101" s="448"/>
      <c r="N3101" s="450"/>
      <c r="O3101" s="588">
        <f>SUM(TrialBalanceA!I55:I59)</f>
        <v>0</v>
      </c>
      <c r="P3101" s="454"/>
      <c r="R3101" s="490" t="str">
        <f t="shared" si="226"/>
        <v>DELETE</v>
      </c>
      <c r="T3101" s="498"/>
    </row>
    <row r="3102" spans="3:22" ht="36" customHeight="1" x14ac:dyDescent="0.45">
      <c r="C3102" s="575"/>
      <c r="D3102" s="616" t="s">
        <v>547</v>
      </c>
      <c r="E3102" s="616"/>
      <c r="F3102" s="616"/>
      <c r="G3102" s="616"/>
      <c r="H3102" s="616"/>
      <c r="I3102" s="616"/>
      <c r="J3102" s="645"/>
      <c r="K3102" s="450">
        <f>B$1212</f>
        <v>4</v>
      </c>
      <c r="L3102" s="451"/>
      <c r="M3102" s="448"/>
      <c r="N3102" s="450"/>
      <c r="O3102" s="588">
        <f>SUM(TrialBalanceA!I61:I63)</f>
        <v>0</v>
      </c>
      <c r="P3102" s="454"/>
      <c r="R3102" s="490" t="str">
        <f t="shared" si="226"/>
        <v>DELETE</v>
      </c>
      <c r="T3102" s="498"/>
    </row>
    <row r="3103" spans="3:22" ht="36" customHeight="1" x14ac:dyDescent="0.45">
      <c r="C3103" s="575"/>
      <c r="D3103" s="616" t="s">
        <v>77</v>
      </c>
      <c r="E3103" s="616"/>
      <c r="F3103" s="616"/>
      <c r="G3103" s="616"/>
      <c r="H3103" s="616"/>
      <c r="I3103" s="616"/>
      <c r="J3103" s="645"/>
      <c r="K3103" s="450"/>
      <c r="L3103" s="451"/>
      <c r="M3103" s="448"/>
      <c r="N3103" s="450"/>
      <c r="O3103" s="588">
        <f>TrialBalanceA!I64</f>
        <v>0</v>
      </c>
      <c r="P3103" s="454"/>
      <c r="R3103" s="490" t="str">
        <f t="shared" si="226"/>
        <v>DELETE</v>
      </c>
      <c r="T3103" s="498"/>
    </row>
    <row r="3104" spans="3:22" ht="36" customHeight="1" x14ac:dyDescent="0.45">
      <c r="C3104" s="575"/>
      <c r="D3104" s="616" t="s">
        <v>1756</v>
      </c>
      <c r="E3104" s="616"/>
      <c r="F3104" s="616"/>
      <c r="G3104" s="616"/>
      <c r="H3104" s="616"/>
      <c r="I3104" s="616"/>
      <c r="J3104" s="645"/>
      <c r="K3104" s="450"/>
      <c r="L3104" s="451"/>
      <c r="M3104" s="448"/>
      <c r="N3104" s="450"/>
      <c r="O3104" s="588">
        <f>TrialBalanceA!I65</f>
        <v>0</v>
      </c>
      <c r="P3104" s="454"/>
      <c r="R3104" s="490" t="str">
        <f t="shared" ref="R3104" si="227">IF(R$3042="DELETE","DELETE",IF(O3104=0,"DELETE"," "))</f>
        <v>DELETE</v>
      </c>
      <c r="T3104" s="498"/>
    </row>
    <row r="3105" spans="3:20" ht="36" customHeight="1" x14ac:dyDescent="0.45">
      <c r="C3105" s="575"/>
      <c r="D3105" s="616" t="s">
        <v>286</v>
      </c>
      <c r="E3105" s="616"/>
      <c r="F3105" s="616"/>
      <c r="G3105" s="616"/>
      <c r="H3105" s="616"/>
      <c r="I3105" s="616"/>
      <c r="J3105" s="645"/>
      <c r="K3105" s="450"/>
      <c r="L3105" s="451"/>
      <c r="M3105" s="448"/>
      <c r="N3105" s="450"/>
      <c r="O3105" s="588">
        <f>SUM(TrialBalanceA!I66:I68)</f>
        <v>0</v>
      </c>
      <c r="P3105" s="454"/>
      <c r="R3105" s="490" t="str">
        <f t="shared" si="226"/>
        <v>DELETE</v>
      </c>
      <c r="T3105" s="498"/>
    </row>
    <row r="3106" spans="3:20" ht="36" customHeight="1" x14ac:dyDescent="0.45">
      <c r="C3106" s="575"/>
      <c r="D3106" s="616" t="s">
        <v>872</v>
      </c>
      <c r="E3106" s="616"/>
      <c r="F3106" s="616"/>
      <c r="G3106" s="616"/>
      <c r="H3106" s="616"/>
      <c r="I3106" s="616"/>
      <c r="J3106" s="645"/>
      <c r="K3106" s="450"/>
      <c r="L3106" s="451"/>
      <c r="M3106" s="448"/>
      <c r="N3106" s="450"/>
      <c r="O3106" s="588">
        <f>SUM(TrialBalanceA!I69:I70)</f>
        <v>0</v>
      </c>
      <c r="P3106" s="454"/>
      <c r="R3106" s="490" t="str">
        <f t="shared" si="226"/>
        <v>DELETE</v>
      </c>
      <c r="T3106" s="498"/>
    </row>
    <row r="3107" spans="3:20" ht="36" customHeight="1" x14ac:dyDescent="0.45">
      <c r="C3107" s="575"/>
      <c r="D3107" s="616" t="s">
        <v>287</v>
      </c>
      <c r="E3107" s="616"/>
      <c r="F3107" s="616"/>
      <c r="G3107" s="616"/>
      <c r="H3107" s="616"/>
      <c r="I3107" s="616"/>
      <c r="J3107" s="645"/>
      <c r="K3107" s="450"/>
      <c r="L3107" s="451"/>
      <c r="M3107" s="448"/>
      <c r="N3107" s="450"/>
      <c r="O3107" s="588">
        <f>TrialBalanceA!I71</f>
        <v>0</v>
      </c>
      <c r="P3107" s="454"/>
      <c r="R3107" s="490" t="str">
        <f t="shared" si="226"/>
        <v>DELETE</v>
      </c>
      <c r="T3107" s="498"/>
    </row>
    <row r="3108" spans="3:20" ht="36" customHeight="1" x14ac:dyDescent="0.45">
      <c r="C3108" s="575"/>
      <c r="D3108" s="616" t="s">
        <v>425</v>
      </c>
      <c r="E3108" s="616"/>
      <c r="F3108" s="616"/>
      <c r="G3108" s="616"/>
      <c r="H3108" s="616"/>
      <c r="I3108" s="616"/>
      <c r="J3108" s="645"/>
      <c r="K3108" s="450"/>
      <c r="L3108" s="451"/>
      <c r="M3108" s="448"/>
      <c r="N3108" s="450"/>
      <c r="O3108" s="588">
        <f>TrialBalanceA!I72</f>
        <v>0</v>
      </c>
      <c r="P3108" s="454"/>
      <c r="R3108" s="490" t="str">
        <f t="shared" si="226"/>
        <v>DELETE</v>
      </c>
      <c r="T3108" s="498"/>
    </row>
    <row r="3109" spans="3:20" ht="36" customHeight="1" x14ac:dyDescent="0.45">
      <c r="C3109" s="575"/>
      <c r="D3109" s="616">
        <f>TrialBalanceA!C73</f>
        <v>0</v>
      </c>
      <c r="E3109" s="616"/>
      <c r="F3109" s="616"/>
      <c r="G3109" s="616"/>
      <c r="H3109" s="616"/>
      <c r="I3109" s="616"/>
      <c r="J3109" s="645"/>
      <c r="K3109" s="450"/>
      <c r="L3109" s="451"/>
      <c r="M3109" s="448"/>
      <c r="N3109" s="450"/>
      <c r="O3109" s="588">
        <f>TrialBalanceA!I73</f>
        <v>0</v>
      </c>
      <c r="P3109" s="454"/>
      <c r="R3109" s="490" t="str">
        <f t="shared" si="226"/>
        <v>DELETE</v>
      </c>
      <c r="T3109" s="498"/>
    </row>
    <row r="3110" spans="3:20" ht="36" customHeight="1" x14ac:dyDescent="0.45">
      <c r="C3110" s="575"/>
      <c r="D3110" s="616">
        <f>TrialBalanceA!C74</f>
        <v>0</v>
      </c>
      <c r="E3110" s="616"/>
      <c r="F3110" s="616"/>
      <c r="G3110" s="616"/>
      <c r="H3110" s="616"/>
      <c r="I3110" s="616"/>
      <c r="J3110" s="645"/>
      <c r="K3110" s="450"/>
      <c r="L3110" s="451"/>
      <c r="M3110" s="448"/>
      <c r="N3110" s="450"/>
      <c r="O3110" s="588">
        <f>TrialBalanceA!I74</f>
        <v>0</v>
      </c>
      <c r="P3110" s="454"/>
      <c r="R3110" s="490" t="str">
        <f t="shared" si="226"/>
        <v>DELETE</v>
      </c>
      <c r="T3110" s="498"/>
    </row>
    <row r="3111" spans="3:20" ht="36" customHeight="1" x14ac:dyDescent="0.45">
      <c r="C3111" s="575"/>
      <c r="D3111" s="616">
        <f>TrialBalanceA!C75</f>
        <v>0</v>
      </c>
      <c r="E3111" s="616"/>
      <c r="F3111" s="616"/>
      <c r="G3111" s="616"/>
      <c r="H3111" s="616"/>
      <c r="I3111" s="616"/>
      <c r="J3111" s="645"/>
      <c r="K3111" s="450"/>
      <c r="L3111" s="451"/>
      <c r="M3111" s="448"/>
      <c r="N3111" s="450"/>
      <c r="O3111" s="588">
        <f>TrialBalanceA!I75</f>
        <v>0</v>
      </c>
      <c r="P3111" s="454"/>
      <c r="R3111" s="490" t="str">
        <f t="shared" si="226"/>
        <v>DELETE</v>
      </c>
      <c r="T3111" s="498"/>
    </row>
    <row r="3112" spans="3:20" ht="36" customHeight="1" x14ac:dyDescent="0.45">
      <c r="C3112" s="575"/>
      <c r="D3112" s="616">
        <f>TrialBalanceA!C76</f>
        <v>0</v>
      </c>
      <c r="E3112" s="616"/>
      <c r="F3112" s="616"/>
      <c r="G3112" s="616"/>
      <c r="H3112" s="616"/>
      <c r="I3112" s="616"/>
      <c r="J3112" s="645"/>
      <c r="K3112" s="450"/>
      <c r="L3112" s="451"/>
      <c r="M3112" s="448"/>
      <c r="N3112" s="450"/>
      <c r="O3112" s="588">
        <f>TrialBalanceA!I76</f>
        <v>0</v>
      </c>
      <c r="P3112" s="454"/>
      <c r="R3112" s="490" t="str">
        <f t="shared" si="226"/>
        <v>DELETE</v>
      </c>
      <c r="T3112" s="498"/>
    </row>
    <row r="3113" spans="3:20" ht="36" customHeight="1" x14ac:dyDescent="0.45">
      <c r="C3113" s="575"/>
      <c r="D3113" s="616">
        <f>TrialBalanceA!C77</f>
        <v>0</v>
      </c>
      <c r="E3113" s="616"/>
      <c r="F3113" s="616"/>
      <c r="G3113" s="616"/>
      <c r="H3113" s="616"/>
      <c r="I3113" s="616"/>
      <c r="J3113" s="645"/>
      <c r="K3113" s="450"/>
      <c r="L3113" s="451"/>
      <c r="M3113" s="448"/>
      <c r="N3113" s="450"/>
      <c r="O3113" s="588">
        <f>TrialBalanceA!I77</f>
        <v>0</v>
      </c>
      <c r="P3113" s="454"/>
      <c r="R3113" s="490" t="str">
        <f t="shared" si="226"/>
        <v>DELETE</v>
      </c>
      <c r="T3113" s="498"/>
    </row>
    <row r="3114" spans="3:20" ht="36" customHeight="1" x14ac:dyDescent="0.45">
      <c r="C3114" s="575"/>
      <c r="D3114" s="616">
        <f>TrialBalanceA!C78</f>
        <v>0</v>
      </c>
      <c r="E3114" s="616"/>
      <c r="F3114" s="616"/>
      <c r="G3114" s="616"/>
      <c r="H3114" s="616"/>
      <c r="I3114" s="616"/>
      <c r="J3114" s="645"/>
      <c r="K3114" s="450"/>
      <c r="L3114" s="451"/>
      <c r="M3114" s="448"/>
      <c r="N3114" s="450"/>
      <c r="O3114" s="588">
        <f>TrialBalanceA!I78</f>
        <v>0</v>
      </c>
      <c r="P3114" s="454"/>
      <c r="R3114" s="490" t="str">
        <f t="shared" si="226"/>
        <v>DELETE</v>
      </c>
      <c r="T3114" s="498"/>
    </row>
    <row r="3115" spans="3:20" ht="36" customHeight="1" x14ac:dyDescent="0.45">
      <c r="C3115" s="575"/>
      <c r="D3115" s="616">
        <f>TrialBalanceA!C79</f>
        <v>0</v>
      </c>
      <c r="E3115" s="616"/>
      <c r="F3115" s="616"/>
      <c r="G3115" s="616"/>
      <c r="H3115" s="616"/>
      <c r="I3115" s="616"/>
      <c r="J3115" s="645"/>
      <c r="K3115" s="450"/>
      <c r="L3115" s="451"/>
      <c r="M3115" s="448"/>
      <c r="N3115" s="450"/>
      <c r="O3115" s="588">
        <f>TrialBalanceA!I79</f>
        <v>0</v>
      </c>
      <c r="P3115" s="454"/>
      <c r="R3115" s="490" t="str">
        <f t="shared" si="226"/>
        <v>DELETE</v>
      </c>
      <c r="T3115" s="498"/>
    </row>
    <row r="3116" spans="3:20" ht="36" customHeight="1" x14ac:dyDescent="0.45">
      <c r="C3116" s="575"/>
      <c r="D3116" s="616">
        <f>TrialBalanceA!C80</f>
        <v>0</v>
      </c>
      <c r="E3116" s="616"/>
      <c r="F3116" s="616"/>
      <c r="G3116" s="616"/>
      <c r="H3116" s="616"/>
      <c r="I3116" s="616"/>
      <c r="J3116" s="645"/>
      <c r="K3116" s="450"/>
      <c r="L3116" s="451"/>
      <c r="M3116" s="448"/>
      <c r="N3116" s="450"/>
      <c r="O3116" s="588">
        <f>TrialBalanceA!I80</f>
        <v>0</v>
      </c>
      <c r="P3116" s="454"/>
      <c r="R3116" s="490" t="str">
        <f t="shared" si="226"/>
        <v>DELETE</v>
      </c>
      <c r="T3116" s="498"/>
    </row>
    <row r="3117" spans="3:20" ht="36" customHeight="1" x14ac:dyDescent="0.45">
      <c r="C3117" s="575"/>
      <c r="D3117" s="616">
        <f>TrialBalanceA!C81</f>
        <v>0</v>
      </c>
      <c r="E3117" s="616"/>
      <c r="F3117" s="616"/>
      <c r="G3117" s="616"/>
      <c r="H3117" s="616"/>
      <c r="I3117" s="616"/>
      <c r="J3117" s="645"/>
      <c r="K3117" s="450"/>
      <c r="L3117" s="451"/>
      <c r="M3117" s="448"/>
      <c r="N3117" s="450"/>
      <c r="O3117" s="588">
        <f>TrialBalanceA!I81</f>
        <v>0</v>
      </c>
      <c r="P3117" s="454"/>
      <c r="R3117" s="490" t="str">
        <f t="shared" si="226"/>
        <v>DELETE</v>
      </c>
      <c r="T3117" s="498"/>
    </row>
    <row r="3118" spans="3:20" ht="36" customHeight="1" x14ac:dyDescent="0.45">
      <c r="C3118" s="575"/>
      <c r="D3118" s="616">
        <f>TrialBalanceA!C82</f>
        <v>0</v>
      </c>
      <c r="E3118" s="616"/>
      <c r="F3118" s="616"/>
      <c r="G3118" s="616"/>
      <c r="H3118" s="616"/>
      <c r="I3118" s="616"/>
      <c r="J3118" s="645"/>
      <c r="K3118" s="450"/>
      <c r="L3118" s="451"/>
      <c r="M3118" s="448"/>
      <c r="N3118" s="450"/>
      <c r="O3118" s="588">
        <f>TrialBalanceA!I82</f>
        <v>0</v>
      </c>
      <c r="P3118" s="454"/>
      <c r="R3118" s="490" t="str">
        <f t="shared" si="226"/>
        <v>DELETE</v>
      </c>
      <c r="T3118" s="498"/>
    </row>
    <row r="3119" spans="3:20" ht="9" customHeight="1" x14ac:dyDescent="0.45">
      <c r="C3119" s="575"/>
      <c r="D3119" s="616"/>
      <c r="E3119" s="616"/>
      <c r="F3119" s="616"/>
      <c r="G3119" s="616"/>
      <c r="H3119" s="616"/>
      <c r="I3119" s="616"/>
      <c r="J3119" s="645"/>
      <c r="K3119" s="450"/>
      <c r="L3119" s="451"/>
      <c r="M3119" s="448"/>
      <c r="N3119" s="450"/>
      <c r="O3119" s="589"/>
      <c r="P3119" s="454"/>
      <c r="R3119" s="490" t="str">
        <f>R3088</f>
        <v>DELETE</v>
      </c>
      <c r="T3119" s="498"/>
    </row>
    <row r="3120" spans="3:20" ht="9" customHeight="1" x14ac:dyDescent="0.45">
      <c r="C3120" s="575"/>
      <c r="D3120" s="616"/>
      <c r="E3120" s="616"/>
      <c r="F3120" s="616"/>
      <c r="G3120" s="616"/>
      <c r="H3120" s="616"/>
      <c r="I3120" s="616"/>
      <c r="J3120" s="645"/>
      <c r="K3120" s="450"/>
      <c r="L3120" s="451"/>
      <c r="M3120" s="448"/>
      <c r="N3120" s="450"/>
      <c r="O3120" s="461"/>
      <c r="P3120" s="454"/>
      <c r="R3120" s="490" t="str">
        <f t="shared" ref="R3120:R3140" si="228">R$3042</f>
        <v>DELETE</v>
      </c>
      <c r="T3120" s="498"/>
    </row>
    <row r="3121" spans="3:20" ht="9" customHeight="1" x14ac:dyDescent="0.45">
      <c r="C3121" s="575"/>
      <c r="D3121" s="616"/>
      <c r="E3121" s="616"/>
      <c r="F3121" s="616"/>
      <c r="G3121" s="616"/>
      <c r="H3121" s="616"/>
      <c r="I3121" s="616"/>
      <c r="J3121" s="645"/>
      <c r="K3121" s="450"/>
      <c r="L3121" s="451"/>
      <c r="M3121" s="448"/>
      <c r="N3121" s="450"/>
      <c r="O3121" s="458"/>
      <c r="P3121" s="454"/>
      <c r="R3121" s="490" t="str">
        <f t="shared" si="228"/>
        <v>DELETE</v>
      </c>
      <c r="T3121" s="498"/>
    </row>
    <row r="3122" spans="3:20" ht="36" customHeight="1" x14ac:dyDescent="0.45">
      <c r="D3122" s="637" t="str">
        <f>IF(O3122&lt;0,"Operating loss","Operating profit")</f>
        <v>Operating profit</v>
      </c>
      <c r="E3122" s="616"/>
      <c r="F3122" s="616"/>
      <c r="G3122" s="616"/>
      <c r="H3122" s="616"/>
      <c r="I3122" s="616"/>
      <c r="J3122" s="645"/>
      <c r="K3122" s="450"/>
      <c r="L3122" s="451"/>
      <c r="M3122" s="448"/>
      <c r="N3122" s="450"/>
      <c r="O3122" s="458">
        <f>SUM(S3054:S3120)</f>
        <v>0</v>
      </c>
      <c r="P3122" s="454"/>
      <c r="R3122" s="490" t="str">
        <f t="shared" si="228"/>
        <v>DELETE</v>
      </c>
      <c r="T3122" s="498"/>
    </row>
    <row r="3123" spans="3:20" ht="36" customHeight="1" x14ac:dyDescent="0.45">
      <c r="C3123" s="575"/>
      <c r="D3123" s="616"/>
      <c r="E3123" s="616" t="s">
        <v>289</v>
      </c>
      <c r="F3123" s="616"/>
      <c r="G3123" s="616"/>
      <c r="H3123" s="616"/>
      <c r="I3123" s="616"/>
      <c r="J3123" s="645"/>
      <c r="K3123" s="450"/>
      <c r="L3123" s="451"/>
      <c r="M3123" s="448"/>
      <c r="N3123" s="450"/>
      <c r="O3123" s="458"/>
      <c r="P3123" s="454"/>
      <c r="R3123" s="490" t="str">
        <f t="shared" si="228"/>
        <v>DELETE</v>
      </c>
      <c r="T3123" s="498"/>
    </row>
    <row r="3124" spans="3:20" ht="36" customHeight="1" x14ac:dyDescent="0.45">
      <c r="C3124" s="575"/>
      <c r="D3124" s="616"/>
      <c r="E3124" s="616"/>
      <c r="F3124" s="616"/>
      <c r="G3124" s="616"/>
      <c r="H3124" s="616"/>
      <c r="I3124" s="616"/>
      <c r="J3124" s="645"/>
      <c r="K3124" s="450"/>
      <c r="L3124" s="450"/>
      <c r="M3124" s="458"/>
      <c r="N3124" s="458"/>
      <c r="O3124" s="458"/>
      <c r="P3124" s="454"/>
      <c r="R3124" s="490" t="str">
        <f t="shared" si="228"/>
        <v>DELETE</v>
      </c>
      <c r="T3124" s="498"/>
    </row>
    <row r="3125" spans="3:20" ht="36" customHeight="1" x14ac:dyDescent="0.45">
      <c r="C3125" s="575"/>
      <c r="D3125" s="616"/>
      <c r="E3125" s="616"/>
      <c r="F3125" s="616"/>
      <c r="G3125" s="616"/>
      <c r="H3125" s="616"/>
      <c r="I3125" s="616"/>
      <c r="J3125" s="645"/>
      <c r="K3125" s="450"/>
      <c r="L3125" s="450"/>
      <c r="M3125" s="458"/>
      <c r="N3125" s="458"/>
      <c r="O3125" s="458"/>
      <c r="P3125" s="454"/>
      <c r="R3125" s="490" t="str">
        <f t="shared" si="228"/>
        <v>DELETE</v>
      </c>
      <c r="T3125" s="498"/>
    </row>
    <row r="3126" spans="3:20" ht="36" customHeight="1" x14ac:dyDescent="0.45">
      <c r="C3126" s="575"/>
      <c r="D3126" s="616"/>
      <c r="E3126" s="616"/>
      <c r="F3126" s="616"/>
      <c r="G3126" s="616"/>
      <c r="H3126" s="616"/>
      <c r="I3126" s="616"/>
      <c r="J3126" s="645"/>
      <c r="K3126" s="450"/>
      <c r="L3126" s="450"/>
      <c r="M3126" s="475"/>
      <c r="N3126" s="475"/>
      <c r="O3126" s="475"/>
      <c r="P3126" s="521"/>
      <c r="R3126" s="490" t="str">
        <f t="shared" si="228"/>
        <v>DELETE</v>
      </c>
      <c r="T3126" s="498"/>
    </row>
    <row r="3127" spans="3:20" ht="36" customHeight="1" x14ac:dyDescent="0.45">
      <c r="C3127" s="575"/>
      <c r="D3127" s="616"/>
      <c r="E3127" s="616"/>
      <c r="F3127" s="616"/>
      <c r="G3127" s="616"/>
      <c r="H3127" s="616"/>
      <c r="I3127" s="616"/>
      <c r="J3127" s="645"/>
      <c r="K3127" s="450"/>
      <c r="L3127" s="450"/>
      <c r="M3127" s="458"/>
      <c r="N3127" s="458"/>
      <c r="O3127" s="458"/>
      <c r="P3127" s="454"/>
      <c r="R3127" s="490" t="str">
        <f t="shared" si="228"/>
        <v>DELETE</v>
      </c>
      <c r="T3127" s="498"/>
    </row>
    <row r="3128" spans="3:20" ht="36" customHeight="1" x14ac:dyDescent="0.45">
      <c r="C3128" s="575"/>
      <c r="D3128" s="616"/>
      <c r="E3128" s="616"/>
      <c r="F3128" s="616"/>
      <c r="G3128" s="616"/>
      <c r="H3128" s="616"/>
      <c r="I3128" s="616"/>
      <c r="J3128" s="645"/>
      <c r="K3128" s="450"/>
      <c r="L3128" s="450"/>
      <c r="M3128" s="458"/>
      <c r="N3128" s="458"/>
      <c r="O3128" s="458" t="s">
        <v>112</v>
      </c>
      <c r="P3128" s="454"/>
      <c r="Q3128" s="450">
        <f>MAX($Q$3042:Q3127)+1</f>
        <v>2</v>
      </c>
      <c r="R3128" s="490" t="str">
        <f t="shared" si="228"/>
        <v>DELETE</v>
      </c>
      <c r="T3128" s="498"/>
    </row>
    <row r="3129" spans="3:20" ht="36" customHeight="1" x14ac:dyDescent="0.45">
      <c r="C3129" s="575"/>
      <c r="D3129" s="615" t="str">
        <f>Criteria!E9</f>
        <v>ABC COMPANY (PROPRIETARY) LIMITED</v>
      </c>
      <c r="E3129" s="616"/>
      <c r="F3129" s="616"/>
      <c r="G3129" s="616"/>
      <c r="H3129" s="616"/>
      <c r="I3129" s="616"/>
      <c r="J3129" s="645"/>
      <c r="K3129" s="450"/>
      <c r="L3129" s="450"/>
      <c r="M3129" s="458"/>
      <c r="N3129" s="458"/>
      <c r="O3129" s="540"/>
      <c r="R3129" s="490" t="str">
        <f t="shared" si="228"/>
        <v>DELETE</v>
      </c>
      <c r="T3129" s="498"/>
    </row>
    <row r="3130" spans="3:20" ht="36" customHeight="1" x14ac:dyDescent="0.45">
      <c r="C3130" s="575"/>
      <c r="D3130" s="615" t="str">
        <f>CONCATENATE("T/A ",Criteria!E14)</f>
        <v>T/A ABC RESTAURANT</v>
      </c>
      <c r="E3130" s="616"/>
      <c r="F3130" s="616"/>
      <c r="G3130" s="616"/>
      <c r="H3130" s="616"/>
      <c r="I3130" s="616"/>
      <c r="J3130" s="645"/>
      <c r="K3130" s="450"/>
      <c r="L3130" s="450"/>
      <c r="M3130" s="458"/>
      <c r="N3130" s="458"/>
      <c r="O3130" s="458"/>
      <c r="P3130" s="454"/>
      <c r="R3130" s="490" t="str">
        <f t="shared" si="228"/>
        <v>DELETE</v>
      </c>
      <c r="T3130" s="498"/>
    </row>
    <row r="3131" spans="3:20" ht="36" customHeight="1" x14ac:dyDescent="0.45">
      <c r="C3131" s="575"/>
      <c r="D3131" s="616"/>
      <c r="E3131" s="616"/>
      <c r="F3131" s="616"/>
      <c r="G3131" s="616"/>
      <c r="H3131" s="616"/>
      <c r="I3131" s="616"/>
      <c r="J3131" s="645"/>
      <c r="K3131" s="450"/>
      <c r="L3131" s="450"/>
      <c r="M3131" s="458"/>
      <c r="N3131" s="458"/>
      <c r="O3131" s="458"/>
      <c r="P3131" s="454"/>
      <c r="R3131" s="490" t="str">
        <f t="shared" si="228"/>
        <v>DELETE</v>
      </c>
      <c r="T3131" s="498"/>
    </row>
    <row r="3132" spans="3:20" ht="36" customHeight="1" x14ac:dyDescent="0.45">
      <c r="C3132" s="575"/>
      <c r="D3132" s="615" t="s">
        <v>109</v>
      </c>
      <c r="E3132" s="616"/>
      <c r="F3132" s="616"/>
      <c r="G3132" s="616"/>
      <c r="H3132" s="616"/>
      <c r="I3132" s="616"/>
      <c r="J3132" s="645"/>
      <c r="K3132" s="450"/>
      <c r="L3132" s="450"/>
      <c r="M3132" s="458"/>
      <c r="N3132" s="458"/>
      <c r="O3132" s="458"/>
      <c r="P3132" s="454"/>
      <c r="R3132" s="490" t="str">
        <f t="shared" si="228"/>
        <v>DELETE</v>
      </c>
      <c r="T3132" s="498"/>
    </row>
    <row r="3133" spans="3:20" ht="36" customHeight="1" x14ac:dyDescent="0.45">
      <c r="C3133" s="575"/>
      <c r="D3133" s="615" t="str">
        <f>D3049</f>
        <v>28 FEBRUARY 2026</v>
      </c>
      <c r="E3133" s="616"/>
      <c r="F3133" s="616"/>
      <c r="G3133" s="616"/>
      <c r="H3133" s="616"/>
      <c r="I3133" s="616"/>
      <c r="J3133" s="616" t="s">
        <v>118</v>
      </c>
      <c r="K3133" s="450"/>
      <c r="L3133" s="450"/>
      <c r="M3133" s="458"/>
      <c r="N3133" s="458"/>
      <c r="O3133" s="458"/>
      <c r="P3133" s="454"/>
      <c r="R3133" s="490" t="str">
        <f t="shared" si="228"/>
        <v>DELETE</v>
      </c>
      <c r="T3133" s="498"/>
    </row>
    <row r="3134" spans="3:20" ht="36" customHeight="1" x14ac:dyDescent="0.45">
      <c r="C3134" s="575"/>
      <c r="D3134" s="616"/>
      <c r="E3134" s="616"/>
      <c r="F3134" s="616"/>
      <c r="G3134" s="616"/>
      <c r="H3134" s="616"/>
      <c r="I3134" s="616"/>
      <c r="J3134" s="645"/>
      <c r="K3134" s="467"/>
      <c r="L3134" s="467"/>
      <c r="M3134" s="461"/>
      <c r="N3134" s="461"/>
      <c r="O3134" s="461"/>
      <c r="P3134" s="454"/>
      <c r="R3134" s="490" t="str">
        <f t="shared" si="228"/>
        <v>DELETE</v>
      </c>
      <c r="T3134" s="498"/>
    </row>
    <row r="3135" spans="3:20" ht="36" customHeight="1" x14ac:dyDescent="0.45">
      <c r="C3135" s="575"/>
      <c r="D3135" s="634"/>
      <c r="E3135" s="634"/>
      <c r="F3135" s="634"/>
      <c r="G3135" s="634"/>
      <c r="H3135" s="634"/>
      <c r="I3135" s="634"/>
      <c r="J3135" s="647"/>
      <c r="M3135" s="541"/>
      <c r="N3135" s="541"/>
      <c r="O3135" s="541"/>
      <c r="P3135" s="486"/>
      <c r="Q3135" s="457"/>
      <c r="R3135" s="490" t="str">
        <f t="shared" si="228"/>
        <v>DELETE</v>
      </c>
      <c r="T3135" s="498"/>
    </row>
    <row r="3136" spans="3:20" ht="36" customHeight="1" x14ac:dyDescent="0.45">
      <c r="C3136" s="575"/>
      <c r="D3136" s="616"/>
      <c r="E3136" s="616"/>
      <c r="F3136" s="616"/>
      <c r="G3136" s="616"/>
      <c r="H3136" s="616"/>
      <c r="I3136" s="616"/>
      <c r="J3136" s="645"/>
      <c r="K3136" s="450" t="s">
        <v>1494</v>
      </c>
      <c r="L3136" s="450"/>
      <c r="M3136" s="448"/>
      <c r="N3136" s="453"/>
      <c r="O3136" s="453">
        <f>Criteria!E22</f>
        <v>2026</v>
      </c>
      <c r="P3136" s="454"/>
      <c r="R3136" s="490" t="str">
        <f t="shared" si="228"/>
        <v>DELETE</v>
      </c>
      <c r="T3136" s="498"/>
    </row>
    <row r="3137" spans="3:22" ht="36" customHeight="1" x14ac:dyDescent="0.45">
      <c r="C3137" s="575"/>
      <c r="D3137" s="616"/>
      <c r="E3137" s="616"/>
      <c r="F3137" s="616"/>
      <c r="G3137" s="616"/>
      <c r="H3137" s="616"/>
      <c r="I3137" s="616"/>
      <c r="J3137" s="645"/>
      <c r="K3137" s="450"/>
      <c r="L3137" s="450"/>
      <c r="M3137" s="458"/>
      <c r="N3137" s="458"/>
      <c r="O3137" s="458"/>
      <c r="P3137" s="454"/>
      <c r="R3137" s="490" t="str">
        <f t="shared" si="228"/>
        <v>DELETE</v>
      </c>
      <c r="T3137" s="498"/>
    </row>
    <row r="3138" spans="3:22" ht="36" customHeight="1" x14ac:dyDescent="0.45">
      <c r="D3138" s="637" t="str">
        <f>IF(O3138&lt;0,"Operating loss","Operating profit")</f>
        <v>Operating profit</v>
      </c>
      <c r="E3138" s="616"/>
      <c r="F3138" s="616"/>
      <c r="G3138" s="616"/>
      <c r="H3138" s="616"/>
      <c r="I3138" s="616"/>
      <c r="J3138" s="645"/>
      <c r="K3138" s="450"/>
      <c r="L3138" s="451"/>
      <c r="M3138" s="448"/>
      <c r="N3138" s="450"/>
      <c r="O3138" s="458">
        <f>SUM(S3054:S3119)</f>
        <v>0</v>
      </c>
      <c r="P3138" s="454"/>
      <c r="R3138" s="490" t="str">
        <f t="shared" si="228"/>
        <v>DELETE</v>
      </c>
      <c r="T3138" s="498"/>
      <c r="U3138" s="491" t="b">
        <f>O3138=O3122</f>
        <v>1</v>
      </c>
    </row>
    <row r="3139" spans="3:22" ht="36" customHeight="1" x14ac:dyDescent="0.45">
      <c r="C3139" s="575"/>
      <c r="D3139" s="616"/>
      <c r="E3139" s="616" t="s">
        <v>290</v>
      </c>
      <c r="F3139" s="616"/>
      <c r="G3139" s="616"/>
      <c r="H3139" s="616"/>
      <c r="I3139" s="616"/>
      <c r="J3139" s="645"/>
      <c r="K3139" s="450"/>
      <c r="L3139" s="451"/>
      <c r="M3139" s="448"/>
      <c r="N3139" s="450"/>
      <c r="O3139" s="458"/>
      <c r="P3139" s="454"/>
      <c r="R3139" s="490" t="str">
        <f t="shared" si="228"/>
        <v>DELETE</v>
      </c>
      <c r="T3139" s="498"/>
    </row>
    <row r="3140" spans="3:22" ht="36" customHeight="1" x14ac:dyDescent="0.45">
      <c r="C3140" s="575"/>
      <c r="D3140" s="616"/>
      <c r="E3140" s="616"/>
      <c r="F3140" s="616"/>
      <c r="G3140" s="616"/>
      <c r="H3140" s="616"/>
      <c r="I3140" s="616"/>
      <c r="J3140" s="645"/>
      <c r="K3140" s="450"/>
      <c r="L3140" s="451"/>
      <c r="M3140" s="448"/>
      <c r="N3140" s="450"/>
      <c r="O3140" s="458"/>
      <c r="P3140" s="454"/>
      <c r="R3140" s="490" t="str">
        <f t="shared" si="228"/>
        <v>DELETE</v>
      </c>
      <c r="T3140" s="498"/>
    </row>
    <row r="3141" spans="3:22" ht="36" customHeight="1" x14ac:dyDescent="0.45">
      <c r="D3141" s="615" t="s">
        <v>1533</v>
      </c>
      <c r="E3141" s="616"/>
      <c r="F3141" s="616"/>
      <c r="G3141" s="616"/>
      <c r="H3141" s="616"/>
      <c r="I3141" s="616"/>
      <c r="J3141" s="645"/>
      <c r="K3141" s="450"/>
      <c r="L3141" s="451"/>
      <c r="M3141" s="448"/>
      <c r="N3141" s="450"/>
      <c r="O3141" s="458">
        <f>SUM(O3144:O3177)</f>
        <v>0</v>
      </c>
      <c r="P3141" s="454"/>
      <c r="R3141" s="490" t="str">
        <f t="shared" ref="R3141" si="229">IF(R$3042="DELETE","DELETE",IF(O3141=0,"DELETE"," "))</f>
        <v>DELETE</v>
      </c>
      <c r="S3141" s="495">
        <f>-O3141</f>
        <v>0</v>
      </c>
      <c r="T3141" s="498"/>
      <c r="U3141" s="495"/>
      <c r="V3141" s="495"/>
    </row>
    <row r="3142" spans="3:22" ht="9" customHeight="1" x14ac:dyDescent="0.45">
      <c r="C3142" s="575"/>
      <c r="D3142" s="616"/>
      <c r="E3142" s="616"/>
      <c r="F3142" s="616"/>
      <c r="G3142" s="616"/>
      <c r="H3142" s="616"/>
      <c r="I3142" s="616"/>
      <c r="J3142" s="645"/>
      <c r="K3142" s="450"/>
      <c r="L3142" s="451"/>
      <c r="M3142" s="448"/>
      <c r="N3142" s="450"/>
      <c r="O3142" s="458"/>
      <c r="P3142" s="454"/>
      <c r="R3142" s="490" t="str">
        <f>R3141</f>
        <v>DELETE</v>
      </c>
      <c r="T3142" s="498"/>
    </row>
    <row r="3143" spans="3:22" ht="9" customHeight="1" x14ac:dyDescent="0.45">
      <c r="C3143" s="575"/>
      <c r="D3143" s="616"/>
      <c r="E3143" s="616"/>
      <c r="F3143" s="616"/>
      <c r="G3143" s="616"/>
      <c r="H3143" s="616"/>
      <c r="I3143" s="616"/>
      <c r="J3143" s="645"/>
      <c r="K3143" s="450"/>
      <c r="L3143" s="451"/>
      <c r="M3143" s="448"/>
      <c r="N3143" s="450"/>
      <c r="O3143" s="587"/>
      <c r="P3143" s="454"/>
      <c r="R3143" s="490" t="str">
        <f>R3142</f>
        <v>DELETE</v>
      </c>
      <c r="T3143" s="498"/>
    </row>
    <row r="3144" spans="3:22" ht="36" customHeight="1" x14ac:dyDescent="0.45">
      <c r="C3144" s="575"/>
      <c r="D3144" s="616" t="s">
        <v>233</v>
      </c>
      <c r="E3144" s="616"/>
      <c r="F3144" s="616"/>
      <c r="G3144" s="616"/>
      <c r="H3144" s="616"/>
      <c r="I3144" s="616"/>
      <c r="J3144" s="645"/>
      <c r="K3144" s="450"/>
      <c r="L3144" s="451"/>
      <c r="M3144" s="448"/>
      <c r="N3144" s="450"/>
      <c r="O3144" s="588">
        <f>SUM(TrialBalanceA!I99:I102)</f>
        <v>0</v>
      </c>
      <c r="P3144" s="454"/>
      <c r="R3144" s="490" t="str">
        <f t="shared" ref="R3144:R3175" si="230">IF(R$3042="DELETE","DELETE",IF(O3144=0,"DELETE"," "))</f>
        <v>DELETE</v>
      </c>
      <c r="T3144" s="498"/>
    </row>
    <row r="3145" spans="3:22" ht="36" customHeight="1" x14ac:dyDescent="0.45">
      <c r="C3145" s="575"/>
      <c r="D3145" s="616" t="s">
        <v>235</v>
      </c>
      <c r="E3145" s="616"/>
      <c r="F3145" s="616"/>
      <c r="G3145" s="616"/>
      <c r="H3145" s="616"/>
      <c r="I3145" s="616"/>
      <c r="J3145" s="645"/>
      <c r="K3145" s="450"/>
      <c r="L3145" s="451"/>
      <c r="M3145" s="448"/>
      <c r="N3145" s="450"/>
      <c r="O3145" s="588">
        <f>TrialBalanceA!I103</f>
        <v>0</v>
      </c>
      <c r="P3145" s="454"/>
      <c r="R3145" s="490" t="str">
        <f t="shared" si="230"/>
        <v>DELETE</v>
      </c>
      <c r="T3145" s="498"/>
    </row>
    <row r="3146" spans="3:22" ht="36" customHeight="1" x14ac:dyDescent="0.45">
      <c r="C3146" s="575"/>
      <c r="D3146" s="616" t="s">
        <v>237</v>
      </c>
      <c r="E3146" s="616"/>
      <c r="F3146" s="616"/>
      <c r="G3146" s="616"/>
      <c r="H3146" s="616"/>
      <c r="I3146" s="616"/>
      <c r="J3146" s="645"/>
      <c r="K3146" s="450"/>
      <c r="L3146" s="451"/>
      <c r="M3146" s="448"/>
      <c r="N3146" s="450"/>
      <c r="O3146" s="588">
        <f>TrialBalanceA!I104</f>
        <v>0</v>
      </c>
      <c r="P3146" s="454"/>
      <c r="R3146" s="490" t="str">
        <f t="shared" si="230"/>
        <v>DELETE</v>
      </c>
      <c r="T3146" s="498"/>
    </row>
    <row r="3147" spans="3:22" ht="36" customHeight="1" x14ac:dyDescent="0.45">
      <c r="C3147" s="575"/>
      <c r="D3147" s="616" t="s">
        <v>291</v>
      </c>
      <c r="E3147" s="616"/>
      <c r="F3147" s="616"/>
      <c r="G3147" s="616"/>
      <c r="H3147" s="616"/>
      <c r="I3147" s="616"/>
      <c r="J3147" s="645"/>
      <c r="K3147" s="450"/>
      <c r="L3147" s="451"/>
      <c r="M3147" s="448"/>
      <c r="N3147" s="450"/>
      <c r="O3147" s="588">
        <f>TrialBalanceA!I105</f>
        <v>0</v>
      </c>
      <c r="P3147" s="454"/>
      <c r="R3147" s="490" t="str">
        <f t="shared" si="230"/>
        <v>DELETE</v>
      </c>
      <c r="T3147" s="498"/>
    </row>
    <row r="3148" spans="3:22" ht="36" customHeight="1" x14ac:dyDescent="0.45">
      <c r="C3148" s="575"/>
      <c r="D3148" s="616" t="s">
        <v>240</v>
      </c>
      <c r="E3148" s="616"/>
      <c r="F3148" s="616"/>
      <c r="G3148" s="616"/>
      <c r="H3148" s="616"/>
      <c r="I3148" s="616"/>
      <c r="J3148" s="645"/>
      <c r="K3148" s="450"/>
      <c r="L3148" s="451"/>
      <c r="M3148" s="448"/>
      <c r="N3148" s="450"/>
      <c r="O3148" s="588">
        <f>TrialBalanceA!I106</f>
        <v>0</v>
      </c>
      <c r="P3148" s="454"/>
      <c r="R3148" s="490" t="str">
        <f t="shared" si="230"/>
        <v>DELETE</v>
      </c>
      <c r="T3148" s="498"/>
    </row>
    <row r="3149" spans="3:22" ht="36" customHeight="1" x14ac:dyDescent="0.45">
      <c r="C3149" s="575"/>
      <c r="D3149" s="616" t="s">
        <v>873</v>
      </c>
      <c r="E3149" s="616"/>
      <c r="F3149" s="616"/>
      <c r="G3149" s="616"/>
      <c r="H3149" s="616"/>
      <c r="I3149" s="616"/>
      <c r="J3149" s="645"/>
      <c r="K3149" s="450"/>
      <c r="L3149" s="451"/>
      <c r="M3149" s="448"/>
      <c r="N3149" s="450"/>
      <c r="O3149" s="588">
        <f>TrialBalanceA!I107</f>
        <v>0</v>
      </c>
      <c r="P3149" s="454"/>
      <c r="R3149" s="490" t="str">
        <f t="shared" si="230"/>
        <v>DELETE</v>
      </c>
      <c r="T3149" s="498"/>
    </row>
    <row r="3150" spans="3:22" ht="36" customHeight="1" x14ac:dyDescent="0.45">
      <c r="C3150" s="575"/>
      <c r="D3150" s="616" t="s">
        <v>1759</v>
      </c>
      <c r="E3150" s="616"/>
      <c r="F3150" s="616"/>
      <c r="G3150" s="616"/>
      <c r="H3150" s="616"/>
      <c r="I3150" s="616"/>
      <c r="J3150" s="645"/>
      <c r="K3150" s="450"/>
      <c r="L3150" s="451"/>
      <c r="M3150" s="448"/>
      <c r="N3150" s="450"/>
      <c r="O3150" s="588">
        <f>TrialBalanceA!I108</f>
        <v>0</v>
      </c>
      <c r="P3150" s="454"/>
      <c r="R3150" s="490" t="str">
        <f t="shared" ref="R3150" si="231">IF(R$3042="DELETE","DELETE",IF(O3150=0,"DELETE"," "))</f>
        <v>DELETE</v>
      </c>
      <c r="T3150" s="498"/>
    </row>
    <row r="3151" spans="3:22" ht="36" customHeight="1" x14ac:dyDescent="0.45">
      <c r="C3151" s="575"/>
      <c r="D3151" s="616" t="s">
        <v>304</v>
      </c>
      <c r="E3151" s="616"/>
      <c r="F3151" s="616"/>
      <c r="G3151" s="616"/>
      <c r="H3151" s="616"/>
      <c r="I3151" s="616"/>
      <c r="J3151" s="645"/>
      <c r="K3151" s="450">
        <f>B$1212</f>
        <v>4</v>
      </c>
      <c r="L3151" s="451"/>
      <c r="M3151" s="448"/>
      <c r="N3151" s="450"/>
      <c r="O3151" s="588">
        <f>SUM(TrialBalanceA!I110:I111)</f>
        <v>0</v>
      </c>
      <c r="P3151" s="454"/>
      <c r="R3151" s="490" t="str">
        <f t="shared" si="230"/>
        <v>DELETE</v>
      </c>
      <c r="T3151" s="498"/>
    </row>
    <row r="3152" spans="3:22" ht="36" customHeight="1" x14ac:dyDescent="0.45">
      <c r="C3152" s="575"/>
      <c r="D3152" s="616" t="str">
        <f>IF(MAX(Criteria!I41:I45)&gt;1,"Directors' remuneration","Director's remuneration")</f>
        <v>Directors' remuneration</v>
      </c>
      <c r="E3152" s="616"/>
      <c r="F3152" s="616"/>
      <c r="G3152" s="616"/>
      <c r="H3152" s="616"/>
      <c r="I3152" s="616"/>
      <c r="J3152" s="645"/>
      <c r="K3152" s="450">
        <f>B$1212</f>
        <v>4</v>
      </c>
      <c r="L3152" s="451"/>
      <c r="M3152" s="448"/>
      <c r="N3152" s="450"/>
      <c r="O3152" s="588">
        <f>SUM(TrialBalanceA!I113:I117)</f>
        <v>0</v>
      </c>
      <c r="P3152" s="454"/>
      <c r="R3152" s="490" t="str">
        <f t="shared" si="230"/>
        <v>DELETE</v>
      </c>
      <c r="T3152" s="498"/>
    </row>
    <row r="3153" spans="3:20" ht="36" customHeight="1" x14ac:dyDescent="0.45">
      <c r="C3153" s="575"/>
      <c r="D3153" s="616" t="s">
        <v>292</v>
      </c>
      <c r="E3153" s="616"/>
      <c r="F3153" s="616"/>
      <c r="G3153" s="616"/>
      <c r="H3153" s="616"/>
      <c r="I3153" s="616"/>
      <c r="J3153" s="645"/>
      <c r="K3153" s="450"/>
      <c r="L3153" s="451"/>
      <c r="M3153" s="448"/>
      <c r="N3153" s="450"/>
      <c r="O3153" s="588">
        <f>TrialBalanceA!I118</f>
        <v>0</v>
      </c>
      <c r="P3153" s="454"/>
      <c r="R3153" s="490" t="str">
        <f t="shared" si="230"/>
        <v>DELETE</v>
      </c>
      <c r="T3153" s="498"/>
    </row>
    <row r="3154" spans="3:20" ht="36" customHeight="1" x14ac:dyDescent="0.45">
      <c r="C3154" s="575"/>
      <c r="D3154" s="616" t="s">
        <v>408</v>
      </c>
      <c r="E3154" s="616"/>
      <c r="F3154" s="616"/>
      <c r="G3154" s="616"/>
      <c r="H3154" s="616"/>
      <c r="I3154" s="616"/>
      <c r="J3154" s="645"/>
      <c r="K3154" s="450"/>
      <c r="L3154" s="451"/>
      <c r="M3154" s="448"/>
      <c r="N3154" s="450"/>
      <c r="O3154" s="588">
        <f>TrialBalanceA!I119</f>
        <v>0</v>
      </c>
      <c r="P3154" s="454"/>
      <c r="R3154" s="490" t="str">
        <f t="shared" si="230"/>
        <v>DELETE</v>
      </c>
      <c r="T3154" s="498"/>
    </row>
    <row r="3155" spans="3:20" ht="36" customHeight="1" x14ac:dyDescent="0.45">
      <c r="C3155" s="575"/>
      <c r="D3155" s="616" t="s">
        <v>357</v>
      </c>
      <c r="E3155" s="616"/>
      <c r="F3155" s="616"/>
      <c r="G3155" s="616"/>
      <c r="H3155" s="616"/>
      <c r="I3155" s="616"/>
      <c r="J3155" s="645"/>
      <c r="K3155" s="450"/>
      <c r="L3155" s="451"/>
      <c r="M3155" s="448"/>
      <c r="N3155" s="450"/>
      <c r="O3155" s="588">
        <f>TrialBalanceA!I120</f>
        <v>0</v>
      </c>
      <c r="P3155" s="454"/>
      <c r="R3155" s="490" t="str">
        <f t="shared" si="230"/>
        <v>DELETE</v>
      </c>
      <c r="T3155" s="498"/>
    </row>
    <row r="3156" spans="3:20" ht="36" customHeight="1" x14ac:dyDescent="0.45">
      <c r="C3156" s="575"/>
      <c r="D3156" s="616" t="s">
        <v>410</v>
      </c>
      <c r="E3156" s="616"/>
      <c r="F3156" s="616"/>
      <c r="G3156" s="616"/>
      <c r="H3156" s="616"/>
      <c r="I3156" s="616"/>
      <c r="J3156" s="645"/>
      <c r="K3156" s="450"/>
      <c r="L3156" s="451"/>
      <c r="M3156" s="448"/>
      <c r="N3156" s="450"/>
      <c r="O3156" s="588">
        <f>TrialBalanceA!I121</f>
        <v>0</v>
      </c>
      <c r="P3156" s="454"/>
      <c r="R3156" s="490" t="str">
        <f t="shared" si="230"/>
        <v>DELETE</v>
      </c>
      <c r="T3156" s="498"/>
    </row>
    <row r="3157" spans="3:20" ht="36" customHeight="1" x14ac:dyDescent="0.45">
      <c r="C3157" s="575"/>
      <c r="D3157" s="616" t="s">
        <v>1256</v>
      </c>
      <c r="E3157" s="616"/>
      <c r="F3157" s="616"/>
      <c r="G3157" s="616"/>
      <c r="H3157" s="616"/>
      <c r="I3157" s="616"/>
      <c r="J3157" s="645"/>
      <c r="K3157" s="450"/>
      <c r="L3157" s="451"/>
      <c r="M3157" s="448"/>
      <c r="N3157" s="450"/>
      <c r="O3157" s="588">
        <f>TrialBalanceA!I156</f>
        <v>0</v>
      </c>
      <c r="P3157" s="454"/>
      <c r="R3157" s="490" t="str">
        <f t="shared" si="230"/>
        <v>DELETE</v>
      </c>
      <c r="T3157" s="498"/>
    </row>
    <row r="3158" spans="3:20" ht="36" customHeight="1" x14ac:dyDescent="0.45">
      <c r="C3158" s="575"/>
      <c r="D3158" s="616" t="s">
        <v>561</v>
      </c>
      <c r="E3158" s="616"/>
      <c r="F3158" s="616"/>
      <c r="G3158" s="616"/>
      <c r="H3158" s="616"/>
      <c r="I3158" s="616"/>
      <c r="J3158" s="645"/>
      <c r="K3158" s="450"/>
      <c r="L3158" s="451"/>
      <c r="M3158" s="448"/>
      <c r="N3158" s="450"/>
      <c r="O3158" s="588">
        <f>TrialBalanceA!I122+TrialBalanceA!I123</f>
        <v>0</v>
      </c>
      <c r="P3158" s="454"/>
      <c r="R3158" s="490" t="str">
        <f t="shared" si="230"/>
        <v>DELETE</v>
      </c>
      <c r="T3158" s="498"/>
    </row>
    <row r="3159" spans="3:20" ht="36" customHeight="1" x14ac:dyDescent="0.45">
      <c r="C3159" s="575"/>
      <c r="D3159" s="616" t="s">
        <v>588</v>
      </c>
      <c r="E3159" s="616"/>
      <c r="F3159" s="616"/>
      <c r="G3159" s="616"/>
      <c r="H3159" s="616"/>
      <c r="I3159" s="616"/>
      <c r="J3159" s="645"/>
      <c r="K3159" s="450"/>
      <c r="L3159" s="451"/>
      <c r="M3159" s="448"/>
      <c r="N3159" s="450"/>
      <c r="O3159" s="588">
        <f>IF(TrialBalanceA!I94&gt;0,TrialBalanceA!I94,0)</f>
        <v>0</v>
      </c>
      <c r="P3159" s="454"/>
      <c r="R3159" s="490" t="str">
        <f t="shared" si="230"/>
        <v>DELETE</v>
      </c>
      <c r="T3159" s="498"/>
    </row>
    <row r="3160" spans="3:20" ht="36" customHeight="1" x14ac:dyDescent="0.45">
      <c r="C3160" s="575"/>
      <c r="D3160" s="616" t="s">
        <v>874</v>
      </c>
      <c r="E3160" s="616"/>
      <c r="F3160" s="616"/>
      <c r="G3160" s="616"/>
      <c r="H3160" s="616"/>
      <c r="I3160" s="616"/>
      <c r="J3160" s="645"/>
      <c r="K3160" s="450"/>
      <c r="L3160" s="451"/>
      <c r="M3160" s="448"/>
      <c r="N3160" s="450"/>
      <c r="O3160" s="588">
        <f>TrialBalanceA!I124</f>
        <v>0</v>
      </c>
      <c r="P3160" s="454"/>
      <c r="R3160" s="490" t="str">
        <f t="shared" si="230"/>
        <v>DELETE</v>
      </c>
      <c r="T3160" s="498"/>
    </row>
    <row r="3161" spans="3:20" ht="36" customHeight="1" x14ac:dyDescent="0.45">
      <c r="C3161" s="575"/>
      <c r="D3161" s="616" t="s">
        <v>293</v>
      </c>
      <c r="E3161" s="616"/>
      <c r="F3161" s="616"/>
      <c r="G3161" s="616"/>
      <c r="H3161" s="616"/>
      <c r="I3161" s="616"/>
      <c r="J3161" s="645"/>
      <c r="K3161" s="450"/>
      <c r="L3161" s="451"/>
      <c r="M3161" s="448"/>
      <c r="N3161" s="450"/>
      <c r="O3161" s="588">
        <f>TrialBalanceA!I125</f>
        <v>0</v>
      </c>
      <c r="P3161" s="454"/>
      <c r="R3161" s="490" t="str">
        <f t="shared" si="230"/>
        <v>DELETE</v>
      </c>
      <c r="T3161" s="498"/>
    </row>
    <row r="3162" spans="3:20" ht="36" customHeight="1" x14ac:dyDescent="0.45">
      <c r="C3162" s="575"/>
      <c r="D3162" s="616" t="s">
        <v>286</v>
      </c>
      <c r="E3162" s="616"/>
      <c r="F3162" s="616"/>
      <c r="G3162" s="616"/>
      <c r="H3162" s="616"/>
      <c r="I3162" s="616"/>
      <c r="J3162" s="645"/>
      <c r="K3162" s="450"/>
      <c r="L3162" s="451"/>
      <c r="M3162" s="448"/>
      <c r="N3162" s="450"/>
      <c r="O3162" s="588">
        <f>SUM(TrialBalanceA!I126:I127)</f>
        <v>0</v>
      </c>
      <c r="P3162" s="454"/>
      <c r="R3162" s="490" t="str">
        <f t="shared" si="230"/>
        <v>DELETE</v>
      </c>
      <c r="T3162" s="498"/>
    </row>
    <row r="3163" spans="3:20" ht="36" customHeight="1" x14ac:dyDescent="0.45">
      <c r="C3163" s="575"/>
      <c r="D3163" s="616" t="s">
        <v>294</v>
      </c>
      <c r="E3163" s="616"/>
      <c r="F3163" s="616"/>
      <c r="G3163" s="616"/>
      <c r="H3163" s="616"/>
      <c r="I3163" s="616"/>
      <c r="J3163" s="645"/>
      <c r="K3163" s="450"/>
      <c r="L3163" s="451"/>
      <c r="M3163" s="448"/>
      <c r="N3163" s="450"/>
      <c r="O3163" s="588">
        <f>TrialBalanceA!I128</f>
        <v>0</v>
      </c>
      <c r="P3163" s="454"/>
      <c r="R3163" s="490" t="str">
        <f t="shared" si="230"/>
        <v>DELETE</v>
      </c>
      <c r="T3163" s="498"/>
    </row>
    <row r="3164" spans="3:20" ht="36" customHeight="1" x14ac:dyDescent="0.45">
      <c r="C3164" s="575"/>
      <c r="D3164" s="616" t="s">
        <v>875</v>
      </c>
      <c r="E3164" s="616"/>
      <c r="F3164" s="616"/>
      <c r="G3164" s="616"/>
      <c r="H3164" s="616"/>
      <c r="I3164" s="616"/>
      <c r="J3164" s="645"/>
      <c r="K3164" s="450"/>
      <c r="L3164" s="451"/>
      <c r="M3164" s="448"/>
      <c r="N3164" s="450"/>
      <c r="O3164" s="588">
        <f>TrialBalanceA!I129</f>
        <v>0</v>
      </c>
      <c r="P3164" s="454"/>
      <c r="R3164" s="490" t="str">
        <f t="shared" si="230"/>
        <v>DELETE</v>
      </c>
      <c r="T3164" s="498"/>
    </row>
    <row r="3165" spans="3:20" ht="36" customHeight="1" x14ac:dyDescent="0.45">
      <c r="C3165" s="575"/>
      <c r="D3165" s="616" t="s">
        <v>94</v>
      </c>
      <c r="E3165" s="616"/>
      <c r="F3165" s="616"/>
      <c r="G3165" s="616"/>
      <c r="H3165" s="616"/>
      <c r="I3165" s="616"/>
      <c r="J3165" s="645"/>
      <c r="K3165" s="450"/>
      <c r="L3165" s="451"/>
      <c r="M3165" s="448"/>
      <c r="N3165" s="450"/>
      <c r="O3165" s="588">
        <f>TrialBalanceA!I130</f>
        <v>0</v>
      </c>
      <c r="P3165" s="454"/>
      <c r="R3165" s="490" t="str">
        <f t="shared" si="230"/>
        <v>DELETE</v>
      </c>
      <c r="T3165" s="498"/>
    </row>
    <row r="3166" spans="3:20" ht="36" customHeight="1" x14ac:dyDescent="0.45">
      <c r="C3166" s="575"/>
      <c r="D3166" s="616">
        <f>TrialBalanceA!C131</f>
        <v>0</v>
      </c>
      <c r="E3166" s="616"/>
      <c r="F3166" s="616"/>
      <c r="G3166" s="616"/>
      <c r="H3166" s="616"/>
      <c r="I3166" s="616"/>
      <c r="J3166" s="645"/>
      <c r="K3166" s="450"/>
      <c r="L3166" s="451"/>
      <c r="M3166" s="448"/>
      <c r="N3166" s="450"/>
      <c r="O3166" s="588">
        <f>TrialBalanceA!I131</f>
        <v>0</v>
      </c>
      <c r="P3166" s="454"/>
      <c r="R3166" s="490" t="str">
        <f t="shared" si="230"/>
        <v>DELETE</v>
      </c>
      <c r="T3166" s="498"/>
    </row>
    <row r="3167" spans="3:20" ht="36" customHeight="1" x14ac:dyDescent="0.45">
      <c r="C3167" s="575"/>
      <c r="D3167" s="616">
        <f>TrialBalanceA!C132</f>
        <v>0</v>
      </c>
      <c r="E3167" s="616"/>
      <c r="F3167" s="616"/>
      <c r="G3167" s="616"/>
      <c r="H3167" s="616"/>
      <c r="I3167" s="616"/>
      <c r="J3167" s="645"/>
      <c r="K3167" s="450"/>
      <c r="L3167" s="451"/>
      <c r="M3167" s="448"/>
      <c r="N3167" s="450"/>
      <c r="O3167" s="588">
        <f>TrialBalanceA!I132</f>
        <v>0</v>
      </c>
      <c r="P3167" s="454"/>
      <c r="R3167" s="490" t="str">
        <f t="shared" si="230"/>
        <v>DELETE</v>
      </c>
      <c r="T3167" s="498"/>
    </row>
    <row r="3168" spans="3:20" ht="36" customHeight="1" x14ac:dyDescent="0.45">
      <c r="C3168" s="575"/>
      <c r="D3168" s="616">
        <f>TrialBalanceA!C133</f>
        <v>0</v>
      </c>
      <c r="E3168" s="616"/>
      <c r="F3168" s="616"/>
      <c r="G3168" s="616"/>
      <c r="H3168" s="616"/>
      <c r="I3168" s="616"/>
      <c r="J3168" s="645"/>
      <c r="K3168" s="450"/>
      <c r="L3168" s="451"/>
      <c r="M3168" s="448"/>
      <c r="N3168" s="450"/>
      <c r="O3168" s="588">
        <f>TrialBalanceA!I133</f>
        <v>0</v>
      </c>
      <c r="P3168" s="454"/>
      <c r="R3168" s="490" t="str">
        <f t="shared" si="230"/>
        <v>DELETE</v>
      </c>
      <c r="T3168" s="498"/>
    </row>
    <row r="3169" spans="3:22" ht="36" customHeight="1" x14ac:dyDescent="0.45">
      <c r="C3169" s="575"/>
      <c r="D3169" s="616">
        <f>TrialBalanceA!C134</f>
        <v>0</v>
      </c>
      <c r="E3169" s="616"/>
      <c r="F3169" s="616"/>
      <c r="G3169" s="616"/>
      <c r="H3169" s="616"/>
      <c r="I3169" s="616"/>
      <c r="J3169" s="645"/>
      <c r="K3169" s="450"/>
      <c r="L3169" s="451"/>
      <c r="M3169" s="448"/>
      <c r="N3169" s="450"/>
      <c r="O3169" s="588">
        <f>TrialBalanceA!I134</f>
        <v>0</v>
      </c>
      <c r="P3169" s="454"/>
      <c r="R3169" s="490" t="str">
        <f t="shared" si="230"/>
        <v>DELETE</v>
      </c>
      <c r="T3169" s="498"/>
    </row>
    <row r="3170" spans="3:22" ht="36" customHeight="1" x14ac:dyDescent="0.45">
      <c r="C3170" s="575"/>
      <c r="D3170" s="616">
        <f>TrialBalanceA!C135</f>
        <v>0</v>
      </c>
      <c r="E3170" s="616"/>
      <c r="F3170" s="616"/>
      <c r="G3170" s="616"/>
      <c r="H3170" s="616"/>
      <c r="I3170" s="616"/>
      <c r="J3170" s="645"/>
      <c r="K3170" s="450"/>
      <c r="L3170" s="451"/>
      <c r="M3170" s="448"/>
      <c r="N3170" s="450"/>
      <c r="O3170" s="588">
        <f>TrialBalanceA!I135</f>
        <v>0</v>
      </c>
      <c r="P3170" s="454"/>
      <c r="R3170" s="490" t="str">
        <f t="shared" si="230"/>
        <v>DELETE</v>
      </c>
      <c r="T3170" s="498"/>
    </row>
    <row r="3171" spans="3:22" ht="36" customHeight="1" x14ac:dyDescent="0.45">
      <c r="C3171" s="575"/>
      <c r="D3171" s="616">
        <f>TrialBalanceA!C136</f>
        <v>0</v>
      </c>
      <c r="E3171" s="616"/>
      <c r="F3171" s="616"/>
      <c r="G3171" s="616"/>
      <c r="H3171" s="616"/>
      <c r="I3171" s="616"/>
      <c r="J3171" s="645"/>
      <c r="K3171" s="450"/>
      <c r="L3171" s="451"/>
      <c r="M3171" s="448"/>
      <c r="N3171" s="450"/>
      <c r="O3171" s="588">
        <f>TrialBalanceA!I136</f>
        <v>0</v>
      </c>
      <c r="P3171" s="454"/>
      <c r="R3171" s="490" t="str">
        <f t="shared" si="230"/>
        <v>DELETE</v>
      </c>
      <c r="T3171" s="498"/>
    </row>
    <row r="3172" spans="3:22" ht="36" customHeight="1" x14ac:dyDescent="0.45">
      <c r="C3172" s="575"/>
      <c r="D3172" s="616">
        <f>TrialBalanceA!C137</f>
        <v>0</v>
      </c>
      <c r="E3172" s="616"/>
      <c r="F3172" s="616"/>
      <c r="G3172" s="616"/>
      <c r="H3172" s="616"/>
      <c r="I3172" s="616"/>
      <c r="J3172" s="645"/>
      <c r="K3172" s="450"/>
      <c r="L3172" s="451"/>
      <c r="M3172" s="448"/>
      <c r="N3172" s="450"/>
      <c r="O3172" s="588">
        <f>TrialBalanceA!I137</f>
        <v>0</v>
      </c>
      <c r="P3172" s="454"/>
      <c r="R3172" s="490" t="str">
        <f t="shared" si="230"/>
        <v>DELETE</v>
      </c>
      <c r="T3172" s="498"/>
    </row>
    <row r="3173" spans="3:22" ht="36" customHeight="1" x14ac:dyDescent="0.45">
      <c r="C3173" s="575"/>
      <c r="D3173" s="616">
        <f>TrialBalanceA!C138</f>
        <v>0</v>
      </c>
      <c r="E3173" s="616"/>
      <c r="F3173" s="616"/>
      <c r="G3173" s="616"/>
      <c r="H3173" s="616"/>
      <c r="I3173" s="616"/>
      <c r="J3173" s="645"/>
      <c r="K3173" s="450"/>
      <c r="L3173" s="451"/>
      <c r="M3173" s="448"/>
      <c r="N3173" s="450"/>
      <c r="O3173" s="588">
        <f>TrialBalanceA!I138</f>
        <v>0</v>
      </c>
      <c r="P3173" s="454"/>
      <c r="R3173" s="490" t="str">
        <f t="shared" si="230"/>
        <v>DELETE</v>
      </c>
      <c r="T3173" s="498"/>
    </row>
    <row r="3174" spans="3:22" ht="36" customHeight="1" x14ac:dyDescent="0.45">
      <c r="C3174" s="575"/>
      <c r="D3174" s="616">
        <f>TrialBalanceA!C139</f>
        <v>0</v>
      </c>
      <c r="E3174" s="616"/>
      <c r="F3174" s="616"/>
      <c r="G3174" s="616"/>
      <c r="H3174" s="616"/>
      <c r="I3174" s="616"/>
      <c r="J3174" s="645"/>
      <c r="K3174" s="450"/>
      <c r="L3174" s="451"/>
      <c r="M3174" s="448"/>
      <c r="N3174" s="450"/>
      <c r="O3174" s="588">
        <f>TrialBalanceA!I139</f>
        <v>0</v>
      </c>
      <c r="P3174" s="454"/>
      <c r="R3174" s="490" t="str">
        <f t="shared" si="230"/>
        <v>DELETE</v>
      </c>
      <c r="T3174" s="498"/>
    </row>
    <row r="3175" spans="3:22" ht="36" customHeight="1" x14ac:dyDescent="0.45">
      <c r="C3175" s="575"/>
      <c r="D3175" s="616" t="str">
        <f>TrialBalanceA!C140</f>
        <v>Amortisation of prepaid lease agreement</v>
      </c>
      <c r="E3175" s="616"/>
      <c r="F3175" s="616"/>
      <c r="G3175" s="616"/>
      <c r="H3175" s="616"/>
      <c r="I3175" s="616"/>
      <c r="J3175" s="645"/>
      <c r="K3175" s="450"/>
      <c r="L3175" s="451"/>
      <c r="M3175" s="448"/>
      <c r="N3175" s="450"/>
      <c r="O3175" s="588">
        <f>TrialBalanceA!I140</f>
        <v>0</v>
      </c>
      <c r="P3175" s="454"/>
      <c r="R3175" s="490" t="str">
        <f t="shared" si="230"/>
        <v>DELETE</v>
      </c>
      <c r="T3175" s="498"/>
    </row>
    <row r="3176" spans="3:22" ht="36" customHeight="1" x14ac:dyDescent="0.45">
      <c r="C3176" s="575"/>
      <c r="D3176" s="616" t="str">
        <f>TrialBalanceA!C141</f>
        <v>Amortisation of goodwill</v>
      </c>
      <c r="E3176" s="616"/>
      <c r="F3176" s="616"/>
      <c r="G3176" s="616"/>
      <c r="H3176" s="616"/>
      <c r="I3176" s="616"/>
      <c r="J3176" s="645"/>
      <c r="K3176" s="450"/>
      <c r="L3176" s="451"/>
      <c r="M3176" s="448"/>
      <c r="N3176" s="450"/>
      <c r="O3176" s="588">
        <f>TrialBalanceA!I141</f>
        <v>0</v>
      </c>
      <c r="P3176" s="454"/>
      <c r="R3176" s="490" t="str">
        <f t="shared" ref="R3176" si="232">IF(R$3042="DELETE","DELETE",IF(O3176=0,"DELETE"," "))</f>
        <v>DELETE</v>
      </c>
      <c r="T3176" s="498"/>
    </row>
    <row r="3177" spans="3:22" ht="9" customHeight="1" x14ac:dyDescent="0.45">
      <c r="C3177" s="575"/>
      <c r="D3177" s="616"/>
      <c r="E3177" s="616"/>
      <c r="F3177" s="616"/>
      <c r="G3177" s="616"/>
      <c r="H3177" s="616"/>
      <c r="I3177" s="616"/>
      <c r="J3177" s="645"/>
      <c r="K3177" s="450"/>
      <c r="L3177" s="451"/>
      <c r="M3177" s="448"/>
      <c r="N3177" s="450"/>
      <c r="O3177" s="589"/>
      <c r="P3177" s="454"/>
      <c r="R3177" s="490" t="str">
        <f>R3141</f>
        <v>DELETE</v>
      </c>
      <c r="T3177" s="498"/>
    </row>
    <row r="3178" spans="3:22" ht="9" customHeight="1" x14ac:dyDescent="0.45">
      <c r="C3178" s="575"/>
      <c r="D3178" s="616"/>
      <c r="E3178" s="616"/>
      <c r="F3178" s="616"/>
      <c r="G3178" s="616"/>
      <c r="H3178" s="616"/>
      <c r="I3178" s="616"/>
      <c r="J3178" s="645"/>
      <c r="K3178" s="450"/>
      <c r="L3178" s="451"/>
      <c r="M3178" s="448"/>
      <c r="N3178" s="450"/>
      <c r="O3178" s="461"/>
      <c r="P3178" s="454"/>
      <c r="R3178" s="490" t="str">
        <f>R$3042</f>
        <v>DELETE</v>
      </c>
      <c r="T3178" s="498"/>
    </row>
    <row r="3179" spans="3:22" ht="9" customHeight="1" x14ac:dyDescent="0.45">
      <c r="C3179" s="575"/>
      <c r="D3179" s="616"/>
      <c r="E3179" s="616"/>
      <c r="F3179" s="616"/>
      <c r="G3179" s="616"/>
      <c r="H3179" s="616"/>
      <c r="I3179" s="616"/>
      <c r="J3179" s="645"/>
      <c r="K3179" s="450"/>
      <c r="L3179" s="451"/>
      <c r="M3179" s="448"/>
      <c r="N3179" s="450"/>
      <c r="O3179" s="458"/>
      <c r="P3179" s="454"/>
      <c r="R3179" s="490" t="str">
        <f>R$3042</f>
        <v>DELETE</v>
      </c>
      <c r="T3179" s="498"/>
    </row>
    <row r="3180" spans="3:22" ht="36" customHeight="1" x14ac:dyDescent="0.45">
      <c r="D3180" s="637" t="str">
        <f>IF(O3180&lt;0,"Operating loss for the year","Operating profit for the year")</f>
        <v>Operating profit for the year</v>
      </c>
      <c r="E3180" s="616"/>
      <c r="F3180" s="616"/>
      <c r="G3180" s="616"/>
      <c r="H3180" s="616"/>
      <c r="I3180" s="616"/>
      <c r="J3180" s="645"/>
      <c r="K3180" s="450">
        <f>'FS2'!B1212</f>
        <v>4</v>
      </c>
      <c r="L3180" s="451"/>
      <c r="M3180" s="448"/>
      <c r="N3180" s="450"/>
      <c r="O3180" s="458">
        <f>SUM(S3054:S3177)</f>
        <v>0</v>
      </c>
      <c r="P3180" s="454"/>
      <c r="R3180" s="490" t="str">
        <f>R$3042</f>
        <v>DELETE</v>
      </c>
      <c r="T3180" s="498"/>
    </row>
    <row r="3181" spans="3:22" ht="36" customHeight="1" x14ac:dyDescent="0.45">
      <c r="C3181" s="575"/>
      <c r="D3181" s="616"/>
      <c r="E3181" s="616"/>
      <c r="F3181" s="616"/>
      <c r="G3181" s="616"/>
      <c r="H3181" s="616"/>
      <c r="I3181" s="616"/>
      <c r="J3181" s="645"/>
      <c r="K3181" s="450"/>
      <c r="L3181" s="451"/>
      <c r="M3181" s="448"/>
      <c r="N3181" s="450"/>
      <c r="O3181" s="458"/>
      <c r="P3181" s="454"/>
      <c r="R3181" s="490" t="str">
        <f>R$3042</f>
        <v>DELETE</v>
      </c>
      <c r="T3181" s="498"/>
    </row>
    <row r="3182" spans="3:22" ht="36" customHeight="1" x14ac:dyDescent="0.45">
      <c r="D3182" s="615" t="s">
        <v>225</v>
      </c>
      <c r="E3182" s="616"/>
      <c r="F3182" s="616"/>
      <c r="G3182" s="616"/>
      <c r="H3182" s="616"/>
      <c r="I3182" s="616"/>
      <c r="J3182" s="645"/>
      <c r="K3182" s="450">
        <f>'FS2'!B1325</f>
        <v>5</v>
      </c>
      <c r="L3182" s="451"/>
      <c r="M3182" s="448"/>
      <c r="N3182" s="450"/>
      <c r="O3182" s="458">
        <f>SUM(O3185:O3191)</f>
        <v>0</v>
      </c>
      <c r="P3182" s="454"/>
      <c r="R3182" s="490" t="str">
        <f t="shared" ref="R3182" si="233">IF(R$3042="DELETE","DELETE",IF(O3182=0,"DELETE"," "))</f>
        <v>DELETE</v>
      </c>
      <c r="S3182" s="495">
        <f>O3182</f>
        <v>0</v>
      </c>
      <c r="T3182" s="498"/>
      <c r="U3182" s="495"/>
      <c r="V3182" s="495"/>
    </row>
    <row r="3183" spans="3:22" ht="9" customHeight="1" x14ac:dyDescent="0.45">
      <c r="C3183" s="575"/>
      <c r="D3183" s="616"/>
      <c r="E3183" s="616"/>
      <c r="F3183" s="616"/>
      <c r="G3183" s="616"/>
      <c r="H3183" s="616"/>
      <c r="I3183" s="616"/>
      <c r="J3183" s="645"/>
      <c r="K3183" s="450"/>
      <c r="L3183" s="451"/>
      <c r="M3183" s="448"/>
      <c r="N3183" s="450"/>
      <c r="O3183" s="458"/>
      <c r="P3183" s="454"/>
      <c r="R3183" s="490" t="str">
        <f>R3182</f>
        <v>DELETE</v>
      </c>
      <c r="T3183" s="498"/>
    </row>
    <row r="3184" spans="3:22" ht="9" customHeight="1" x14ac:dyDescent="0.45">
      <c r="C3184" s="575"/>
      <c r="D3184" s="616"/>
      <c r="E3184" s="616"/>
      <c r="F3184" s="616"/>
      <c r="G3184" s="616"/>
      <c r="H3184" s="616"/>
      <c r="I3184" s="616"/>
      <c r="J3184" s="645"/>
      <c r="K3184" s="450"/>
      <c r="L3184" s="451"/>
      <c r="M3184" s="448"/>
      <c r="N3184" s="450"/>
      <c r="O3184" s="587"/>
      <c r="P3184" s="454"/>
      <c r="R3184" s="490" t="str">
        <f>R3183</f>
        <v>DELETE</v>
      </c>
      <c r="T3184" s="498"/>
    </row>
    <row r="3185" spans="3:22" ht="36" customHeight="1" x14ac:dyDescent="0.45">
      <c r="C3185" s="575"/>
      <c r="D3185" s="616" t="s">
        <v>223</v>
      </c>
      <c r="E3185" s="616"/>
      <c r="F3185" s="616"/>
      <c r="G3185" s="616"/>
      <c r="H3185" s="616"/>
      <c r="I3185" s="616"/>
      <c r="J3185" s="645"/>
      <c r="K3185" s="450"/>
      <c r="L3185" s="451"/>
      <c r="M3185" s="448"/>
      <c r="N3185" s="450"/>
      <c r="O3185" s="588">
        <f>-TrialBalanceA!I95</f>
        <v>0</v>
      </c>
      <c r="P3185" s="454"/>
      <c r="R3185" s="490" t="str">
        <f t="shared" ref="R3185:R3190" si="234">IF(R$3042="DELETE","DELETE",IF(O3185=0,"DELETE"," "))</f>
        <v>DELETE</v>
      </c>
      <c r="T3185" s="498"/>
    </row>
    <row r="3186" spans="3:22" ht="36" customHeight="1" x14ac:dyDescent="0.45">
      <c r="C3186" s="575"/>
      <c r="D3186" s="616" t="s">
        <v>567</v>
      </c>
      <c r="E3186" s="616"/>
      <c r="F3186" s="616"/>
      <c r="G3186" s="616"/>
      <c r="H3186" s="616"/>
      <c r="I3186" s="616"/>
      <c r="J3186" s="645"/>
      <c r="K3186" s="450"/>
      <c r="L3186" s="451"/>
      <c r="M3186" s="448"/>
      <c r="N3186" s="450"/>
      <c r="O3186" s="588">
        <f>-SUM(TrialBalanceA!I91:I93)</f>
        <v>0</v>
      </c>
      <c r="P3186" s="454"/>
      <c r="R3186" s="490" t="str">
        <f t="shared" si="234"/>
        <v>DELETE</v>
      </c>
      <c r="T3186" s="498"/>
    </row>
    <row r="3187" spans="3:22" ht="36" customHeight="1" x14ac:dyDescent="0.45">
      <c r="C3187" s="575"/>
      <c r="D3187" s="616" t="s">
        <v>568</v>
      </c>
      <c r="E3187" s="616"/>
      <c r="F3187" s="616"/>
      <c r="G3187" s="616"/>
      <c r="H3187" s="616"/>
      <c r="I3187" s="616"/>
      <c r="J3187" s="645"/>
      <c r="K3187" s="450"/>
      <c r="L3187" s="451"/>
      <c r="M3187" s="448"/>
      <c r="N3187" s="450"/>
      <c r="O3187" s="604">
        <f>-SUM(TrialBalanceA!I86:I89)</f>
        <v>0</v>
      </c>
      <c r="P3187" s="454"/>
      <c r="R3187" s="490" t="str">
        <f t="shared" si="234"/>
        <v>DELETE</v>
      </c>
      <c r="T3187" s="498"/>
    </row>
    <row r="3188" spans="3:22" ht="36" customHeight="1" x14ac:dyDescent="0.45">
      <c r="C3188" s="575"/>
      <c r="D3188" s="616" t="s">
        <v>225</v>
      </c>
      <c r="E3188" s="616"/>
      <c r="F3188" s="616"/>
      <c r="G3188" s="616"/>
      <c r="H3188" s="616"/>
      <c r="I3188" s="616"/>
      <c r="J3188" s="645"/>
      <c r="K3188" s="450"/>
      <c r="L3188" s="451"/>
      <c r="M3188" s="448"/>
      <c r="N3188" s="450"/>
      <c r="O3188" s="604">
        <f>-SUM(TrialBalanceA!I96)</f>
        <v>0</v>
      </c>
      <c r="P3188" s="454"/>
      <c r="R3188" s="490" t="str">
        <f t="shared" si="234"/>
        <v>DELETE</v>
      </c>
      <c r="T3188" s="498"/>
    </row>
    <row r="3189" spans="3:22" ht="36" customHeight="1" x14ac:dyDescent="0.45">
      <c r="C3189" s="575"/>
      <c r="D3189" s="616" t="s">
        <v>589</v>
      </c>
      <c r="E3189" s="616"/>
      <c r="F3189" s="616"/>
      <c r="G3189" s="616"/>
      <c r="H3189" s="616"/>
      <c r="I3189" s="616"/>
      <c r="J3189" s="645"/>
      <c r="K3189" s="450"/>
      <c r="L3189" s="451"/>
      <c r="M3189" s="448"/>
      <c r="N3189" s="450"/>
      <c r="O3189" s="588">
        <f>IF(TrialBalanceA!I94&lt;0,-TrialBalanceA!I94,0)</f>
        <v>0</v>
      </c>
      <c r="P3189" s="454"/>
      <c r="R3189" s="490" t="str">
        <f t="shared" si="234"/>
        <v>DELETE</v>
      </c>
      <c r="T3189" s="498"/>
    </row>
    <row r="3190" spans="3:22" ht="36" customHeight="1" x14ac:dyDescent="0.45">
      <c r="C3190" s="575"/>
      <c r="D3190" s="616" t="s">
        <v>398</v>
      </c>
      <c r="E3190" s="616"/>
      <c r="F3190" s="616"/>
      <c r="G3190" s="616"/>
      <c r="H3190" s="616"/>
      <c r="I3190" s="616"/>
      <c r="J3190" s="645"/>
      <c r="K3190" s="450"/>
      <c r="L3190" s="451"/>
      <c r="M3190" s="448"/>
      <c r="N3190" s="450"/>
      <c r="O3190" s="588">
        <f>-TrialBalanceA!I84</f>
        <v>0</v>
      </c>
      <c r="P3190" s="454"/>
      <c r="R3190" s="490" t="str">
        <f t="shared" si="234"/>
        <v>DELETE</v>
      </c>
      <c r="T3190" s="498"/>
    </row>
    <row r="3191" spans="3:22" ht="9" customHeight="1" x14ac:dyDescent="0.45">
      <c r="C3191" s="575"/>
      <c r="D3191" s="616"/>
      <c r="E3191" s="616"/>
      <c r="F3191" s="616"/>
      <c r="G3191" s="616"/>
      <c r="H3191" s="616"/>
      <c r="I3191" s="616"/>
      <c r="J3191" s="645"/>
      <c r="K3191" s="450"/>
      <c r="L3191" s="451"/>
      <c r="M3191" s="448"/>
      <c r="N3191" s="450"/>
      <c r="O3191" s="589"/>
      <c r="P3191" s="454"/>
      <c r="R3191" s="490" t="str">
        <f>R3182</f>
        <v>DELETE</v>
      </c>
      <c r="T3191" s="498"/>
    </row>
    <row r="3192" spans="3:22" ht="9" customHeight="1" x14ac:dyDescent="0.45">
      <c r="C3192" s="575"/>
      <c r="D3192" s="616"/>
      <c r="E3192" s="616"/>
      <c r="F3192" s="616"/>
      <c r="G3192" s="616"/>
      <c r="H3192" s="616"/>
      <c r="I3192" s="616"/>
      <c r="J3192" s="645"/>
      <c r="K3192" s="450"/>
      <c r="L3192" s="451"/>
      <c r="M3192" s="448"/>
      <c r="N3192" s="450"/>
      <c r="O3192" s="461"/>
      <c r="P3192" s="454"/>
      <c r="R3192" s="490" t="str">
        <f>R$3194</f>
        <v>DELETE</v>
      </c>
      <c r="T3192" s="498"/>
    </row>
    <row r="3193" spans="3:22" ht="9" customHeight="1" x14ac:dyDescent="0.45">
      <c r="C3193" s="575"/>
      <c r="D3193" s="616"/>
      <c r="E3193" s="616"/>
      <c r="F3193" s="616"/>
      <c r="G3193" s="616"/>
      <c r="H3193" s="616"/>
      <c r="I3193" s="616"/>
      <c r="J3193" s="645"/>
      <c r="K3193" s="450"/>
      <c r="L3193" s="451"/>
      <c r="M3193" s="448"/>
      <c r="N3193" s="450"/>
      <c r="O3193" s="458"/>
      <c r="P3193" s="454"/>
      <c r="R3193" s="490" t="str">
        <f>R$3194</f>
        <v>DELETE</v>
      </c>
      <c r="T3193" s="498"/>
    </row>
    <row r="3194" spans="3:22" ht="36" customHeight="1" x14ac:dyDescent="0.45">
      <c r="C3194" s="575"/>
      <c r="D3194" s="616"/>
      <c r="E3194" s="616"/>
      <c r="F3194" s="616"/>
      <c r="G3194" s="616"/>
      <c r="H3194" s="616"/>
      <c r="I3194" s="616"/>
      <c r="J3194" s="645"/>
      <c r="K3194" s="450"/>
      <c r="L3194" s="451"/>
      <c r="M3194" s="448"/>
      <c r="N3194" s="450"/>
      <c r="O3194" s="458">
        <f>SUM(S3054:S3191)</f>
        <v>0</v>
      </c>
      <c r="P3194" s="454"/>
      <c r="R3194" s="490" t="str">
        <f>IF(R$3042="DELETE","DELETE",IF(O3182=0,"DELETE",IF(O3194=O3199,"DELETE"," ")))</f>
        <v>DELETE</v>
      </c>
      <c r="T3194" s="498"/>
    </row>
    <row r="3195" spans="3:22" ht="36" customHeight="1" x14ac:dyDescent="0.45">
      <c r="C3195" s="575"/>
      <c r="D3195" s="616"/>
      <c r="E3195" s="616"/>
      <c r="F3195" s="616"/>
      <c r="G3195" s="616"/>
      <c r="H3195" s="616"/>
      <c r="I3195" s="616"/>
      <c r="J3195" s="645"/>
      <c r="K3195" s="450"/>
      <c r="L3195" s="451"/>
      <c r="M3195" s="448"/>
      <c r="N3195" s="450"/>
      <c r="O3195" s="458"/>
      <c r="P3195" s="454"/>
      <c r="R3195" s="490" t="str">
        <f>R3194</f>
        <v>DELETE</v>
      </c>
      <c r="T3195" s="498"/>
    </row>
    <row r="3196" spans="3:22" ht="36" customHeight="1" x14ac:dyDescent="0.45">
      <c r="D3196" s="616" t="s">
        <v>1534</v>
      </c>
      <c r="E3196" s="616"/>
      <c r="F3196" s="616"/>
      <c r="G3196" s="616"/>
      <c r="H3196" s="616"/>
      <c r="I3196" s="616"/>
      <c r="J3196" s="645"/>
      <c r="K3196" s="450">
        <f>'FS2'!B1384</f>
        <v>6</v>
      </c>
      <c r="L3196" s="451"/>
      <c r="M3196" s="448"/>
      <c r="N3196" s="450"/>
      <c r="O3196" s="458">
        <f>SUM(TrialBalanceA!I144:I154)</f>
        <v>0</v>
      </c>
      <c r="P3196" s="454"/>
      <c r="R3196" s="490" t="str">
        <f t="shared" ref="R3196" si="235">IF(R$3042="DELETE","DELETE",IF(O3196=0,"DELETE"," "))</f>
        <v>DELETE</v>
      </c>
      <c r="S3196" s="495">
        <f>-O3196</f>
        <v>0</v>
      </c>
      <c r="T3196" s="498"/>
      <c r="U3196" s="495"/>
      <c r="V3196" s="495"/>
    </row>
    <row r="3197" spans="3:22" ht="9" customHeight="1" x14ac:dyDescent="0.45">
      <c r="C3197" s="575"/>
      <c r="D3197" s="616"/>
      <c r="E3197" s="616"/>
      <c r="F3197" s="616"/>
      <c r="G3197" s="616"/>
      <c r="H3197" s="616"/>
      <c r="I3197" s="616"/>
      <c r="J3197" s="645"/>
      <c r="K3197" s="450"/>
      <c r="L3197" s="451"/>
      <c r="M3197" s="448"/>
      <c r="N3197" s="450"/>
      <c r="O3197" s="461"/>
      <c r="P3197" s="454"/>
      <c r="R3197" s="490" t="str">
        <f t="shared" ref="R3197:R3205" si="236">R$3042</f>
        <v>DELETE</v>
      </c>
      <c r="T3197" s="498"/>
    </row>
    <row r="3198" spans="3:22" ht="9" customHeight="1" x14ac:dyDescent="0.45">
      <c r="C3198" s="575"/>
      <c r="D3198" s="616"/>
      <c r="E3198" s="616"/>
      <c r="F3198" s="616"/>
      <c r="G3198" s="616"/>
      <c r="H3198" s="616"/>
      <c r="I3198" s="616"/>
      <c r="J3198" s="645"/>
      <c r="K3198" s="450"/>
      <c r="L3198" s="451"/>
      <c r="M3198" s="448"/>
      <c r="N3198" s="450"/>
      <c r="O3198" s="458"/>
      <c r="P3198" s="454"/>
      <c r="R3198" s="490" t="str">
        <f t="shared" si="236"/>
        <v>DELETE</v>
      </c>
      <c r="T3198" s="498"/>
    </row>
    <row r="3199" spans="3:22" ht="36.75" customHeight="1" x14ac:dyDescent="0.45">
      <c r="D3199" s="637" t="str">
        <f>IF(O3199&lt;0,"Net loss before taxation","Net profit before taxation")</f>
        <v>Net profit before taxation</v>
      </c>
      <c r="E3199" s="616"/>
      <c r="F3199" s="616"/>
      <c r="G3199" s="616"/>
      <c r="H3199" s="616"/>
      <c r="I3199" s="616"/>
      <c r="J3199" s="645"/>
      <c r="K3199" s="450"/>
      <c r="L3199" s="451"/>
      <c r="M3199" s="448"/>
      <c r="N3199" s="450"/>
      <c r="O3199" s="458">
        <f>SUM(S3054:S3198)</f>
        <v>0</v>
      </c>
      <c r="P3199" s="454"/>
      <c r="R3199" s="490" t="str">
        <f t="shared" si="236"/>
        <v>DELETE</v>
      </c>
      <c r="T3199" s="498"/>
      <c r="U3199" s="491" t="b">
        <f>O3199='FS2'!O2883</f>
        <v>1</v>
      </c>
    </row>
    <row r="3200" spans="3:22" ht="9" customHeight="1" thickBot="1" x14ac:dyDescent="0.5">
      <c r="C3200" s="575"/>
      <c r="D3200" s="616"/>
      <c r="E3200" s="616"/>
      <c r="F3200" s="616"/>
      <c r="G3200" s="616"/>
      <c r="H3200" s="616"/>
      <c r="I3200" s="616"/>
      <c r="J3200" s="645"/>
      <c r="K3200" s="450"/>
      <c r="L3200" s="451"/>
      <c r="M3200" s="448"/>
      <c r="N3200" s="450"/>
      <c r="O3200" s="462"/>
      <c r="P3200" s="454"/>
      <c r="R3200" s="490" t="str">
        <f t="shared" si="236"/>
        <v>DELETE</v>
      </c>
      <c r="T3200" s="498"/>
    </row>
    <row r="3201" spans="3:22" ht="9" customHeight="1" thickTop="1" x14ac:dyDescent="0.45">
      <c r="C3201" s="575"/>
      <c r="D3201" s="616"/>
      <c r="E3201" s="616"/>
      <c r="F3201" s="616"/>
      <c r="G3201" s="616"/>
      <c r="H3201" s="616"/>
      <c r="I3201" s="616"/>
      <c r="J3201" s="645"/>
      <c r="K3201" s="450"/>
      <c r="L3201" s="451"/>
      <c r="M3201" s="448"/>
      <c r="N3201" s="450"/>
      <c r="O3201" s="475"/>
      <c r="P3201" s="454"/>
      <c r="R3201" s="490" t="str">
        <f t="shared" si="236"/>
        <v>DELETE</v>
      </c>
      <c r="T3201" s="498"/>
    </row>
    <row r="3202" spans="3:22" ht="36" customHeight="1" x14ac:dyDescent="0.45">
      <c r="C3202" s="575"/>
      <c r="D3202" s="616"/>
      <c r="E3202" s="616"/>
      <c r="F3202" s="616"/>
      <c r="G3202" s="616"/>
      <c r="H3202" s="616"/>
      <c r="I3202" s="616"/>
      <c r="J3202" s="645"/>
      <c r="K3202" s="450"/>
      <c r="L3202" s="451"/>
      <c r="M3202" s="448"/>
      <c r="N3202" s="450"/>
      <c r="O3202" s="458"/>
      <c r="P3202" s="454"/>
      <c r="R3202" s="490" t="str">
        <f t="shared" si="236"/>
        <v>DELETE</v>
      </c>
      <c r="T3202" s="498"/>
    </row>
    <row r="3203" spans="3:22" ht="36" customHeight="1" x14ac:dyDescent="0.45">
      <c r="C3203" s="575"/>
      <c r="D3203" s="616"/>
      <c r="E3203" s="616"/>
      <c r="F3203" s="616"/>
      <c r="G3203" s="616"/>
      <c r="H3203" s="616"/>
      <c r="I3203" s="616"/>
      <c r="J3203" s="645"/>
      <c r="K3203" s="450"/>
      <c r="L3203" s="450"/>
      <c r="M3203" s="458"/>
      <c r="N3203" s="458"/>
      <c r="O3203" s="458"/>
      <c r="P3203" s="454"/>
      <c r="R3203" s="490" t="str">
        <f t="shared" si="236"/>
        <v>DELETE</v>
      </c>
      <c r="T3203" s="498"/>
    </row>
    <row r="3204" spans="3:22" ht="36" customHeight="1" x14ac:dyDescent="0.5">
      <c r="C3204" s="520"/>
      <c r="D3204" s="616"/>
      <c r="E3204" s="616"/>
      <c r="F3204" s="616"/>
      <c r="G3204" s="616"/>
      <c r="H3204" s="616"/>
      <c r="I3204" s="616"/>
      <c r="J3204" s="616"/>
      <c r="M3204" s="555"/>
      <c r="N3204" s="555"/>
      <c r="O3204" s="555"/>
      <c r="P3204" s="545"/>
      <c r="R3204" s="490" t="str">
        <f t="shared" si="236"/>
        <v>DELETE</v>
      </c>
      <c r="T3204" s="498"/>
    </row>
    <row r="3205" spans="3:22" ht="36" customHeight="1" x14ac:dyDescent="0.5">
      <c r="C3205" s="520"/>
      <c r="D3205" s="616"/>
      <c r="E3205" s="616"/>
      <c r="F3205" s="616"/>
      <c r="G3205" s="616"/>
      <c r="H3205" s="616"/>
      <c r="I3205" s="616"/>
      <c r="J3205" s="616"/>
      <c r="M3205" s="541"/>
      <c r="N3205" s="541"/>
      <c r="O3205" s="541"/>
      <c r="R3205" s="490" t="str">
        <f t="shared" si="236"/>
        <v>DELETE</v>
      </c>
      <c r="T3205" s="498"/>
    </row>
    <row r="3206" spans="3:22" ht="36" customHeight="1" x14ac:dyDescent="0.5">
      <c r="C3206" s="520"/>
      <c r="D3206" s="616"/>
      <c r="E3206" s="616"/>
      <c r="F3206" s="616"/>
      <c r="G3206" s="616"/>
      <c r="H3206" s="616"/>
      <c r="I3206" s="616"/>
      <c r="J3206" s="616"/>
      <c r="M3206" s="541"/>
      <c r="N3206" s="541"/>
      <c r="O3206" s="458" t="s">
        <v>112</v>
      </c>
      <c r="Q3206" s="450">
        <v>1</v>
      </c>
      <c r="R3206" s="490" t="str">
        <f>IF(SUM(S3218:S3220)+SUM(S3238:S3245)+SUM(S3346:S3355)+O3363=0,"DELETE"," ")</f>
        <v>DELETE</v>
      </c>
      <c r="T3206" s="498"/>
      <c r="U3206" s="494"/>
      <c r="V3206" s="494"/>
    </row>
    <row r="3207" spans="3:22" ht="36" customHeight="1" x14ac:dyDescent="0.5">
      <c r="C3207" s="520"/>
      <c r="D3207" s="615" t="s">
        <v>696</v>
      </c>
      <c r="E3207" s="616"/>
      <c r="F3207" s="616"/>
      <c r="G3207" s="616"/>
      <c r="H3207" s="616"/>
      <c r="I3207" s="616"/>
      <c r="J3207" s="616"/>
      <c r="M3207" s="541"/>
      <c r="N3207" s="541"/>
      <c r="O3207" s="541"/>
      <c r="R3207" s="490" t="str">
        <f>R$3206</f>
        <v>DELETE</v>
      </c>
      <c r="T3207" s="498"/>
      <c r="U3207" s="493"/>
    </row>
    <row r="3208" spans="3:22" ht="36" customHeight="1" x14ac:dyDescent="0.5">
      <c r="C3208" s="520"/>
      <c r="D3208" s="616"/>
      <c r="E3208" s="616"/>
      <c r="F3208" s="616"/>
      <c r="G3208" s="616"/>
      <c r="H3208" s="616"/>
      <c r="I3208" s="616"/>
      <c r="J3208" s="616"/>
      <c r="M3208" s="541"/>
      <c r="N3208" s="541"/>
      <c r="O3208" s="541"/>
      <c r="R3208" s="490" t="str">
        <f t="shared" ref="R3208:R3217" si="237">R$3206</f>
        <v>DELETE</v>
      </c>
      <c r="T3208" s="498"/>
    </row>
    <row r="3209" spans="3:22" ht="36" customHeight="1" x14ac:dyDescent="0.5">
      <c r="C3209" s="520"/>
      <c r="D3209" s="615" t="str">
        <f>Criteria!E9</f>
        <v>ABC COMPANY (PROPRIETARY) LIMITED</v>
      </c>
      <c r="E3209" s="616"/>
      <c r="F3209" s="616"/>
      <c r="G3209" s="616"/>
      <c r="H3209" s="616"/>
      <c r="I3209" s="616"/>
      <c r="J3209" s="616"/>
      <c r="M3209" s="541"/>
      <c r="N3209" s="541"/>
      <c r="O3209" s="540"/>
      <c r="R3209" s="490" t="str">
        <f t="shared" si="237"/>
        <v>DELETE</v>
      </c>
      <c r="T3209" s="498"/>
    </row>
    <row r="3210" spans="3:22" ht="36" customHeight="1" x14ac:dyDescent="0.5">
      <c r="C3210" s="520"/>
      <c r="D3210" s="615" t="str">
        <f>CONCATENATE("T/A ",Criteria!E15)</f>
        <v>T/A RENTAL PROPERTIES</v>
      </c>
      <c r="E3210" s="616"/>
      <c r="F3210" s="616"/>
      <c r="G3210" s="616"/>
      <c r="H3210" s="616"/>
      <c r="I3210" s="616"/>
      <c r="J3210" s="616"/>
      <c r="M3210" s="541"/>
      <c r="N3210" s="541"/>
      <c r="O3210" s="541"/>
      <c r="R3210" s="490" t="str">
        <f t="shared" si="237"/>
        <v>DELETE</v>
      </c>
      <c r="T3210" s="498"/>
    </row>
    <row r="3211" spans="3:22" ht="36" customHeight="1" x14ac:dyDescent="0.5">
      <c r="C3211" s="520"/>
      <c r="D3211" s="616"/>
      <c r="E3211" s="616"/>
      <c r="F3211" s="616"/>
      <c r="G3211" s="616"/>
      <c r="H3211" s="616"/>
      <c r="I3211" s="616"/>
      <c r="J3211" s="616"/>
      <c r="M3211" s="541"/>
      <c r="N3211" s="541"/>
      <c r="O3211" s="541"/>
      <c r="R3211" s="490" t="str">
        <f t="shared" si="237"/>
        <v>DELETE</v>
      </c>
      <c r="T3211" s="498"/>
    </row>
    <row r="3212" spans="3:22" ht="36" customHeight="1" x14ac:dyDescent="0.5">
      <c r="C3212" s="520"/>
      <c r="D3212" s="615" t="s">
        <v>109</v>
      </c>
      <c r="E3212" s="616"/>
      <c r="F3212" s="616"/>
      <c r="G3212" s="616"/>
      <c r="H3212" s="616"/>
      <c r="I3212" s="616"/>
      <c r="J3212" s="616"/>
      <c r="M3212" s="541"/>
      <c r="N3212" s="541"/>
      <c r="O3212" s="541"/>
      <c r="R3212" s="490" t="str">
        <f t="shared" si="237"/>
        <v>DELETE</v>
      </c>
      <c r="T3212" s="498"/>
    </row>
    <row r="3213" spans="3:22" ht="36" customHeight="1" x14ac:dyDescent="0.5">
      <c r="C3213" s="520"/>
      <c r="D3213" s="615" t="str">
        <f>Criteria!E20</f>
        <v>28 FEBRUARY 2026</v>
      </c>
      <c r="E3213" s="616"/>
      <c r="F3213" s="616"/>
      <c r="G3213" s="616"/>
      <c r="H3213" s="616"/>
      <c r="I3213" s="616"/>
      <c r="J3213" s="616"/>
      <c r="M3213" s="541"/>
      <c r="N3213" s="541"/>
      <c r="O3213" s="541"/>
      <c r="R3213" s="490" t="str">
        <f t="shared" si="237"/>
        <v>DELETE</v>
      </c>
      <c r="T3213" s="498"/>
    </row>
    <row r="3214" spans="3:22" ht="36" customHeight="1" x14ac:dyDescent="0.5">
      <c r="C3214" s="520"/>
      <c r="D3214" s="616"/>
      <c r="E3214" s="616"/>
      <c r="F3214" s="616"/>
      <c r="G3214" s="616"/>
      <c r="H3214" s="616"/>
      <c r="I3214" s="616"/>
      <c r="J3214" s="616"/>
      <c r="M3214" s="541"/>
      <c r="N3214" s="541"/>
      <c r="O3214" s="541"/>
      <c r="R3214" s="490" t="str">
        <f t="shared" si="237"/>
        <v>DELETE</v>
      </c>
      <c r="T3214" s="498"/>
    </row>
    <row r="3215" spans="3:22" ht="36" customHeight="1" x14ac:dyDescent="0.5">
      <c r="C3215" s="520"/>
      <c r="D3215" s="634"/>
      <c r="E3215" s="634"/>
      <c r="F3215" s="634"/>
      <c r="G3215" s="634"/>
      <c r="H3215" s="634"/>
      <c r="I3215" s="634"/>
      <c r="J3215" s="634"/>
      <c r="K3215" s="457"/>
      <c r="L3215" s="457"/>
      <c r="M3215" s="557"/>
      <c r="N3215" s="557"/>
      <c r="O3215" s="557"/>
      <c r="P3215" s="551"/>
      <c r="Q3215" s="457"/>
      <c r="R3215" s="490" t="str">
        <f t="shared" si="237"/>
        <v>DELETE</v>
      </c>
      <c r="T3215" s="498"/>
    </row>
    <row r="3216" spans="3:22" ht="36" customHeight="1" x14ac:dyDescent="0.5">
      <c r="C3216" s="520"/>
      <c r="D3216" s="616"/>
      <c r="E3216" s="616"/>
      <c r="F3216" s="616"/>
      <c r="G3216" s="616"/>
      <c r="H3216" s="616"/>
      <c r="I3216" s="616"/>
      <c r="J3216" s="645"/>
      <c r="K3216" s="450" t="s">
        <v>1494</v>
      </c>
      <c r="L3216" s="451"/>
      <c r="M3216" s="448"/>
      <c r="N3216" s="450"/>
      <c r="O3216" s="453">
        <f>Criteria!E22</f>
        <v>2026</v>
      </c>
      <c r="P3216" s="454"/>
      <c r="R3216" s="490" t="str">
        <f t="shared" si="237"/>
        <v>DELETE</v>
      </c>
      <c r="T3216" s="498"/>
    </row>
    <row r="3217" spans="3:22" ht="36" customHeight="1" x14ac:dyDescent="0.5">
      <c r="C3217" s="520"/>
      <c r="D3217" s="616"/>
      <c r="E3217" s="616"/>
      <c r="F3217" s="616"/>
      <c r="G3217" s="616"/>
      <c r="H3217" s="616"/>
      <c r="I3217" s="616"/>
      <c r="J3217" s="645"/>
      <c r="K3217" s="450"/>
      <c r="L3217" s="451"/>
      <c r="M3217" s="448"/>
      <c r="N3217" s="450"/>
      <c r="O3217" s="458"/>
      <c r="P3217" s="454"/>
      <c r="R3217" s="490" t="str">
        <f t="shared" si="237"/>
        <v>DELETE</v>
      </c>
      <c r="T3217" s="498"/>
    </row>
    <row r="3218" spans="3:22" ht="36" customHeight="1" x14ac:dyDescent="0.45">
      <c r="D3218" s="615" t="s">
        <v>1194</v>
      </c>
      <c r="E3218" s="616"/>
      <c r="F3218" s="616"/>
      <c r="G3218" s="616"/>
      <c r="H3218" s="616"/>
      <c r="I3218" s="616"/>
      <c r="J3218" s="645"/>
      <c r="K3218" s="450"/>
      <c r="L3218" s="451"/>
      <c r="M3218" s="448"/>
      <c r="N3218" s="450"/>
      <c r="O3218" s="458">
        <f>-SUM(TrialBalanceB!I5:I10)</f>
        <v>0</v>
      </c>
      <c r="P3218" s="454"/>
      <c r="R3218" s="490" t="str">
        <f>IF(R3206="DELETE","DELETE",IF(O3218=0,IF(O3220=0," ","DELETE")," "))</f>
        <v>DELETE</v>
      </c>
      <c r="S3218" s="495">
        <f>O3218</f>
        <v>0</v>
      </c>
      <c r="T3218" s="498"/>
      <c r="U3218" s="495"/>
      <c r="V3218" s="495"/>
    </row>
    <row r="3219" spans="3:22" ht="36" customHeight="1" x14ac:dyDescent="0.45">
      <c r="D3219" s="615"/>
      <c r="E3219" s="616"/>
      <c r="F3219" s="616"/>
      <c r="G3219" s="616"/>
      <c r="H3219" s="616"/>
      <c r="I3219" s="616"/>
      <c r="J3219" s="645"/>
      <c r="K3219" s="450"/>
      <c r="L3219" s="451"/>
      <c r="M3219" s="448"/>
      <c r="N3219" s="450"/>
      <c r="O3219" s="458"/>
      <c r="P3219" s="454"/>
      <c r="R3219" s="490" t="str">
        <f>R3218</f>
        <v>DELETE</v>
      </c>
      <c r="S3219" s="495"/>
      <c r="T3219" s="498"/>
      <c r="U3219" s="495"/>
      <c r="V3219" s="495"/>
    </row>
    <row r="3220" spans="3:22" ht="36" customHeight="1" x14ac:dyDescent="0.45">
      <c r="D3220" s="615" t="s">
        <v>398</v>
      </c>
      <c r="E3220" s="616"/>
      <c r="F3220" s="616"/>
      <c r="G3220" s="616"/>
      <c r="H3220" s="616"/>
      <c r="I3220" s="616"/>
      <c r="J3220" s="645"/>
      <c r="K3220" s="450"/>
      <c r="L3220" s="451"/>
      <c r="M3220" s="448"/>
      <c r="N3220" s="450"/>
      <c r="O3220" s="458">
        <f>-TrialBalanceB!I11</f>
        <v>0</v>
      </c>
      <c r="P3220" s="454"/>
      <c r="R3220" s="490" t="str">
        <f>IF(R3206="DELETE","DELETE",IF(O3220=0,"DELETE"," "))</f>
        <v>DELETE</v>
      </c>
      <c r="S3220" s="495">
        <f>O3220</f>
        <v>0</v>
      </c>
      <c r="T3220" s="498"/>
      <c r="U3220" s="495"/>
      <c r="V3220" s="495"/>
    </row>
    <row r="3221" spans="3:22" ht="36" customHeight="1" x14ac:dyDescent="0.45">
      <c r="D3221" s="615"/>
      <c r="E3221" s="616"/>
      <c r="F3221" s="616"/>
      <c r="G3221" s="616"/>
      <c r="H3221" s="616"/>
      <c r="I3221" s="616"/>
      <c r="J3221" s="645"/>
      <c r="K3221" s="450"/>
      <c r="L3221" s="451"/>
      <c r="M3221" s="448"/>
      <c r="N3221" s="450"/>
      <c r="O3221" s="458"/>
      <c r="P3221" s="454"/>
      <c r="R3221" s="490" t="str">
        <f>R3220</f>
        <v>DELETE</v>
      </c>
      <c r="T3221" s="498"/>
    </row>
    <row r="3222" spans="3:22" ht="36" customHeight="1" x14ac:dyDescent="0.45">
      <c r="D3222" s="615" t="s">
        <v>1119</v>
      </c>
      <c r="E3222" s="616"/>
      <c r="F3222" s="616"/>
      <c r="G3222" s="616"/>
      <c r="H3222" s="616"/>
      <c r="I3222" s="616"/>
      <c r="J3222" s="645"/>
      <c r="K3222" s="450"/>
      <c r="L3222" s="451"/>
      <c r="M3222" s="448"/>
      <c r="N3222" s="450"/>
      <c r="O3222" s="458">
        <f>SUM(O3225:O3232)</f>
        <v>0</v>
      </c>
      <c r="P3222" s="454"/>
      <c r="R3222" s="490" t="str">
        <f>IF(R$3206="DELETE","DELETE",IF(O3222=0,"DELETE"," "))</f>
        <v>DELETE</v>
      </c>
      <c r="S3222" s="495">
        <f>-O3222</f>
        <v>0</v>
      </c>
      <c r="T3222" s="498"/>
      <c r="U3222" s="495"/>
      <c r="V3222" s="495"/>
    </row>
    <row r="3223" spans="3:22" ht="9" customHeight="1" x14ac:dyDescent="0.45">
      <c r="C3223" s="575"/>
      <c r="D3223" s="616"/>
      <c r="E3223" s="616"/>
      <c r="F3223" s="616"/>
      <c r="G3223" s="616"/>
      <c r="H3223" s="616"/>
      <c r="I3223" s="616"/>
      <c r="J3223" s="645"/>
      <c r="K3223" s="450"/>
      <c r="L3223" s="451"/>
      <c r="M3223" s="448"/>
      <c r="N3223" s="450"/>
      <c r="O3223" s="458"/>
      <c r="P3223" s="454"/>
      <c r="R3223" s="490" t="str">
        <f>R3222</f>
        <v>DELETE</v>
      </c>
      <c r="T3223" s="498"/>
    </row>
    <row r="3224" spans="3:22" ht="9" customHeight="1" x14ac:dyDescent="0.45">
      <c r="C3224" s="575"/>
      <c r="D3224" s="616"/>
      <c r="E3224" s="616"/>
      <c r="F3224" s="616"/>
      <c r="G3224" s="616"/>
      <c r="H3224" s="616"/>
      <c r="I3224" s="616"/>
      <c r="J3224" s="645"/>
      <c r="K3224" s="450"/>
      <c r="L3224" s="451"/>
      <c r="M3224" s="448"/>
      <c r="N3224" s="450"/>
      <c r="O3224" s="587"/>
      <c r="P3224" s="454"/>
      <c r="R3224" s="490" t="str">
        <f>R3223</f>
        <v>DELETE</v>
      </c>
      <c r="T3224" s="498"/>
    </row>
    <row r="3225" spans="3:22" ht="36" customHeight="1" x14ac:dyDescent="0.45">
      <c r="C3225" s="575"/>
      <c r="D3225" s="616" t="s">
        <v>563</v>
      </c>
      <c r="E3225" s="616"/>
      <c r="F3225" s="616"/>
      <c r="G3225" s="616"/>
      <c r="H3225" s="616"/>
      <c r="I3225" s="616"/>
      <c r="J3225" s="645"/>
      <c r="K3225" s="450"/>
      <c r="L3225" s="451"/>
      <c r="M3225" s="448"/>
      <c r="N3225" s="450"/>
      <c r="O3225" s="588">
        <f>SUM(TrialBalanceB!I13:I16)</f>
        <v>0</v>
      </c>
      <c r="P3225" s="454"/>
      <c r="R3225" s="490" t="str">
        <f t="shared" ref="R3225:R3232" si="238">IF(R$3206="DELETE","DELETE",IF(O3225=0,"DELETE"," "))</f>
        <v>DELETE</v>
      </c>
      <c r="T3225" s="498"/>
    </row>
    <row r="3226" spans="3:22" ht="36" customHeight="1" x14ac:dyDescent="0.45">
      <c r="C3226" s="575"/>
      <c r="D3226" s="616" t="s">
        <v>301</v>
      </c>
      <c r="E3226" s="616"/>
      <c r="F3226" s="616"/>
      <c r="G3226" s="616"/>
      <c r="H3226" s="616"/>
      <c r="I3226" s="616"/>
      <c r="J3226" s="645"/>
      <c r="K3226" s="450"/>
      <c r="L3226" s="451"/>
      <c r="M3226" s="448"/>
      <c r="N3226" s="450"/>
      <c r="O3226" s="588">
        <f>TrialBalanceB!I17</f>
        <v>0</v>
      </c>
      <c r="P3226" s="454"/>
      <c r="R3226" s="490" t="str">
        <f t="shared" si="238"/>
        <v>DELETE</v>
      </c>
      <c r="T3226" s="498"/>
    </row>
    <row r="3227" spans="3:22" ht="36" customHeight="1" x14ac:dyDescent="0.45">
      <c r="C3227" s="575"/>
      <c r="D3227" s="616">
        <f>TrialBalanceB!C18</f>
        <v>0</v>
      </c>
      <c r="E3227" s="616"/>
      <c r="F3227" s="616"/>
      <c r="G3227" s="616"/>
      <c r="H3227" s="616"/>
      <c r="I3227" s="616"/>
      <c r="J3227" s="645"/>
      <c r="K3227" s="450"/>
      <c r="L3227" s="451"/>
      <c r="M3227" s="448"/>
      <c r="N3227" s="450"/>
      <c r="O3227" s="588">
        <f>TrialBalanceB!I18</f>
        <v>0</v>
      </c>
      <c r="P3227" s="454"/>
      <c r="R3227" s="490" t="str">
        <f t="shared" si="238"/>
        <v>DELETE</v>
      </c>
      <c r="T3227" s="498"/>
    </row>
    <row r="3228" spans="3:22" ht="36" customHeight="1" x14ac:dyDescent="0.45">
      <c r="C3228" s="575"/>
      <c r="D3228" s="616">
        <f>TrialBalanceB!C19</f>
        <v>0</v>
      </c>
      <c r="E3228" s="616"/>
      <c r="F3228" s="616"/>
      <c r="G3228" s="616"/>
      <c r="H3228" s="616"/>
      <c r="I3228" s="616"/>
      <c r="J3228" s="645"/>
      <c r="K3228" s="450"/>
      <c r="L3228" s="451"/>
      <c r="M3228" s="448"/>
      <c r="N3228" s="450"/>
      <c r="O3228" s="588">
        <f>TrialBalanceB!I19</f>
        <v>0</v>
      </c>
      <c r="P3228" s="454"/>
      <c r="R3228" s="490" t="str">
        <f t="shared" si="238"/>
        <v>DELETE</v>
      </c>
      <c r="T3228" s="498"/>
    </row>
    <row r="3229" spans="3:22" ht="36" customHeight="1" x14ac:dyDescent="0.45">
      <c r="C3229" s="575"/>
      <c r="D3229" s="616">
        <f>TrialBalanceB!C20</f>
        <v>0</v>
      </c>
      <c r="E3229" s="616"/>
      <c r="F3229" s="616"/>
      <c r="G3229" s="616"/>
      <c r="H3229" s="616"/>
      <c r="I3229" s="616"/>
      <c r="J3229" s="645"/>
      <c r="K3229" s="450"/>
      <c r="L3229" s="451"/>
      <c r="M3229" s="448"/>
      <c r="N3229" s="450"/>
      <c r="O3229" s="588">
        <f>TrialBalanceB!I20</f>
        <v>0</v>
      </c>
      <c r="P3229" s="454"/>
      <c r="R3229" s="490" t="str">
        <f t="shared" si="238"/>
        <v>DELETE</v>
      </c>
      <c r="T3229" s="498"/>
    </row>
    <row r="3230" spans="3:22" ht="36" customHeight="1" x14ac:dyDescent="0.45">
      <c r="C3230" s="575"/>
      <c r="D3230" s="616">
        <f>TrialBalanceB!C21</f>
        <v>0</v>
      </c>
      <c r="E3230" s="616"/>
      <c r="F3230" s="616"/>
      <c r="G3230" s="616"/>
      <c r="H3230" s="616"/>
      <c r="I3230" s="616"/>
      <c r="J3230" s="645"/>
      <c r="K3230" s="450"/>
      <c r="L3230" s="451"/>
      <c r="M3230" s="448"/>
      <c r="N3230" s="450"/>
      <c r="O3230" s="588">
        <f>TrialBalanceB!I21</f>
        <v>0</v>
      </c>
      <c r="P3230" s="454"/>
      <c r="R3230" s="490" t="str">
        <f t="shared" si="238"/>
        <v>DELETE</v>
      </c>
      <c r="T3230" s="498"/>
    </row>
    <row r="3231" spans="3:22" ht="36" customHeight="1" x14ac:dyDescent="0.45">
      <c r="C3231" s="575"/>
      <c r="D3231" s="616">
        <f>TrialBalanceB!C22</f>
        <v>0</v>
      </c>
      <c r="E3231" s="616"/>
      <c r="F3231" s="616"/>
      <c r="G3231" s="616"/>
      <c r="H3231" s="616"/>
      <c r="I3231" s="616"/>
      <c r="J3231" s="645"/>
      <c r="K3231" s="450"/>
      <c r="L3231" s="451"/>
      <c r="M3231" s="448"/>
      <c r="N3231" s="450"/>
      <c r="O3231" s="588">
        <f>TrialBalanceB!I22</f>
        <v>0</v>
      </c>
      <c r="P3231" s="454"/>
      <c r="R3231" s="490" t="str">
        <f t="shared" si="238"/>
        <v>DELETE</v>
      </c>
      <c r="T3231" s="498"/>
    </row>
    <row r="3232" spans="3:22" ht="36" customHeight="1" x14ac:dyDescent="0.45">
      <c r="C3232" s="575"/>
      <c r="D3232" s="616" t="s">
        <v>564</v>
      </c>
      <c r="E3232" s="616"/>
      <c r="F3232" s="616"/>
      <c r="G3232" s="616"/>
      <c r="H3232" s="616"/>
      <c r="I3232" s="616"/>
      <c r="J3232" s="645"/>
      <c r="K3232" s="450"/>
      <c r="L3232" s="451"/>
      <c r="M3232" s="448"/>
      <c r="N3232" s="450"/>
      <c r="O3232" s="588">
        <f>SUM(TrialBalanceB!I23:I26)</f>
        <v>0</v>
      </c>
      <c r="P3232" s="454"/>
      <c r="R3232" s="490" t="str">
        <f t="shared" si="238"/>
        <v>DELETE</v>
      </c>
      <c r="T3232" s="498"/>
    </row>
    <row r="3233" spans="3:20" ht="9" customHeight="1" x14ac:dyDescent="0.45">
      <c r="C3233" s="575"/>
      <c r="D3233" s="616"/>
      <c r="E3233" s="616"/>
      <c r="F3233" s="616"/>
      <c r="G3233" s="616"/>
      <c r="H3233" s="616"/>
      <c r="I3233" s="616"/>
      <c r="J3233" s="645"/>
      <c r="K3233" s="450"/>
      <c r="L3233" s="451"/>
      <c r="M3233" s="448"/>
      <c r="N3233" s="450"/>
      <c r="O3233" s="589"/>
      <c r="P3233" s="454"/>
      <c r="R3233" s="490" t="str">
        <f>R3222</f>
        <v>DELETE</v>
      </c>
      <c r="T3233" s="498"/>
    </row>
    <row r="3234" spans="3:20" ht="9" customHeight="1" x14ac:dyDescent="0.45">
      <c r="C3234" s="575"/>
      <c r="D3234" s="616"/>
      <c r="E3234" s="616"/>
      <c r="F3234" s="616"/>
      <c r="G3234" s="616"/>
      <c r="H3234" s="616"/>
      <c r="I3234" s="616"/>
      <c r="J3234" s="645"/>
      <c r="K3234" s="450"/>
      <c r="L3234" s="451"/>
      <c r="M3234" s="448"/>
      <c r="N3234" s="450"/>
      <c r="O3234" s="461"/>
      <c r="P3234" s="454"/>
      <c r="R3234" s="490" t="str">
        <f>R3222</f>
        <v>DELETE</v>
      </c>
      <c r="T3234" s="498"/>
    </row>
    <row r="3235" spans="3:20" ht="9" customHeight="1" x14ac:dyDescent="0.45">
      <c r="C3235" s="575"/>
      <c r="D3235" s="616"/>
      <c r="E3235" s="616"/>
      <c r="F3235" s="616"/>
      <c r="G3235" s="616"/>
      <c r="H3235" s="616"/>
      <c r="I3235" s="616"/>
      <c r="J3235" s="645"/>
      <c r="K3235" s="450"/>
      <c r="L3235" s="451"/>
      <c r="M3235" s="448"/>
      <c r="N3235" s="450"/>
      <c r="O3235" s="458"/>
      <c r="P3235" s="454"/>
      <c r="R3235" s="490" t="str">
        <f>R3234</f>
        <v>DELETE</v>
      </c>
      <c r="T3235" s="498"/>
    </row>
    <row r="3236" spans="3:20" ht="36" customHeight="1" x14ac:dyDescent="0.45">
      <c r="D3236" s="637" t="str">
        <f>IF(O3236&lt;0,"Gross loss","Gross profit")</f>
        <v>Gross profit</v>
      </c>
      <c r="E3236" s="616"/>
      <c r="F3236" s="616"/>
      <c r="G3236" s="616"/>
      <c r="H3236" s="616"/>
      <c r="I3236" s="616"/>
      <c r="J3236" s="645"/>
      <c r="K3236" s="450"/>
      <c r="L3236" s="451"/>
      <c r="M3236" s="448"/>
      <c r="N3236" s="450"/>
      <c r="O3236" s="458">
        <f>SUM(S3218:S3233)</f>
        <v>0</v>
      </c>
      <c r="P3236" s="454"/>
      <c r="R3236" s="490" t="str">
        <f>R3235</f>
        <v>DELETE</v>
      </c>
      <c r="T3236" s="498"/>
    </row>
    <row r="3237" spans="3:20" ht="36" customHeight="1" x14ac:dyDescent="0.45">
      <c r="C3237" s="575"/>
      <c r="D3237" s="616"/>
      <c r="E3237" s="616"/>
      <c r="F3237" s="616"/>
      <c r="G3237" s="616"/>
      <c r="H3237" s="616"/>
      <c r="I3237" s="616"/>
      <c r="J3237" s="645"/>
      <c r="K3237" s="450"/>
      <c r="L3237" s="451"/>
      <c r="M3237" s="448"/>
      <c r="N3237" s="450"/>
      <c r="O3237" s="458"/>
      <c r="P3237" s="454"/>
      <c r="R3237" s="490" t="str">
        <f>R3236</f>
        <v>DELETE</v>
      </c>
      <c r="T3237" s="498"/>
    </row>
    <row r="3238" spans="3:20" ht="36" customHeight="1" x14ac:dyDescent="0.45">
      <c r="D3238" s="615" t="s">
        <v>1491</v>
      </c>
      <c r="E3238" s="616"/>
      <c r="F3238" s="616"/>
      <c r="G3238" s="616"/>
      <c r="H3238" s="616"/>
      <c r="I3238" s="616"/>
      <c r="J3238" s="645"/>
      <c r="K3238" s="450"/>
      <c r="L3238" s="451"/>
      <c r="M3238" s="448"/>
      <c r="N3238" s="450"/>
      <c r="O3238" s="458">
        <f>SUM(O3240:O3247)</f>
        <v>0</v>
      </c>
      <c r="P3238" s="454"/>
      <c r="R3238" s="490" t="str">
        <f t="shared" ref="R3238" si="239">IF(R$3206="DELETE","DELETE",IF(O3238=0,"DELETE"," "))</f>
        <v>DELETE</v>
      </c>
      <c r="S3238" s="495">
        <f>O3238</f>
        <v>0</v>
      </c>
      <c r="T3238" s="498"/>
    </row>
    <row r="3239" spans="3:20" ht="9" customHeight="1" x14ac:dyDescent="0.45">
      <c r="C3239" s="575"/>
      <c r="D3239" s="616"/>
      <c r="E3239" s="616"/>
      <c r="F3239" s="616"/>
      <c r="G3239" s="616"/>
      <c r="H3239" s="616"/>
      <c r="I3239" s="616"/>
      <c r="J3239" s="645"/>
      <c r="K3239" s="450"/>
      <c r="L3239" s="451"/>
      <c r="M3239" s="448"/>
      <c r="N3239" s="450"/>
      <c r="O3239" s="458"/>
      <c r="P3239" s="454"/>
      <c r="R3239" s="490" t="str">
        <f>R3238</f>
        <v>DELETE</v>
      </c>
      <c r="T3239" s="498"/>
    </row>
    <row r="3240" spans="3:20" ht="9" customHeight="1" x14ac:dyDescent="0.45">
      <c r="C3240" s="575"/>
      <c r="D3240" s="616"/>
      <c r="E3240" s="616"/>
      <c r="F3240" s="616"/>
      <c r="G3240" s="616"/>
      <c r="H3240" s="616"/>
      <c r="I3240" s="616"/>
      <c r="J3240" s="645"/>
      <c r="K3240" s="450"/>
      <c r="L3240" s="451"/>
      <c r="M3240" s="448"/>
      <c r="N3240" s="450"/>
      <c r="O3240" s="587"/>
      <c r="P3240" s="454"/>
      <c r="R3240" s="490" t="str">
        <f>R3238</f>
        <v>DELETE</v>
      </c>
      <c r="T3240" s="498"/>
    </row>
    <row r="3241" spans="3:20" ht="36" customHeight="1" x14ac:dyDescent="0.45">
      <c r="C3241" s="575"/>
      <c r="D3241" s="616" t="str">
        <f>TrialBalanceB!C28</f>
        <v>Insurance claims - Rental Properties</v>
      </c>
      <c r="E3241" s="616"/>
      <c r="F3241" s="616"/>
      <c r="G3241" s="616"/>
      <c r="H3241" s="616"/>
      <c r="I3241" s="616"/>
      <c r="J3241" s="645"/>
      <c r="K3241" s="450"/>
      <c r="L3241" s="451"/>
      <c r="M3241" s="448"/>
      <c r="N3241" s="450"/>
      <c r="O3241" s="588">
        <f>-TrialBalanceB!I28</f>
        <v>0</v>
      </c>
      <c r="P3241" s="454"/>
      <c r="R3241" s="490" t="str">
        <f t="shared" ref="R3241:R3245" si="240">IF(R$3206="DELETE","DELETE",IF(O3241=0,"DELETE"," "))</f>
        <v>DELETE</v>
      </c>
      <c r="T3241" s="498"/>
    </row>
    <row r="3242" spans="3:20" ht="36" customHeight="1" x14ac:dyDescent="0.45">
      <c r="C3242" s="575"/>
      <c r="D3242" s="616" t="str">
        <f>TrialBalanceB!C29</f>
        <v>Government grants received</v>
      </c>
      <c r="E3242" s="616"/>
      <c r="F3242" s="616"/>
      <c r="G3242" s="616"/>
      <c r="H3242" s="616"/>
      <c r="I3242" s="616"/>
      <c r="J3242" s="645"/>
      <c r="K3242" s="450"/>
      <c r="L3242" s="451"/>
      <c r="M3242" s="448"/>
      <c r="N3242" s="450"/>
      <c r="O3242" s="588">
        <f>-TrialBalanceB!I29</f>
        <v>0</v>
      </c>
      <c r="P3242" s="454"/>
      <c r="R3242" s="490" t="str">
        <f t="shared" si="240"/>
        <v>DELETE</v>
      </c>
      <c r="T3242" s="498"/>
    </row>
    <row r="3243" spans="3:20" ht="36" customHeight="1" x14ac:dyDescent="0.45">
      <c r="C3243" s="575"/>
      <c r="D3243" s="616">
        <f>TrialBalanceB!C30</f>
        <v>0</v>
      </c>
      <c r="E3243" s="616"/>
      <c r="F3243" s="616"/>
      <c r="G3243" s="616"/>
      <c r="H3243" s="616"/>
      <c r="I3243" s="616"/>
      <c r="J3243" s="645"/>
      <c r="K3243" s="450"/>
      <c r="L3243" s="451"/>
      <c r="M3243" s="448"/>
      <c r="N3243" s="450"/>
      <c r="O3243" s="588">
        <f>-TrialBalanceB!I30</f>
        <v>0</v>
      </c>
      <c r="P3243" s="454"/>
      <c r="R3243" s="490" t="str">
        <f t="shared" si="240"/>
        <v>DELETE</v>
      </c>
      <c r="T3243" s="498"/>
    </row>
    <row r="3244" spans="3:20" ht="36" customHeight="1" x14ac:dyDescent="0.45">
      <c r="C3244" s="575"/>
      <c r="D3244" s="616">
        <f>TrialBalanceB!C31</f>
        <v>0</v>
      </c>
      <c r="E3244" s="616"/>
      <c r="F3244" s="616"/>
      <c r="G3244" s="616"/>
      <c r="H3244" s="616"/>
      <c r="I3244" s="616"/>
      <c r="J3244" s="645"/>
      <c r="K3244" s="450"/>
      <c r="L3244" s="451"/>
      <c r="M3244" s="448"/>
      <c r="N3244" s="450"/>
      <c r="O3244" s="588">
        <f>-TrialBalanceB!I31</f>
        <v>0</v>
      </c>
      <c r="P3244" s="454"/>
      <c r="R3244" s="490" t="str">
        <f t="shared" si="240"/>
        <v>DELETE</v>
      </c>
      <c r="T3244" s="498"/>
    </row>
    <row r="3245" spans="3:20" ht="36" customHeight="1" x14ac:dyDescent="0.45">
      <c r="C3245" s="575"/>
      <c r="D3245" s="616">
        <f>TrialBalanceB!C32</f>
        <v>0</v>
      </c>
      <c r="E3245" s="616"/>
      <c r="F3245" s="616"/>
      <c r="G3245" s="616"/>
      <c r="H3245" s="616"/>
      <c r="I3245" s="616"/>
      <c r="J3245" s="645"/>
      <c r="K3245" s="450"/>
      <c r="L3245" s="451"/>
      <c r="M3245" s="448"/>
      <c r="N3245" s="450"/>
      <c r="O3245" s="588">
        <f>-TrialBalanceB!I32</f>
        <v>0</v>
      </c>
      <c r="P3245" s="454"/>
      <c r="R3245" s="490" t="str">
        <f t="shared" si="240"/>
        <v>DELETE</v>
      </c>
      <c r="T3245" s="498"/>
    </row>
    <row r="3246" spans="3:20" ht="36" customHeight="1" x14ac:dyDescent="0.45">
      <c r="C3246" s="575"/>
      <c r="D3246" s="616" t="str">
        <f>TrialBalanceB!C33</f>
        <v>Recoupment of depreciation</v>
      </c>
      <c r="E3246" s="616"/>
      <c r="F3246" s="616"/>
      <c r="G3246" s="616"/>
      <c r="H3246" s="616"/>
      <c r="I3246" s="616"/>
      <c r="J3246" s="645"/>
      <c r="K3246" s="450"/>
      <c r="L3246" s="451"/>
      <c r="M3246" s="448"/>
      <c r="N3246" s="450"/>
      <c r="O3246" s="588">
        <f>-TrialBalanceB!I33</f>
        <v>0</v>
      </c>
      <c r="P3246" s="454"/>
      <c r="R3246" s="490" t="str">
        <f t="shared" ref="R3246" si="241">IF(R$3206="DELETE","DELETE",IF(O3246=0,"DELETE"," "))</f>
        <v>DELETE</v>
      </c>
      <c r="T3246" s="498"/>
    </row>
    <row r="3247" spans="3:20" ht="9" customHeight="1" x14ac:dyDescent="0.45">
      <c r="C3247" s="575"/>
      <c r="D3247" s="616"/>
      <c r="E3247" s="616"/>
      <c r="F3247" s="616"/>
      <c r="G3247" s="616"/>
      <c r="H3247" s="616"/>
      <c r="I3247" s="616"/>
      <c r="J3247" s="645"/>
      <c r="K3247" s="450"/>
      <c r="L3247" s="451"/>
      <c r="M3247" s="448"/>
      <c r="N3247" s="450"/>
      <c r="O3247" s="589"/>
      <c r="P3247" s="454"/>
      <c r="R3247" s="490" t="str">
        <f>R3238</f>
        <v>DELETE</v>
      </c>
      <c r="T3247" s="498"/>
    </row>
    <row r="3248" spans="3:20" ht="9" customHeight="1" x14ac:dyDescent="0.45">
      <c r="C3248" s="575"/>
      <c r="D3248" s="616"/>
      <c r="E3248" s="616"/>
      <c r="F3248" s="616"/>
      <c r="G3248" s="616"/>
      <c r="H3248" s="616"/>
      <c r="I3248" s="616"/>
      <c r="J3248" s="645"/>
      <c r="K3248" s="450"/>
      <c r="L3248" s="451"/>
      <c r="M3248" s="448"/>
      <c r="N3248" s="450"/>
      <c r="O3248" s="479"/>
      <c r="P3248" s="454"/>
      <c r="R3248" s="490" t="str">
        <f>R3247</f>
        <v>DELETE</v>
      </c>
      <c r="T3248" s="498"/>
    </row>
    <row r="3249" spans="3:22" ht="9" customHeight="1" x14ac:dyDescent="0.45">
      <c r="C3249" s="575"/>
      <c r="D3249" s="616"/>
      <c r="E3249" s="616"/>
      <c r="F3249" s="616"/>
      <c r="G3249" s="616"/>
      <c r="H3249" s="616"/>
      <c r="I3249" s="616"/>
      <c r="J3249" s="645"/>
      <c r="K3249" s="450"/>
      <c r="L3249" s="451"/>
      <c r="M3249" s="448"/>
      <c r="N3249" s="450"/>
      <c r="O3249" s="458"/>
      <c r="P3249" s="454"/>
      <c r="R3249" s="490" t="str">
        <f>R3248</f>
        <v>DELETE</v>
      </c>
      <c r="T3249" s="498"/>
    </row>
    <row r="3250" spans="3:22" ht="36" customHeight="1" x14ac:dyDescent="0.45">
      <c r="C3250" s="575"/>
      <c r="D3250" s="616"/>
      <c r="E3250" s="616"/>
      <c r="F3250" s="616"/>
      <c r="G3250" s="616"/>
      <c r="H3250" s="616"/>
      <c r="I3250" s="616"/>
      <c r="J3250" s="645"/>
      <c r="K3250" s="450"/>
      <c r="L3250" s="451"/>
      <c r="M3250" s="448"/>
      <c r="N3250" s="450"/>
      <c r="O3250" s="458">
        <f>SUM(S3218:S3238)</f>
        <v>0</v>
      </c>
      <c r="P3250" s="454"/>
      <c r="R3250" s="490" t="str">
        <f>R3238</f>
        <v>DELETE</v>
      </c>
      <c r="T3250" s="498"/>
    </row>
    <row r="3251" spans="3:22" ht="36" customHeight="1" x14ac:dyDescent="0.45">
      <c r="C3251" s="575"/>
      <c r="D3251" s="616"/>
      <c r="E3251" s="616"/>
      <c r="F3251" s="616"/>
      <c r="G3251" s="616"/>
      <c r="H3251" s="616"/>
      <c r="I3251" s="616"/>
      <c r="J3251" s="645"/>
      <c r="K3251" s="450"/>
      <c r="L3251" s="451"/>
      <c r="M3251" s="448"/>
      <c r="N3251" s="450"/>
      <c r="O3251" s="458"/>
      <c r="P3251" s="454"/>
      <c r="R3251" s="490" t="str">
        <f>R3250</f>
        <v>DELETE</v>
      </c>
      <c r="T3251" s="498"/>
    </row>
    <row r="3252" spans="3:22" ht="36" customHeight="1" x14ac:dyDescent="0.45">
      <c r="D3252" s="615" t="s">
        <v>1532</v>
      </c>
      <c r="E3252" s="616"/>
      <c r="F3252" s="616"/>
      <c r="G3252" s="616"/>
      <c r="H3252" s="616"/>
      <c r="I3252" s="616"/>
      <c r="J3252" s="645"/>
      <c r="K3252" s="450"/>
      <c r="L3252" s="451"/>
      <c r="M3252" s="448"/>
      <c r="N3252" s="450"/>
      <c r="O3252" s="458">
        <f>SUM(O3254:O3283)</f>
        <v>0</v>
      </c>
      <c r="P3252" s="454"/>
      <c r="R3252" s="490" t="str">
        <f t="shared" ref="R3252" si="242">IF(R$3206="DELETE","DELETE",IF(O3252=0,"DELETE"," "))</f>
        <v>DELETE</v>
      </c>
      <c r="S3252" s="495">
        <f>-O3252</f>
        <v>0</v>
      </c>
      <c r="T3252" s="498"/>
      <c r="U3252" s="495"/>
      <c r="V3252" s="495"/>
    </row>
    <row r="3253" spans="3:22" ht="9" customHeight="1" x14ac:dyDescent="0.45">
      <c r="C3253" s="575"/>
      <c r="D3253" s="616"/>
      <c r="E3253" s="616"/>
      <c r="F3253" s="616"/>
      <c r="G3253" s="616"/>
      <c r="H3253" s="616"/>
      <c r="I3253" s="616"/>
      <c r="J3253" s="645"/>
      <c r="K3253" s="450"/>
      <c r="L3253" s="451"/>
      <c r="M3253" s="448"/>
      <c r="N3253" s="450"/>
      <c r="O3253" s="458"/>
      <c r="P3253" s="454"/>
      <c r="R3253" s="490" t="str">
        <f>R3252</f>
        <v>DELETE</v>
      </c>
      <c r="T3253" s="498"/>
    </row>
    <row r="3254" spans="3:22" ht="9" customHeight="1" x14ac:dyDescent="0.45">
      <c r="C3254" s="575"/>
      <c r="D3254" s="616"/>
      <c r="E3254" s="616"/>
      <c r="F3254" s="616"/>
      <c r="G3254" s="616"/>
      <c r="H3254" s="616"/>
      <c r="I3254" s="616"/>
      <c r="J3254" s="645"/>
      <c r="K3254" s="450"/>
      <c r="L3254" s="451"/>
      <c r="M3254" s="448"/>
      <c r="N3254" s="450"/>
      <c r="O3254" s="587"/>
      <c r="P3254" s="454"/>
      <c r="R3254" s="490" t="str">
        <f>R3253</f>
        <v>DELETE</v>
      </c>
      <c r="T3254" s="498"/>
    </row>
    <row r="3255" spans="3:22" ht="36" customHeight="1" x14ac:dyDescent="0.45">
      <c r="C3255" s="575"/>
      <c r="D3255" s="616" t="s">
        <v>302</v>
      </c>
      <c r="E3255" s="616"/>
      <c r="F3255" s="616"/>
      <c r="G3255" s="616"/>
      <c r="H3255" s="616"/>
      <c r="I3255" s="616"/>
      <c r="J3255" s="645"/>
      <c r="K3255" s="450"/>
      <c r="L3255" s="451"/>
      <c r="M3255" s="448"/>
      <c r="N3255" s="450"/>
      <c r="O3255" s="588">
        <f>TrialBalanceB!I40</f>
        <v>0</v>
      </c>
      <c r="P3255" s="454"/>
      <c r="R3255" s="490" t="str">
        <f t="shared" ref="R3255:R3282" si="243">IF(R$3206="DELETE","DELETE",IF(O3255=0,"DELETE"," "))</f>
        <v>DELETE</v>
      </c>
      <c r="T3255" s="498"/>
    </row>
    <row r="3256" spans="3:22" ht="36" customHeight="1" x14ac:dyDescent="0.45">
      <c r="C3256" s="575"/>
      <c r="D3256" s="616" t="s">
        <v>831</v>
      </c>
      <c r="E3256" s="616"/>
      <c r="F3256" s="616"/>
      <c r="G3256" s="616"/>
      <c r="H3256" s="616"/>
      <c r="I3256" s="616"/>
      <c r="J3256" s="645"/>
      <c r="K3256" s="450"/>
      <c r="L3256" s="451"/>
      <c r="M3256" s="448"/>
      <c r="N3256" s="450"/>
      <c r="O3256" s="588">
        <f>TrialBalanceB!I41</f>
        <v>0</v>
      </c>
      <c r="P3256" s="454"/>
      <c r="R3256" s="490" t="str">
        <f t="shared" si="243"/>
        <v>DELETE</v>
      </c>
      <c r="T3256" s="498"/>
    </row>
    <row r="3257" spans="3:22" ht="36" customHeight="1" x14ac:dyDescent="0.45">
      <c r="C3257" s="575"/>
      <c r="D3257" s="616" t="s">
        <v>303</v>
      </c>
      <c r="E3257" s="616"/>
      <c r="F3257" s="616"/>
      <c r="G3257" s="616"/>
      <c r="H3257" s="616"/>
      <c r="I3257" s="616"/>
      <c r="J3257" s="645"/>
      <c r="K3257" s="450"/>
      <c r="L3257" s="451"/>
      <c r="M3257" s="448"/>
      <c r="N3257" s="450"/>
      <c r="O3257" s="588">
        <f>TrialBalanceB!I42</f>
        <v>0</v>
      </c>
      <c r="P3257" s="454"/>
      <c r="R3257" s="490" t="str">
        <f t="shared" si="243"/>
        <v>DELETE</v>
      </c>
      <c r="T3257" s="498"/>
    </row>
    <row r="3258" spans="3:22" ht="36" customHeight="1" x14ac:dyDescent="0.45">
      <c r="C3258" s="575"/>
      <c r="D3258" s="616" t="s">
        <v>304</v>
      </c>
      <c r="E3258" s="616"/>
      <c r="F3258" s="616"/>
      <c r="G3258" s="616"/>
      <c r="H3258" s="616"/>
      <c r="I3258" s="616"/>
      <c r="J3258" s="645"/>
      <c r="K3258" s="450">
        <f>B$1212</f>
        <v>4</v>
      </c>
      <c r="L3258" s="451"/>
      <c r="M3258" s="448"/>
      <c r="N3258" s="450"/>
      <c r="O3258" s="588">
        <f>SUM(TrialBalanceB!I44:I46)</f>
        <v>0</v>
      </c>
      <c r="P3258" s="454"/>
      <c r="R3258" s="490" t="str">
        <f t="shared" si="243"/>
        <v>DELETE</v>
      </c>
      <c r="T3258" s="498"/>
    </row>
    <row r="3259" spans="3:22" ht="36" customHeight="1" x14ac:dyDescent="0.45">
      <c r="C3259" s="575"/>
      <c r="D3259" s="616" t="s">
        <v>565</v>
      </c>
      <c r="E3259" s="616"/>
      <c r="F3259" s="616"/>
      <c r="G3259" s="616"/>
      <c r="H3259" s="616"/>
      <c r="I3259" s="616"/>
      <c r="J3259" s="645"/>
      <c r="K3259" s="450"/>
      <c r="L3259" s="451"/>
      <c r="M3259" s="448"/>
      <c r="N3259" s="450"/>
      <c r="O3259" s="588">
        <f>TrialBalanceB!I47</f>
        <v>0</v>
      </c>
      <c r="P3259" s="454"/>
      <c r="R3259" s="490" t="str">
        <f t="shared" si="243"/>
        <v>DELETE</v>
      </c>
      <c r="S3259" s="496"/>
      <c r="T3259" s="498"/>
      <c r="U3259" s="496"/>
      <c r="V3259" s="496"/>
    </row>
    <row r="3260" spans="3:22" ht="36" customHeight="1" x14ac:dyDescent="0.45">
      <c r="C3260" s="575"/>
      <c r="D3260" s="616" t="s">
        <v>871</v>
      </c>
      <c r="E3260" s="616"/>
      <c r="F3260" s="616"/>
      <c r="G3260" s="616"/>
      <c r="H3260" s="616"/>
      <c r="I3260" s="616"/>
      <c r="J3260" s="645"/>
      <c r="K3260" s="450"/>
      <c r="L3260" s="451"/>
      <c r="M3260" s="448"/>
      <c r="N3260" s="450"/>
      <c r="O3260" s="588">
        <f>TrialBalanceB!I48</f>
        <v>0</v>
      </c>
      <c r="P3260" s="454"/>
      <c r="R3260" s="490" t="str">
        <f t="shared" si="243"/>
        <v>DELETE</v>
      </c>
      <c r="T3260" s="498"/>
    </row>
    <row r="3261" spans="3:22" ht="36" customHeight="1" x14ac:dyDescent="0.45">
      <c r="C3261" s="575"/>
      <c r="D3261" s="616" t="s">
        <v>69</v>
      </c>
      <c r="E3261" s="616"/>
      <c r="F3261" s="616"/>
      <c r="G3261" s="616"/>
      <c r="H3261" s="616"/>
      <c r="I3261" s="616"/>
      <c r="J3261" s="645"/>
      <c r="K3261" s="450"/>
      <c r="L3261" s="451"/>
      <c r="M3261" s="448"/>
      <c r="N3261" s="450"/>
      <c r="O3261" s="588">
        <f>TrialBalanceB!I49</f>
        <v>0</v>
      </c>
      <c r="P3261" s="454"/>
      <c r="R3261" s="490" t="str">
        <f t="shared" si="243"/>
        <v>DELETE</v>
      </c>
      <c r="T3261" s="498"/>
    </row>
    <row r="3262" spans="3:22" ht="36" customHeight="1" x14ac:dyDescent="0.45">
      <c r="C3262" s="575"/>
      <c r="D3262" s="616" t="s">
        <v>305</v>
      </c>
      <c r="E3262" s="616"/>
      <c r="F3262" s="616"/>
      <c r="G3262" s="616"/>
      <c r="H3262" s="616"/>
      <c r="I3262" s="616"/>
      <c r="J3262" s="645"/>
      <c r="K3262" s="450"/>
      <c r="L3262" s="451"/>
      <c r="M3262" s="448"/>
      <c r="N3262" s="450"/>
      <c r="O3262" s="588">
        <f>TrialBalanceB!I50</f>
        <v>0</v>
      </c>
      <c r="P3262" s="454"/>
      <c r="R3262" s="490" t="str">
        <f t="shared" si="243"/>
        <v>DELETE</v>
      </c>
      <c r="T3262" s="498"/>
    </row>
    <row r="3263" spans="3:22" ht="36" customHeight="1" x14ac:dyDescent="0.45">
      <c r="C3263" s="575"/>
      <c r="D3263" s="616" t="s">
        <v>587</v>
      </c>
      <c r="E3263" s="616"/>
      <c r="F3263" s="616"/>
      <c r="G3263" s="616"/>
      <c r="H3263" s="616"/>
      <c r="I3263" s="616"/>
      <c r="J3263" s="645"/>
      <c r="K3263" s="450"/>
      <c r="L3263" s="451"/>
      <c r="M3263" s="448"/>
      <c r="N3263" s="450"/>
      <c r="O3263" s="588">
        <f>SUM(TrialBalanceB!I51:I52)</f>
        <v>0</v>
      </c>
      <c r="P3263" s="454"/>
      <c r="R3263" s="490" t="str">
        <f t="shared" si="243"/>
        <v>DELETE</v>
      </c>
      <c r="T3263" s="498"/>
    </row>
    <row r="3264" spans="3:22" ht="36" customHeight="1" x14ac:dyDescent="0.45">
      <c r="C3264" s="575"/>
      <c r="D3264" s="616" t="s">
        <v>585</v>
      </c>
      <c r="E3264" s="616"/>
      <c r="F3264" s="616"/>
      <c r="G3264" s="616"/>
      <c r="H3264" s="616"/>
      <c r="I3264" s="616"/>
      <c r="J3264" s="645"/>
      <c r="K3264" s="450"/>
      <c r="L3264" s="451"/>
      <c r="M3264" s="448"/>
      <c r="N3264" s="450"/>
      <c r="O3264" s="588">
        <f>TrialBalanceB!I53</f>
        <v>0</v>
      </c>
      <c r="P3264" s="454"/>
      <c r="R3264" s="490" t="str">
        <f t="shared" si="243"/>
        <v>DELETE</v>
      </c>
      <c r="T3264" s="498"/>
    </row>
    <row r="3265" spans="3:20" ht="36" customHeight="1" x14ac:dyDescent="0.45">
      <c r="C3265" s="575"/>
      <c r="D3265" s="616" t="s">
        <v>566</v>
      </c>
      <c r="E3265" s="616"/>
      <c r="F3265" s="616"/>
      <c r="G3265" s="616"/>
      <c r="H3265" s="616"/>
      <c r="I3265" s="616"/>
      <c r="J3265" s="645"/>
      <c r="K3265" s="450"/>
      <c r="L3265" s="451"/>
      <c r="M3265" s="448"/>
      <c r="N3265" s="450"/>
      <c r="O3265" s="588">
        <f>SUM(TrialBalanceB!I55:I59)</f>
        <v>0</v>
      </c>
      <c r="P3265" s="454"/>
      <c r="R3265" s="490" t="str">
        <f t="shared" si="243"/>
        <v>DELETE</v>
      </c>
      <c r="T3265" s="498"/>
    </row>
    <row r="3266" spans="3:20" ht="36" customHeight="1" x14ac:dyDescent="0.45">
      <c r="C3266" s="575"/>
      <c r="D3266" s="616" t="s">
        <v>547</v>
      </c>
      <c r="E3266" s="616"/>
      <c r="F3266" s="616"/>
      <c r="G3266" s="616"/>
      <c r="H3266" s="616"/>
      <c r="I3266" s="616"/>
      <c r="J3266" s="645"/>
      <c r="K3266" s="450">
        <f>B$1212</f>
        <v>4</v>
      </c>
      <c r="L3266" s="451"/>
      <c r="M3266" s="448"/>
      <c r="N3266" s="450"/>
      <c r="O3266" s="588">
        <f>SUM(TrialBalanceB!I61:I63)</f>
        <v>0</v>
      </c>
      <c r="P3266" s="454"/>
      <c r="R3266" s="490" t="str">
        <f t="shared" si="243"/>
        <v>DELETE</v>
      </c>
      <c r="T3266" s="498"/>
    </row>
    <row r="3267" spans="3:20" ht="36" customHeight="1" x14ac:dyDescent="0.45">
      <c r="C3267" s="575"/>
      <c r="D3267" s="616" t="s">
        <v>77</v>
      </c>
      <c r="E3267" s="616"/>
      <c r="F3267" s="616"/>
      <c r="G3267" s="616"/>
      <c r="H3267" s="616"/>
      <c r="I3267" s="616"/>
      <c r="J3267" s="645"/>
      <c r="K3267" s="450"/>
      <c r="L3267" s="451"/>
      <c r="M3267" s="448"/>
      <c r="N3267" s="450"/>
      <c r="O3267" s="588">
        <f>TrialBalanceB!I64</f>
        <v>0</v>
      </c>
      <c r="P3267" s="454"/>
      <c r="R3267" s="490" t="str">
        <f t="shared" si="243"/>
        <v>DELETE</v>
      </c>
      <c r="T3267" s="498"/>
    </row>
    <row r="3268" spans="3:20" ht="36" customHeight="1" x14ac:dyDescent="0.45">
      <c r="C3268" s="575"/>
      <c r="D3268" s="616" t="s">
        <v>1756</v>
      </c>
      <c r="E3268" s="616"/>
      <c r="F3268" s="616"/>
      <c r="G3268" s="616"/>
      <c r="H3268" s="616"/>
      <c r="I3268" s="616"/>
      <c r="J3268" s="645"/>
      <c r="K3268" s="450"/>
      <c r="L3268" s="451"/>
      <c r="M3268" s="448"/>
      <c r="N3268" s="450"/>
      <c r="O3268" s="588">
        <f>TrialBalanceB!I65</f>
        <v>0</v>
      </c>
      <c r="P3268" s="454"/>
      <c r="R3268" s="490" t="str">
        <f t="shared" ref="R3268" si="244">IF(R$3206="DELETE","DELETE",IF(O3268=0,"DELETE"," "))</f>
        <v>DELETE</v>
      </c>
      <c r="T3268" s="498"/>
    </row>
    <row r="3269" spans="3:20" ht="36" customHeight="1" x14ac:dyDescent="0.45">
      <c r="C3269" s="575"/>
      <c r="D3269" s="616" t="s">
        <v>286</v>
      </c>
      <c r="E3269" s="616"/>
      <c r="F3269" s="616"/>
      <c r="G3269" s="616"/>
      <c r="H3269" s="616"/>
      <c r="I3269" s="616"/>
      <c r="J3269" s="645"/>
      <c r="K3269" s="450"/>
      <c r="L3269" s="451"/>
      <c r="M3269" s="448"/>
      <c r="N3269" s="450"/>
      <c r="O3269" s="588">
        <f>SUM(TrialBalanceB!I66:I68)</f>
        <v>0</v>
      </c>
      <c r="P3269" s="454"/>
      <c r="R3269" s="490" t="str">
        <f t="shared" si="243"/>
        <v>DELETE</v>
      </c>
      <c r="T3269" s="498"/>
    </row>
    <row r="3270" spans="3:20" ht="36" customHeight="1" x14ac:dyDescent="0.45">
      <c r="C3270" s="575"/>
      <c r="D3270" s="616" t="s">
        <v>872</v>
      </c>
      <c r="E3270" s="616"/>
      <c r="F3270" s="616"/>
      <c r="G3270" s="616"/>
      <c r="H3270" s="616"/>
      <c r="I3270" s="616"/>
      <c r="J3270" s="645"/>
      <c r="K3270" s="450"/>
      <c r="L3270" s="451"/>
      <c r="M3270" s="448"/>
      <c r="N3270" s="450"/>
      <c r="O3270" s="588">
        <f>SUM(TrialBalanceB!I69:I70)</f>
        <v>0</v>
      </c>
      <c r="P3270" s="454"/>
      <c r="R3270" s="490" t="str">
        <f t="shared" si="243"/>
        <v>DELETE</v>
      </c>
      <c r="T3270" s="498"/>
    </row>
    <row r="3271" spans="3:20" ht="36" customHeight="1" x14ac:dyDescent="0.45">
      <c r="C3271" s="575"/>
      <c r="D3271" s="616" t="s">
        <v>287</v>
      </c>
      <c r="E3271" s="616"/>
      <c r="F3271" s="616"/>
      <c r="G3271" s="616"/>
      <c r="H3271" s="616"/>
      <c r="I3271" s="616"/>
      <c r="J3271" s="645"/>
      <c r="K3271" s="450"/>
      <c r="L3271" s="451"/>
      <c r="M3271" s="448"/>
      <c r="N3271" s="450"/>
      <c r="O3271" s="588">
        <f>TrialBalanceB!I71</f>
        <v>0</v>
      </c>
      <c r="P3271" s="454"/>
      <c r="R3271" s="490" t="str">
        <f t="shared" si="243"/>
        <v>DELETE</v>
      </c>
      <c r="T3271" s="498"/>
    </row>
    <row r="3272" spans="3:20" ht="36" customHeight="1" x14ac:dyDescent="0.45">
      <c r="C3272" s="575"/>
      <c r="D3272" s="616" t="s">
        <v>425</v>
      </c>
      <c r="E3272" s="616"/>
      <c r="F3272" s="616"/>
      <c r="G3272" s="616"/>
      <c r="H3272" s="616"/>
      <c r="I3272" s="616"/>
      <c r="J3272" s="645"/>
      <c r="K3272" s="450"/>
      <c r="L3272" s="451"/>
      <c r="M3272" s="448"/>
      <c r="N3272" s="450"/>
      <c r="O3272" s="588">
        <f>TrialBalanceB!I72</f>
        <v>0</v>
      </c>
      <c r="P3272" s="454"/>
      <c r="R3272" s="490" t="str">
        <f t="shared" si="243"/>
        <v>DELETE</v>
      </c>
      <c r="T3272" s="498"/>
    </row>
    <row r="3273" spans="3:20" ht="36" customHeight="1" x14ac:dyDescent="0.45">
      <c r="C3273" s="575"/>
      <c r="D3273" s="616">
        <f>TrialBalanceB!C73</f>
        <v>0</v>
      </c>
      <c r="E3273" s="616"/>
      <c r="F3273" s="616"/>
      <c r="G3273" s="616"/>
      <c r="H3273" s="616"/>
      <c r="I3273" s="616"/>
      <c r="J3273" s="645"/>
      <c r="K3273" s="450"/>
      <c r="L3273" s="451"/>
      <c r="M3273" s="448"/>
      <c r="N3273" s="450"/>
      <c r="O3273" s="588">
        <f>TrialBalanceB!I73</f>
        <v>0</v>
      </c>
      <c r="P3273" s="454"/>
      <c r="R3273" s="490" t="str">
        <f t="shared" si="243"/>
        <v>DELETE</v>
      </c>
      <c r="T3273" s="498"/>
    </row>
    <row r="3274" spans="3:20" ht="36" customHeight="1" x14ac:dyDescent="0.45">
      <c r="C3274" s="575"/>
      <c r="D3274" s="616">
        <f>TrialBalanceB!C74</f>
        <v>0</v>
      </c>
      <c r="E3274" s="616"/>
      <c r="F3274" s="616"/>
      <c r="G3274" s="616"/>
      <c r="H3274" s="616"/>
      <c r="I3274" s="616"/>
      <c r="J3274" s="645"/>
      <c r="K3274" s="450"/>
      <c r="L3274" s="451"/>
      <c r="M3274" s="448"/>
      <c r="N3274" s="450"/>
      <c r="O3274" s="588">
        <f>TrialBalanceB!I74</f>
        <v>0</v>
      </c>
      <c r="P3274" s="454"/>
      <c r="R3274" s="490" t="str">
        <f t="shared" si="243"/>
        <v>DELETE</v>
      </c>
      <c r="T3274" s="498"/>
    </row>
    <row r="3275" spans="3:20" ht="36" customHeight="1" x14ac:dyDescent="0.45">
      <c r="C3275" s="575"/>
      <c r="D3275" s="616">
        <f>TrialBalanceB!C75</f>
        <v>0</v>
      </c>
      <c r="E3275" s="616"/>
      <c r="F3275" s="616"/>
      <c r="G3275" s="616"/>
      <c r="H3275" s="616"/>
      <c r="I3275" s="616"/>
      <c r="J3275" s="645"/>
      <c r="K3275" s="450"/>
      <c r="L3275" s="451"/>
      <c r="M3275" s="448"/>
      <c r="N3275" s="450"/>
      <c r="O3275" s="588">
        <f>TrialBalanceB!I75</f>
        <v>0</v>
      </c>
      <c r="P3275" s="454"/>
      <c r="R3275" s="490" t="str">
        <f t="shared" si="243"/>
        <v>DELETE</v>
      </c>
      <c r="T3275" s="498"/>
    </row>
    <row r="3276" spans="3:20" ht="36" customHeight="1" x14ac:dyDescent="0.45">
      <c r="C3276" s="575"/>
      <c r="D3276" s="616">
        <f>TrialBalanceB!C76</f>
        <v>0</v>
      </c>
      <c r="E3276" s="616"/>
      <c r="F3276" s="616"/>
      <c r="G3276" s="616"/>
      <c r="H3276" s="616"/>
      <c r="I3276" s="616"/>
      <c r="J3276" s="645"/>
      <c r="K3276" s="450"/>
      <c r="L3276" s="451"/>
      <c r="M3276" s="448"/>
      <c r="N3276" s="450"/>
      <c r="O3276" s="588">
        <f>TrialBalanceB!I76</f>
        <v>0</v>
      </c>
      <c r="P3276" s="454"/>
      <c r="R3276" s="490" t="str">
        <f t="shared" si="243"/>
        <v>DELETE</v>
      </c>
      <c r="T3276" s="498"/>
    </row>
    <row r="3277" spans="3:20" ht="36" customHeight="1" x14ac:dyDescent="0.45">
      <c r="C3277" s="575"/>
      <c r="D3277" s="616">
        <f>TrialBalanceB!C77</f>
        <v>0</v>
      </c>
      <c r="E3277" s="616"/>
      <c r="F3277" s="616"/>
      <c r="G3277" s="616"/>
      <c r="H3277" s="616"/>
      <c r="I3277" s="616"/>
      <c r="J3277" s="645"/>
      <c r="K3277" s="450"/>
      <c r="L3277" s="451"/>
      <c r="M3277" s="448"/>
      <c r="N3277" s="450"/>
      <c r="O3277" s="588">
        <f>TrialBalanceB!I77</f>
        <v>0</v>
      </c>
      <c r="P3277" s="454"/>
      <c r="R3277" s="490" t="str">
        <f t="shared" si="243"/>
        <v>DELETE</v>
      </c>
      <c r="T3277" s="498"/>
    </row>
    <row r="3278" spans="3:20" ht="36" customHeight="1" x14ac:dyDescent="0.45">
      <c r="C3278" s="575"/>
      <c r="D3278" s="616">
        <f>TrialBalanceB!C78</f>
        <v>0</v>
      </c>
      <c r="E3278" s="616"/>
      <c r="F3278" s="616"/>
      <c r="G3278" s="616"/>
      <c r="H3278" s="616"/>
      <c r="I3278" s="616"/>
      <c r="J3278" s="645"/>
      <c r="K3278" s="450"/>
      <c r="L3278" s="451"/>
      <c r="M3278" s="448"/>
      <c r="N3278" s="450"/>
      <c r="O3278" s="588">
        <f>TrialBalanceB!I78</f>
        <v>0</v>
      </c>
      <c r="P3278" s="454"/>
      <c r="R3278" s="490" t="str">
        <f t="shared" si="243"/>
        <v>DELETE</v>
      </c>
      <c r="T3278" s="498"/>
    </row>
    <row r="3279" spans="3:20" ht="36" customHeight="1" x14ac:dyDescent="0.45">
      <c r="C3279" s="575"/>
      <c r="D3279" s="616">
        <f>TrialBalanceB!C79</f>
        <v>0</v>
      </c>
      <c r="E3279" s="616"/>
      <c r="F3279" s="616"/>
      <c r="G3279" s="616"/>
      <c r="H3279" s="616"/>
      <c r="I3279" s="616"/>
      <c r="J3279" s="645"/>
      <c r="K3279" s="450"/>
      <c r="L3279" s="451"/>
      <c r="M3279" s="448"/>
      <c r="N3279" s="450"/>
      <c r="O3279" s="588">
        <f>TrialBalanceB!I79</f>
        <v>0</v>
      </c>
      <c r="P3279" s="454"/>
      <c r="R3279" s="490" t="str">
        <f t="shared" si="243"/>
        <v>DELETE</v>
      </c>
      <c r="T3279" s="498"/>
    </row>
    <row r="3280" spans="3:20" ht="36" customHeight="1" x14ac:dyDescent="0.45">
      <c r="C3280" s="575"/>
      <c r="D3280" s="616">
        <f>TrialBalanceB!C80</f>
        <v>0</v>
      </c>
      <c r="E3280" s="616"/>
      <c r="F3280" s="616"/>
      <c r="G3280" s="616"/>
      <c r="H3280" s="616"/>
      <c r="I3280" s="616"/>
      <c r="J3280" s="645"/>
      <c r="K3280" s="450"/>
      <c r="L3280" s="451"/>
      <c r="M3280" s="448"/>
      <c r="N3280" s="450"/>
      <c r="O3280" s="588">
        <f>TrialBalanceB!I80</f>
        <v>0</v>
      </c>
      <c r="P3280" s="454"/>
      <c r="R3280" s="490" t="str">
        <f t="shared" si="243"/>
        <v>DELETE</v>
      </c>
      <c r="T3280" s="498"/>
    </row>
    <row r="3281" spans="3:20" ht="36" customHeight="1" x14ac:dyDescent="0.45">
      <c r="C3281" s="575"/>
      <c r="D3281" s="616">
        <f>TrialBalanceB!C81</f>
        <v>0</v>
      </c>
      <c r="E3281" s="616"/>
      <c r="F3281" s="616"/>
      <c r="G3281" s="616"/>
      <c r="H3281" s="616"/>
      <c r="I3281" s="616"/>
      <c r="J3281" s="645"/>
      <c r="K3281" s="450"/>
      <c r="L3281" s="451"/>
      <c r="M3281" s="448"/>
      <c r="N3281" s="450"/>
      <c r="O3281" s="588">
        <f>TrialBalanceB!I81</f>
        <v>0</v>
      </c>
      <c r="P3281" s="454"/>
      <c r="R3281" s="490" t="str">
        <f t="shared" si="243"/>
        <v>DELETE</v>
      </c>
      <c r="T3281" s="498"/>
    </row>
    <row r="3282" spans="3:20" ht="36" customHeight="1" x14ac:dyDescent="0.45">
      <c r="C3282" s="575"/>
      <c r="D3282" s="616">
        <f>TrialBalanceB!C82</f>
        <v>0</v>
      </c>
      <c r="E3282" s="616"/>
      <c r="F3282" s="616"/>
      <c r="G3282" s="616"/>
      <c r="H3282" s="616"/>
      <c r="I3282" s="616"/>
      <c r="J3282" s="645"/>
      <c r="K3282" s="450"/>
      <c r="L3282" s="451"/>
      <c r="M3282" s="448"/>
      <c r="N3282" s="450"/>
      <c r="O3282" s="588">
        <f>TrialBalanceB!I82</f>
        <v>0</v>
      </c>
      <c r="P3282" s="454"/>
      <c r="R3282" s="490" t="str">
        <f t="shared" si="243"/>
        <v>DELETE</v>
      </c>
      <c r="T3282" s="498"/>
    </row>
    <row r="3283" spans="3:20" ht="9" customHeight="1" x14ac:dyDescent="0.45">
      <c r="C3283" s="575"/>
      <c r="D3283" s="616"/>
      <c r="E3283" s="616"/>
      <c r="F3283" s="616"/>
      <c r="G3283" s="616"/>
      <c r="H3283" s="616"/>
      <c r="I3283" s="616"/>
      <c r="J3283" s="645"/>
      <c r="K3283" s="450"/>
      <c r="L3283" s="451"/>
      <c r="M3283" s="448"/>
      <c r="N3283" s="450"/>
      <c r="O3283" s="589"/>
      <c r="P3283" s="454"/>
      <c r="R3283" s="490" t="str">
        <f>R3252</f>
        <v>DELETE</v>
      </c>
      <c r="T3283" s="498"/>
    </row>
    <row r="3284" spans="3:20" ht="9" customHeight="1" x14ac:dyDescent="0.45">
      <c r="C3284" s="575"/>
      <c r="D3284" s="616"/>
      <c r="E3284" s="616"/>
      <c r="F3284" s="616"/>
      <c r="G3284" s="616"/>
      <c r="H3284" s="616"/>
      <c r="I3284" s="616"/>
      <c r="J3284" s="645"/>
      <c r="K3284" s="450"/>
      <c r="L3284" s="451"/>
      <c r="M3284" s="448"/>
      <c r="N3284" s="450"/>
      <c r="O3284" s="461"/>
      <c r="P3284" s="454"/>
      <c r="R3284" s="490" t="str">
        <f t="shared" ref="R3284:R3304" si="245">R$3206</f>
        <v>DELETE</v>
      </c>
      <c r="T3284" s="498"/>
    </row>
    <row r="3285" spans="3:20" ht="9" customHeight="1" x14ac:dyDescent="0.45">
      <c r="C3285" s="575"/>
      <c r="D3285" s="616"/>
      <c r="E3285" s="616"/>
      <c r="F3285" s="616"/>
      <c r="G3285" s="616"/>
      <c r="H3285" s="616"/>
      <c r="I3285" s="616"/>
      <c r="J3285" s="645"/>
      <c r="K3285" s="450"/>
      <c r="L3285" s="451"/>
      <c r="M3285" s="448"/>
      <c r="N3285" s="450"/>
      <c r="O3285" s="458"/>
      <c r="P3285" s="454"/>
      <c r="R3285" s="490" t="str">
        <f t="shared" si="245"/>
        <v>DELETE</v>
      </c>
      <c r="T3285" s="498"/>
    </row>
    <row r="3286" spans="3:20" ht="36" customHeight="1" x14ac:dyDescent="0.45">
      <c r="D3286" s="637" t="str">
        <f>IF(O3286&lt;0,"Operating loss","Operating profit")</f>
        <v>Operating profit</v>
      </c>
      <c r="E3286" s="616"/>
      <c r="F3286" s="616"/>
      <c r="G3286" s="616"/>
      <c r="H3286" s="616"/>
      <c r="I3286" s="616"/>
      <c r="J3286" s="645"/>
      <c r="K3286" s="450"/>
      <c r="L3286" s="451"/>
      <c r="M3286" s="448"/>
      <c r="N3286" s="450"/>
      <c r="O3286" s="458">
        <f>SUM(S3218:S3284)</f>
        <v>0</v>
      </c>
      <c r="P3286" s="454"/>
      <c r="R3286" s="490" t="str">
        <f t="shared" si="245"/>
        <v>DELETE</v>
      </c>
      <c r="T3286" s="498"/>
    </row>
    <row r="3287" spans="3:20" ht="36" customHeight="1" x14ac:dyDescent="0.45">
      <c r="C3287" s="575"/>
      <c r="D3287" s="616"/>
      <c r="E3287" s="616" t="s">
        <v>289</v>
      </c>
      <c r="F3287" s="616"/>
      <c r="G3287" s="616"/>
      <c r="H3287" s="616"/>
      <c r="I3287" s="616"/>
      <c r="J3287" s="645"/>
      <c r="K3287" s="450"/>
      <c r="L3287" s="451"/>
      <c r="M3287" s="448"/>
      <c r="N3287" s="450"/>
      <c r="O3287" s="458"/>
      <c r="P3287" s="454"/>
      <c r="R3287" s="490" t="str">
        <f t="shared" si="245"/>
        <v>DELETE</v>
      </c>
      <c r="T3287" s="498"/>
    </row>
    <row r="3288" spans="3:20" ht="36" customHeight="1" x14ac:dyDescent="0.45">
      <c r="C3288" s="575"/>
      <c r="D3288" s="616"/>
      <c r="E3288" s="616"/>
      <c r="F3288" s="616"/>
      <c r="G3288" s="616"/>
      <c r="H3288" s="616"/>
      <c r="I3288" s="616"/>
      <c r="J3288" s="645"/>
      <c r="K3288" s="450"/>
      <c r="L3288" s="451"/>
      <c r="M3288" s="448"/>
      <c r="N3288" s="450"/>
      <c r="O3288" s="458"/>
      <c r="P3288" s="454"/>
      <c r="R3288" s="490" t="str">
        <f t="shared" si="245"/>
        <v>DELETE</v>
      </c>
      <c r="T3288" s="498"/>
    </row>
    <row r="3289" spans="3:20" ht="36" customHeight="1" x14ac:dyDescent="0.45">
      <c r="C3289" s="575"/>
      <c r="D3289" s="616"/>
      <c r="E3289" s="616"/>
      <c r="F3289" s="616"/>
      <c r="G3289" s="616"/>
      <c r="H3289" s="616"/>
      <c r="I3289" s="616"/>
      <c r="J3289" s="645"/>
      <c r="K3289" s="450"/>
      <c r="L3289" s="450"/>
      <c r="M3289" s="458"/>
      <c r="N3289" s="458"/>
      <c r="O3289" s="458"/>
      <c r="P3289" s="454"/>
      <c r="R3289" s="490" t="str">
        <f t="shared" si="245"/>
        <v>DELETE</v>
      </c>
      <c r="T3289" s="498"/>
    </row>
    <row r="3290" spans="3:20" ht="36" customHeight="1" x14ac:dyDescent="0.45">
      <c r="C3290" s="575"/>
      <c r="D3290" s="616"/>
      <c r="E3290" s="616"/>
      <c r="F3290" s="616"/>
      <c r="G3290" s="616"/>
      <c r="H3290" s="616"/>
      <c r="I3290" s="616"/>
      <c r="J3290" s="645"/>
      <c r="K3290" s="450"/>
      <c r="L3290" s="450"/>
      <c r="M3290" s="475"/>
      <c r="N3290" s="475"/>
      <c r="O3290" s="475"/>
      <c r="P3290" s="521"/>
      <c r="R3290" s="490" t="str">
        <f t="shared" si="245"/>
        <v>DELETE</v>
      </c>
      <c r="T3290" s="498"/>
    </row>
    <row r="3291" spans="3:20" ht="36" customHeight="1" x14ac:dyDescent="0.45">
      <c r="C3291" s="575"/>
      <c r="D3291" s="616"/>
      <c r="E3291" s="616"/>
      <c r="F3291" s="616"/>
      <c r="G3291" s="616"/>
      <c r="H3291" s="616"/>
      <c r="I3291" s="616"/>
      <c r="J3291" s="645"/>
      <c r="K3291" s="450"/>
      <c r="L3291" s="450"/>
      <c r="M3291" s="458"/>
      <c r="N3291" s="458"/>
      <c r="O3291" s="458"/>
      <c r="P3291" s="454"/>
      <c r="R3291" s="490" t="str">
        <f t="shared" si="245"/>
        <v>DELETE</v>
      </c>
      <c r="T3291" s="498"/>
    </row>
    <row r="3292" spans="3:20" ht="36" customHeight="1" x14ac:dyDescent="0.45">
      <c r="C3292" s="575"/>
      <c r="D3292" s="616"/>
      <c r="E3292" s="616"/>
      <c r="F3292" s="616"/>
      <c r="G3292" s="616"/>
      <c r="H3292" s="616"/>
      <c r="I3292" s="616"/>
      <c r="J3292" s="645"/>
      <c r="K3292" s="450"/>
      <c r="L3292" s="450"/>
      <c r="M3292" s="458"/>
      <c r="N3292" s="458"/>
      <c r="O3292" s="458" t="s">
        <v>112</v>
      </c>
      <c r="P3292" s="454"/>
      <c r="Q3292" s="450">
        <f>MAX($Q$3206:Q3291)+1</f>
        <v>2</v>
      </c>
      <c r="R3292" s="490" t="str">
        <f t="shared" si="245"/>
        <v>DELETE</v>
      </c>
      <c r="T3292" s="498"/>
    </row>
    <row r="3293" spans="3:20" ht="36" customHeight="1" x14ac:dyDescent="0.45">
      <c r="C3293" s="575"/>
      <c r="D3293" s="615" t="str">
        <f>Criteria!E9</f>
        <v>ABC COMPANY (PROPRIETARY) LIMITED</v>
      </c>
      <c r="E3293" s="616"/>
      <c r="F3293" s="616"/>
      <c r="G3293" s="616"/>
      <c r="H3293" s="616"/>
      <c r="I3293" s="616"/>
      <c r="J3293" s="645"/>
      <c r="K3293" s="450"/>
      <c r="L3293" s="450"/>
      <c r="M3293" s="458"/>
      <c r="N3293" s="458"/>
      <c r="O3293" s="540"/>
      <c r="R3293" s="490" t="str">
        <f t="shared" si="245"/>
        <v>DELETE</v>
      </c>
      <c r="T3293" s="498"/>
    </row>
    <row r="3294" spans="3:20" ht="36" customHeight="1" x14ac:dyDescent="0.45">
      <c r="C3294" s="575"/>
      <c r="D3294" s="615" t="str">
        <f>CONCATENATE("T/A ",Criteria!E15)</f>
        <v>T/A RENTAL PROPERTIES</v>
      </c>
      <c r="E3294" s="616"/>
      <c r="F3294" s="616"/>
      <c r="G3294" s="616"/>
      <c r="H3294" s="616"/>
      <c r="I3294" s="616"/>
      <c r="J3294" s="645"/>
      <c r="K3294" s="450"/>
      <c r="L3294" s="450"/>
      <c r="M3294" s="458"/>
      <c r="N3294" s="458"/>
      <c r="O3294" s="458"/>
      <c r="P3294" s="454"/>
      <c r="R3294" s="490" t="str">
        <f t="shared" si="245"/>
        <v>DELETE</v>
      </c>
      <c r="T3294" s="498"/>
    </row>
    <row r="3295" spans="3:20" ht="36" customHeight="1" x14ac:dyDescent="0.45">
      <c r="C3295" s="575"/>
      <c r="D3295" s="616"/>
      <c r="E3295" s="616"/>
      <c r="F3295" s="616"/>
      <c r="G3295" s="616"/>
      <c r="H3295" s="616"/>
      <c r="I3295" s="616"/>
      <c r="J3295" s="645"/>
      <c r="K3295" s="450"/>
      <c r="L3295" s="450"/>
      <c r="M3295" s="458"/>
      <c r="N3295" s="458"/>
      <c r="O3295" s="458"/>
      <c r="P3295" s="454"/>
      <c r="R3295" s="490" t="str">
        <f t="shared" si="245"/>
        <v>DELETE</v>
      </c>
      <c r="T3295" s="498"/>
    </row>
    <row r="3296" spans="3:20" ht="36" customHeight="1" x14ac:dyDescent="0.45">
      <c r="C3296" s="575"/>
      <c r="D3296" s="615" t="s">
        <v>109</v>
      </c>
      <c r="E3296" s="616"/>
      <c r="F3296" s="616"/>
      <c r="G3296" s="616"/>
      <c r="H3296" s="616"/>
      <c r="I3296" s="616"/>
      <c r="J3296" s="645"/>
      <c r="K3296" s="450"/>
      <c r="L3296" s="450"/>
      <c r="M3296" s="458"/>
      <c r="N3296" s="458"/>
      <c r="O3296" s="458"/>
      <c r="P3296" s="454"/>
      <c r="R3296" s="490" t="str">
        <f t="shared" si="245"/>
        <v>DELETE</v>
      </c>
      <c r="T3296" s="498"/>
    </row>
    <row r="3297" spans="3:22" ht="36" customHeight="1" x14ac:dyDescent="0.45">
      <c r="C3297" s="575"/>
      <c r="D3297" s="615" t="str">
        <f>D3213</f>
        <v>28 FEBRUARY 2026</v>
      </c>
      <c r="E3297" s="616"/>
      <c r="F3297" s="616"/>
      <c r="G3297" s="616"/>
      <c r="H3297" s="616"/>
      <c r="I3297" s="616"/>
      <c r="J3297" s="616" t="s">
        <v>118</v>
      </c>
      <c r="K3297" s="450"/>
      <c r="L3297" s="450"/>
      <c r="M3297" s="458"/>
      <c r="N3297" s="458"/>
      <c r="O3297" s="458"/>
      <c r="P3297" s="454"/>
      <c r="R3297" s="490" t="str">
        <f t="shared" si="245"/>
        <v>DELETE</v>
      </c>
      <c r="T3297" s="498"/>
    </row>
    <row r="3298" spans="3:22" ht="36" customHeight="1" x14ac:dyDescent="0.45">
      <c r="C3298" s="575"/>
      <c r="D3298" s="616"/>
      <c r="E3298" s="616"/>
      <c r="F3298" s="616"/>
      <c r="G3298" s="616"/>
      <c r="H3298" s="616"/>
      <c r="I3298" s="616"/>
      <c r="J3298" s="645"/>
      <c r="K3298" s="467"/>
      <c r="L3298" s="467"/>
      <c r="M3298" s="461"/>
      <c r="N3298" s="461"/>
      <c r="O3298" s="461"/>
      <c r="P3298" s="454"/>
      <c r="R3298" s="490" t="str">
        <f t="shared" si="245"/>
        <v>DELETE</v>
      </c>
      <c r="T3298" s="498"/>
    </row>
    <row r="3299" spans="3:22" ht="36" customHeight="1" x14ac:dyDescent="0.45">
      <c r="C3299" s="575"/>
      <c r="D3299" s="634"/>
      <c r="E3299" s="634"/>
      <c r="F3299" s="634"/>
      <c r="G3299" s="634"/>
      <c r="H3299" s="634"/>
      <c r="I3299" s="634"/>
      <c r="J3299" s="647"/>
      <c r="M3299" s="541"/>
      <c r="N3299" s="541"/>
      <c r="O3299" s="541"/>
      <c r="P3299" s="486"/>
      <c r="Q3299" s="457"/>
      <c r="R3299" s="490" t="str">
        <f t="shared" si="245"/>
        <v>DELETE</v>
      </c>
      <c r="T3299" s="498"/>
    </row>
    <row r="3300" spans="3:22" ht="36" customHeight="1" x14ac:dyDescent="0.45">
      <c r="C3300" s="575"/>
      <c r="D3300" s="616"/>
      <c r="E3300" s="616"/>
      <c r="F3300" s="616"/>
      <c r="G3300" s="616"/>
      <c r="H3300" s="616"/>
      <c r="I3300" s="616"/>
      <c r="J3300" s="645"/>
      <c r="K3300" s="450" t="s">
        <v>1494</v>
      </c>
      <c r="L3300" s="451"/>
      <c r="M3300" s="448"/>
      <c r="N3300" s="450"/>
      <c r="O3300" s="453">
        <f>Criteria!E22</f>
        <v>2026</v>
      </c>
      <c r="P3300" s="454"/>
      <c r="R3300" s="490" t="str">
        <f t="shared" si="245"/>
        <v>DELETE</v>
      </c>
      <c r="T3300" s="498"/>
    </row>
    <row r="3301" spans="3:22" ht="36" customHeight="1" x14ac:dyDescent="0.45">
      <c r="C3301" s="575"/>
      <c r="D3301" s="616"/>
      <c r="E3301" s="616"/>
      <c r="F3301" s="616"/>
      <c r="G3301" s="616"/>
      <c r="H3301" s="616"/>
      <c r="I3301" s="616"/>
      <c r="J3301" s="645"/>
      <c r="K3301" s="450"/>
      <c r="L3301" s="451"/>
      <c r="M3301" s="448"/>
      <c r="N3301" s="450"/>
      <c r="O3301" s="458"/>
      <c r="P3301" s="454"/>
      <c r="R3301" s="490" t="str">
        <f t="shared" si="245"/>
        <v>DELETE</v>
      </c>
      <c r="T3301" s="498"/>
    </row>
    <row r="3302" spans="3:22" ht="36" customHeight="1" x14ac:dyDescent="0.45">
      <c r="D3302" s="637" t="str">
        <f>IF(O3302&lt;0,"Operating loss","Operating profit")</f>
        <v>Operating profit</v>
      </c>
      <c r="E3302" s="616"/>
      <c r="F3302" s="616"/>
      <c r="G3302" s="616"/>
      <c r="H3302" s="616"/>
      <c r="I3302" s="616"/>
      <c r="J3302" s="645"/>
      <c r="K3302" s="450"/>
      <c r="L3302" s="451"/>
      <c r="M3302" s="448"/>
      <c r="N3302" s="450"/>
      <c r="O3302" s="458">
        <f>SUM(S3218:S3283)</f>
        <v>0</v>
      </c>
      <c r="P3302" s="454"/>
      <c r="R3302" s="490" t="str">
        <f t="shared" si="245"/>
        <v>DELETE</v>
      </c>
      <c r="T3302" s="498"/>
      <c r="U3302" s="491" t="b">
        <f>O3302=O3286</f>
        <v>1</v>
      </c>
    </row>
    <row r="3303" spans="3:22" ht="36" customHeight="1" x14ac:dyDescent="0.45">
      <c r="C3303" s="575"/>
      <c r="D3303" s="616"/>
      <c r="E3303" s="616" t="s">
        <v>290</v>
      </c>
      <c r="F3303" s="616"/>
      <c r="G3303" s="616"/>
      <c r="H3303" s="616"/>
      <c r="I3303" s="616"/>
      <c r="J3303" s="645"/>
      <c r="K3303" s="450"/>
      <c r="L3303" s="451"/>
      <c r="M3303" s="448"/>
      <c r="N3303" s="450"/>
      <c r="O3303" s="458"/>
      <c r="P3303" s="454"/>
      <c r="R3303" s="490" t="str">
        <f t="shared" si="245"/>
        <v>DELETE</v>
      </c>
      <c r="T3303" s="498"/>
    </row>
    <row r="3304" spans="3:22" ht="36" customHeight="1" x14ac:dyDescent="0.45">
      <c r="C3304" s="575"/>
      <c r="D3304" s="616"/>
      <c r="E3304" s="616"/>
      <c r="F3304" s="616"/>
      <c r="G3304" s="616"/>
      <c r="H3304" s="616"/>
      <c r="I3304" s="616"/>
      <c r="J3304" s="645"/>
      <c r="K3304" s="450"/>
      <c r="L3304" s="451"/>
      <c r="M3304" s="448"/>
      <c r="N3304" s="450"/>
      <c r="O3304" s="458"/>
      <c r="P3304" s="454"/>
      <c r="R3304" s="490" t="str">
        <f t="shared" si="245"/>
        <v>DELETE</v>
      </c>
      <c r="T3304" s="498"/>
    </row>
    <row r="3305" spans="3:22" ht="36" customHeight="1" x14ac:dyDescent="0.45">
      <c r="D3305" s="615" t="s">
        <v>1533</v>
      </c>
      <c r="E3305" s="616"/>
      <c r="F3305" s="616"/>
      <c r="G3305" s="616"/>
      <c r="H3305" s="616"/>
      <c r="I3305" s="616"/>
      <c r="J3305" s="645"/>
      <c r="K3305" s="450"/>
      <c r="L3305" s="451"/>
      <c r="M3305" s="448"/>
      <c r="N3305" s="450"/>
      <c r="O3305" s="458">
        <f>SUM(O3308:O3341)</f>
        <v>0</v>
      </c>
      <c r="P3305" s="454"/>
      <c r="R3305" s="490" t="str">
        <f t="shared" ref="R3305" si="246">IF(R$3206="DELETE","DELETE",IF(O3305=0,"DELETE"," "))</f>
        <v>DELETE</v>
      </c>
      <c r="S3305" s="495">
        <f>-O3305</f>
        <v>0</v>
      </c>
      <c r="T3305" s="498"/>
      <c r="U3305" s="495"/>
      <c r="V3305" s="495"/>
    </row>
    <row r="3306" spans="3:22" ht="9" customHeight="1" x14ac:dyDescent="0.45">
      <c r="C3306" s="575"/>
      <c r="D3306" s="616"/>
      <c r="E3306" s="616"/>
      <c r="F3306" s="616"/>
      <c r="G3306" s="616"/>
      <c r="H3306" s="616"/>
      <c r="I3306" s="616"/>
      <c r="J3306" s="645"/>
      <c r="K3306" s="450"/>
      <c r="L3306" s="451"/>
      <c r="M3306" s="448"/>
      <c r="N3306" s="450"/>
      <c r="O3306" s="458"/>
      <c r="P3306" s="454"/>
      <c r="R3306" s="490" t="str">
        <f>R3305</f>
        <v>DELETE</v>
      </c>
      <c r="T3306" s="498"/>
    </row>
    <row r="3307" spans="3:22" ht="9" customHeight="1" x14ac:dyDescent="0.45">
      <c r="C3307" s="575"/>
      <c r="D3307" s="616"/>
      <c r="E3307" s="616"/>
      <c r="F3307" s="616"/>
      <c r="G3307" s="616"/>
      <c r="H3307" s="616"/>
      <c r="I3307" s="616"/>
      <c r="J3307" s="645"/>
      <c r="K3307" s="450"/>
      <c r="L3307" s="451"/>
      <c r="M3307" s="448"/>
      <c r="N3307" s="450"/>
      <c r="O3307" s="587"/>
      <c r="P3307" s="454"/>
      <c r="R3307" s="490" t="str">
        <f>R3306</f>
        <v>DELETE</v>
      </c>
      <c r="T3307" s="498"/>
    </row>
    <row r="3308" spans="3:22" ht="36" customHeight="1" x14ac:dyDescent="0.45">
      <c r="C3308" s="575"/>
      <c r="D3308" s="616" t="s">
        <v>233</v>
      </c>
      <c r="E3308" s="616"/>
      <c r="F3308" s="616"/>
      <c r="G3308" s="616"/>
      <c r="H3308" s="616"/>
      <c r="I3308" s="616"/>
      <c r="J3308" s="645"/>
      <c r="K3308" s="450"/>
      <c r="L3308" s="451"/>
      <c r="M3308" s="448"/>
      <c r="N3308" s="450"/>
      <c r="O3308" s="588">
        <f>SUM(TrialBalanceB!I99:I102)</f>
        <v>0</v>
      </c>
      <c r="P3308" s="454"/>
      <c r="R3308" s="490" t="str">
        <f t="shared" ref="R3308:R3339" si="247">IF(R$3206="DELETE","DELETE",IF(O3308=0,"DELETE"," "))</f>
        <v>DELETE</v>
      </c>
      <c r="T3308" s="498"/>
    </row>
    <row r="3309" spans="3:22" ht="36" customHeight="1" x14ac:dyDescent="0.45">
      <c r="C3309" s="575"/>
      <c r="D3309" s="616" t="s">
        <v>235</v>
      </c>
      <c r="E3309" s="616"/>
      <c r="F3309" s="616"/>
      <c r="G3309" s="616"/>
      <c r="H3309" s="616"/>
      <c r="I3309" s="616"/>
      <c r="J3309" s="645"/>
      <c r="K3309" s="450"/>
      <c r="L3309" s="451"/>
      <c r="M3309" s="448"/>
      <c r="N3309" s="450"/>
      <c r="O3309" s="588">
        <f>TrialBalanceB!I103</f>
        <v>0</v>
      </c>
      <c r="P3309" s="454"/>
      <c r="R3309" s="490" t="str">
        <f t="shared" si="247"/>
        <v>DELETE</v>
      </c>
      <c r="T3309" s="498"/>
    </row>
    <row r="3310" spans="3:22" ht="36" customHeight="1" x14ac:dyDescent="0.45">
      <c r="C3310" s="575"/>
      <c r="D3310" s="616" t="s">
        <v>237</v>
      </c>
      <c r="E3310" s="616"/>
      <c r="F3310" s="616"/>
      <c r="G3310" s="616"/>
      <c r="H3310" s="616"/>
      <c r="I3310" s="616"/>
      <c r="J3310" s="645"/>
      <c r="K3310" s="450"/>
      <c r="L3310" s="451"/>
      <c r="M3310" s="448"/>
      <c r="N3310" s="450"/>
      <c r="O3310" s="588">
        <f>TrialBalanceB!I104</f>
        <v>0</v>
      </c>
      <c r="P3310" s="454"/>
      <c r="R3310" s="490" t="str">
        <f t="shared" si="247"/>
        <v>DELETE</v>
      </c>
      <c r="T3310" s="498"/>
    </row>
    <row r="3311" spans="3:22" ht="36" customHeight="1" x14ac:dyDescent="0.45">
      <c r="C3311" s="575"/>
      <c r="D3311" s="616" t="s">
        <v>291</v>
      </c>
      <c r="E3311" s="616"/>
      <c r="F3311" s="616"/>
      <c r="G3311" s="616"/>
      <c r="H3311" s="616"/>
      <c r="I3311" s="616"/>
      <c r="J3311" s="645"/>
      <c r="K3311" s="450"/>
      <c r="L3311" s="451"/>
      <c r="M3311" s="448"/>
      <c r="N3311" s="450"/>
      <c r="O3311" s="588">
        <f>TrialBalanceB!I105</f>
        <v>0</v>
      </c>
      <c r="P3311" s="454"/>
      <c r="R3311" s="490" t="str">
        <f t="shared" si="247"/>
        <v>DELETE</v>
      </c>
      <c r="T3311" s="498"/>
    </row>
    <row r="3312" spans="3:22" ht="36" customHeight="1" x14ac:dyDescent="0.45">
      <c r="C3312" s="575"/>
      <c r="D3312" s="616" t="s">
        <v>240</v>
      </c>
      <c r="E3312" s="616"/>
      <c r="F3312" s="616"/>
      <c r="G3312" s="616"/>
      <c r="H3312" s="616"/>
      <c r="I3312" s="616"/>
      <c r="J3312" s="645"/>
      <c r="K3312" s="450"/>
      <c r="L3312" s="451"/>
      <c r="M3312" s="448"/>
      <c r="N3312" s="450"/>
      <c r="O3312" s="588">
        <f>TrialBalanceB!I106</f>
        <v>0</v>
      </c>
      <c r="P3312" s="454"/>
      <c r="R3312" s="490" t="str">
        <f t="shared" si="247"/>
        <v>DELETE</v>
      </c>
      <c r="T3312" s="498"/>
    </row>
    <row r="3313" spans="3:20" ht="36" customHeight="1" x14ac:dyDescent="0.45">
      <c r="C3313" s="575"/>
      <c r="D3313" s="616" t="s">
        <v>873</v>
      </c>
      <c r="E3313" s="616"/>
      <c r="F3313" s="616"/>
      <c r="G3313" s="616"/>
      <c r="H3313" s="616"/>
      <c r="I3313" s="616"/>
      <c r="J3313" s="645"/>
      <c r="K3313" s="450"/>
      <c r="L3313" s="451"/>
      <c r="M3313" s="448"/>
      <c r="N3313" s="450"/>
      <c r="O3313" s="588">
        <f>TrialBalanceB!I107</f>
        <v>0</v>
      </c>
      <c r="P3313" s="454"/>
      <c r="R3313" s="490" t="str">
        <f t="shared" si="247"/>
        <v>DELETE</v>
      </c>
      <c r="T3313" s="498"/>
    </row>
    <row r="3314" spans="3:20" ht="36" customHeight="1" x14ac:dyDescent="0.45">
      <c r="C3314" s="575"/>
      <c r="D3314" s="616" t="s">
        <v>1759</v>
      </c>
      <c r="E3314" s="616"/>
      <c r="F3314" s="616"/>
      <c r="G3314" s="616"/>
      <c r="H3314" s="616"/>
      <c r="I3314" s="616"/>
      <c r="J3314" s="645"/>
      <c r="K3314" s="450"/>
      <c r="L3314" s="451"/>
      <c r="M3314" s="448"/>
      <c r="N3314" s="450"/>
      <c r="O3314" s="588">
        <f>TrialBalanceB!I108</f>
        <v>0</v>
      </c>
      <c r="P3314" s="454"/>
      <c r="R3314" s="490" t="str">
        <f t="shared" ref="R3314" si="248">IF(R$3206="DELETE","DELETE",IF(O3314=0,"DELETE"," "))</f>
        <v>DELETE</v>
      </c>
      <c r="T3314" s="498"/>
    </row>
    <row r="3315" spans="3:20" ht="36" customHeight="1" x14ac:dyDescent="0.45">
      <c r="C3315" s="575"/>
      <c r="D3315" s="616" t="s">
        <v>304</v>
      </c>
      <c r="E3315" s="616"/>
      <c r="F3315" s="616"/>
      <c r="G3315" s="616"/>
      <c r="H3315" s="616"/>
      <c r="I3315" s="616"/>
      <c r="J3315" s="645"/>
      <c r="K3315" s="450">
        <f>B$1212</f>
        <v>4</v>
      </c>
      <c r="L3315" s="451"/>
      <c r="M3315" s="448"/>
      <c r="N3315" s="450"/>
      <c r="O3315" s="588">
        <f>SUM(TrialBalanceB!I110:I111)</f>
        <v>0</v>
      </c>
      <c r="P3315" s="454"/>
      <c r="R3315" s="490" t="str">
        <f t="shared" si="247"/>
        <v>DELETE</v>
      </c>
      <c r="T3315" s="498"/>
    </row>
    <row r="3316" spans="3:20" ht="36" customHeight="1" x14ac:dyDescent="0.45">
      <c r="C3316" s="575"/>
      <c r="D3316" s="616" t="str">
        <f>IF(MAX(Criteria!I41:I45)&gt;1,"Directors' remuneration","Director's remuneration")</f>
        <v>Directors' remuneration</v>
      </c>
      <c r="E3316" s="616"/>
      <c r="F3316" s="616"/>
      <c r="G3316" s="616"/>
      <c r="H3316" s="616"/>
      <c r="I3316" s="616"/>
      <c r="J3316" s="645"/>
      <c r="K3316" s="450">
        <f>B$1212</f>
        <v>4</v>
      </c>
      <c r="L3316" s="451"/>
      <c r="M3316" s="448"/>
      <c r="N3316" s="450"/>
      <c r="O3316" s="588">
        <f>SUM(TrialBalanceB!I113:I117)</f>
        <v>0</v>
      </c>
      <c r="P3316" s="454"/>
      <c r="R3316" s="490" t="str">
        <f t="shared" si="247"/>
        <v>DELETE</v>
      </c>
      <c r="T3316" s="498"/>
    </row>
    <row r="3317" spans="3:20" ht="36" customHeight="1" x14ac:dyDescent="0.45">
      <c r="C3317" s="575"/>
      <c r="D3317" s="616" t="s">
        <v>292</v>
      </c>
      <c r="E3317" s="616"/>
      <c r="F3317" s="616"/>
      <c r="G3317" s="616"/>
      <c r="H3317" s="616"/>
      <c r="I3317" s="616"/>
      <c r="J3317" s="645"/>
      <c r="K3317" s="450"/>
      <c r="L3317" s="451"/>
      <c r="M3317" s="448"/>
      <c r="N3317" s="450"/>
      <c r="O3317" s="588">
        <f>TrialBalanceB!I118</f>
        <v>0</v>
      </c>
      <c r="P3317" s="454"/>
      <c r="R3317" s="490" t="str">
        <f t="shared" si="247"/>
        <v>DELETE</v>
      </c>
      <c r="T3317" s="498"/>
    </row>
    <row r="3318" spans="3:20" ht="36" customHeight="1" x14ac:dyDescent="0.45">
      <c r="C3318" s="575"/>
      <c r="D3318" s="616" t="s">
        <v>408</v>
      </c>
      <c r="E3318" s="616"/>
      <c r="F3318" s="616"/>
      <c r="G3318" s="616"/>
      <c r="H3318" s="616"/>
      <c r="I3318" s="616"/>
      <c r="J3318" s="645"/>
      <c r="K3318" s="450"/>
      <c r="L3318" s="451"/>
      <c r="M3318" s="448"/>
      <c r="N3318" s="450"/>
      <c r="O3318" s="588">
        <f>TrialBalanceB!I119</f>
        <v>0</v>
      </c>
      <c r="P3318" s="454"/>
      <c r="R3318" s="490" t="str">
        <f t="shared" si="247"/>
        <v>DELETE</v>
      </c>
      <c r="T3318" s="498"/>
    </row>
    <row r="3319" spans="3:20" ht="36" customHeight="1" x14ac:dyDescent="0.45">
      <c r="C3319" s="575"/>
      <c r="D3319" s="616" t="s">
        <v>357</v>
      </c>
      <c r="E3319" s="616"/>
      <c r="F3319" s="616"/>
      <c r="G3319" s="616"/>
      <c r="H3319" s="616"/>
      <c r="I3319" s="616"/>
      <c r="J3319" s="645"/>
      <c r="K3319" s="450"/>
      <c r="L3319" s="451"/>
      <c r="M3319" s="448"/>
      <c r="N3319" s="450"/>
      <c r="O3319" s="588">
        <f>TrialBalanceB!I120</f>
        <v>0</v>
      </c>
      <c r="P3319" s="454"/>
      <c r="R3319" s="490" t="str">
        <f t="shared" si="247"/>
        <v>DELETE</v>
      </c>
      <c r="T3319" s="498"/>
    </row>
    <row r="3320" spans="3:20" ht="36" customHeight="1" x14ac:dyDescent="0.45">
      <c r="C3320" s="575"/>
      <c r="D3320" s="616" t="s">
        <v>410</v>
      </c>
      <c r="E3320" s="616"/>
      <c r="F3320" s="616"/>
      <c r="G3320" s="616"/>
      <c r="H3320" s="616"/>
      <c r="I3320" s="616"/>
      <c r="J3320" s="645"/>
      <c r="K3320" s="450"/>
      <c r="L3320" s="451"/>
      <c r="M3320" s="448"/>
      <c r="N3320" s="450"/>
      <c r="O3320" s="588">
        <f>TrialBalanceB!I121</f>
        <v>0</v>
      </c>
      <c r="P3320" s="454"/>
      <c r="R3320" s="490" t="str">
        <f t="shared" si="247"/>
        <v>DELETE</v>
      </c>
      <c r="T3320" s="498"/>
    </row>
    <row r="3321" spans="3:20" ht="36" customHeight="1" x14ac:dyDescent="0.45">
      <c r="C3321" s="575"/>
      <c r="D3321" s="616" t="s">
        <v>1256</v>
      </c>
      <c r="E3321" s="616"/>
      <c r="F3321" s="616"/>
      <c r="G3321" s="616"/>
      <c r="H3321" s="616"/>
      <c r="I3321" s="616"/>
      <c r="J3321" s="645"/>
      <c r="K3321" s="450"/>
      <c r="L3321" s="451"/>
      <c r="M3321" s="448"/>
      <c r="N3321" s="450"/>
      <c r="O3321" s="588">
        <f>TrialBalanceB!I156</f>
        <v>0</v>
      </c>
      <c r="P3321" s="454"/>
      <c r="R3321" s="490" t="str">
        <f t="shared" si="247"/>
        <v>DELETE</v>
      </c>
      <c r="T3321" s="498"/>
    </row>
    <row r="3322" spans="3:20" ht="36" customHeight="1" x14ac:dyDescent="0.45">
      <c r="C3322" s="575"/>
      <c r="D3322" s="616" t="s">
        <v>561</v>
      </c>
      <c r="E3322" s="616"/>
      <c r="F3322" s="616"/>
      <c r="G3322" s="616"/>
      <c r="H3322" s="616"/>
      <c r="I3322" s="616"/>
      <c r="J3322" s="645"/>
      <c r="K3322" s="450"/>
      <c r="L3322" s="451"/>
      <c r="M3322" s="448"/>
      <c r="N3322" s="450"/>
      <c r="O3322" s="588">
        <f>TrialBalanceB!I122+TrialBalanceB!I123</f>
        <v>0</v>
      </c>
      <c r="P3322" s="454"/>
      <c r="R3322" s="490" t="str">
        <f t="shared" si="247"/>
        <v>DELETE</v>
      </c>
      <c r="T3322" s="498"/>
    </row>
    <row r="3323" spans="3:20" ht="36" customHeight="1" x14ac:dyDescent="0.45">
      <c r="C3323" s="575"/>
      <c r="D3323" s="616" t="s">
        <v>588</v>
      </c>
      <c r="E3323" s="616"/>
      <c r="F3323" s="616"/>
      <c r="G3323" s="616"/>
      <c r="H3323" s="616"/>
      <c r="I3323" s="616"/>
      <c r="J3323" s="645"/>
      <c r="K3323" s="450"/>
      <c r="L3323" s="451"/>
      <c r="M3323" s="448"/>
      <c r="N3323" s="450"/>
      <c r="O3323" s="588">
        <f>IF(TrialBalanceB!I94&gt;0,TrialBalanceB!I94,0)</f>
        <v>0</v>
      </c>
      <c r="P3323" s="454"/>
      <c r="R3323" s="490" t="str">
        <f t="shared" si="247"/>
        <v>DELETE</v>
      </c>
      <c r="T3323" s="498"/>
    </row>
    <row r="3324" spans="3:20" ht="36" customHeight="1" x14ac:dyDescent="0.45">
      <c r="C3324" s="575"/>
      <c r="D3324" s="616" t="s">
        <v>874</v>
      </c>
      <c r="E3324" s="616"/>
      <c r="F3324" s="616"/>
      <c r="G3324" s="616"/>
      <c r="H3324" s="616"/>
      <c r="I3324" s="616"/>
      <c r="J3324" s="645"/>
      <c r="K3324" s="450"/>
      <c r="L3324" s="451"/>
      <c r="M3324" s="448"/>
      <c r="N3324" s="450"/>
      <c r="O3324" s="588">
        <f>TrialBalanceB!I124</f>
        <v>0</v>
      </c>
      <c r="P3324" s="454"/>
      <c r="R3324" s="490" t="str">
        <f t="shared" si="247"/>
        <v>DELETE</v>
      </c>
      <c r="T3324" s="498"/>
    </row>
    <row r="3325" spans="3:20" ht="36" customHeight="1" x14ac:dyDescent="0.45">
      <c r="C3325" s="575"/>
      <c r="D3325" s="616" t="s">
        <v>293</v>
      </c>
      <c r="E3325" s="616"/>
      <c r="F3325" s="616"/>
      <c r="G3325" s="616"/>
      <c r="H3325" s="616"/>
      <c r="I3325" s="616"/>
      <c r="J3325" s="645"/>
      <c r="K3325" s="450"/>
      <c r="L3325" s="451"/>
      <c r="M3325" s="448"/>
      <c r="N3325" s="450"/>
      <c r="O3325" s="588">
        <f>TrialBalanceB!I125</f>
        <v>0</v>
      </c>
      <c r="P3325" s="454"/>
      <c r="R3325" s="490" t="str">
        <f t="shared" si="247"/>
        <v>DELETE</v>
      </c>
      <c r="T3325" s="498"/>
    </row>
    <row r="3326" spans="3:20" ht="36" customHeight="1" x14ac:dyDescent="0.45">
      <c r="C3326" s="575"/>
      <c r="D3326" s="616" t="s">
        <v>286</v>
      </c>
      <c r="E3326" s="616"/>
      <c r="F3326" s="616"/>
      <c r="G3326" s="616"/>
      <c r="H3326" s="616"/>
      <c r="I3326" s="616"/>
      <c r="J3326" s="645"/>
      <c r="K3326" s="450"/>
      <c r="L3326" s="451"/>
      <c r="M3326" s="448"/>
      <c r="N3326" s="450"/>
      <c r="O3326" s="588">
        <f>SUM(TrialBalanceB!I126:I127)</f>
        <v>0</v>
      </c>
      <c r="P3326" s="454"/>
      <c r="R3326" s="490" t="str">
        <f t="shared" si="247"/>
        <v>DELETE</v>
      </c>
      <c r="T3326" s="498"/>
    </row>
    <row r="3327" spans="3:20" ht="36" customHeight="1" x14ac:dyDescent="0.45">
      <c r="C3327" s="575"/>
      <c r="D3327" s="616" t="s">
        <v>294</v>
      </c>
      <c r="E3327" s="616"/>
      <c r="F3327" s="616"/>
      <c r="G3327" s="616"/>
      <c r="H3327" s="616"/>
      <c r="I3327" s="616"/>
      <c r="J3327" s="645"/>
      <c r="K3327" s="450"/>
      <c r="L3327" s="451"/>
      <c r="M3327" s="448"/>
      <c r="N3327" s="450"/>
      <c r="O3327" s="588">
        <f>TrialBalanceB!I128</f>
        <v>0</v>
      </c>
      <c r="P3327" s="454"/>
      <c r="R3327" s="490" t="str">
        <f t="shared" si="247"/>
        <v>DELETE</v>
      </c>
      <c r="T3327" s="498"/>
    </row>
    <row r="3328" spans="3:20" ht="36" customHeight="1" x14ac:dyDescent="0.45">
      <c r="C3328" s="575"/>
      <c r="D3328" s="616" t="s">
        <v>875</v>
      </c>
      <c r="E3328" s="616"/>
      <c r="F3328" s="616"/>
      <c r="G3328" s="616"/>
      <c r="H3328" s="616"/>
      <c r="I3328" s="616"/>
      <c r="J3328" s="645"/>
      <c r="K3328" s="450"/>
      <c r="L3328" s="451"/>
      <c r="M3328" s="448"/>
      <c r="N3328" s="450"/>
      <c r="O3328" s="588">
        <f>TrialBalanceB!I129</f>
        <v>0</v>
      </c>
      <c r="P3328" s="454"/>
      <c r="R3328" s="490" t="str">
        <f t="shared" si="247"/>
        <v>DELETE</v>
      </c>
      <c r="T3328" s="498"/>
    </row>
    <row r="3329" spans="3:20" ht="36" customHeight="1" x14ac:dyDescent="0.45">
      <c r="C3329" s="575"/>
      <c r="D3329" s="616" t="s">
        <v>94</v>
      </c>
      <c r="E3329" s="616"/>
      <c r="F3329" s="616"/>
      <c r="G3329" s="616"/>
      <c r="H3329" s="616"/>
      <c r="I3329" s="616"/>
      <c r="J3329" s="645"/>
      <c r="K3329" s="450"/>
      <c r="L3329" s="451"/>
      <c r="M3329" s="448"/>
      <c r="N3329" s="450"/>
      <c r="O3329" s="588">
        <f>TrialBalanceB!I130</f>
        <v>0</v>
      </c>
      <c r="P3329" s="454"/>
      <c r="R3329" s="490" t="str">
        <f t="shared" si="247"/>
        <v>DELETE</v>
      </c>
      <c r="T3329" s="498"/>
    </row>
    <row r="3330" spans="3:20" ht="36" customHeight="1" x14ac:dyDescent="0.45">
      <c r="C3330" s="575"/>
      <c r="D3330" s="616">
        <f>TrialBalanceB!C131</f>
        <v>0</v>
      </c>
      <c r="E3330" s="616"/>
      <c r="F3330" s="616"/>
      <c r="G3330" s="616"/>
      <c r="H3330" s="616"/>
      <c r="I3330" s="616"/>
      <c r="J3330" s="645"/>
      <c r="K3330" s="450"/>
      <c r="L3330" s="451"/>
      <c r="M3330" s="448"/>
      <c r="N3330" s="450"/>
      <c r="O3330" s="588">
        <f>TrialBalanceB!I131</f>
        <v>0</v>
      </c>
      <c r="P3330" s="454"/>
      <c r="R3330" s="490" t="str">
        <f t="shared" si="247"/>
        <v>DELETE</v>
      </c>
      <c r="T3330" s="498"/>
    </row>
    <row r="3331" spans="3:20" ht="36" customHeight="1" x14ac:dyDescent="0.45">
      <c r="C3331" s="575"/>
      <c r="D3331" s="616">
        <f>TrialBalanceB!C132</f>
        <v>0</v>
      </c>
      <c r="E3331" s="616"/>
      <c r="F3331" s="616"/>
      <c r="G3331" s="616"/>
      <c r="H3331" s="616"/>
      <c r="I3331" s="616"/>
      <c r="J3331" s="645"/>
      <c r="K3331" s="450"/>
      <c r="L3331" s="451"/>
      <c r="M3331" s="448"/>
      <c r="N3331" s="450"/>
      <c r="O3331" s="588">
        <f>TrialBalanceB!I132</f>
        <v>0</v>
      </c>
      <c r="P3331" s="454"/>
      <c r="R3331" s="490" t="str">
        <f t="shared" si="247"/>
        <v>DELETE</v>
      </c>
      <c r="T3331" s="498"/>
    </row>
    <row r="3332" spans="3:20" ht="36" customHeight="1" x14ac:dyDescent="0.45">
      <c r="C3332" s="575"/>
      <c r="D3332" s="616">
        <f>TrialBalanceB!C133</f>
        <v>0</v>
      </c>
      <c r="E3332" s="616"/>
      <c r="F3332" s="616"/>
      <c r="G3332" s="616"/>
      <c r="H3332" s="616"/>
      <c r="I3332" s="616"/>
      <c r="J3332" s="645"/>
      <c r="K3332" s="450"/>
      <c r="L3332" s="451"/>
      <c r="M3332" s="448"/>
      <c r="N3332" s="450"/>
      <c r="O3332" s="588">
        <f>TrialBalanceB!I133</f>
        <v>0</v>
      </c>
      <c r="P3332" s="454"/>
      <c r="R3332" s="490" t="str">
        <f t="shared" si="247"/>
        <v>DELETE</v>
      </c>
      <c r="T3332" s="498"/>
    </row>
    <row r="3333" spans="3:20" ht="36" customHeight="1" x14ac:dyDescent="0.45">
      <c r="C3333" s="575"/>
      <c r="D3333" s="616">
        <f>TrialBalanceB!C134</f>
        <v>0</v>
      </c>
      <c r="E3333" s="616"/>
      <c r="F3333" s="616"/>
      <c r="G3333" s="616"/>
      <c r="H3333" s="616"/>
      <c r="I3333" s="616"/>
      <c r="J3333" s="645"/>
      <c r="K3333" s="450"/>
      <c r="L3333" s="451"/>
      <c r="M3333" s="448"/>
      <c r="N3333" s="450"/>
      <c r="O3333" s="588">
        <f>TrialBalanceB!I134</f>
        <v>0</v>
      </c>
      <c r="P3333" s="454"/>
      <c r="R3333" s="490" t="str">
        <f t="shared" si="247"/>
        <v>DELETE</v>
      </c>
      <c r="T3333" s="498"/>
    </row>
    <row r="3334" spans="3:20" ht="36" customHeight="1" x14ac:dyDescent="0.45">
      <c r="C3334" s="575"/>
      <c r="D3334" s="616">
        <f>TrialBalanceB!C135</f>
        <v>0</v>
      </c>
      <c r="E3334" s="616"/>
      <c r="F3334" s="616"/>
      <c r="G3334" s="616"/>
      <c r="H3334" s="616"/>
      <c r="I3334" s="616"/>
      <c r="J3334" s="645"/>
      <c r="K3334" s="450"/>
      <c r="L3334" s="451"/>
      <c r="M3334" s="448"/>
      <c r="N3334" s="450"/>
      <c r="O3334" s="588">
        <f>TrialBalanceB!I135</f>
        <v>0</v>
      </c>
      <c r="P3334" s="454"/>
      <c r="R3334" s="490" t="str">
        <f t="shared" si="247"/>
        <v>DELETE</v>
      </c>
      <c r="T3334" s="498"/>
    </row>
    <row r="3335" spans="3:20" ht="36" customHeight="1" x14ac:dyDescent="0.45">
      <c r="C3335" s="575"/>
      <c r="D3335" s="616">
        <f>TrialBalanceB!C136</f>
        <v>0</v>
      </c>
      <c r="E3335" s="616"/>
      <c r="F3335" s="616"/>
      <c r="G3335" s="616"/>
      <c r="H3335" s="616"/>
      <c r="I3335" s="616"/>
      <c r="J3335" s="645"/>
      <c r="K3335" s="450"/>
      <c r="L3335" s="451"/>
      <c r="M3335" s="448"/>
      <c r="N3335" s="450"/>
      <c r="O3335" s="588">
        <f>TrialBalanceB!I136</f>
        <v>0</v>
      </c>
      <c r="P3335" s="454"/>
      <c r="R3335" s="490" t="str">
        <f t="shared" si="247"/>
        <v>DELETE</v>
      </c>
      <c r="T3335" s="498"/>
    </row>
    <row r="3336" spans="3:20" ht="36" customHeight="1" x14ac:dyDescent="0.45">
      <c r="C3336" s="575"/>
      <c r="D3336" s="616">
        <f>TrialBalanceB!C137</f>
        <v>0</v>
      </c>
      <c r="E3336" s="616"/>
      <c r="F3336" s="616"/>
      <c r="G3336" s="616"/>
      <c r="H3336" s="616"/>
      <c r="I3336" s="616"/>
      <c r="J3336" s="645"/>
      <c r="K3336" s="450"/>
      <c r="L3336" s="451"/>
      <c r="M3336" s="448"/>
      <c r="N3336" s="450"/>
      <c r="O3336" s="588">
        <f>TrialBalanceB!I137</f>
        <v>0</v>
      </c>
      <c r="P3336" s="454"/>
      <c r="R3336" s="490" t="str">
        <f t="shared" si="247"/>
        <v>DELETE</v>
      </c>
      <c r="T3336" s="498"/>
    </row>
    <row r="3337" spans="3:20" ht="36" customHeight="1" x14ac:dyDescent="0.45">
      <c r="C3337" s="575"/>
      <c r="D3337" s="616">
        <f>TrialBalanceB!C138</f>
        <v>0</v>
      </c>
      <c r="E3337" s="616"/>
      <c r="F3337" s="616"/>
      <c r="G3337" s="616"/>
      <c r="H3337" s="616"/>
      <c r="I3337" s="616"/>
      <c r="J3337" s="645"/>
      <c r="K3337" s="450"/>
      <c r="L3337" s="451"/>
      <c r="M3337" s="448"/>
      <c r="N3337" s="450"/>
      <c r="O3337" s="588">
        <f>TrialBalanceB!I138</f>
        <v>0</v>
      </c>
      <c r="P3337" s="454"/>
      <c r="R3337" s="490" t="str">
        <f t="shared" si="247"/>
        <v>DELETE</v>
      </c>
      <c r="T3337" s="498"/>
    </row>
    <row r="3338" spans="3:20" ht="36" customHeight="1" x14ac:dyDescent="0.45">
      <c r="C3338" s="575"/>
      <c r="D3338" s="616">
        <f>TrialBalanceB!C139</f>
        <v>0</v>
      </c>
      <c r="E3338" s="616"/>
      <c r="F3338" s="616"/>
      <c r="G3338" s="616"/>
      <c r="H3338" s="616"/>
      <c r="I3338" s="616"/>
      <c r="J3338" s="645"/>
      <c r="K3338" s="450"/>
      <c r="L3338" s="451"/>
      <c r="M3338" s="448"/>
      <c r="N3338" s="450"/>
      <c r="O3338" s="588">
        <f>TrialBalanceB!I139</f>
        <v>0</v>
      </c>
      <c r="P3338" s="454"/>
      <c r="R3338" s="490" t="str">
        <f t="shared" si="247"/>
        <v>DELETE</v>
      </c>
      <c r="T3338" s="498"/>
    </row>
    <row r="3339" spans="3:20" ht="36" customHeight="1" x14ac:dyDescent="0.45">
      <c r="C3339" s="575"/>
      <c r="D3339" s="616" t="str">
        <f>TrialBalanceB!C140</f>
        <v>Amortisation of prepaid lease agreement</v>
      </c>
      <c r="E3339" s="616"/>
      <c r="F3339" s="616"/>
      <c r="G3339" s="616"/>
      <c r="H3339" s="616"/>
      <c r="I3339" s="616"/>
      <c r="J3339" s="645"/>
      <c r="K3339" s="450"/>
      <c r="L3339" s="451"/>
      <c r="M3339" s="448"/>
      <c r="N3339" s="450"/>
      <c r="O3339" s="588">
        <f>TrialBalanceB!I140</f>
        <v>0</v>
      </c>
      <c r="P3339" s="454"/>
      <c r="R3339" s="490" t="str">
        <f t="shared" si="247"/>
        <v>DELETE</v>
      </c>
      <c r="T3339" s="498"/>
    </row>
    <row r="3340" spans="3:20" ht="36" customHeight="1" x14ac:dyDescent="0.45">
      <c r="C3340" s="575"/>
      <c r="D3340" s="616" t="str">
        <f>TrialBalanceB!C141</f>
        <v>Amortisation of goodwill</v>
      </c>
      <c r="E3340" s="616"/>
      <c r="F3340" s="616"/>
      <c r="G3340" s="616"/>
      <c r="H3340" s="616"/>
      <c r="I3340" s="616"/>
      <c r="J3340" s="645"/>
      <c r="K3340" s="450"/>
      <c r="L3340" s="451"/>
      <c r="M3340" s="448"/>
      <c r="N3340" s="450"/>
      <c r="O3340" s="588">
        <f>TrialBalanceB!I141</f>
        <v>0</v>
      </c>
      <c r="P3340" s="454"/>
      <c r="R3340" s="490" t="str">
        <f t="shared" ref="R3340" si="249">IF(R$3206="DELETE","DELETE",IF(O3340=0,"DELETE"," "))</f>
        <v>DELETE</v>
      </c>
      <c r="T3340" s="498"/>
    </row>
    <row r="3341" spans="3:20" ht="9" customHeight="1" x14ac:dyDescent="0.45">
      <c r="C3341" s="575"/>
      <c r="D3341" s="616"/>
      <c r="E3341" s="616"/>
      <c r="F3341" s="616"/>
      <c r="G3341" s="616"/>
      <c r="H3341" s="616"/>
      <c r="I3341" s="616"/>
      <c r="J3341" s="645"/>
      <c r="K3341" s="450"/>
      <c r="L3341" s="451"/>
      <c r="M3341" s="448"/>
      <c r="N3341" s="450"/>
      <c r="O3341" s="589"/>
      <c r="P3341" s="454"/>
      <c r="R3341" s="490" t="str">
        <f>R3305</f>
        <v>DELETE</v>
      </c>
      <c r="T3341" s="498"/>
    </row>
    <row r="3342" spans="3:20" ht="9" customHeight="1" x14ac:dyDescent="0.45">
      <c r="C3342" s="575"/>
      <c r="D3342" s="616"/>
      <c r="E3342" s="616"/>
      <c r="F3342" s="616"/>
      <c r="G3342" s="616"/>
      <c r="H3342" s="616"/>
      <c r="I3342" s="616"/>
      <c r="J3342" s="645"/>
      <c r="K3342" s="450"/>
      <c r="L3342" s="451"/>
      <c r="M3342" s="448"/>
      <c r="N3342" s="450"/>
      <c r="O3342" s="461"/>
      <c r="P3342" s="454"/>
      <c r="R3342" s="490" t="str">
        <f t="shared" ref="R3342:R3345" si="250">R$3206</f>
        <v>DELETE</v>
      </c>
      <c r="T3342" s="498"/>
    </row>
    <row r="3343" spans="3:20" ht="9" customHeight="1" x14ac:dyDescent="0.45">
      <c r="C3343" s="575"/>
      <c r="D3343" s="616"/>
      <c r="E3343" s="616"/>
      <c r="F3343" s="616"/>
      <c r="G3343" s="616"/>
      <c r="H3343" s="616"/>
      <c r="I3343" s="616"/>
      <c r="J3343" s="645"/>
      <c r="K3343" s="450"/>
      <c r="L3343" s="451"/>
      <c r="M3343" s="448"/>
      <c r="N3343" s="450"/>
      <c r="O3343" s="458"/>
      <c r="P3343" s="454"/>
      <c r="R3343" s="490" t="str">
        <f t="shared" si="250"/>
        <v>DELETE</v>
      </c>
      <c r="T3343" s="498"/>
    </row>
    <row r="3344" spans="3:20" ht="36" customHeight="1" x14ac:dyDescent="0.45">
      <c r="D3344" s="637" t="str">
        <f>IF(O3344&lt;0,"Operating loss for the year","Operating profit for the year")</f>
        <v>Operating profit for the year</v>
      </c>
      <c r="E3344" s="616"/>
      <c r="F3344" s="616"/>
      <c r="G3344" s="616"/>
      <c r="H3344" s="616"/>
      <c r="I3344" s="616"/>
      <c r="J3344" s="645"/>
      <c r="K3344" s="450">
        <f>'FS2'!B1212</f>
        <v>4</v>
      </c>
      <c r="L3344" s="451"/>
      <c r="M3344" s="448"/>
      <c r="N3344" s="450"/>
      <c r="O3344" s="458">
        <f>SUM(S3218:S3341)</f>
        <v>0</v>
      </c>
      <c r="P3344" s="454"/>
      <c r="R3344" s="490" t="str">
        <f t="shared" si="250"/>
        <v>DELETE</v>
      </c>
      <c r="T3344" s="498"/>
    </row>
    <row r="3345" spans="3:22" ht="36" customHeight="1" x14ac:dyDescent="0.45">
      <c r="C3345" s="575"/>
      <c r="D3345" s="616"/>
      <c r="E3345" s="616"/>
      <c r="F3345" s="616"/>
      <c r="G3345" s="616"/>
      <c r="H3345" s="616"/>
      <c r="I3345" s="616"/>
      <c r="J3345" s="645"/>
      <c r="K3345" s="450"/>
      <c r="L3345" s="451"/>
      <c r="M3345" s="448"/>
      <c r="N3345" s="450"/>
      <c r="O3345" s="458"/>
      <c r="P3345" s="454"/>
      <c r="R3345" s="490" t="str">
        <f t="shared" si="250"/>
        <v>DELETE</v>
      </c>
      <c r="T3345" s="498"/>
    </row>
    <row r="3346" spans="3:22" ht="36" customHeight="1" x14ac:dyDescent="0.45">
      <c r="D3346" s="615" t="s">
        <v>225</v>
      </c>
      <c r="E3346" s="616"/>
      <c r="F3346" s="616"/>
      <c r="G3346" s="616"/>
      <c r="H3346" s="616"/>
      <c r="I3346" s="616"/>
      <c r="J3346" s="645"/>
      <c r="K3346" s="450">
        <f>'FS2'!B1325</f>
        <v>5</v>
      </c>
      <c r="L3346" s="451"/>
      <c r="M3346" s="448"/>
      <c r="N3346" s="450"/>
      <c r="O3346" s="458">
        <f>SUM(O3349:O3355)</f>
        <v>0</v>
      </c>
      <c r="P3346" s="454"/>
      <c r="R3346" s="490" t="str">
        <f t="shared" ref="R3346" si="251">IF(R$3206="DELETE","DELETE",IF(O3346=0,"DELETE"," "))</f>
        <v>DELETE</v>
      </c>
      <c r="S3346" s="495">
        <f>O3346</f>
        <v>0</v>
      </c>
      <c r="T3346" s="498"/>
      <c r="U3346" s="495"/>
      <c r="V3346" s="495"/>
    </row>
    <row r="3347" spans="3:22" ht="9" customHeight="1" x14ac:dyDescent="0.45">
      <c r="C3347" s="575"/>
      <c r="D3347" s="616"/>
      <c r="E3347" s="616"/>
      <c r="F3347" s="616"/>
      <c r="G3347" s="616"/>
      <c r="H3347" s="616"/>
      <c r="I3347" s="616"/>
      <c r="J3347" s="645"/>
      <c r="K3347" s="450"/>
      <c r="L3347" s="451"/>
      <c r="M3347" s="448"/>
      <c r="N3347" s="450"/>
      <c r="O3347" s="458"/>
      <c r="P3347" s="454"/>
      <c r="R3347" s="490" t="str">
        <f>R3346</f>
        <v>DELETE</v>
      </c>
      <c r="T3347" s="498"/>
    </row>
    <row r="3348" spans="3:22" ht="9" customHeight="1" x14ac:dyDescent="0.45">
      <c r="C3348" s="575"/>
      <c r="D3348" s="616"/>
      <c r="E3348" s="616"/>
      <c r="F3348" s="616"/>
      <c r="G3348" s="616"/>
      <c r="H3348" s="616"/>
      <c r="I3348" s="616"/>
      <c r="J3348" s="645"/>
      <c r="K3348" s="450"/>
      <c r="L3348" s="451"/>
      <c r="M3348" s="448"/>
      <c r="N3348" s="450"/>
      <c r="O3348" s="587"/>
      <c r="P3348" s="454"/>
      <c r="R3348" s="490" t="str">
        <f>R3347</f>
        <v>DELETE</v>
      </c>
      <c r="T3348" s="498"/>
    </row>
    <row r="3349" spans="3:22" ht="36" customHeight="1" x14ac:dyDescent="0.45">
      <c r="C3349" s="575"/>
      <c r="D3349" s="616" t="s">
        <v>223</v>
      </c>
      <c r="E3349" s="616"/>
      <c r="F3349" s="616"/>
      <c r="G3349" s="616"/>
      <c r="H3349" s="616"/>
      <c r="I3349" s="616"/>
      <c r="J3349" s="645"/>
      <c r="K3349" s="450"/>
      <c r="L3349" s="451"/>
      <c r="M3349" s="448"/>
      <c r="N3349" s="450"/>
      <c r="O3349" s="588">
        <f>-TrialBalanceB!I95</f>
        <v>0</v>
      </c>
      <c r="P3349" s="454"/>
      <c r="R3349" s="490" t="str">
        <f t="shared" ref="R3349:R3354" si="252">IF(R$3206="DELETE","DELETE",IF(O3349=0,"DELETE"," "))</f>
        <v>DELETE</v>
      </c>
      <c r="T3349" s="498"/>
    </row>
    <row r="3350" spans="3:22" ht="36" customHeight="1" x14ac:dyDescent="0.45">
      <c r="C3350" s="575"/>
      <c r="D3350" s="616" t="s">
        <v>567</v>
      </c>
      <c r="E3350" s="616"/>
      <c r="F3350" s="616"/>
      <c r="G3350" s="616"/>
      <c r="H3350" s="616"/>
      <c r="I3350" s="616"/>
      <c r="J3350" s="645"/>
      <c r="K3350" s="450"/>
      <c r="L3350" s="451"/>
      <c r="M3350" s="448"/>
      <c r="N3350" s="450"/>
      <c r="O3350" s="588">
        <f>-SUM(TrialBalanceB!I91:I93)</f>
        <v>0</v>
      </c>
      <c r="P3350" s="454"/>
      <c r="R3350" s="490" t="str">
        <f t="shared" si="252"/>
        <v>DELETE</v>
      </c>
      <c r="T3350" s="498"/>
    </row>
    <row r="3351" spans="3:22" ht="36" customHeight="1" x14ac:dyDescent="0.45">
      <c r="C3351" s="575"/>
      <c r="D3351" s="616" t="s">
        <v>568</v>
      </c>
      <c r="E3351" s="616"/>
      <c r="F3351" s="616"/>
      <c r="G3351" s="616"/>
      <c r="H3351" s="616"/>
      <c r="I3351" s="616"/>
      <c r="J3351" s="645"/>
      <c r="K3351" s="450"/>
      <c r="L3351" s="451"/>
      <c r="M3351" s="448"/>
      <c r="N3351" s="450"/>
      <c r="O3351" s="604">
        <f>-SUM(TrialBalanceB!I86:I89)</f>
        <v>0</v>
      </c>
      <c r="P3351" s="454"/>
      <c r="R3351" s="490" t="str">
        <f t="shared" si="252"/>
        <v>DELETE</v>
      </c>
      <c r="T3351" s="498"/>
    </row>
    <row r="3352" spans="3:22" ht="36" customHeight="1" x14ac:dyDescent="0.45">
      <c r="C3352" s="575"/>
      <c r="D3352" s="616" t="s">
        <v>225</v>
      </c>
      <c r="E3352" s="616"/>
      <c r="F3352" s="616"/>
      <c r="G3352" s="616"/>
      <c r="H3352" s="616"/>
      <c r="I3352" s="616"/>
      <c r="J3352" s="645"/>
      <c r="K3352" s="450"/>
      <c r="L3352" s="451"/>
      <c r="M3352" s="448"/>
      <c r="N3352" s="450"/>
      <c r="O3352" s="604">
        <f>-SUM(TrialBalanceB!I96)</f>
        <v>0</v>
      </c>
      <c r="P3352" s="454"/>
      <c r="R3352" s="490" t="str">
        <f t="shared" si="252"/>
        <v>DELETE</v>
      </c>
      <c r="T3352" s="498"/>
    </row>
    <row r="3353" spans="3:22" ht="36" customHeight="1" x14ac:dyDescent="0.45">
      <c r="C3353" s="575"/>
      <c r="D3353" s="616" t="s">
        <v>589</v>
      </c>
      <c r="E3353" s="616"/>
      <c r="F3353" s="616"/>
      <c r="G3353" s="616"/>
      <c r="H3353" s="616"/>
      <c r="I3353" s="616"/>
      <c r="J3353" s="645"/>
      <c r="K3353" s="450"/>
      <c r="L3353" s="451"/>
      <c r="M3353" s="448"/>
      <c r="N3353" s="450"/>
      <c r="O3353" s="588">
        <f>IF(TrialBalanceB!I94&lt;0,-TrialBalanceB!I94,0)</f>
        <v>0</v>
      </c>
      <c r="P3353" s="454"/>
      <c r="R3353" s="490" t="str">
        <f t="shared" si="252"/>
        <v>DELETE</v>
      </c>
      <c r="T3353" s="498"/>
    </row>
    <row r="3354" spans="3:22" ht="36" customHeight="1" x14ac:dyDescent="0.45">
      <c r="C3354" s="575"/>
      <c r="D3354" s="616" t="s">
        <v>398</v>
      </c>
      <c r="E3354" s="616"/>
      <c r="F3354" s="616"/>
      <c r="G3354" s="616"/>
      <c r="H3354" s="616"/>
      <c r="I3354" s="616"/>
      <c r="J3354" s="645"/>
      <c r="K3354" s="450"/>
      <c r="L3354" s="451"/>
      <c r="M3354" s="448"/>
      <c r="N3354" s="450"/>
      <c r="O3354" s="588">
        <f>-TrialBalanceB!I84</f>
        <v>0</v>
      </c>
      <c r="P3354" s="454"/>
      <c r="R3354" s="490" t="str">
        <f t="shared" si="252"/>
        <v>DELETE</v>
      </c>
      <c r="T3354" s="498"/>
    </row>
    <row r="3355" spans="3:22" ht="9" customHeight="1" x14ac:dyDescent="0.45">
      <c r="C3355" s="575"/>
      <c r="D3355" s="616"/>
      <c r="E3355" s="616"/>
      <c r="F3355" s="616"/>
      <c r="G3355" s="616"/>
      <c r="H3355" s="616"/>
      <c r="I3355" s="616"/>
      <c r="J3355" s="645"/>
      <c r="K3355" s="450"/>
      <c r="L3355" s="451"/>
      <c r="M3355" s="448"/>
      <c r="N3355" s="450"/>
      <c r="O3355" s="589"/>
      <c r="P3355" s="454"/>
      <c r="R3355" s="490" t="str">
        <f>R3346</f>
        <v>DELETE</v>
      </c>
      <c r="T3355" s="498"/>
    </row>
    <row r="3356" spans="3:22" ht="9" customHeight="1" x14ac:dyDescent="0.45">
      <c r="C3356" s="575"/>
      <c r="D3356" s="616"/>
      <c r="E3356" s="616"/>
      <c r="F3356" s="616"/>
      <c r="G3356" s="616"/>
      <c r="H3356" s="616"/>
      <c r="I3356" s="616"/>
      <c r="J3356" s="645"/>
      <c r="K3356" s="450"/>
      <c r="L3356" s="451"/>
      <c r="M3356" s="448"/>
      <c r="N3356" s="450"/>
      <c r="O3356" s="461"/>
      <c r="P3356" s="454"/>
      <c r="R3356" s="490" t="str">
        <f>R$3358</f>
        <v>DELETE</v>
      </c>
      <c r="T3356" s="498"/>
    </row>
    <row r="3357" spans="3:22" ht="9" customHeight="1" x14ac:dyDescent="0.45">
      <c r="C3357" s="575"/>
      <c r="D3357" s="616"/>
      <c r="E3357" s="616"/>
      <c r="F3357" s="616"/>
      <c r="G3357" s="616"/>
      <c r="H3357" s="616"/>
      <c r="I3357" s="616"/>
      <c r="J3357" s="645"/>
      <c r="K3357" s="450"/>
      <c r="L3357" s="451"/>
      <c r="M3357" s="448"/>
      <c r="N3357" s="450"/>
      <c r="O3357" s="458"/>
      <c r="P3357" s="454"/>
      <c r="R3357" s="490" t="str">
        <f>R$3358</f>
        <v>DELETE</v>
      </c>
      <c r="T3357" s="498"/>
    </row>
    <row r="3358" spans="3:22" ht="36" customHeight="1" x14ac:dyDescent="0.45">
      <c r="C3358" s="575"/>
      <c r="D3358" s="616"/>
      <c r="E3358" s="616"/>
      <c r="F3358" s="616"/>
      <c r="G3358" s="616"/>
      <c r="H3358" s="616"/>
      <c r="I3358" s="616"/>
      <c r="J3358" s="645"/>
      <c r="K3358" s="450"/>
      <c r="L3358" s="451"/>
      <c r="M3358" s="448"/>
      <c r="N3358" s="450"/>
      <c r="O3358" s="458">
        <f>SUM(S3218:S3355)</f>
        <v>0</v>
      </c>
      <c r="P3358" s="454"/>
      <c r="R3358" s="490" t="str">
        <f>IF(R$3206="DELETE","DELETE",IF(O3346=0,"DELETE",IF(O3358=O3363,"DELETE"," ")))</f>
        <v>DELETE</v>
      </c>
      <c r="T3358" s="498"/>
    </row>
    <row r="3359" spans="3:22" ht="36" customHeight="1" x14ac:dyDescent="0.45">
      <c r="C3359" s="575"/>
      <c r="D3359" s="616"/>
      <c r="E3359" s="616"/>
      <c r="F3359" s="616"/>
      <c r="G3359" s="616"/>
      <c r="H3359" s="616"/>
      <c r="I3359" s="616"/>
      <c r="J3359" s="645"/>
      <c r="K3359" s="450"/>
      <c r="L3359" s="451"/>
      <c r="M3359" s="448"/>
      <c r="N3359" s="450"/>
      <c r="O3359" s="458"/>
      <c r="P3359" s="454"/>
      <c r="R3359" s="490" t="str">
        <f>R3358</f>
        <v>DELETE</v>
      </c>
      <c r="T3359" s="498"/>
    </row>
    <row r="3360" spans="3:22" ht="36" customHeight="1" x14ac:dyDescent="0.45">
      <c r="D3360" s="616" t="s">
        <v>1534</v>
      </c>
      <c r="E3360" s="616"/>
      <c r="F3360" s="616"/>
      <c r="G3360" s="616"/>
      <c r="H3360" s="616"/>
      <c r="I3360" s="616"/>
      <c r="J3360" s="645"/>
      <c r="K3360" s="450">
        <f>'FS2'!B1384</f>
        <v>6</v>
      </c>
      <c r="L3360" s="451"/>
      <c r="M3360" s="448"/>
      <c r="N3360" s="450"/>
      <c r="O3360" s="458">
        <f>SUM(TrialBalanceB!I144:I154)</f>
        <v>0</v>
      </c>
      <c r="P3360" s="454"/>
      <c r="R3360" s="490" t="str">
        <f t="shared" ref="R3360" si="253">IF(R$3206="DELETE","DELETE",IF(O3360=0,"DELETE"," "))</f>
        <v>DELETE</v>
      </c>
      <c r="S3360" s="495">
        <f>-O3360</f>
        <v>0</v>
      </c>
      <c r="T3360" s="498"/>
      <c r="U3360" s="495"/>
      <c r="V3360" s="495"/>
    </row>
    <row r="3361" spans="3:51" ht="9" customHeight="1" x14ac:dyDescent="0.45">
      <c r="C3361" s="575"/>
      <c r="D3361" s="616"/>
      <c r="E3361" s="616"/>
      <c r="F3361" s="616"/>
      <c r="G3361" s="616"/>
      <c r="H3361" s="616"/>
      <c r="I3361" s="616"/>
      <c r="J3361" s="645"/>
      <c r="K3361" s="450"/>
      <c r="L3361" s="451"/>
      <c r="M3361" s="448"/>
      <c r="N3361" s="450"/>
      <c r="O3361" s="461"/>
      <c r="P3361" s="454"/>
      <c r="R3361" s="490" t="str">
        <f t="shared" ref="R3361:R3369" si="254">R$3206</f>
        <v>DELETE</v>
      </c>
      <c r="T3361" s="498"/>
    </row>
    <row r="3362" spans="3:51" ht="9" customHeight="1" x14ac:dyDescent="0.45">
      <c r="C3362" s="575"/>
      <c r="D3362" s="616"/>
      <c r="E3362" s="616"/>
      <c r="F3362" s="616"/>
      <c r="G3362" s="616"/>
      <c r="H3362" s="616"/>
      <c r="I3362" s="616"/>
      <c r="J3362" s="645"/>
      <c r="K3362" s="450"/>
      <c r="L3362" s="451"/>
      <c r="M3362" s="448"/>
      <c r="N3362" s="450"/>
      <c r="O3362" s="458"/>
      <c r="P3362" s="454"/>
      <c r="R3362" s="490" t="str">
        <f t="shared" si="254"/>
        <v>DELETE</v>
      </c>
      <c r="T3362" s="498"/>
    </row>
    <row r="3363" spans="3:51" ht="36.75" customHeight="1" x14ac:dyDescent="0.45">
      <c r="D3363" s="637" t="str">
        <f>IF(O3363&lt;0,"Loss before taxation","Profit before taxation")</f>
        <v>Profit before taxation</v>
      </c>
      <c r="E3363" s="616"/>
      <c r="F3363" s="616"/>
      <c r="G3363" s="616"/>
      <c r="H3363" s="616"/>
      <c r="I3363" s="616"/>
      <c r="J3363" s="645"/>
      <c r="K3363" s="450"/>
      <c r="L3363" s="451"/>
      <c r="M3363" s="448"/>
      <c r="N3363" s="450"/>
      <c r="O3363" s="458">
        <f>SUM(S3218:S3362)</f>
        <v>0</v>
      </c>
      <c r="P3363" s="454"/>
      <c r="R3363" s="490" t="str">
        <f t="shared" si="254"/>
        <v>DELETE</v>
      </c>
      <c r="T3363" s="498"/>
      <c r="U3363" s="491" t="b">
        <f>O3363='FS2'!O2884</f>
        <v>1</v>
      </c>
    </row>
    <row r="3364" spans="3:51" ht="9" customHeight="1" thickBot="1" x14ac:dyDescent="0.5">
      <c r="C3364" s="575"/>
      <c r="D3364" s="616"/>
      <c r="E3364" s="616"/>
      <c r="F3364" s="616"/>
      <c r="G3364" s="616"/>
      <c r="H3364" s="616"/>
      <c r="I3364" s="616"/>
      <c r="J3364" s="645"/>
      <c r="K3364" s="450"/>
      <c r="L3364" s="451"/>
      <c r="M3364" s="448"/>
      <c r="N3364" s="450"/>
      <c r="O3364" s="462"/>
      <c r="P3364" s="454"/>
      <c r="R3364" s="490" t="str">
        <f t="shared" si="254"/>
        <v>DELETE</v>
      </c>
      <c r="T3364" s="498"/>
    </row>
    <row r="3365" spans="3:51" ht="9" customHeight="1" thickTop="1" x14ac:dyDescent="0.45">
      <c r="C3365" s="575"/>
      <c r="D3365" s="616"/>
      <c r="E3365" s="616"/>
      <c r="F3365" s="616"/>
      <c r="G3365" s="616"/>
      <c r="H3365" s="616"/>
      <c r="I3365" s="616"/>
      <c r="J3365" s="645"/>
      <c r="K3365" s="450"/>
      <c r="L3365" s="451"/>
      <c r="M3365" s="448"/>
      <c r="N3365" s="450"/>
      <c r="O3365" s="458"/>
      <c r="P3365" s="454"/>
      <c r="R3365" s="490" t="str">
        <f t="shared" si="254"/>
        <v>DELETE</v>
      </c>
      <c r="T3365" s="498"/>
    </row>
    <row r="3366" spans="3:51" ht="36" customHeight="1" x14ac:dyDescent="0.45">
      <c r="C3366" s="575"/>
      <c r="D3366" s="616"/>
      <c r="E3366" s="616"/>
      <c r="F3366" s="616"/>
      <c r="G3366" s="616"/>
      <c r="H3366" s="616"/>
      <c r="I3366" s="616"/>
      <c r="J3366" s="645"/>
      <c r="K3366" s="450"/>
      <c r="L3366" s="451"/>
      <c r="M3366" s="448"/>
      <c r="N3366" s="450"/>
      <c r="O3366" s="458"/>
      <c r="P3366" s="454"/>
      <c r="R3366" s="490" t="str">
        <f t="shared" si="254"/>
        <v>DELETE</v>
      </c>
      <c r="T3366" s="498"/>
    </row>
    <row r="3367" spans="3:51" ht="36" customHeight="1" x14ac:dyDescent="0.45">
      <c r="C3367" s="575"/>
      <c r="D3367" s="616"/>
      <c r="E3367" s="616"/>
      <c r="F3367" s="616"/>
      <c r="G3367" s="616"/>
      <c r="H3367" s="616"/>
      <c r="I3367" s="616"/>
      <c r="J3367" s="645"/>
      <c r="K3367" s="450"/>
      <c r="L3367" s="450"/>
      <c r="M3367" s="458"/>
      <c r="N3367" s="458"/>
      <c r="O3367" s="458"/>
      <c r="P3367" s="454"/>
      <c r="R3367" s="490" t="str">
        <f t="shared" si="254"/>
        <v>DELETE</v>
      </c>
      <c r="T3367" s="498"/>
    </row>
    <row r="3368" spans="3:51" ht="36" customHeight="1" x14ac:dyDescent="0.5">
      <c r="C3368" s="520"/>
      <c r="D3368" s="616"/>
      <c r="E3368" s="616"/>
      <c r="F3368" s="616"/>
      <c r="G3368" s="616"/>
      <c r="H3368" s="616"/>
      <c r="I3368" s="616"/>
      <c r="J3368" s="616"/>
      <c r="M3368" s="555"/>
      <c r="N3368" s="555"/>
      <c r="O3368" s="555"/>
      <c r="P3368" s="545"/>
      <c r="R3368" s="490" t="str">
        <f t="shared" si="254"/>
        <v>DELETE</v>
      </c>
      <c r="T3368" s="498"/>
    </row>
    <row r="3369" spans="3:51" ht="36" customHeight="1" x14ac:dyDescent="0.5">
      <c r="C3369" s="520"/>
      <c r="D3369" s="616"/>
      <c r="E3369" s="616"/>
      <c r="F3369" s="616"/>
      <c r="G3369" s="616"/>
      <c r="H3369" s="616"/>
      <c r="I3369" s="616"/>
      <c r="J3369" s="616"/>
      <c r="M3369" s="541"/>
      <c r="N3369" s="541"/>
      <c r="O3369" s="541"/>
      <c r="R3369" s="490" t="str">
        <f t="shared" si="254"/>
        <v>DELETE</v>
      </c>
      <c r="T3369" s="498"/>
    </row>
    <row r="3370" spans="3:51" ht="36" customHeight="1" x14ac:dyDescent="0.5">
      <c r="C3370" s="520"/>
      <c r="D3370" s="616"/>
      <c r="E3370" s="616"/>
      <c r="F3370" s="616"/>
      <c r="G3370" s="616"/>
      <c r="H3370" s="616"/>
      <c r="I3370" s="616"/>
      <c r="J3370" s="616"/>
      <c r="M3370" s="541"/>
      <c r="N3370" s="541"/>
      <c r="O3370" s="458" t="s">
        <v>112</v>
      </c>
      <c r="Q3370" s="450">
        <v>1</v>
      </c>
      <c r="R3370" s="490" t="str">
        <f>IF(SUM(S3382:S3384)+SUM(S3402:S3409)+SUM(S3510:S3519)+O3527=0,"DELETE"," ")</f>
        <v>DELETE</v>
      </c>
      <c r="U3370" s="494"/>
      <c r="V3370" s="494"/>
    </row>
    <row r="3371" spans="3:51" ht="36" customHeight="1" x14ac:dyDescent="0.5">
      <c r="C3371" s="520"/>
      <c r="D3371" s="615" t="s">
        <v>705</v>
      </c>
      <c r="E3371" s="616"/>
      <c r="F3371" s="616"/>
      <c r="G3371" s="616"/>
      <c r="H3371" s="616"/>
      <c r="I3371" s="616"/>
      <c r="J3371" s="616"/>
      <c r="M3371" s="541"/>
      <c r="N3371" s="541"/>
      <c r="O3371" s="541"/>
      <c r="R3371" s="490" t="str">
        <f>R$3370</f>
        <v>DELETE</v>
      </c>
      <c r="U3371" s="493"/>
    </row>
    <row r="3372" spans="3:51" ht="36" customHeight="1" x14ac:dyDescent="0.5">
      <c r="C3372" s="520"/>
      <c r="D3372" s="616"/>
      <c r="E3372" s="616"/>
      <c r="F3372" s="616"/>
      <c r="G3372" s="616"/>
      <c r="H3372" s="616"/>
      <c r="I3372" s="616"/>
      <c r="J3372" s="616"/>
      <c r="M3372" s="541"/>
      <c r="N3372" s="541"/>
      <c r="O3372" s="541"/>
      <c r="R3372" s="490" t="str">
        <f t="shared" ref="R3372:R3381" si="255">R$3370</f>
        <v>DELETE</v>
      </c>
    </row>
    <row r="3373" spans="3:51" ht="36" customHeight="1" x14ac:dyDescent="0.5">
      <c r="C3373" s="520"/>
      <c r="D3373" s="615" t="str">
        <f>Criteria!E9</f>
        <v>ABC COMPANY (PROPRIETARY) LIMITED</v>
      </c>
      <c r="E3373" s="616"/>
      <c r="F3373" s="616"/>
      <c r="G3373" s="616"/>
      <c r="H3373" s="616"/>
      <c r="I3373" s="616"/>
      <c r="J3373" s="616"/>
      <c r="M3373" s="541"/>
      <c r="N3373" s="541"/>
      <c r="O3373" s="540"/>
      <c r="R3373" s="490" t="str">
        <f t="shared" si="255"/>
        <v>DELETE</v>
      </c>
    </row>
    <row r="3374" spans="3:51" s="448" customFormat="1" ht="36" customHeight="1" x14ac:dyDescent="0.5">
      <c r="C3374" s="520"/>
      <c r="D3374" s="615" t="str">
        <f>CONCATENATE("T/A ",Criteria!E16)</f>
        <v xml:space="preserve">T/A </v>
      </c>
      <c r="E3374" s="616"/>
      <c r="F3374" s="616"/>
      <c r="G3374" s="616"/>
      <c r="H3374" s="616"/>
      <c r="I3374" s="616"/>
      <c r="J3374" s="616"/>
      <c r="M3374" s="541"/>
      <c r="N3374" s="541"/>
      <c r="O3374" s="541"/>
      <c r="P3374" s="540"/>
      <c r="R3374" s="490" t="str">
        <f t="shared" si="255"/>
        <v>DELETE</v>
      </c>
      <c r="S3374" s="491"/>
      <c r="T3374" s="491"/>
      <c r="U3374" s="491"/>
      <c r="V3374" s="491"/>
      <c r="W3374" s="491"/>
      <c r="X3374" s="491"/>
      <c r="Y3374" s="498"/>
      <c r="Z3374" s="498"/>
      <c r="AA3374" s="492"/>
      <c r="AB3374" s="39"/>
      <c r="AC3374" s="39"/>
      <c r="AD3374" s="39"/>
      <c r="AE3374" s="39"/>
      <c r="AF3374" s="39"/>
      <c r="AG3374" s="39"/>
      <c r="AH3374" s="39"/>
      <c r="AI3374" s="39"/>
      <c r="AJ3374" s="39"/>
      <c r="AK3374" s="39"/>
      <c r="AL3374" s="39"/>
      <c r="AM3374" s="39"/>
      <c r="AN3374" s="39"/>
      <c r="AO3374" s="39"/>
      <c r="AP3374" s="39"/>
      <c r="AQ3374" s="39"/>
      <c r="AR3374" s="39"/>
      <c r="AS3374" s="39"/>
      <c r="AT3374" s="39"/>
      <c r="AU3374" s="39"/>
      <c r="AV3374" s="39"/>
      <c r="AW3374" s="39"/>
      <c r="AX3374" s="39"/>
      <c r="AY3374" s="39"/>
    </row>
    <row r="3375" spans="3:51" s="448" customFormat="1" ht="36" customHeight="1" x14ac:dyDescent="0.5">
      <c r="C3375" s="520"/>
      <c r="D3375" s="616"/>
      <c r="E3375" s="616"/>
      <c r="F3375" s="616"/>
      <c r="G3375" s="616"/>
      <c r="H3375" s="616"/>
      <c r="I3375" s="616"/>
      <c r="J3375" s="616"/>
      <c r="M3375" s="541"/>
      <c r="N3375" s="541"/>
      <c r="O3375" s="541"/>
      <c r="P3375" s="540"/>
      <c r="R3375" s="490" t="str">
        <f t="shared" si="255"/>
        <v>DELETE</v>
      </c>
      <c r="S3375" s="491"/>
      <c r="T3375" s="491"/>
      <c r="U3375" s="491"/>
      <c r="V3375" s="491"/>
      <c r="W3375" s="491"/>
      <c r="X3375" s="491"/>
      <c r="Y3375" s="498"/>
      <c r="Z3375" s="498"/>
      <c r="AA3375" s="492"/>
      <c r="AB3375" s="39"/>
      <c r="AC3375" s="39"/>
      <c r="AD3375" s="39"/>
      <c r="AE3375" s="39"/>
      <c r="AF3375" s="39"/>
      <c r="AG3375" s="39"/>
      <c r="AH3375" s="39"/>
      <c r="AI3375" s="39"/>
      <c r="AJ3375" s="39"/>
      <c r="AK3375" s="39"/>
      <c r="AL3375" s="39"/>
      <c r="AM3375" s="39"/>
      <c r="AN3375" s="39"/>
      <c r="AO3375" s="39"/>
      <c r="AP3375" s="39"/>
      <c r="AQ3375" s="39"/>
      <c r="AR3375" s="39"/>
      <c r="AS3375" s="39"/>
      <c r="AT3375" s="39"/>
      <c r="AU3375" s="39"/>
      <c r="AV3375" s="39"/>
      <c r="AW3375" s="39"/>
      <c r="AX3375" s="39"/>
      <c r="AY3375" s="39"/>
    </row>
    <row r="3376" spans="3:51" s="448" customFormat="1" ht="36" customHeight="1" x14ac:dyDescent="0.5">
      <c r="C3376" s="520"/>
      <c r="D3376" s="615" t="s">
        <v>109</v>
      </c>
      <c r="E3376" s="616"/>
      <c r="F3376" s="616"/>
      <c r="G3376" s="616"/>
      <c r="H3376" s="616"/>
      <c r="I3376" s="616"/>
      <c r="J3376" s="616"/>
      <c r="M3376" s="541"/>
      <c r="N3376" s="541"/>
      <c r="O3376" s="541"/>
      <c r="P3376" s="540"/>
      <c r="R3376" s="490" t="str">
        <f t="shared" si="255"/>
        <v>DELETE</v>
      </c>
      <c r="S3376" s="491"/>
      <c r="T3376" s="491"/>
      <c r="U3376" s="491"/>
      <c r="V3376" s="491"/>
      <c r="W3376" s="491"/>
      <c r="X3376" s="491"/>
      <c r="Y3376" s="498"/>
      <c r="Z3376" s="498"/>
      <c r="AA3376" s="492"/>
      <c r="AB3376" s="39"/>
      <c r="AC3376" s="39"/>
      <c r="AD3376" s="39"/>
      <c r="AE3376" s="39"/>
      <c r="AF3376" s="39"/>
      <c r="AG3376" s="39"/>
      <c r="AH3376" s="39"/>
      <c r="AI3376" s="39"/>
      <c r="AJ3376" s="39"/>
      <c r="AK3376" s="39"/>
      <c r="AL3376" s="39"/>
      <c r="AM3376" s="39"/>
      <c r="AN3376" s="39"/>
      <c r="AO3376" s="39"/>
      <c r="AP3376" s="39"/>
      <c r="AQ3376" s="39"/>
      <c r="AR3376" s="39"/>
      <c r="AS3376" s="39"/>
      <c r="AT3376" s="39"/>
      <c r="AU3376" s="39"/>
      <c r="AV3376" s="39"/>
      <c r="AW3376" s="39"/>
      <c r="AX3376" s="39"/>
      <c r="AY3376" s="39"/>
    </row>
    <row r="3377" spans="3:51" s="448" customFormat="1" ht="36" customHeight="1" x14ac:dyDescent="0.5">
      <c r="C3377" s="520"/>
      <c r="D3377" s="615" t="str">
        <f>Criteria!E20</f>
        <v>28 FEBRUARY 2026</v>
      </c>
      <c r="E3377" s="616"/>
      <c r="F3377" s="616"/>
      <c r="G3377" s="616"/>
      <c r="H3377" s="616"/>
      <c r="I3377" s="616"/>
      <c r="J3377" s="616"/>
      <c r="M3377" s="541"/>
      <c r="N3377" s="541"/>
      <c r="O3377" s="541"/>
      <c r="P3377" s="540"/>
      <c r="R3377" s="490" t="str">
        <f t="shared" si="255"/>
        <v>DELETE</v>
      </c>
      <c r="S3377" s="491"/>
      <c r="T3377" s="491"/>
      <c r="U3377" s="491"/>
      <c r="V3377" s="491"/>
      <c r="W3377" s="491"/>
      <c r="X3377" s="491"/>
      <c r="Y3377" s="498"/>
      <c r="Z3377" s="498"/>
      <c r="AA3377" s="492"/>
      <c r="AB3377" s="39"/>
      <c r="AC3377" s="39"/>
      <c r="AD3377" s="39"/>
      <c r="AE3377" s="39"/>
      <c r="AF3377" s="39"/>
      <c r="AG3377" s="39"/>
      <c r="AH3377" s="39"/>
      <c r="AI3377" s="39"/>
      <c r="AJ3377" s="39"/>
      <c r="AK3377" s="39"/>
      <c r="AL3377" s="39"/>
      <c r="AM3377" s="39"/>
      <c r="AN3377" s="39"/>
      <c r="AO3377" s="39"/>
      <c r="AP3377" s="39"/>
      <c r="AQ3377" s="39"/>
      <c r="AR3377" s="39"/>
      <c r="AS3377" s="39"/>
      <c r="AT3377" s="39"/>
      <c r="AU3377" s="39"/>
      <c r="AV3377" s="39"/>
      <c r="AW3377" s="39"/>
      <c r="AX3377" s="39"/>
      <c r="AY3377" s="39"/>
    </row>
    <row r="3378" spans="3:51" s="448" customFormat="1" ht="36" customHeight="1" x14ac:dyDescent="0.5">
      <c r="C3378" s="520"/>
      <c r="D3378" s="616"/>
      <c r="E3378" s="616"/>
      <c r="F3378" s="616"/>
      <c r="G3378" s="616"/>
      <c r="H3378" s="616"/>
      <c r="I3378" s="616"/>
      <c r="J3378" s="616"/>
      <c r="M3378" s="541"/>
      <c r="N3378" s="541"/>
      <c r="O3378" s="541"/>
      <c r="P3378" s="540"/>
      <c r="R3378" s="490" t="str">
        <f t="shared" si="255"/>
        <v>DELETE</v>
      </c>
      <c r="S3378" s="491"/>
      <c r="T3378" s="491"/>
      <c r="U3378" s="491"/>
      <c r="V3378" s="491"/>
      <c r="W3378" s="491"/>
      <c r="X3378" s="491"/>
      <c r="Y3378" s="498"/>
      <c r="Z3378" s="498"/>
      <c r="AA3378" s="492"/>
      <c r="AB3378" s="39"/>
      <c r="AC3378" s="39"/>
      <c r="AD3378" s="39"/>
      <c r="AE3378" s="39"/>
      <c r="AF3378" s="39"/>
      <c r="AG3378" s="39"/>
      <c r="AH3378" s="39"/>
      <c r="AI3378" s="39"/>
      <c r="AJ3378" s="39"/>
      <c r="AK3378" s="39"/>
      <c r="AL3378" s="39"/>
      <c r="AM3378" s="39"/>
      <c r="AN3378" s="39"/>
      <c r="AO3378" s="39"/>
      <c r="AP3378" s="39"/>
      <c r="AQ3378" s="39"/>
      <c r="AR3378" s="39"/>
      <c r="AS3378" s="39"/>
      <c r="AT3378" s="39"/>
      <c r="AU3378" s="39"/>
      <c r="AV3378" s="39"/>
      <c r="AW3378" s="39"/>
      <c r="AX3378" s="39"/>
      <c r="AY3378" s="39"/>
    </row>
    <row r="3379" spans="3:51" s="448" customFormat="1" ht="36" customHeight="1" x14ac:dyDescent="0.5">
      <c r="C3379" s="520"/>
      <c r="D3379" s="634"/>
      <c r="E3379" s="634"/>
      <c r="F3379" s="634"/>
      <c r="G3379" s="634"/>
      <c r="H3379" s="634"/>
      <c r="I3379" s="634"/>
      <c r="J3379" s="634"/>
      <c r="K3379" s="457"/>
      <c r="L3379" s="457"/>
      <c r="M3379" s="557"/>
      <c r="N3379" s="557"/>
      <c r="O3379" s="557"/>
      <c r="P3379" s="551"/>
      <c r="Q3379" s="457"/>
      <c r="R3379" s="490" t="str">
        <f t="shared" si="255"/>
        <v>DELETE</v>
      </c>
      <c r="S3379" s="491"/>
      <c r="T3379" s="491"/>
      <c r="U3379" s="491"/>
      <c r="V3379" s="491"/>
      <c r="W3379" s="491"/>
      <c r="X3379" s="491"/>
      <c r="Y3379" s="498"/>
      <c r="Z3379" s="498"/>
      <c r="AA3379" s="492"/>
      <c r="AB3379" s="39"/>
      <c r="AC3379" s="39"/>
      <c r="AD3379" s="39"/>
      <c r="AE3379" s="39"/>
      <c r="AF3379" s="39"/>
      <c r="AG3379" s="39"/>
      <c r="AH3379" s="39"/>
      <c r="AI3379" s="39"/>
      <c r="AJ3379" s="39"/>
      <c r="AK3379" s="39"/>
      <c r="AL3379" s="39"/>
      <c r="AM3379" s="39"/>
      <c r="AN3379" s="39"/>
      <c r="AO3379" s="39"/>
      <c r="AP3379" s="39"/>
      <c r="AQ3379" s="39"/>
      <c r="AR3379" s="39"/>
      <c r="AS3379" s="39"/>
      <c r="AT3379" s="39"/>
      <c r="AU3379" s="39"/>
      <c r="AV3379" s="39"/>
      <c r="AW3379" s="39"/>
      <c r="AX3379" s="39"/>
      <c r="AY3379" s="39"/>
    </row>
    <row r="3380" spans="3:51" s="448" customFormat="1" ht="36" customHeight="1" x14ac:dyDescent="0.5">
      <c r="C3380" s="520"/>
      <c r="D3380" s="616"/>
      <c r="E3380" s="616"/>
      <c r="F3380" s="616"/>
      <c r="G3380" s="616"/>
      <c r="H3380" s="616"/>
      <c r="I3380" s="616"/>
      <c r="J3380" s="645"/>
      <c r="K3380" s="450" t="s">
        <v>1494</v>
      </c>
      <c r="L3380" s="451"/>
      <c r="N3380" s="450"/>
      <c r="O3380" s="453">
        <f>Criteria!E22</f>
        <v>2026</v>
      </c>
      <c r="P3380" s="454"/>
      <c r="R3380" s="490" t="str">
        <f t="shared" si="255"/>
        <v>DELETE</v>
      </c>
      <c r="S3380" s="491"/>
      <c r="T3380" s="491"/>
      <c r="U3380" s="491"/>
      <c r="V3380" s="491"/>
      <c r="W3380" s="491"/>
      <c r="X3380" s="491"/>
      <c r="Y3380" s="498"/>
      <c r="Z3380" s="498"/>
      <c r="AA3380" s="492"/>
      <c r="AB3380" s="39"/>
      <c r="AC3380" s="39"/>
      <c r="AD3380" s="39"/>
      <c r="AE3380" s="39"/>
      <c r="AF3380" s="39"/>
      <c r="AG3380" s="39"/>
      <c r="AH3380" s="39"/>
      <c r="AI3380" s="39"/>
      <c r="AJ3380" s="39"/>
      <c r="AK3380" s="39"/>
      <c r="AL3380" s="39"/>
      <c r="AM3380" s="39"/>
      <c r="AN3380" s="39"/>
      <c r="AO3380" s="39"/>
      <c r="AP3380" s="39"/>
      <c r="AQ3380" s="39"/>
      <c r="AR3380" s="39"/>
      <c r="AS3380" s="39"/>
      <c r="AT3380" s="39"/>
      <c r="AU3380" s="39"/>
      <c r="AV3380" s="39"/>
      <c r="AW3380" s="39"/>
      <c r="AX3380" s="39"/>
      <c r="AY3380" s="39"/>
    </row>
    <row r="3381" spans="3:51" s="448" customFormat="1" ht="36" customHeight="1" x14ac:dyDescent="0.5">
      <c r="C3381" s="520"/>
      <c r="D3381" s="616"/>
      <c r="E3381" s="616"/>
      <c r="F3381" s="616"/>
      <c r="G3381" s="616"/>
      <c r="H3381" s="616"/>
      <c r="I3381" s="616"/>
      <c r="J3381" s="645"/>
      <c r="K3381" s="450"/>
      <c r="L3381" s="451"/>
      <c r="N3381" s="450"/>
      <c r="O3381" s="458"/>
      <c r="P3381" s="454"/>
      <c r="R3381" s="490" t="str">
        <f t="shared" si="255"/>
        <v>DELETE</v>
      </c>
      <c r="S3381" s="491"/>
      <c r="T3381" s="491"/>
      <c r="U3381" s="491"/>
      <c r="V3381" s="491"/>
      <c r="W3381" s="491"/>
      <c r="X3381" s="491"/>
      <c r="Y3381" s="498"/>
      <c r="Z3381" s="498"/>
      <c r="AA3381" s="492"/>
      <c r="AB3381" s="39"/>
      <c r="AC3381" s="39"/>
      <c r="AD3381" s="39"/>
      <c r="AE3381" s="39"/>
      <c r="AF3381" s="39"/>
      <c r="AG3381" s="39"/>
      <c r="AH3381" s="39"/>
      <c r="AI3381" s="39"/>
      <c r="AJ3381" s="39"/>
      <c r="AK3381" s="39"/>
      <c r="AL3381" s="39"/>
      <c r="AM3381" s="39"/>
      <c r="AN3381" s="39"/>
      <c r="AO3381" s="39"/>
      <c r="AP3381" s="39"/>
      <c r="AQ3381" s="39"/>
      <c r="AR3381" s="39"/>
      <c r="AS3381" s="39"/>
      <c r="AT3381" s="39"/>
      <c r="AU3381" s="39"/>
      <c r="AV3381" s="39"/>
      <c r="AW3381" s="39"/>
      <c r="AX3381" s="39"/>
      <c r="AY3381" s="39"/>
    </row>
    <row r="3382" spans="3:51" s="448" customFormat="1" ht="36" customHeight="1" x14ac:dyDescent="0.45">
      <c r="D3382" s="615" t="s">
        <v>1194</v>
      </c>
      <c r="E3382" s="616"/>
      <c r="F3382" s="616"/>
      <c r="G3382" s="616"/>
      <c r="H3382" s="616"/>
      <c r="I3382" s="616"/>
      <c r="J3382" s="645"/>
      <c r="K3382" s="450"/>
      <c r="L3382" s="451"/>
      <c r="N3382" s="450"/>
      <c r="O3382" s="458">
        <f>-SUM(TrialBalanceC!I5:I10)</f>
        <v>0</v>
      </c>
      <c r="P3382" s="454"/>
      <c r="R3382" s="490" t="str">
        <f>IF(R3370="DELETE","DELETE",IF(O3382=0,IF(O3384=0," ","DELETE")," "))</f>
        <v>DELETE</v>
      </c>
      <c r="S3382" s="495">
        <f>O3382</f>
        <v>0</v>
      </c>
      <c r="T3382" s="495"/>
      <c r="U3382" s="495"/>
      <c r="V3382" s="495"/>
      <c r="W3382" s="491"/>
      <c r="X3382" s="491"/>
      <c r="Y3382" s="498"/>
      <c r="Z3382" s="498"/>
      <c r="AA3382" s="492"/>
      <c r="AB3382" s="39"/>
      <c r="AC3382" s="39"/>
      <c r="AD3382" s="39"/>
      <c r="AE3382" s="39"/>
      <c r="AF3382" s="39"/>
      <c r="AG3382" s="39"/>
      <c r="AH3382" s="39"/>
      <c r="AI3382" s="39"/>
      <c r="AJ3382" s="39"/>
      <c r="AK3382" s="39"/>
      <c r="AL3382" s="39"/>
      <c r="AM3382" s="39"/>
      <c r="AN3382" s="39"/>
      <c r="AO3382" s="39"/>
      <c r="AP3382" s="39"/>
      <c r="AQ3382" s="39"/>
      <c r="AR3382" s="39"/>
      <c r="AS3382" s="39"/>
      <c r="AT3382" s="39"/>
      <c r="AU3382" s="39"/>
      <c r="AV3382" s="39"/>
      <c r="AW3382" s="39"/>
      <c r="AX3382" s="39"/>
      <c r="AY3382" s="39"/>
    </row>
    <row r="3383" spans="3:51" s="448" customFormat="1" ht="36" customHeight="1" x14ac:dyDescent="0.45">
      <c r="C3383" s="575"/>
      <c r="D3383" s="616"/>
      <c r="E3383" s="616"/>
      <c r="F3383" s="616"/>
      <c r="G3383" s="616"/>
      <c r="H3383" s="616"/>
      <c r="I3383" s="616"/>
      <c r="J3383" s="645"/>
      <c r="K3383" s="450"/>
      <c r="L3383" s="451"/>
      <c r="N3383" s="450"/>
      <c r="O3383" s="458"/>
      <c r="P3383" s="454"/>
      <c r="R3383" s="490" t="str">
        <f>R3382</f>
        <v>DELETE</v>
      </c>
      <c r="S3383" s="495"/>
      <c r="T3383" s="495"/>
      <c r="U3383" s="495"/>
      <c r="V3383" s="495"/>
      <c r="W3383" s="491"/>
      <c r="X3383" s="491"/>
      <c r="Y3383" s="498"/>
      <c r="Z3383" s="498"/>
      <c r="AA3383" s="492"/>
      <c r="AB3383" s="39"/>
      <c r="AC3383" s="39"/>
      <c r="AD3383" s="39"/>
      <c r="AE3383" s="39"/>
      <c r="AF3383" s="39"/>
      <c r="AG3383" s="39"/>
      <c r="AH3383" s="39"/>
      <c r="AI3383" s="39"/>
      <c r="AJ3383" s="39"/>
      <c r="AK3383" s="39"/>
      <c r="AL3383" s="39"/>
      <c r="AM3383" s="39"/>
      <c r="AN3383" s="39"/>
      <c r="AO3383" s="39"/>
      <c r="AP3383" s="39"/>
      <c r="AQ3383" s="39"/>
      <c r="AR3383" s="39"/>
      <c r="AS3383" s="39"/>
      <c r="AT3383" s="39"/>
      <c r="AU3383" s="39"/>
      <c r="AV3383" s="39"/>
      <c r="AW3383" s="39"/>
      <c r="AX3383" s="39"/>
      <c r="AY3383" s="39"/>
    </row>
    <row r="3384" spans="3:51" s="448" customFormat="1" ht="36" customHeight="1" x14ac:dyDescent="0.45">
      <c r="D3384" s="615" t="s">
        <v>398</v>
      </c>
      <c r="E3384" s="616"/>
      <c r="F3384" s="616"/>
      <c r="G3384" s="616"/>
      <c r="H3384" s="616"/>
      <c r="I3384" s="616"/>
      <c r="J3384" s="645"/>
      <c r="K3384" s="450"/>
      <c r="L3384" s="451"/>
      <c r="N3384" s="450"/>
      <c r="O3384" s="458">
        <f>-TrialBalanceC!I11</f>
        <v>0</v>
      </c>
      <c r="P3384" s="454"/>
      <c r="R3384" s="490" t="str">
        <f>IF(R3370="DELETE","DELETE",IF(O3384=0,"DELETE"," "))</f>
        <v>DELETE</v>
      </c>
      <c r="S3384" s="495">
        <f>O3384</f>
        <v>0</v>
      </c>
      <c r="T3384" s="495"/>
      <c r="U3384" s="495"/>
      <c r="V3384" s="495"/>
      <c r="W3384" s="491"/>
      <c r="X3384" s="491"/>
      <c r="Y3384" s="498"/>
      <c r="Z3384" s="498"/>
      <c r="AA3384" s="492"/>
      <c r="AB3384" s="39"/>
      <c r="AC3384" s="39"/>
      <c r="AD3384" s="39"/>
      <c r="AE3384" s="39"/>
      <c r="AF3384" s="39"/>
      <c r="AG3384" s="39"/>
      <c r="AH3384" s="39"/>
      <c r="AI3384" s="39"/>
      <c r="AJ3384" s="39"/>
      <c r="AK3384" s="39"/>
      <c r="AL3384" s="39"/>
      <c r="AM3384" s="39"/>
      <c r="AN3384" s="39"/>
      <c r="AO3384" s="39"/>
      <c r="AP3384" s="39"/>
      <c r="AQ3384" s="39"/>
      <c r="AR3384" s="39"/>
      <c r="AS3384" s="39"/>
      <c r="AT3384" s="39"/>
      <c r="AU3384" s="39"/>
      <c r="AV3384" s="39"/>
      <c r="AW3384" s="39"/>
      <c r="AX3384" s="39"/>
      <c r="AY3384" s="39"/>
    </row>
    <row r="3385" spans="3:51" s="448" customFormat="1" ht="36" customHeight="1" x14ac:dyDescent="0.45">
      <c r="C3385" s="575"/>
      <c r="D3385" s="616"/>
      <c r="E3385" s="616"/>
      <c r="F3385" s="616"/>
      <c r="G3385" s="616"/>
      <c r="H3385" s="616"/>
      <c r="I3385" s="616"/>
      <c r="J3385" s="645"/>
      <c r="K3385" s="450"/>
      <c r="L3385" s="451"/>
      <c r="N3385" s="450"/>
      <c r="O3385" s="458"/>
      <c r="P3385" s="454"/>
      <c r="R3385" s="490" t="str">
        <f>R3384</f>
        <v>DELETE</v>
      </c>
      <c r="S3385" s="491"/>
      <c r="T3385" s="491"/>
      <c r="U3385" s="491"/>
      <c r="V3385" s="491"/>
      <c r="W3385" s="491"/>
      <c r="X3385" s="491"/>
      <c r="Y3385" s="498"/>
      <c r="Z3385" s="498"/>
      <c r="AA3385" s="492"/>
      <c r="AB3385" s="39"/>
      <c r="AC3385" s="39"/>
      <c r="AD3385" s="39"/>
      <c r="AE3385" s="39"/>
      <c r="AF3385" s="39"/>
      <c r="AG3385" s="39"/>
      <c r="AH3385" s="39"/>
      <c r="AI3385" s="39"/>
      <c r="AJ3385" s="39"/>
      <c r="AK3385" s="39"/>
      <c r="AL3385" s="39"/>
      <c r="AM3385" s="39"/>
      <c r="AN3385" s="39"/>
      <c r="AO3385" s="39"/>
      <c r="AP3385" s="39"/>
      <c r="AQ3385" s="39"/>
      <c r="AR3385" s="39"/>
      <c r="AS3385" s="39"/>
      <c r="AT3385" s="39"/>
      <c r="AU3385" s="39"/>
      <c r="AV3385" s="39"/>
      <c r="AW3385" s="39"/>
      <c r="AX3385" s="39"/>
      <c r="AY3385" s="39"/>
    </row>
    <row r="3386" spans="3:51" s="448" customFormat="1" ht="36" customHeight="1" x14ac:dyDescent="0.45">
      <c r="D3386" s="615" t="s">
        <v>1119</v>
      </c>
      <c r="E3386" s="616"/>
      <c r="F3386" s="616"/>
      <c r="G3386" s="616"/>
      <c r="H3386" s="616"/>
      <c r="I3386" s="616"/>
      <c r="J3386" s="645"/>
      <c r="K3386" s="450"/>
      <c r="L3386" s="451"/>
      <c r="N3386" s="450"/>
      <c r="O3386" s="458">
        <f>SUM(O3389:O3396)</f>
        <v>0</v>
      </c>
      <c r="P3386" s="454"/>
      <c r="R3386" s="490" t="str">
        <f>IF(R$3370="DELETE","DELETE",IF(O3386=0,"DELETE"," "))</f>
        <v>DELETE</v>
      </c>
      <c r="S3386" s="495">
        <f>-O3386</f>
        <v>0</v>
      </c>
      <c r="T3386" s="495"/>
      <c r="U3386" s="495"/>
      <c r="V3386" s="495"/>
      <c r="W3386" s="491"/>
      <c r="X3386" s="491"/>
      <c r="Y3386" s="498"/>
      <c r="Z3386" s="498"/>
      <c r="AA3386" s="492"/>
      <c r="AB3386" s="39"/>
      <c r="AC3386" s="39"/>
      <c r="AD3386" s="39"/>
      <c r="AE3386" s="39"/>
      <c r="AF3386" s="39"/>
      <c r="AG3386" s="39"/>
      <c r="AH3386" s="39"/>
      <c r="AI3386" s="39"/>
      <c r="AJ3386" s="39"/>
      <c r="AK3386" s="39"/>
      <c r="AL3386" s="39"/>
      <c r="AM3386" s="39"/>
      <c r="AN3386" s="39"/>
      <c r="AO3386" s="39"/>
      <c r="AP3386" s="39"/>
      <c r="AQ3386" s="39"/>
      <c r="AR3386" s="39"/>
      <c r="AS3386" s="39"/>
      <c r="AT3386" s="39"/>
      <c r="AU3386" s="39"/>
      <c r="AV3386" s="39"/>
      <c r="AW3386" s="39"/>
      <c r="AX3386" s="39"/>
      <c r="AY3386" s="39"/>
    </row>
    <row r="3387" spans="3:51" s="448" customFormat="1" ht="9" customHeight="1" x14ac:dyDescent="0.45">
      <c r="C3387" s="575"/>
      <c r="D3387" s="616"/>
      <c r="E3387" s="616"/>
      <c r="F3387" s="616"/>
      <c r="G3387" s="616"/>
      <c r="H3387" s="616"/>
      <c r="I3387" s="616"/>
      <c r="J3387" s="645"/>
      <c r="K3387" s="450"/>
      <c r="L3387" s="451"/>
      <c r="N3387" s="450"/>
      <c r="O3387" s="458"/>
      <c r="P3387" s="454"/>
      <c r="R3387" s="490" t="str">
        <f>R3386</f>
        <v>DELETE</v>
      </c>
      <c r="S3387" s="491"/>
      <c r="T3387" s="491"/>
      <c r="U3387" s="491"/>
      <c r="V3387" s="491"/>
      <c r="W3387" s="491"/>
      <c r="X3387" s="491"/>
      <c r="Y3387" s="498"/>
      <c r="Z3387" s="498"/>
      <c r="AA3387" s="492"/>
      <c r="AB3387" s="39"/>
      <c r="AC3387" s="39"/>
      <c r="AD3387" s="39"/>
      <c r="AE3387" s="39"/>
      <c r="AF3387" s="39"/>
      <c r="AG3387" s="39"/>
      <c r="AH3387" s="39"/>
      <c r="AI3387" s="39"/>
      <c r="AJ3387" s="39"/>
      <c r="AK3387" s="39"/>
      <c r="AL3387" s="39"/>
      <c r="AM3387" s="39"/>
      <c r="AN3387" s="39"/>
      <c r="AO3387" s="39"/>
      <c r="AP3387" s="39"/>
      <c r="AQ3387" s="39"/>
      <c r="AR3387" s="39"/>
      <c r="AS3387" s="39"/>
      <c r="AT3387" s="39"/>
      <c r="AU3387" s="39"/>
      <c r="AV3387" s="39"/>
      <c r="AW3387" s="39"/>
      <c r="AX3387" s="39"/>
      <c r="AY3387" s="39"/>
    </row>
    <row r="3388" spans="3:51" s="448" customFormat="1" ht="9" customHeight="1" x14ac:dyDescent="0.45">
      <c r="C3388" s="575"/>
      <c r="D3388" s="616"/>
      <c r="E3388" s="616"/>
      <c r="F3388" s="616"/>
      <c r="G3388" s="616"/>
      <c r="H3388" s="616"/>
      <c r="I3388" s="616"/>
      <c r="J3388" s="645"/>
      <c r="K3388" s="450"/>
      <c r="L3388" s="451"/>
      <c r="N3388" s="450"/>
      <c r="O3388" s="587"/>
      <c r="P3388" s="454"/>
      <c r="R3388" s="490" t="str">
        <f>R3387</f>
        <v>DELETE</v>
      </c>
      <c r="S3388" s="491"/>
      <c r="T3388" s="491"/>
      <c r="U3388" s="491"/>
      <c r="V3388" s="491"/>
      <c r="W3388" s="491"/>
      <c r="X3388" s="491"/>
      <c r="Y3388" s="498"/>
      <c r="Z3388" s="498"/>
      <c r="AA3388" s="492"/>
      <c r="AB3388" s="39"/>
      <c r="AC3388" s="39"/>
      <c r="AD3388" s="39"/>
      <c r="AE3388" s="39"/>
      <c r="AF3388" s="39"/>
      <c r="AG3388" s="39"/>
      <c r="AH3388" s="39"/>
      <c r="AI3388" s="39"/>
      <c r="AJ3388" s="39"/>
      <c r="AK3388" s="39"/>
      <c r="AL3388" s="39"/>
      <c r="AM3388" s="39"/>
      <c r="AN3388" s="39"/>
      <c r="AO3388" s="39"/>
      <c r="AP3388" s="39"/>
      <c r="AQ3388" s="39"/>
      <c r="AR3388" s="39"/>
      <c r="AS3388" s="39"/>
      <c r="AT3388" s="39"/>
      <c r="AU3388" s="39"/>
      <c r="AV3388" s="39"/>
      <c r="AW3388" s="39"/>
      <c r="AX3388" s="39"/>
      <c r="AY3388" s="39"/>
    </row>
    <row r="3389" spans="3:51" s="448" customFormat="1" ht="36" customHeight="1" x14ac:dyDescent="0.45">
      <c r="C3389" s="575"/>
      <c r="D3389" s="616" t="s">
        <v>563</v>
      </c>
      <c r="E3389" s="616"/>
      <c r="F3389" s="616"/>
      <c r="G3389" s="616"/>
      <c r="H3389" s="616"/>
      <c r="I3389" s="616"/>
      <c r="J3389" s="645"/>
      <c r="K3389" s="450"/>
      <c r="L3389" s="451"/>
      <c r="N3389" s="450"/>
      <c r="O3389" s="588">
        <f>SUM(TrialBalanceC!I13:I16)</f>
        <v>0</v>
      </c>
      <c r="P3389" s="454"/>
      <c r="R3389" s="490" t="str">
        <f t="shared" ref="R3389:R3396" si="256">IF(R$3370="DELETE","DELETE",IF(O3389=0,"DELETE"," "))</f>
        <v>DELETE</v>
      </c>
      <c r="S3389" s="491"/>
      <c r="T3389" s="491"/>
      <c r="U3389" s="491"/>
      <c r="V3389" s="491"/>
      <c r="W3389" s="491"/>
      <c r="X3389" s="491"/>
      <c r="Y3389" s="498"/>
      <c r="Z3389" s="498"/>
      <c r="AA3389" s="492"/>
      <c r="AB3389" s="39"/>
      <c r="AC3389" s="39"/>
      <c r="AD3389" s="39"/>
      <c r="AE3389" s="39"/>
      <c r="AF3389" s="39"/>
      <c r="AG3389" s="39"/>
      <c r="AH3389" s="39"/>
      <c r="AI3389" s="39"/>
      <c r="AJ3389" s="39"/>
      <c r="AK3389" s="39"/>
      <c r="AL3389" s="39"/>
      <c r="AM3389" s="39"/>
      <c r="AN3389" s="39"/>
      <c r="AO3389" s="39"/>
      <c r="AP3389" s="39"/>
      <c r="AQ3389" s="39"/>
      <c r="AR3389" s="39"/>
      <c r="AS3389" s="39"/>
      <c r="AT3389" s="39"/>
      <c r="AU3389" s="39"/>
      <c r="AV3389" s="39"/>
      <c r="AW3389" s="39"/>
      <c r="AX3389" s="39"/>
      <c r="AY3389" s="39"/>
    </row>
    <row r="3390" spans="3:51" s="448" customFormat="1" ht="36" customHeight="1" x14ac:dyDescent="0.45">
      <c r="C3390" s="575"/>
      <c r="D3390" s="616" t="s">
        <v>301</v>
      </c>
      <c r="E3390" s="616"/>
      <c r="F3390" s="616"/>
      <c r="G3390" s="616"/>
      <c r="H3390" s="616"/>
      <c r="I3390" s="616"/>
      <c r="J3390" s="645"/>
      <c r="K3390" s="450"/>
      <c r="L3390" s="451"/>
      <c r="N3390" s="450"/>
      <c r="O3390" s="588">
        <f>TrialBalanceC!I17</f>
        <v>0</v>
      </c>
      <c r="P3390" s="454"/>
      <c r="R3390" s="490" t="str">
        <f t="shared" si="256"/>
        <v>DELETE</v>
      </c>
      <c r="S3390" s="491"/>
      <c r="T3390" s="491"/>
      <c r="U3390" s="491"/>
      <c r="V3390" s="491"/>
      <c r="W3390" s="491"/>
      <c r="X3390" s="491"/>
      <c r="Y3390" s="498"/>
      <c r="Z3390" s="498"/>
      <c r="AA3390" s="492"/>
      <c r="AB3390" s="39"/>
      <c r="AC3390" s="39"/>
      <c r="AD3390" s="39"/>
      <c r="AE3390" s="39"/>
      <c r="AF3390" s="39"/>
      <c r="AG3390" s="39"/>
      <c r="AH3390" s="39"/>
      <c r="AI3390" s="39"/>
      <c r="AJ3390" s="39"/>
      <c r="AK3390" s="39"/>
      <c r="AL3390" s="39"/>
      <c r="AM3390" s="39"/>
      <c r="AN3390" s="39"/>
      <c r="AO3390" s="39"/>
      <c r="AP3390" s="39"/>
      <c r="AQ3390" s="39"/>
      <c r="AR3390" s="39"/>
      <c r="AS3390" s="39"/>
      <c r="AT3390" s="39"/>
      <c r="AU3390" s="39"/>
      <c r="AV3390" s="39"/>
      <c r="AW3390" s="39"/>
      <c r="AX3390" s="39"/>
      <c r="AY3390" s="39"/>
    </row>
    <row r="3391" spans="3:51" s="448" customFormat="1" ht="36" customHeight="1" x14ac:dyDescent="0.45">
      <c r="C3391" s="575"/>
      <c r="D3391" s="616">
        <f>TrialBalanceC!C18</f>
        <v>0</v>
      </c>
      <c r="E3391" s="616"/>
      <c r="F3391" s="616"/>
      <c r="G3391" s="616"/>
      <c r="H3391" s="616"/>
      <c r="I3391" s="616"/>
      <c r="J3391" s="645"/>
      <c r="K3391" s="450"/>
      <c r="L3391" s="451"/>
      <c r="N3391" s="450"/>
      <c r="O3391" s="588">
        <f>TrialBalanceC!I18</f>
        <v>0</v>
      </c>
      <c r="P3391" s="454"/>
      <c r="R3391" s="490" t="str">
        <f t="shared" si="256"/>
        <v>DELETE</v>
      </c>
      <c r="S3391" s="491"/>
      <c r="T3391" s="491"/>
      <c r="U3391" s="491"/>
      <c r="V3391" s="491"/>
      <c r="W3391" s="491"/>
      <c r="X3391" s="491"/>
      <c r="Y3391" s="498"/>
      <c r="Z3391" s="498"/>
      <c r="AA3391" s="492"/>
      <c r="AB3391" s="39"/>
      <c r="AC3391" s="39"/>
      <c r="AD3391" s="39"/>
      <c r="AE3391" s="39"/>
      <c r="AF3391" s="39"/>
      <c r="AG3391" s="39"/>
      <c r="AH3391" s="39"/>
      <c r="AI3391" s="39"/>
      <c r="AJ3391" s="39"/>
      <c r="AK3391" s="39"/>
      <c r="AL3391" s="39"/>
      <c r="AM3391" s="39"/>
      <c r="AN3391" s="39"/>
      <c r="AO3391" s="39"/>
      <c r="AP3391" s="39"/>
      <c r="AQ3391" s="39"/>
      <c r="AR3391" s="39"/>
      <c r="AS3391" s="39"/>
      <c r="AT3391" s="39"/>
      <c r="AU3391" s="39"/>
      <c r="AV3391" s="39"/>
      <c r="AW3391" s="39"/>
      <c r="AX3391" s="39"/>
      <c r="AY3391" s="39"/>
    </row>
    <row r="3392" spans="3:51" s="448" customFormat="1" ht="36" customHeight="1" x14ac:dyDescent="0.45">
      <c r="C3392" s="575"/>
      <c r="D3392" s="616">
        <f>TrialBalanceC!C19</f>
        <v>0</v>
      </c>
      <c r="E3392" s="616"/>
      <c r="F3392" s="616"/>
      <c r="G3392" s="616"/>
      <c r="H3392" s="616"/>
      <c r="I3392" s="616"/>
      <c r="J3392" s="645"/>
      <c r="K3392" s="450"/>
      <c r="L3392" s="451"/>
      <c r="N3392" s="450"/>
      <c r="O3392" s="588">
        <f>TrialBalanceC!I19</f>
        <v>0</v>
      </c>
      <c r="P3392" s="454"/>
      <c r="R3392" s="490" t="str">
        <f t="shared" si="256"/>
        <v>DELETE</v>
      </c>
      <c r="S3392" s="491"/>
      <c r="T3392" s="491"/>
      <c r="U3392" s="491"/>
      <c r="V3392" s="491"/>
      <c r="W3392" s="491"/>
      <c r="X3392" s="491"/>
      <c r="Y3392" s="498"/>
      <c r="Z3392" s="498"/>
      <c r="AA3392" s="492"/>
      <c r="AB3392" s="39"/>
      <c r="AC3392" s="39"/>
      <c r="AD3392" s="39"/>
      <c r="AE3392" s="39"/>
      <c r="AF3392" s="39"/>
      <c r="AG3392" s="39"/>
      <c r="AH3392" s="39"/>
      <c r="AI3392" s="39"/>
      <c r="AJ3392" s="39"/>
      <c r="AK3392" s="39"/>
      <c r="AL3392" s="39"/>
      <c r="AM3392" s="39"/>
      <c r="AN3392" s="39"/>
      <c r="AO3392" s="39"/>
      <c r="AP3392" s="39"/>
      <c r="AQ3392" s="39"/>
      <c r="AR3392" s="39"/>
      <c r="AS3392" s="39"/>
      <c r="AT3392" s="39"/>
      <c r="AU3392" s="39"/>
      <c r="AV3392" s="39"/>
      <c r="AW3392" s="39"/>
      <c r="AX3392" s="39"/>
      <c r="AY3392" s="39"/>
    </row>
    <row r="3393" spans="3:51" s="448" customFormat="1" ht="36" customHeight="1" x14ac:dyDescent="0.45">
      <c r="C3393" s="575"/>
      <c r="D3393" s="616">
        <f>TrialBalanceC!C20</f>
        <v>0</v>
      </c>
      <c r="E3393" s="616"/>
      <c r="F3393" s="616"/>
      <c r="G3393" s="616"/>
      <c r="H3393" s="616"/>
      <c r="I3393" s="616"/>
      <c r="J3393" s="645"/>
      <c r="K3393" s="450"/>
      <c r="L3393" s="451"/>
      <c r="N3393" s="450"/>
      <c r="O3393" s="588">
        <f>TrialBalanceC!I20</f>
        <v>0</v>
      </c>
      <c r="P3393" s="454"/>
      <c r="R3393" s="490" t="str">
        <f t="shared" si="256"/>
        <v>DELETE</v>
      </c>
      <c r="S3393" s="491"/>
      <c r="T3393" s="491"/>
      <c r="U3393" s="491"/>
      <c r="V3393" s="491"/>
      <c r="W3393" s="491"/>
      <c r="X3393" s="491"/>
      <c r="Y3393" s="498"/>
      <c r="Z3393" s="498"/>
      <c r="AA3393" s="492"/>
      <c r="AB3393" s="39"/>
      <c r="AC3393" s="39"/>
      <c r="AD3393" s="39"/>
      <c r="AE3393" s="39"/>
      <c r="AF3393" s="39"/>
      <c r="AG3393" s="39"/>
      <c r="AH3393" s="39"/>
      <c r="AI3393" s="39"/>
      <c r="AJ3393" s="39"/>
      <c r="AK3393" s="39"/>
      <c r="AL3393" s="39"/>
      <c r="AM3393" s="39"/>
      <c r="AN3393" s="39"/>
      <c r="AO3393" s="39"/>
      <c r="AP3393" s="39"/>
      <c r="AQ3393" s="39"/>
      <c r="AR3393" s="39"/>
      <c r="AS3393" s="39"/>
      <c r="AT3393" s="39"/>
      <c r="AU3393" s="39"/>
      <c r="AV3393" s="39"/>
      <c r="AW3393" s="39"/>
      <c r="AX3393" s="39"/>
      <c r="AY3393" s="39"/>
    </row>
    <row r="3394" spans="3:51" s="448" customFormat="1" ht="36" customHeight="1" x14ac:dyDescent="0.45">
      <c r="C3394" s="575"/>
      <c r="D3394" s="616">
        <f>TrialBalanceC!C21</f>
        <v>0</v>
      </c>
      <c r="E3394" s="616"/>
      <c r="F3394" s="616"/>
      <c r="G3394" s="616"/>
      <c r="H3394" s="616"/>
      <c r="I3394" s="616"/>
      <c r="J3394" s="645"/>
      <c r="K3394" s="450"/>
      <c r="L3394" s="451"/>
      <c r="N3394" s="450"/>
      <c r="O3394" s="588">
        <f>TrialBalanceC!I21</f>
        <v>0</v>
      </c>
      <c r="P3394" s="454"/>
      <c r="R3394" s="490" t="str">
        <f t="shared" si="256"/>
        <v>DELETE</v>
      </c>
      <c r="S3394" s="491"/>
      <c r="T3394" s="491"/>
      <c r="U3394" s="491"/>
      <c r="V3394" s="491"/>
      <c r="W3394" s="491"/>
      <c r="X3394" s="491"/>
      <c r="Y3394" s="498"/>
      <c r="Z3394" s="498"/>
      <c r="AA3394" s="492"/>
      <c r="AB3394" s="39"/>
      <c r="AC3394" s="39"/>
      <c r="AD3394" s="39"/>
      <c r="AE3394" s="39"/>
      <c r="AF3394" s="39"/>
      <c r="AG3394" s="39"/>
      <c r="AH3394" s="39"/>
      <c r="AI3394" s="39"/>
      <c r="AJ3394" s="39"/>
      <c r="AK3394" s="39"/>
      <c r="AL3394" s="39"/>
      <c r="AM3394" s="39"/>
      <c r="AN3394" s="39"/>
      <c r="AO3394" s="39"/>
      <c r="AP3394" s="39"/>
      <c r="AQ3394" s="39"/>
      <c r="AR3394" s="39"/>
      <c r="AS3394" s="39"/>
      <c r="AT3394" s="39"/>
      <c r="AU3394" s="39"/>
      <c r="AV3394" s="39"/>
      <c r="AW3394" s="39"/>
      <c r="AX3394" s="39"/>
      <c r="AY3394" s="39"/>
    </row>
    <row r="3395" spans="3:51" s="448" customFormat="1" ht="36" customHeight="1" x14ac:dyDescent="0.45">
      <c r="C3395" s="575"/>
      <c r="D3395" s="616">
        <f>TrialBalanceC!C22</f>
        <v>0</v>
      </c>
      <c r="E3395" s="616"/>
      <c r="F3395" s="616"/>
      <c r="G3395" s="616"/>
      <c r="H3395" s="616"/>
      <c r="I3395" s="616"/>
      <c r="J3395" s="645"/>
      <c r="K3395" s="450"/>
      <c r="L3395" s="451"/>
      <c r="N3395" s="450"/>
      <c r="O3395" s="588">
        <f>TrialBalanceC!I22</f>
        <v>0</v>
      </c>
      <c r="P3395" s="454"/>
      <c r="R3395" s="490" t="str">
        <f t="shared" si="256"/>
        <v>DELETE</v>
      </c>
      <c r="S3395" s="491"/>
      <c r="T3395" s="491"/>
      <c r="U3395" s="491"/>
      <c r="V3395" s="491"/>
      <c r="W3395" s="491"/>
      <c r="X3395" s="491"/>
      <c r="Y3395" s="498"/>
      <c r="Z3395" s="498"/>
      <c r="AA3395" s="492"/>
      <c r="AB3395" s="39"/>
      <c r="AC3395" s="39"/>
      <c r="AD3395" s="39"/>
      <c r="AE3395" s="39"/>
      <c r="AF3395" s="39"/>
      <c r="AG3395" s="39"/>
      <c r="AH3395" s="39"/>
      <c r="AI3395" s="39"/>
      <c r="AJ3395" s="39"/>
      <c r="AK3395" s="39"/>
      <c r="AL3395" s="39"/>
      <c r="AM3395" s="39"/>
      <c r="AN3395" s="39"/>
      <c r="AO3395" s="39"/>
      <c r="AP3395" s="39"/>
      <c r="AQ3395" s="39"/>
      <c r="AR3395" s="39"/>
      <c r="AS3395" s="39"/>
      <c r="AT3395" s="39"/>
      <c r="AU3395" s="39"/>
      <c r="AV3395" s="39"/>
      <c r="AW3395" s="39"/>
      <c r="AX3395" s="39"/>
      <c r="AY3395" s="39"/>
    </row>
    <row r="3396" spans="3:51" s="448" customFormat="1" ht="36" customHeight="1" x14ac:dyDescent="0.45">
      <c r="C3396" s="575"/>
      <c r="D3396" s="616" t="s">
        <v>564</v>
      </c>
      <c r="E3396" s="616"/>
      <c r="F3396" s="616"/>
      <c r="G3396" s="616"/>
      <c r="H3396" s="616"/>
      <c r="I3396" s="616"/>
      <c r="J3396" s="645"/>
      <c r="K3396" s="450"/>
      <c r="L3396" s="451"/>
      <c r="N3396" s="450"/>
      <c r="O3396" s="588">
        <f>SUM(TrialBalanceC!I23:I26)</f>
        <v>0</v>
      </c>
      <c r="P3396" s="454"/>
      <c r="R3396" s="490" t="str">
        <f t="shared" si="256"/>
        <v>DELETE</v>
      </c>
      <c r="S3396" s="491"/>
      <c r="T3396" s="491"/>
      <c r="U3396" s="491"/>
      <c r="V3396" s="491"/>
      <c r="W3396" s="491"/>
      <c r="X3396" s="491"/>
      <c r="Y3396" s="498"/>
      <c r="Z3396" s="498"/>
      <c r="AA3396" s="492"/>
      <c r="AB3396" s="39"/>
      <c r="AC3396" s="39"/>
      <c r="AD3396" s="39"/>
      <c r="AE3396" s="39"/>
      <c r="AF3396" s="39"/>
      <c r="AG3396" s="39"/>
      <c r="AH3396" s="39"/>
      <c r="AI3396" s="39"/>
      <c r="AJ3396" s="39"/>
      <c r="AK3396" s="39"/>
      <c r="AL3396" s="39"/>
      <c r="AM3396" s="39"/>
      <c r="AN3396" s="39"/>
      <c r="AO3396" s="39"/>
      <c r="AP3396" s="39"/>
      <c r="AQ3396" s="39"/>
      <c r="AR3396" s="39"/>
      <c r="AS3396" s="39"/>
      <c r="AT3396" s="39"/>
      <c r="AU3396" s="39"/>
      <c r="AV3396" s="39"/>
      <c r="AW3396" s="39"/>
      <c r="AX3396" s="39"/>
      <c r="AY3396" s="39"/>
    </row>
    <row r="3397" spans="3:51" s="448" customFormat="1" ht="9" customHeight="1" x14ac:dyDescent="0.45">
      <c r="C3397" s="575"/>
      <c r="D3397" s="616"/>
      <c r="E3397" s="616"/>
      <c r="F3397" s="616"/>
      <c r="G3397" s="616"/>
      <c r="H3397" s="616"/>
      <c r="I3397" s="616"/>
      <c r="J3397" s="645"/>
      <c r="K3397" s="450"/>
      <c r="L3397" s="451"/>
      <c r="N3397" s="450"/>
      <c r="O3397" s="589"/>
      <c r="P3397" s="454"/>
      <c r="R3397" s="490" t="str">
        <f>R3386</f>
        <v>DELETE</v>
      </c>
      <c r="S3397" s="491"/>
      <c r="T3397" s="491"/>
      <c r="U3397" s="491"/>
      <c r="V3397" s="491"/>
      <c r="W3397" s="491"/>
      <c r="X3397" s="491"/>
      <c r="Y3397" s="498"/>
      <c r="Z3397" s="498"/>
      <c r="AA3397" s="492"/>
      <c r="AB3397" s="39"/>
      <c r="AC3397" s="39"/>
      <c r="AD3397" s="39"/>
      <c r="AE3397" s="39"/>
      <c r="AF3397" s="39"/>
      <c r="AG3397" s="39"/>
      <c r="AH3397" s="39"/>
      <c r="AI3397" s="39"/>
      <c r="AJ3397" s="39"/>
      <c r="AK3397" s="39"/>
      <c r="AL3397" s="39"/>
      <c r="AM3397" s="39"/>
      <c r="AN3397" s="39"/>
      <c r="AO3397" s="39"/>
      <c r="AP3397" s="39"/>
      <c r="AQ3397" s="39"/>
      <c r="AR3397" s="39"/>
      <c r="AS3397" s="39"/>
      <c r="AT3397" s="39"/>
      <c r="AU3397" s="39"/>
      <c r="AV3397" s="39"/>
      <c r="AW3397" s="39"/>
      <c r="AX3397" s="39"/>
      <c r="AY3397" s="39"/>
    </row>
    <row r="3398" spans="3:51" s="448" customFormat="1" ht="9" customHeight="1" x14ac:dyDescent="0.45">
      <c r="C3398" s="575"/>
      <c r="D3398" s="616"/>
      <c r="E3398" s="616"/>
      <c r="F3398" s="616"/>
      <c r="G3398" s="616"/>
      <c r="H3398" s="616"/>
      <c r="I3398" s="616"/>
      <c r="J3398" s="645"/>
      <c r="K3398" s="450"/>
      <c r="L3398" s="451"/>
      <c r="N3398" s="450"/>
      <c r="O3398" s="461"/>
      <c r="P3398" s="454"/>
      <c r="R3398" s="490" t="str">
        <f>R3386</f>
        <v>DELETE</v>
      </c>
      <c r="S3398" s="491"/>
      <c r="T3398" s="491"/>
      <c r="U3398" s="491"/>
      <c r="V3398" s="491"/>
      <c r="W3398" s="491"/>
      <c r="X3398" s="491"/>
      <c r="Y3398" s="498"/>
      <c r="Z3398" s="498"/>
      <c r="AA3398" s="492"/>
      <c r="AB3398" s="39"/>
      <c r="AC3398" s="39"/>
      <c r="AD3398" s="39"/>
      <c r="AE3398" s="39"/>
      <c r="AF3398" s="39"/>
      <c r="AG3398" s="39"/>
      <c r="AH3398" s="39"/>
      <c r="AI3398" s="39"/>
      <c r="AJ3398" s="39"/>
      <c r="AK3398" s="39"/>
      <c r="AL3398" s="39"/>
      <c r="AM3398" s="39"/>
      <c r="AN3398" s="39"/>
      <c r="AO3398" s="39"/>
      <c r="AP3398" s="39"/>
      <c r="AQ3398" s="39"/>
      <c r="AR3398" s="39"/>
      <c r="AS3398" s="39"/>
      <c r="AT3398" s="39"/>
      <c r="AU3398" s="39"/>
      <c r="AV3398" s="39"/>
      <c r="AW3398" s="39"/>
      <c r="AX3398" s="39"/>
      <c r="AY3398" s="39"/>
    </row>
    <row r="3399" spans="3:51" s="448" customFormat="1" ht="9" customHeight="1" x14ac:dyDescent="0.45">
      <c r="C3399" s="575"/>
      <c r="D3399" s="616"/>
      <c r="E3399" s="616"/>
      <c r="F3399" s="616"/>
      <c r="G3399" s="616"/>
      <c r="H3399" s="616"/>
      <c r="I3399" s="616"/>
      <c r="J3399" s="645"/>
      <c r="K3399" s="450"/>
      <c r="L3399" s="451"/>
      <c r="N3399" s="450"/>
      <c r="O3399" s="458"/>
      <c r="P3399" s="454"/>
      <c r="R3399" s="490" t="str">
        <f>R3398</f>
        <v>DELETE</v>
      </c>
      <c r="S3399" s="491"/>
      <c r="T3399" s="491"/>
      <c r="U3399" s="491"/>
      <c r="V3399" s="491"/>
      <c r="W3399" s="491"/>
      <c r="X3399" s="491"/>
      <c r="Y3399" s="498"/>
      <c r="Z3399" s="498"/>
      <c r="AA3399" s="492"/>
      <c r="AB3399" s="39"/>
      <c r="AC3399" s="39"/>
      <c r="AD3399" s="39"/>
      <c r="AE3399" s="39"/>
      <c r="AF3399" s="39"/>
      <c r="AG3399" s="39"/>
      <c r="AH3399" s="39"/>
      <c r="AI3399" s="39"/>
      <c r="AJ3399" s="39"/>
      <c r="AK3399" s="39"/>
      <c r="AL3399" s="39"/>
      <c r="AM3399" s="39"/>
      <c r="AN3399" s="39"/>
      <c r="AO3399" s="39"/>
      <c r="AP3399" s="39"/>
      <c r="AQ3399" s="39"/>
      <c r="AR3399" s="39"/>
      <c r="AS3399" s="39"/>
      <c r="AT3399" s="39"/>
      <c r="AU3399" s="39"/>
      <c r="AV3399" s="39"/>
      <c r="AW3399" s="39"/>
      <c r="AX3399" s="39"/>
      <c r="AY3399" s="39"/>
    </row>
    <row r="3400" spans="3:51" s="448" customFormat="1" ht="36" customHeight="1" x14ac:dyDescent="0.45">
      <c r="D3400" s="637" t="str">
        <f>IF(O3400&lt;0,"Gross loss","Gross profit")</f>
        <v>Gross profit</v>
      </c>
      <c r="E3400" s="616"/>
      <c r="F3400" s="616"/>
      <c r="G3400" s="616"/>
      <c r="H3400" s="616"/>
      <c r="I3400" s="616"/>
      <c r="J3400" s="645"/>
      <c r="K3400" s="450"/>
      <c r="L3400" s="451"/>
      <c r="N3400" s="450"/>
      <c r="O3400" s="458">
        <f>SUM(S3382:S3397)</f>
        <v>0</v>
      </c>
      <c r="P3400" s="454"/>
      <c r="R3400" s="490" t="str">
        <f>R3399</f>
        <v>DELETE</v>
      </c>
      <c r="S3400" s="491"/>
      <c r="T3400" s="491"/>
      <c r="U3400" s="491"/>
      <c r="V3400" s="491"/>
      <c r="W3400" s="491"/>
      <c r="X3400" s="491"/>
      <c r="Y3400" s="498"/>
      <c r="Z3400" s="498"/>
      <c r="AA3400" s="492"/>
      <c r="AB3400" s="39"/>
      <c r="AC3400" s="39"/>
      <c r="AD3400" s="39"/>
      <c r="AE3400" s="39"/>
      <c r="AF3400" s="39"/>
      <c r="AG3400" s="39"/>
      <c r="AH3400" s="39"/>
      <c r="AI3400" s="39"/>
      <c r="AJ3400" s="39"/>
      <c r="AK3400" s="39"/>
      <c r="AL3400" s="39"/>
      <c r="AM3400" s="39"/>
      <c r="AN3400" s="39"/>
      <c r="AO3400" s="39"/>
      <c r="AP3400" s="39"/>
      <c r="AQ3400" s="39"/>
      <c r="AR3400" s="39"/>
      <c r="AS3400" s="39"/>
      <c r="AT3400" s="39"/>
      <c r="AU3400" s="39"/>
      <c r="AV3400" s="39"/>
      <c r="AW3400" s="39"/>
      <c r="AX3400" s="39"/>
      <c r="AY3400" s="39"/>
    </row>
    <row r="3401" spans="3:51" s="448" customFormat="1" ht="36" customHeight="1" x14ac:dyDescent="0.45">
      <c r="C3401" s="575"/>
      <c r="D3401" s="616"/>
      <c r="E3401" s="616"/>
      <c r="F3401" s="616"/>
      <c r="G3401" s="616"/>
      <c r="H3401" s="616"/>
      <c r="I3401" s="616"/>
      <c r="J3401" s="645"/>
      <c r="K3401" s="450"/>
      <c r="L3401" s="451"/>
      <c r="N3401" s="450"/>
      <c r="O3401" s="458"/>
      <c r="P3401" s="454"/>
      <c r="R3401" s="490" t="str">
        <f>R3400</f>
        <v>DELETE</v>
      </c>
      <c r="S3401" s="491"/>
      <c r="T3401" s="491"/>
      <c r="U3401" s="491"/>
      <c r="V3401" s="491"/>
      <c r="W3401" s="491"/>
      <c r="X3401" s="491"/>
      <c r="Y3401" s="498"/>
      <c r="Z3401" s="498"/>
      <c r="AA3401" s="492"/>
      <c r="AB3401" s="39"/>
      <c r="AC3401" s="39"/>
      <c r="AD3401" s="39"/>
      <c r="AE3401" s="39"/>
      <c r="AF3401" s="39"/>
      <c r="AG3401" s="39"/>
      <c r="AH3401" s="39"/>
      <c r="AI3401" s="39"/>
      <c r="AJ3401" s="39"/>
      <c r="AK3401" s="39"/>
      <c r="AL3401" s="39"/>
      <c r="AM3401" s="39"/>
      <c r="AN3401" s="39"/>
      <c r="AO3401" s="39"/>
      <c r="AP3401" s="39"/>
      <c r="AQ3401" s="39"/>
      <c r="AR3401" s="39"/>
      <c r="AS3401" s="39"/>
      <c r="AT3401" s="39"/>
      <c r="AU3401" s="39"/>
      <c r="AV3401" s="39"/>
      <c r="AW3401" s="39"/>
      <c r="AX3401" s="39"/>
      <c r="AY3401" s="39"/>
    </row>
    <row r="3402" spans="3:51" s="448" customFormat="1" ht="36" customHeight="1" x14ac:dyDescent="0.45">
      <c r="D3402" s="615" t="s">
        <v>1491</v>
      </c>
      <c r="E3402" s="616"/>
      <c r="F3402" s="616"/>
      <c r="G3402" s="616"/>
      <c r="H3402" s="616"/>
      <c r="I3402" s="616"/>
      <c r="J3402" s="645"/>
      <c r="K3402" s="450"/>
      <c r="L3402" s="451"/>
      <c r="N3402" s="450"/>
      <c r="O3402" s="458">
        <f>SUM(O3404:O3411)</f>
        <v>0</v>
      </c>
      <c r="P3402" s="454"/>
      <c r="R3402" s="490" t="str">
        <f t="shared" ref="R3402" si="257">IF(R$3370="DELETE","DELETE",IF(O3402=0,"DELETE"," "))</f>
        <v>DELETE</v>
      </c>
      <c r="S3402" s="495">
        <f>O3402</f>
        <v>0</v>
      </c>
      <c r="T3402" s="495"/>
      <c r="U3402" s="491"/>
      <c r="V3402" s="491"/>
      <c r="W3402" s="491"/>
      <c r="X3402" s="491"/>
      <c r="Y3402" s="498"/>
      <c r="Z3402" s="498"/>
      <c r="AA3402" s="492"/>
      <c r="AB3402" s="39"/>
      <c r="AC3402" s="39"/>
      <c r="AD3402" s="39"/>
      <c r="AE3402" s="39"/>
      <c r="AF3402" s="39"/>
      <c r="AG3402" s="39"/>
      <c r="AH3402" s="39"/>
      <c r="AI3402" s="39"/>
      <c r="AJ3402" s="39"/>
      <c r="AK3402" s="39"/>
      <c r="AL3402" s="39"/>
      <c r="AM3402" s="39"/>
      <c r="AN3402" s="39"/>
      <c r="AO3402" s="39"/>
      <c r="AP3402" s="39"/>
      <c r="AQ3402" s="39"/>
      <c r="AR3402" s="39"/>
      <c r="AS3402" s="39"/>
      <c r="AT3402" s="39"/>
      <c r="AU3402" s="39"/>
      <c r="AV3402" s="39"/>
      <c r="AW3402" s="39"/>
      <c r="AX3402" s="39"/>
      <c r="AY3402" s="39"/>
    </row>
    <row r="3403" spans="3:51" s="448" customFormat="1" ht="9" customHeight="1" x14ac:dyDescent="0.45">
      <c r="C3403" s="575"/>
      <c r="D3403" s="616"/>
      <c r="E3403" s="616"/>
      <c r="F3403" s="616"/>
      <c r="G3403" s="616"/>
      <c r="H3403" s="616"/>
      <c r="I3403" s="616"/>
      <c r="J3403" s="645"/>
      <c r="K3403" s="450"/>
      <c r="L3403" s="451"/>
      <c r="N3403" s="450"/>
      <c r="O3403" s="458"/>
      <c r="P3403" s="454"/>
      <c r="R3403" s="490" t="str">
        <f>R3402</f>
        <v>DELETE</v>
      </c>
      <c r="S3403" s="491"/>
      <c r="T3403" s="491"/>
      <c r="U3403" s="491"/>
      <c r="V3403" s="491"/>
      <c r="W3403" s="491"/>
      <c r="X3403" s="491"/>
      <c r="Y3403" s="498"/>
      <c r="Z3403" s="498"/>
      <c r="AA3403" s="492"/>
      <c r="AB3403" s="39"/>
      <c r="AC3403" s="39"/>
      <c r="AD3403" s="39"/>
      <c r="AE3403" s="39"/>
      <c r="AF3403" s="39"/>
      <c r="AG3403" s="39"/>
      <c r="AH3403" s="39"/>
      <c r="AI3403" s="39"/>
      <c r="AJ3403" s="39"/>
      <c r="AK3403" s="39"/>
      <c r="AL3403" s="39"/>
      <c r="AM3403" s="39"/>
      <c r="AN3403" s="39"/>
      <c r="AO3403" s="39"/>
      <c r="AP3403" s="39"/>
      <c r="AQ3403" s="39"/>
      <c r="AR3403" s="39"/>
      <c r="AS3403" s="39"/>
      <c r="AT3403" s="39"/>
      <c r="AU3403" s="39"/>
      <c r="AV3403" s="39"/>
      <c r="AW3403" s="39"/>
      <c r="AX3403" s="39"/>
      <c r="AY3403" s="39"/>
    </row>
    <row r="3404" spans="3:51" s="448" customFormat="1" ht="9" customHeight="1" x14ac:dyDescent="0.45">
      <c r="C3404" s="575"/>
      <c r="D3404" s="616"/>
      <c r="E3404" s="616"/>
      <c r="F3404" s="616"/>
      <c r="G3404" s="616"/>
      <c r="H3404" s="616"/>
      <c r="I3404" s="616"/>
      <c r="J3404" s="645"/>
      <c r="K3404" s="450"/>
      <c r="L3404" s="451"/>
      <c r="N3404" s="450"/>
      <c r="O3404" s="587"/>
      <c r="P3404" s="454"/>
      <c r="R3404" s="490" t="str">
        <f>R3402</f>
        <v>DELETE</v>
      </c>
      <c r="S3404" s="491"/>
      <c r="T3404" s="491"/>
      <c r="U3404" s="491"/>
      <c r="V3404" s="491"/>
      <c r="W3404" s="491"/>
      <c r="X3404" s="491"/>
      <c r="Y3404" s="498"/>
      <c r="Z3404" s="498"/>
      <c r="AA3404" s="492"/>
      <c r="AB3404" s="39"/>
      <c r="AC3404" s="39"/>
      <c r="AD3404" s="39"/>
      <c r="AE3404" s="39"/>
      <c r="AF3404" s="39"/>
      <c r="AG3404" s="39"/>
      <c r="AH3404" s="39"/>
      <c r="AI3404" s="39"/>
      <c r="AJ3404" s="39"/>
      <c r="AK3404" s="39"/>
      <c r="AL3404" s="39"/>
      <c r="AM3404" s="39"/>
      <c r="AN3404" s="39"/>
      <c r="AO3404" s="39"/>
      <c r="AP3404" s="39"/>
      <c r="AQ3404" s="39"/>
      <c r="AR3404" s="39"/>
      <c r="AS3404" s="39"/>
      <c r="AT3404" s="39"/>
      <c r="AU3404" s="39"/>
      <c r="AV3404" s="39"/>
      <c r="AW3404" s="39"/>
      <c r="AX3404" s="39"/>
      <c r="AY3404" s="39"/>
    </row>
    <row r="3405" spans="3:51" s="448" customFormat="1" ht="36" customHeight="1" x14ac:dyDescent="0.45">
      <c r="C3405" s="575"/>
      <c r="D3405" s="616" t="str">
        <f>TrialBalanceC!C28</f>
        <v xml:space="preserve">Insurance claims - </v>
      </c>
      <c r="E3405" s="616"/>
      <c r="F3405" s="616"/>
      <c r="G3405" s="616"/>
      <c r="H3405" s="616"/>
      <c r="I3405" s="616"/>
      <c r="J3405" s="645"/>
      <c r="K3405" s="450"/>
      <c r="L3405" s="451"/>
      <c r="N3405" s="450"/>
      <c r="O3405" s="588">
        <f>-TrialBalanceC!I28</f>
        <v>0</v>
      </c>
      <c r="P3405" s="454"/>
      <c r="R3405" s="490" t="str">
        <f t="shared" ref="R3405:R3409" si="258">IF(R$3370="DELETE","DELETE",IF(O3405=0,"DELETE"," "))</f>
        <v>DELETE</v>
      </c>
      <c r="S3405" s="491"/>
      <c r="T3405" s="491"/>
      <c r="U3405" s="491"/>
      <c r="V3405" s="491"/>
      <c r="W3405" s="491"/>
      <c r="X3405" s="491"/>
      <c r="Y3405" s="498"/>
      <c r="Z3405" s="498"/>
      <c r="AA3405" s="492"/>
      <c r="AB3405" s="39"/>
      <c r="AC3405" s="39"/>
      <c r="AD3405" s="39"/>
      <c r="AE3405" s="39"/>
      <c r="AF3405" s="39"/>
      <c r="AG3405" s="39"/>
      <c r="AH3405" s="39"/>
      <c r="AI3405" s="39"/>
      <c r="AJ3405" s="39"/>
      <c r="AK3405" s="39"/>
      <c r="AL3405" s="39"/>
      <c r="AM3405" s="39"/>
      <c r="AN3405" s="39"/>
      <c r="AO3405" s="39"/>
      <c r="AP3405" s="39"/>
      <c r="AQ3405" s="39"/>
      <c r="AR3405" s="39"/>
      <c r="AS3405" s="39"/>
      <c r="AT3405" s="39"/>
      <c r="AU3405" s="39"/>
      <c r="AV3405" s="39"/>
      <c r="AW3405" s="39"/>
      <c r="AX3405" s="39"/>
      <c r="AY3405" s="39"/>
    </row>
    <row r="3406" spans="3:51" s="448" customFormat="1" ht="36" customHeight="1" x14ac:dyDescent="0.45">
      <c r="C3406" s="575"/>
      <c r="D3406" s="616" t="str">
        <f>TrialBalanceC!C29</f>
        <v>Government grants received</v>
      </c>
      <c r="E3406" s="616"/>
      <c r="F3406" s="616"/>
      <c r="G3406" s="616"/>
      <c r="H3406" s="616"/>
      <c r="I3406" s="616"/>
      <c r="J3406" s="645"/>
      <c r="K3406" s="450"/>
      <c r="L3406" s="451"/>
      <c r="N3406" s="450"/>
      <c r="O3406" s="588">
        <f>-TrialBalanceC!I29</f>
        <v>0</v>
      </c>
      <c r="P3406" s="454"/>
      <c r="R3406" s="490" t="str">
        <f t="shared" si="258"/>
        <v>DELETE</v>
      </c>
      <c r="S3406" s="491"/>
      <c r="T3406" s="491"/>
      <c r="U3406" s="491"/>
      <c r="V3406" s="491"/>
      <c r="W3406" s="491"/>
      <c r="X3406" s="491"/>
      <c r="Y3406" s="498"/>
      <c r="Z3406" s="498"/>
      <c r="AA3406" s="492"/>
      <c r="AB3406" s="39"/>
      <c r="AC3406" s="39"/>
      <c r="AD3406" s="39"/>
      <c r="AE3406" s="39"/>
      <c r="AF3406" s="39"/>
      <c r="AG3406" s="39"/>
      <c r="AH3406" s="39"/>
      <c r="AI3406" s="39"/>
      <c r="AJ3406" s="39"/>
      <c r="AK3406" s="39"/>
      <c r="AL3406" s="39"/>
      <c r="AM3406" s="39"/>
      <c r="AN3406" s="39"/>
      <c r="AO3406" s="39"/>
      <c r="AP3406" s="39"/>
      <c r="AQ3406" s="39"/>
      <c r="AR3406" s="39"/>
      <c r="AS3406" s="39"/>
      <c r="AT3406" s="39"/>
      <c r="AU3406" s="39"/>
      <c r="AV3406" s="39"/>
      <c r="AW3406" s="39"/>
      <c r="AX3406" s="39"/>
      <c r="AY3406" s="39"/>
    </row>
    <row r="3407" spans="3:51" s="448" customFormat="1" ht="36" customHeight="1" x14ac:dyDescent="0.45">
      <c r="C3407" s="575"/>
      <c r="D3407" s="616">
        <f>TrialBalanceC!C30</f>
        <v>0</v>
      </c>
      <c r="E3407" s="616"/>
      <c r="F3407" s="616"/>
      <c r="G3407" s="616"/>
      <c r="H3407" s="616"/>
      <c r="I3407" s="616"/>
      <c r="J3407" s="645"/>
      <c r="K3407" s="450"/>
      <c r="L3407" s="451"/>
      <c r="N3407" s="450"/>
      <c r="O3407" s="588">
        <f>-TrialBalanceC!I30</f>
        <v>0</v>
      </c>
      <c r="P3407" s="454"/>
      <c r="R3407" s="490" t="str">
        <f t="shared" si="258"/>
        <v>DELETE</v>
      </c>
      <c r="S3407" s="491"/>
      <c r="T3407" s="491"/>
      <c r="U3407" s="491"/>
      <c r="V3407" s="491"/>
      <c r="W3407" s="491"/>
      <c r="X3407" s="491"/>
      <c r="Y3407" s="498"/>
      <c r="Z3407" s="498"/>
      <c r="AA3407" s="492"/>
      <c r="AB3407" s="39"/>
      <c r="AC3407" s="39"/>
      <c r="AD3407" s="39"/>
      <c r="AE3407" s="39"/>
      <c r="AF3407" s="39"/>
      <c r="AG3407" s="39"/>
      <c r="AH3407" s="39"/>
      <c r="AI3407" s="39"/>
      <c r="AJ3407" s="39"/>
      <c r="AK3407" s="39"/>
      <c r="AL3407" s="39"/>
      <c r="AM3407" s="39"/>
      <c r="AN3407" s="39"/>
      <c r="AO3407" s="39"/>
      <c r="AP3407" s="39"/>
      <c r="AQ3407" s="39"/>
      <c r="AR3407" s="39"/>
      <c r="AS3407" s="39"/>
      <c r="AT3407" s="39"/>
      <c r="AU3407" s="39"/>
      <c r="AV3407" s="39"/>
      <c r="AW3407" s="39"/>
      <c r="AX3407" s="39"/>
      <c r="AY3407" s="39"/>
    </row>
    <row r="3408" spans="3:51" s="448" customFormat="1" ht="36" customHeight="1" x14ac:dyDescent="0.45">
      <c r="C3408" s="575"/>
      <c r="D3408" s="616">
        <f>TrialBalanceC!C31</f>
        <v>0</v>
      </c>
      <c r="E3408" s="616"/>
      <c r="F3408" s="616"/>
      <c r="G3408" s="616"/>
      <c r="H3408" s="616"/>
      <c r="I3408" s="616"/>
      <c r="J3408" s="645"/>
      <c r="K3408" s="450"/>
      <c r="L3408" s="451"/>
      <c r="N3408" s="450"/>
      <c r="O3408" s="588">
        <f>-TrialBalanceC!I31</f>
        <v>0</v>
      </c>
      <c r="P3408" s="454"/>
      <c r="R3408" s="490" t="str">
        <f t="shared" si="258"/>
        <v>DELETE</v>
      </c>
      <c r="S3408" s="491"/>
      <c r="T3408" s="491"/>
      <c r="U3408" s="491"/>
      <c r="V3408" s="491"/>
      <c r="W3408" s="491"/>
      <c r="X3408" s="491"/>
      <c r="Y3408" s="498"/>
      <c r="Z3408" s="498"/>
      <c r="AA3408" s="492"/>
      <c r="AB3408" s="39"/>
      <c r="AC3408" s="39"/>
      <c r="AD3408" s="39"/>
      <c r="AE3408" s="39"/>
      <c r="AF3408" s="39"/>
      <c r="AG3408" s="39"/>
      <c r="AH3408" s="39"/>
      <c r="AI3408" s="39"/>
      <c r="AJ3408" s="39"/>
      <c r="AK3408" s="39"/>
      <c r="AL3408" s="39"/>
      <c r="AM3408" s="39"/>
      <c r="AN3408" s="39"/>
      <c r="AO3408" s="39"/>
      <c r="AP3408" s="39"/>
      <c r="AQ3408" s="39"/>
      <c r="AR3408" s="39"/>
      <c r="AS3408" s="39"/>
      <c r="AT3408" s="39"/>
      <c r="AU3408" s="39"/>
      <c r="AV3408" s="39"/>
      <c r="AW3408" s="39"/>
      <c r="AX3408" s="39"/>
      <c r="AY3408" s="39"/>
    </row>
    <row r="3409" spans="3:51" s="448" customFormat="1" ht="36" customHeight="1" x14ac:dyDescent="0.45">
      <c r="C3409" s="575"/>
      <c r="D3409" s="616">
        <f>TrialBalanceC!C32</f>
        <v>0</v>
      </c>
      <c r="E3409" s="616"/>
      <c r="F3409" s="616"/>
      <c r="G3409" s="616"/>
      <c r="H3409" s="616"/>
      <c r="I3409" s="616"/>
      <c r="J3409" s="645"/>
      <c r="K3409" s="450"/>
      <c r="L3409" s="451"/>
      <c r="N3409" s="450"/>
      <c r="O3409" s="588">
        <f>-TrialBalanceC!I32</f>
        <v>0</v>
      </c>
      <c r="P3409" s="454"/>
      <c r="R3409" s="490" t="str">
        <f t="shared" si="258"/>
        <v>DELETE</v>
      </c>
      <c r="S3409" s="491"/>
      <c r="T3409" s="491"/>
      <c r="U3409" s="491"/>
      <c r="V3409" s="491"/>
      <c r="W3409" s="491"/>
      <c r="X3409" s="491"/>
      <c r="Y3409" s="498"/>
      <c r="Z3409" s="498"/>
      <c r="AA3409" s="492"/>
      <c r="AB3409" s="39"/>
      <c r="AC3409" s="39"/>
      <c r="AD3409" s="39"/>
      <c r="AE3409" s="39"/>
      <c r="AF3409" s="39"/>
      <c r="AG3409" s="39"/>
      <c r="AH3409" s="39"/>
      <c r="AI3409" s="39"/>
      <c r="AJ3409" s="39"/>
      <c r="AK3409" s="39"/>
      <c r="AL3409" s="39"/>
      <c r="AM3409" s="39"/>
      <c r="AN3409" s="39"/>
      <c r="AO3409" s="39"/>
      <c r="AP3409" s="39"/>
      <c r="AQ3409" s="39"/>
      <c r="AR3409" s="39"/>
      <c r="AS3409" s="39"/>
      <c r="AT3409" s="39"/>
      <c r="AU3409" s="39"/>
      <c r="AV3409" s="39"/>
      <c r="AW3409" s="39"/>
      <c r="AX3409" s="39"/>
      <c r="AY3409" s="39"/>
    </row>
    <row r="3410" spans="3:51" s="448" customFormat="1" ht="36" customHeight="1" x14ac:dyDescent="0.45">
      <c r="C3410" s="575"/>
      <c r="D3410" s="616" t="str">
        <f>TrialBalanceC!C33</f>
        <v>Recoupment of depreciation</v>
      </c>
      <c r="E3410" s="616"/>
      <c r="F3410" s="616"/>
      <c r="G3410" s="616"/>
      <c r="H3410" s="616"/>
      <c r="I3410" s="616"/>
      <c r="J3410" s="645"/>
      <c r="K3410" s="450"/>
      <c r="L3410" s="451"/>
      <c r="N3410" s="450"/>
      <c r="O3410" s="588">
        <f>-TrialBalanceC!I33</f>
        <v>0</v>
      </c>
      <c r="P3410" s="454"/>
      <c r="R3410" s="490" t="str">
        <f t="shared" ref="R3410" si="259">IF(R$3370="DELETE","DELETE",IF(O3410=0,"DELETE"," "))</f>
        <v>DELETE</v>
      </c>
      <c r="S3410" s="491"/>
      <c r="T3410" s="491"/>
      <c r="U3410" s="491"/>
      <c r="V3410" s="491"/>
      <c r="W3410" s="491"/>
      <c r="X3410" s="491"/>
      <c r="Y3410" s="498"/>
      <c r="Z3410" s="498"/>
      <c r="AA3410" s="492"/>
      <c r="AB3410" s="39"/>
      <c r="AC3410" s="39"/>
      <c r="AD3410" s="39"/>
      <c r="AE3410" s="39"/>
      <c r="AF3410" s="39"/>
      <c r="AG3410" s="39"/>
      <c r="AH3410" s="39"/>
      <c r="AI3410" s="39"/>
      <c r="AJ3410" s="39"/>
      <c r="AK3410" s="39"/>
      <c r="AL3410" s="39"/>
      <c r="AM3410" s="39"/>
      <c r="AN3410" s="39"/>
      <c r="AO3410" s="39"/>
      <c r="AP3410" s="39"/>
      <c r="AQ3410" s="39"/>
      <c r="AR3410" s="39"/>
      <c r="AS3410" s="39"/>
      <c r="AT3410" s="39"/>
      <c r="AU3410" s="39"/>
      <c r="AV3410" s="39"/>
      <c r="AW3410" s="39"/>
      <c r="AX3410" s="39"/>
      <c r="AY3410" s="39"/>
    </row>
    <row r="3411" spans="3:51" s="448" customFormat="1" ht="9" customHeight="1" x14ac:dyDescent="0.45">
      <c r="C3411" s="575"/>
      <c r="D3411" s="616"/>
      <c r="E3411" s="616"/>
      <c r="F3411" s="616"/>
      <c r="G3411" s="616"/>
      <c r="H3411" s="616"/>
      <c r="I3411" s="616"/>
      <c r="J3411" s="645"/>
      <c r="K3411" s="450"/>
      <c r="L3411" s="451"/>
      <c r="N3411" s="450"/>
      <c r="O3411" s="589"/>
      <c r="P3411" s="454"/>
      <c r="R3411" s="490" t="str">
        <f>R3402</f>
        <v>DELETE</v>
      </c>
      <c r="S3411" s="491"/>
      <c r="T3411" s="491"/>
      <c r="U3411" s="491"/>
      <c r="V3411" s="491"/>
      <c r="W3411" s="491"/>
      <c r="X3411" s="491"/>
      <c r="Y3411" s="498"/>
      <c r="Z3411" s="498"/>
      <c r="AA3411" s="492"/>
      <c r="AB3411" s="39"/>
      <c r="AC3411" s="39"/>
      <c r="AD3411" s="39"/>
      <c r="AE3411" s="39"/>
      <c r="AF3411" s="39"/>
      <c r="AG3411" s="39"/>
      <c r="AH3411" s="39"/>
      <c r="AI3411" s="39"/>
      <c r="AJ3411" s="39"/>
      <c r="AK3411" s="39"/>
      <c r="AL3411" s="39"/>
      <c r="AM3411" s="39"/>
      <c r="AN3411" s="39"/>
      <c r="AO3411" s="39"/>
      <c r="AP3411" s="39"/>
      <c r="AQ3411" s="39"/>
      <c r="AR3411" s="39"/>
      <c r="AS3411" s="39"/>
      <c r="AT3411" s="39"/>
      <c r="AU3411" s="39"/>
      <c r="AV3411" s="39"/>
      <c r="AW3411" s="39"/>
      <c r="AX3411" s="39"/>
      <c r="AY3411" s="39"/>
    </row>
    <row r="3412" spans="3:51" s="448" customFormat="1" ht="9" customHeight="1" x14ac:dyDescent="0.45">
      <c r="C3412" s="575"/>
      <c r="D3412" s="616"/>
      <c r="E3412" s="616"/>
      <c r="F3412" s="616"/>
      <c r="G3412" s="616"/>
      <c r="H3412" s="616"/>
      <c r="I3412" s="616"/>
      <c r="J3412" s="645"/>
      <c r="K3412" s="450"/>
      <c r="L3412" s="451"/>
      <c r="N3412" s="450"/>
      <c r="O3412" s="479"/>
      <c r="P3412" s="454"/>
      <c r="R3412" s="490" t="str">
        <f>R3411</f>
        <v>DELETE</v>
      </c>
      <c r="S3412" s="491"/>
      <c r="T3412" s="491"/>
      <c r="U3412" s="491"/>
      <c r="V3412" s="491"/>
      <c r="W3412" s="491"/>
      <c r="X3412" s="491"/>
      <c r="Y3412" s="498"/>
      <c r="Z3412" s="498"/>
      <c r="AA3412" s="492"/>
      <c r="AB3412" s="39"/>
      <c r="AC3412" s="39"/>
      <c r="AD3412" s="39"/>
      <c r="AE3412" s="39"/>
      <c r="AF3412" s="39"/>
      <c r="AG3412" s="39"/>
      <c r="AH3412" s="39"/>
      <c r="AI3412" s="39"/>
      <c r="AJ3412" s="39"/>
      <c r="AK3412" s="39"/>
      <c r="AL3412" s="39"/>
      <c r="AM3412" s="39"/>
      <c r="AN3412" s="39"/>
      <c r="AO3412" s="39"/>
      <c r="AP3412" s="39"/>
      <c r="AQ3412" s="39"/>
      <c r="AR3412" s="39"/>
      <c r="AS3412" s="39"/>
      <c r="AT3412" s="39"/>
      <c r="AU3412" s="39"/>
      <c r="AV3412" s="39"/>
      <c r="AW3412" s="39"/>
      <c r="AX3412" s="39"/>
      <c r="AY3412" s="39"/>
    </row>
    <row r="3413" spans="3:51" s="448" customFormat="1" ht="9" customHeight="1" x14ac:dyDescent="0.45">
      <c r="C3413" s="575"/>
      <c r="D3413" s="616"/>
      <c r="E3413" s="616"/>
      <c r="F3413" s="616"/>
      <c r="G3413" s="616"/>
      <c r="H3413" s="616"/>
      <c r="I3413" s="616"/>
      <c r="J3413" s="645"/>
      <c r="K3413" s="450"/>
      <c r="L3413" s="451"/>
      <c r="N3413" s="450"/>
      <c r="O3413" s="458"/>
      <c r="P3413" s="454"/>
      <c r="R3413" s="490" t="str">
        <f>R3412</f>
        <v>DELETE</v>
      </c>
      <c r="S3413" s="491"/>
      <c r="T3413" s="491"/>
      <c r="U3413" s="491"/>
      <c r="V3413" s="491"/>
      <c r="W3413" s="491"/>
      <c r="X3413" s="491"/>
      <c r="Y3413" s="498"/>
      <c r="Z3413" s="498"/>
      <c r="AA3413" s="492"/>
      <c r="AB3413" s="39"/>
      <c r="AC3413" s="39"/>
      <c r="AD3413" s="39"/>
      <c r="AE3413" s="39"/>
      <c r="AF3413" s="39"/>
      <c r="AG3413" s="39"/>
      <c r="AH3413" s="39"/>
      <c r="AI3413" s="39"/>
      <c r="AJ3413" s="39"/>
      <c r="AK3413" s="39"/>
      <c r="AL3413" s="39"/>
      <c r="AM3413" s="39"/>
      <c r="AN3413" s="39"/>
      <c r="AO3413" s="39"/>
      <c r="AP3413" s="39"/>
      <c r="AQ3413" s="39"/>
      <c r="AR3413" s="39"/>
      <c r="AS3413" s="39"/>
      <c r="AT3413" s="39"/>
      <c r="AU3413" s="39"/>
      <c r="AV3413" s="39"/>
      <c r="AW3413" s="39"/>
      <c r="AX3413" s="39"/>
      <c r="AY3413" s="39"/>
    </row>
    <row r="3414" spans="3:51" s="448" customFormat="1" ht="36" customHeight="1" x14ac:dyDescent="0.45">
      <c r="C3414" s="575"/>
      <c r="D3414" s="616"/>
      <c r="E3414" s="616"/>
      <c r="F3414" s="616"/>
      <c r="G3414" s="616"/>
      <c r="H3414" s="616"/>
      <c r="I3414" s="616"/>
      <c r="J3414" s="645"/>
      <c r="K3414" s="450"/>
      <c r="L3414" s="451"/>
      <c r="N3414" s="450"/>
      <c r="O3414" s="458">
        <f>SUM(S3382:S3402)</f>
        <v>0</v>
      </c>
      <c r="P3414" s="454"/>
      <c r="R3414" s="490" t="str">
        <f>R3402</f>
        <v>DELETE</v>
      </c>
      <c r="S3414" s="491"/>
      <c r="T3414" s="491"/>
      <c r="U3414" s="491"/>
      <c r="V3414" s="491"/>
      <c r="W3414" s="491"/>
      <c r="X3414" s="491"/>
      <c r="Y3414" s="498"/>
      <c r="Z3414" s="498"/>
      <c r="AA3414" s="492"/>
      <c r="AB3414" s="39"/>
      <c r="AC3414" s="39"/>
      <c r="AD3414" s="39"/>
      <c r="AE3414" s="39"/>
      <c r="AF3414" s="39"/>
      <c r="AG3414" s="39"/>
      <c r="AH3414" s="39"/>
      <c r="AI3414" s="39"/>
      <c r="AJ3414" s="39"/>
      <c r="AK3414" s="39"/>
      <c r="AL3414" s="39"/>
      <c r="AM3414" s="39"/>
      <c r="AN3414" s="39"/>
      <c r="AO3414" s="39"/>
      <c r="AP3414" s="39"/>
      <c r="AQ3414" s="39"/>
      <c r="AR3414" s="39"/>
      <c r="AS3414" s="39"/>
      <c r="AT3414" s="39"/>
      <c r="AU3414" s="39"/>
      <c r="AV3414" s="39"/>
      <c r="AW3414" s="39"/>
      <c r="AX3414" s="39"/>
      <c r="AY3414" s="39"/>
    </row>
    <row r="3415" spans="3:51" s="448" customFormat="1" ht="36" customHeight="1" x14ac:dyDescent="0.45">
      <c r="C3415" s="575"/>
      <c r="D3415" s="616"/>
      <c r="E3415" s="616"/>
      <c r="F3415" s="616"/>
      <c r="G3415" s="616"/>
      <c r="H3415" s="616"/>
      <c r="I3415" s="616"/>
      <c r="J3415" s="645"/>
      <c r="K3415" s="450"/>
      <c r="L3415" s="451"/>
      <c r="N3415" s="450"/>
      <c r="O3415" s="458"/>
      <c r="P3415" s="454"/>
      <c r="R3415" s="490" t="str">
        <f>R3414</f>
        <v>DELETE</v>
      </c>
      <c r="S3415" s="491"/>
      <c r="T3415" s="491"/>
      <c r="U3415" s="491"/>
      <c r="V3415" s="491"/>
      <c r="W3415" s="491"/>
      <c r="X3415" s="491"/>
      <c r="Y3415" s="498"/>
      <c r="Z3415" s="498"/>
      <c r="AA3415" s="492"/>
      <c r="AB3415" s="39"/>
      <c r="AC3415" s="39"/>
      <c r="AD3415" s="39"/>
      <c r="AE3415" s="39"/>
      <c r="AF3415" s="39"/>
      <c r="AG3415" s="39"/>
      <c r="AH3415" s="39"/>
      <c r="AI3415" s="39"/>
      <c r="AJ3415" s="39"/>
      <c r="AK3415" s="39"/>
      <c r="AL3415" s="39"/>
      <c r="AM3415" s="39"/>
      <c r="AN3415" s="39"/>
      <c r="AO3415" s="39"/>
      <c r="AP3415" s="39"/>
      <c r="AQ3415" s="39"/>
      <c r="AR3415" s="39"/>
      <c r="AS3415" s="39"/>
      <c r="AT3415" s="39"/>
      <c r="AU3415" s="39"/>
      <c r="AV3415" s="39"/>
      <c r="AW3415" s="39"/>
      <c r="AX3415" s="39"/>
      <c r="AY3415" s="39"/>
    </row>
    <row r="3416" spans="3:51" s="448" customFormat="1" ht="36" customHeight="1" x14ac:dyDescent="0.45">
      <c r="D3416" s="615" t="s">
        <v>1532</v>
      </c>
      <c r="E3416" s="616"/>
      <c r="F3416" s="616"/>
      <c r="G3416" s="616"/>
      <c r="H3416" s="616"/>
      <c r="I3416" s="616"/>
      <c r="J3416" s="645"/>
      <c r="K3416" s="450"/>
      <c r="L3416" s="451"/>
      <c r="N3416" s="450"/>
      <c r="O3416" s="458">
        <f>SUM(O3418:O3447)</f>
        <v>0</v>
      </c>
      <c r="P3416" s="454"/>
      <c r="R3416" s="490" t="str">
        <f t="shared" ref="R3416" si="260">IF(R$3370="DELETE","DELETE",IF(O3416=0,"DELETE"," "))</f>
        <v>DELETE</v>
      </c>
      <c r="S3416" s="495">
        <f>-O3416</f>
        <v>0</v>
      </c>
      <c r="T3416" s="495"/>
      <c r="U3416" s="495"/>
      <c r="V3416" s="495"/>
      <c r="W3416" s="491"/>
      <c r="X3416" s="491"/>
      <c r="Y3416" s="498"/>
      <c r="Z3416" s="498"/>
      <c r="AA3416" s="492"/>
      <c r="AB3416" s="39"/>
      <c r="AC3416" s="39"/>
      <c r="AD3416" s="39"/>
      <c r="AE3416" s="39"/>
      <c r="AF3416" s="39"/>
      <c r="AG3416" s="39"/>
      <c r="AH3416" s="39"/>
      <c r="AI3416" s="39"/>
      <c r="AJ3416" s="39"/>
      <c r="AK3416" s="39"/>
      <c r="AL3416" s="39"/>
      <c r="AM3416" s="39"/>
      <c r="AN3416" s="39"/>
      <c r="AO3416" s="39"/>
      <c r="AP3416" s="39"/>
      <c r="AQ3416" s="39"/>
      <c r="AR3416" s="39"/>
      <c r="AS3416" s="39"/>
      <c r="AT3416" s="39"/>
      <c r="AU3416" s="39"/>
      <c r="AV3416" s="39"/>
      <c r="AW3416" s="39"/>
      <c r="AX3416" s="39"/>
      <c r="AY3416" s="39"/>
    </row>
    <row r="3417" spans="3:51" s="448" customFormat="1" ht="9" customHeight="1" x14ac:dyDescent="0.45">
      <c r="C3417" s="575"/>
      <c r="D3417" s="616"/>
      <c r="E3417" s="616"/>
      <c r="F3417" s="616"/>
      <c r="G3417" s="616"/>
      <c r="H3417" s="616"/>
      <c r="I3417" s="616"/>
      <c r="J3417" s="645"/>
      <c r="K3417" s="450"/>
      <c r="L3417" s="451"/>
      <c r="N3417" s="450"/>
      <c r="O3417" s="458"/>
      <c r="P3417" s="454"/>
      <c r="R3417" s="490" t="str">
        <f>R3416</f>
        <v>DELETE</v>
      </c>
      <c r="S3417" s="491"/>
      <c r="T3417" s="491"/>
      <c r="U3417" s="491"/>
      <c r="V3417" s="491"/>
      <c r="W3417" s="491"/>
      <c r="X3417" s="491"/>
      <c r="Y3417" s="498"/>
      <c r="Z3417" s="498"/>
      <c r="AA3417" s="492"/>
      <c r="AB3417" s="39"/>
      <c r="AC3417" s="39"/>
      <c r="AD3417" s="39"/>
      <c r="AE3417" s="39"/>
      <c r="AF3417" s="39"/>
      <c r="AG3417" s="39"/>
      <c r="AH3417" s="39"/>
      <c r="AI3417" s="39"/>
      <c r="AJ3417" s="39"/>
      <c r="AK3417" s="39"/>
      <c r="AL3417" s="39"/>
      <c r="AM3417" s="39"/>
      <c r="AN3417" s="39"/>
      <c r="AO3417" s="39"/>
      <c r="AP3417" s="39"/>
      <c r="AQ3417" s="39"/>
      <c r="AR3417" s="39"/>
      <c r="AS3417" s="39"/>
      <c r="AT3417" s="39"/>
      <c r="AU3417" s="39"/>
      <c r="AV3417" s="39"/>
      <c r="AW3417" s="39"/>
      <c r="AX3417" s="39"/>
      <c r="AY3417" s="39"/>
    </row>
    <row r="3418" spans="3:51" s="448" customFormat="1" ht="9" customHeight="1" x14ac:dyDescent="0.45">
      <c r="C3418" s="575"/>
      <c r="D3418" s="616"/>
      <c r="E3418" s="616"/>
      <c r="F3418" s="616"/>
      <c r="G3418" s="616"/>
      <c r="H3418" s="616"/>
      <c r="I3418" s="616"/>
      <c r="J3418" s="645"/>
      <c r="K3418" s="450"/>
      <c r="L3418" s="451"/>
      <c r="N3418" s="450"/>
      <c r="O3418" s="587"/>
      <c r="P3418" s="454"/>
      <c r="R3418" s="490" t="str">
        <f>R3417</f>
        <v>DELETE</v>
      </c>
      <c r="S3418" s="491"/>
      <c r="T3418" s="491"/>
      <c r="U3418" s="491"/>
      <c r="V3418" s="491"/>
      <c r="W3418" s="491"/>
      <c r="X3418" s="491"/>
      <c r="Y3418" s="498"/>
      <c r="Z3418" s="498"/>
      <c r="AA3418" s="492"/>
      <c r="AB3418" s="39"/>
      <c r="AC3418" s="39"/>
      <c r="AD3418" s="39"/>
      <c r="AE3418" s="39"/>
      <c r="AF3418" s="39"/>
      <c r="AG3418" s="39"/>
      <c r="AH3418" s="39"/>
      <c r="AI3418" s="39"/>
      <c r="AJ3418" s="39"/>
      <c r="AK3418" s="39"/>
      <c r="AL3418" s="39"/>
      <c r="AM3418" s="39"/>
      <c r="AN3418" s="39"/>
      <c r="AO3418" s="39"/>
      <c r="AP3418" s="39"/>
      <c r="AQ3418" s="39"/>
      <c r="AR3418" s="39"/>
      <c r="AS3418" s="39"/>
      <c r="AT3418" s="39"/>
      <c r="AU3418" s="39"/>
      <c r="AV3418" s="39"/>
      <c r="AW3418" s="39"/>
      <c r="AX3418" s="39"/>
      <c r="AY3418" s="39"/>
    </row>
    <row r="3419" spans="3:51" s="448" customFormat="1" ht="36" customHeight="1" x14ac:dyDescent="0.45">
      <c r="C3419" s="575"/>
      <c r="D3419" s="616" t="s">
        <v>302</v>
      </c>
      <c r="E3419" s="616"/>
      <c r="F3419" s="616"/>
      <c r="G3419" s="616"/>
      <c r="H3419" s="616"/>
      <c r="I3419" s="616"/>
      <c r="J3419" s="645"/>
      <c r="K3419" s="450"/>
      <c r="L3419" s="451"/>
      <c r="N3419" s="450"/>
      <c r="O3419" s="588">
        <f>TrialBalanceC!I40</f>
        <v>0</v>
      </c>
      <c r="P3419" s="454"/>
      <c r="R3419" s="490" t="str">
        <f t="shared" ref="R3419:R3446" si="261">IF(R$3370="DELETE","DELETE",IF(O3419=0,"DELETE"," "))</f>
        <v>DELETE</v>
      </c>
      <c r="S3419" s="491"/>
      <c r="T3419" s="491"/>
      <c r="U3419" s="491"/>
      <c r="V3419" s="491"/>
      <c r="W3419" s="491"/>
      <c r="X3419" s="491"/>
      <c r="Y3419" s="498"/>
      <c r="Z3419" s="498"/>
      <c r="AA3419" s="492"/>
      <c r="AB3419" s="39"/>
      <c r="AC3419" s="39"/>
      <c r="AD3419" s="39"/>
      <c r="AE3419" s="39"/>
      <c r="AF3419" s="39"/>
      <c r="AG3419" s="39"/>
      <c r="AH3419" s="39"/>
      <c r="AI3419" s="39"/>
      <c r="AJ3419" s="39"/>
      <c r="AK3419" s="39"/>
      <c r="AL3419" s="39"/>
      <c r="AM3419" s="39"/>
      <c r="AN3419" s="39"/>
      <c r="AO3419" s="39"/>
      <c r="AP3419" s="39"/>
      <c r="AQ3419" s="39"/>
      <c r="AR3419" s="39"/>
      <c r="AS3419" s="39"/>
      <c r="AT3419" s="39"/>
      <c r="AU3419" s="39"/>
      <c r="AV3419" s="39"/>
      <c r="AW3419" s="39"/>
      <c r="AX3419" s="39"/>
      <c r="AY3419" s="39"/>
    </row>
    <row r="3420" spans="3:51" s="448" customFormat="1" ht="36" customHeight="1" x14ac:dyDescent="0.45">
      <c r="C3420" s="575"/>
      <c r="D3420" s="616" t="s">
        <v>831</v>
      </c>
      <c r="E3420" s="616"/>
      <c r="F3420" s="616"/>
      <c r="G3420" s="616"/>
      <c r="H3420" s="616"/>
      <c r="I3420" s="616"/>
      <c r="J3420" s="645"/>
      <c r="K3420" s="450"/>
      <c r="L3420" s="451"/>
      <c r="N3420" s="450"/>
      <c r="O3420" s="588">
        <f>TrialBalanceC!I41</f>
        <v>0</v>
      </c>
      <c r="P3420" s="454"/>
      <c r="R3420" s="490" t="str">
        <f t="shared" si="261"/>
        <v>DELETE</v>
      </c>
      <c r="S3420" s="491"/>
      <c r="T3420" s="491"/>
      <c r="U3420" s="491"/>
      <c r="V3420" s="491"/>
      <c r="W3420" s="491"/>
      <c r="X3420" s="491"/>
      <c r="Y3420" s="498"/>
      <c r="Z3420" s="498"/>
      <c r="AA3420" s="492"/>
      <c r="AB3420" s="39"/>
      <c r="AC3420" s="39"/>
      <c r="AD3420" s="39"/>
      <c r="AE3420" s="39"/>
      <c r="AF3420" s="39"/>
      <c r="AG3420" s="39"/>
      <c r="AH3420" s="39"/>
      <c r="AI3420" s="39"/>
      <c r="AJ3420" s="39"/>
      <c r="AK3420" s="39"/>
      <c r="AL3420" s="39"/>
      <c r="AM3420" s="39"/>
      <c r="AN3420" s="39"/>
      <c r="AO3420" s="39"/>
      <c r="AP3420" s="39"/>
      <c r="AQ3420" s="39"/>
      <c r="AR3420" s="39"/>
      <c r="AS3420" s="39"/>
      <c r="AT3420" s="39"/>
      <c r="AU3420" s="39"/>
      <c r="AV3420" s="39"/>
      <c r="AW3420" s="39"/>
      <c r="AX3420" s="39"/>
      <c r="AY3420" s="39"/>
    </row>
    <row r="3421" spans="3:51" s="448" customFormat="1" ht="36" customHeight="1" x14ac:dyDescent="0.45">
      <c r="C3421" s="575"/>
      <c r="D3421" s="616" t="s">
        <v>303</v>
      </c>
      <c r="E3421" s="616"/>
      <c r="F3421" s="616"/>
      <c r="G3421" s="616"/>
      <c r="H3421" s="616"/>
      <c r="I3421" s="616"/>
      <c r="J3421" s="645"/>
      <c r="K3421" s="450"/>
      <c r="L3421" s="451"/>
      <c r="N3421" s="450"/>
      <c r="O3421" s="588">
        <f>TrialBalanceC!I42</f>
        <v>0</v>
      </c>
      <c r="P3421" s="454"/>
      <c r="R3421" s="490" t="str">
        <f t="shared" si="261"/>
        <v>DELETE</v>
      </c>
      <c r="S3421" s="491"/>
      <c r="T3421" s="491"/>
      <c r="U3421" s="491"/>
      <c r="V3421" s="491"/>
      <c r="W3421" s="491"/>
      <c r="X3421" s="491"/>
      <c r="Y3421" s="498"/>
      <c r="Z3421" s="498"/>
      <c r="AA3421" s="492"/>
      <c r="AB3421" s="39"/>
      <c r="AC3421" s="39"/>
      <c r="AD3421" s="39"/>
      <c r="AE3421" s="39"/>
      <c r="AF3421" s="39"/>
      <c r="AG3421" s="39"/>
      <c r="AH3421" s="39"/>
      <c r="AI3421" s="39"/>
      <c r="AJ3421" s="39"/>
      <c r="AK3421" s="39"/>
      <c r="AL3421" s="39"/>
      <c r="AM3421" s="39"/>
      <c r="AN3421" s="39"/>
      <c r="AO3421" s="39"/>
      <c r="AP3421" s="39"/>
      <c r="AQ3421" s="39"/>
      <c r="AR3421" s="39"/>
      <c r="AS3421" s="39"/>
      <c r="AT3421" s="39"/>
      <c r="AU3421" s="39"/>
      <c r="AV3421" s="39"/>
      <c r="AW3421" s="39"/>
      <c r="AX3421" s="39"/>
      <c r="AY3421" s="39"/>
    </row>
    <row r="3422" spans="3:51" s="448" customFormat="1" ht="36" customHeight="1" x14ac:dyDescent="0.45">
      <c r="C3422" s="575"/>
      <c r="D3422" s="616" t="s">
        <v>304</v>
      </c>
      <c r="E3422" s="616"/>
      <c r="F3422" s="616"/>
      <c r="G3422" s="616"/>
      <c r="H3422" s="616"/>
      <c r="I3422" s="616"/>
      <c r="J3422" s="645"/>
      <c r="K3422" s="450">
        <f>B$1212</f>
        <v>4</v>
      </c>
      <c r="L3422" s="451"/>
      <c r="N3422" s="450"/>
      <c r="O3422" s="588">
        <f>SUM(TrialBalanceC!I44:I46)</f>
        <v>0</v>
      </c>
      <c r="P3422" s="454"/>
      <c r="R3422" s="490" t="str">
        <f t="shared" si="261"/>
        <v>DELETE</v>
      </c>
      <c r="S3422" s="491"/>
      <c r="T3422" s="491"/>
      <c r="U3422" s="491"/>
      <c r="V3422" s="491"/>
      <c r="W3422" s="491"/>
      <c r="X3422" s="491"/>
      <c r="Y3422" s="498"/>
      <c r="Z3422" s="498"/>
      <c r="AA3422" s="492"/>
      <c r="AB3422" s="39"/>
      <c r="AC3422" s="39"/>
      <c r="AD3422" s="39"/>
      <c r="AE3422" s="39"/>
      <c r="AF3422" s="39"/>
      <c r="AG3422" s="39"/>
      <c r="AH3422" s="39"/>
      <c r="AI3422" s="39"/>
      <c r="AJ3422" s="39"/>
      <c r="AK3422" s="39"/>
      <c r="AL3422" s="39"/>
      <c r="AM3422" s="39"/>
      <c r="AN3422" s="39"/>
      <c r="AO3422" s="39"/>
      <c r="AP3422" s="39"/>
      <c r="AQ3422" s="39"/>
      <c r="AR3422" s="39"/>
      <c r="AS3422" s="39"/>
      <c r="AT3422" s="39"/>
      <c r="AU3422" s="39"/>
      <c r="AV3422" s="39"/>
      <c r="AW3422" s="39"/>
      <c r="AX3422" s="39"/>
      <c r="AY3422" s="39"/>
    </row>
    <row r="3423" spans="3:51" s="448" customFormat="1" ht="36" customHeight="1" x14ac:dyDescent="0.45">
      <c r="C3423" s="575"/>
      <c r="D3423" s="616" t="s">
        <v>565</v>
      </c>
      <c r="E3423" s="616"/>
      <c r="F3423" s="616"/>
      <c r="G3423" s="616"/>
      <c r="H3423" s="616"/>
      <c r="I3423" s="616"/>
      <c r="J3423" s="645"/>
      <c r="K3423" s="450"/>
      <c r="L3423" s="451"/>
      <c r="N3423" s="450"/>
      <c r="O3423" s="588">
        <f>TrialBalanceC!I47</f>
        <v>0</v>
      </c>
      <c r="P3423" s="454"/>
      <c r="R3423" s="490" t="str">
        <f t="shared" si="261"/>
        <v>DELETE</v>
      </c>
      <c r="S3423" s="496"/>
      <c r="T3423" s="496"/>
      <c r="U3423" s="496"/>
      <c r="V3423" s="496"/>
      <c r="W3423" s="491"/>
      <c r="X3423" s="491"/>
      <c r="Y3423" s="498"/>
      <c r="Z3423" s="498"/>
      <c r="AA3423" s="492"/>
      <c r="AB3423" s="39"/>
      <c r="AC3423" s="39"/>
      <c r="AD3423" s="39"/>
      <c r="AE3423" s="39"/>
      <c r="AF3423" s="39"/>
      <c r="AG3423" s="39"/>
      <c r="AH3423" s="39"/>
      <c r="AI3423" s="39"/>
      <c r="AJ3423" s="39"/>
      <c r="AK3423" s="39"/>
      <c r="AL3423" s="39"/>
      <c r="AM3423" s="39"/>
      <c r="AN3423" s="39"/>
      <c r="AO3423" s="39"/>
      <c r="AP3423" s="39"/>
      <c r="AQ3423" s="39"/>
      <c r="AR3423" s="39"/>
      <c r="AS3423" s="39"/>
      <c r="AT3423" s="39"/>
      <c r="AU3423" s="39"/>
      <c r="AV3423" s="39"/>
      <c r="AW3423" s="39"/>
      <c r="AX3423" s="39"/>
      <c r="AY3423" s="39"/>
    </row>
    <row r="3424" spans="3:51" s="448" customFormat="1" ht="36" customHeight="1" x14ac:dyDescent="0.45">
      <c r="C3424" s="575"/>
      <c r="D3424" s="616" t="s">
        <v>871</v>
      </c>
      <c r="E3424" s="616"/>
      <c r="F3424" s="616"/>
      <c r="G3424" s="616"/>
      <c r="H3424" s="616"/>
      <c r="I3424" s="616"/>
      <c r="J3424" s="645"/>
      <c r="K3424" s="450"/>
      <c r="L3424" s="451"/>
      <c r="N3424" s="450"/>
      <c r="O3424" s="588">
        <f>TrialBalanceC!I48</f>
        <v>0</v>
      </c>
      <c r="P3424" s="454"/>
      <c r="R3424" s="490" t="str">
        <f t="shared" si="261"/>
        <v>DELETE</v>
      </c>
      <c r="S3424" s="491"/>
      <c r="T3424" s="491"/>
      <c r="U3424" s="491"/>
      <c r="V3424" s="491"/>
      <c r="W3424" s="491"/>
      <c r="X3424" s="491"/>
      <c r="Y3424" s="498"/>
      <c r="Z3424" s="498"/>
      <c r="AA3424" s="492"/>
      <c r="AB3424" s="39"/>
      <c r="AC3424" s="39"/>
      <c r="AD3424" s="39"/>
      <c r="AE3424" s="39"/>
      <c r="AF3424" s="39"/>
      <c r="AG3424" s="39"/>
      <c r="AH3424" s="39"/>
      <c r="AI3424" s="39"/>
      <c r="AJ3424" s="39"/>
      <c r="AK3424" s="39"/>
      <c r="AL3424" s="39"/>
      <c r="AM3424" s="39"/>
      <c r="AN3424" s="39"/>
      <c r="AO3424" s="39"/>
      <c r="AP3424" s="39"/>
      <c r="AQ3424" s="39"/>
      <c r="AR3424" s="39"/>
      <c r="AS3424" s="39"/>
      <c r="AT3424" s="39"/>
      <c r="AU3424" s="39"/>
      <c r="AV3424" s="39"/>
      <c r="AW3424" s="39"/>
      <c r="AX3424" s="39"/>
      <c r="AY3424" s="39"/>
    </row>
    <row r="3425" spans="3:51" s="448" customFormat="1" ht="36" customHeight="1" x14ac:dyDescent="0.45">
      <c r="C3425" s="575"/>
      <c r="D3425" s="616" t="s">
        <v>69</v>
      </c>
      <c r="E3425" s="616"/>
      <c r="F3425" s="616"/>
      <c r="G3425" s="616"/>
      <c r="H3425" s="616"/>
      <c r="I3425" s="616"/>
      <c r="J3425" s="645"/>
      <c r="K3425" s="450"/>
      <c r="L3425" s="451"/>
      <c r="N3425" s="450"/>
      <c r="O3425" s="588">
        <f>TrialBalanceC!I49</f>
        <v>0</v>
      </c>
      <c r="P3425" s="454"/>
      <c r="R3425" s="490" t="str">
        <f t="shared" si="261"/>
        <v>DELETE</v>
      </c>
      <c r="S3425" s="491"/>
      <c r="T3425" s="491"/>
      <c r="U3425" s="491"/>
      <c r="V3425" s="491"/>
      <c r="W3425" s="491"/>
      <c r="X3425" s="491"/>
      <c r="Y3425" s="498"/>
      <c r="Z3425" s="498"/>
      <c r="AA3425" s="492"/>
      <c r="AB3425" s="39"/>
      <c r="AC3425" s="39"/>
      <c r="AD3425" s="39"/>
      <c r="AE3425" s="39"/>
      <c r="AF3425" s="39"/>
      <c r="AG3425" s="39"/>
      <c r="AH3425" s="39"/>
      <c r="AI3425" s="39"/>
      <c r="AJ3425" s="39"/>
      <c r="AK3425" s="39"/>
      <c r="AL3425" s="39"/>
      <c r="AM3425" s="39"/>
      <c r="AN3425" s="39"/>
      <c r="AO3425" s="39"/>
      <c r="AP3425" s="39"/>
      <c r="AQ3425" s="39"/>
      <c r="AR3425" s="39"/>
      <c r="AS3425" s="39"/>
      <c r="AT3425" s="39"/>
      <c r="AU3425" s="39"/>
      <c r="AV3425" s="39"/>
      <c r="AW3425" s="39"/>
      <c r="AX3425" s="39"/>
      <c r="AY3425" s="39"/>
    </row>
    <row r="3426" spans="3:51" s="448" customFormat="1" ht="36" customHeight="1" x14ac:dyDescent="0.45">
      <c r="C3426" s="575"/>
      <c r="D3426" s="616" t="s">
        <v>305</v>
      </c>
      <c r="E3426" s="616"/>
      <c r="F3426" s="616"/>
      <c r="G3426" s="616"/>
      <c r="H3426" s="616"/>
      <c r="I3426" s="616"/>
      <c r="J3426" s="645"/>
      <c r="K3426" s="450"/>
      <c r="L3426" s="451"/>
      <c r="N3426" s="450"/>
      <c r="O3426" s="588">
        <f>TrialBalanceC!I50</f>
        <v>0</v>
      </c>
      <c r="P3426" s="454"/>
      <c r="R3426" s="490" t="str">
        <f t="shared" si="261"/>
        <v>DELETE</v>
      </c>
      <c r="S3426" s="491"/>
      <c r="T3426" s="491"/>
      <c r="U3426" s="491"/>
      <c r="V3426" s="491"/>
      <c r="W3426" s="491"/>
      <c r="X3426" s="491"/>
      <c r="Y3426" s="498"/>
      <c r="Z3426" s="498"/>
      <c r="AA3426" s="492"/>
      <c r="AB3426" s="39"/>
      <c r="AC3426" s="39"/>
      <c r="AD3426" s="39"/>
      <c r="AE3426" s="39"/>
      <c r="AF3426" s="39"/>
      <c r="AG3426" s="39"/>
      <c r="AH3426" s="39"/>
      <c r="AI3426" s="39"/>
      <c r="AJ3426" s="39"/>
      <c r="AK3426" s="39"/>
      <c r="AL3426" s="39"/>
      <c r="AM3426" s="39"/>
      <c r="AN3426" s="39"/>
      <c r="AO3426" s="39"/>
      <c r="AP3426" s="39"/>
      <c r="AQ3426" s="39"/>
      <c r="AR3426" s="39"/>
      <c r="AS3426" s="39"/>
      <c r="AT3426" s="39"/>
      <c r="AU3426" s="39"/>
      <c r="AV3426" s="39"/>
      <c r="AW3426" s="39"/>
      <c r="AX3426" s="39"/>
      <c r="AY3426" s="39"/>
    </row>
    <row r="3427" spans="3:51" s="448" customFormat="1" ht="36" customHeight="1" x14ac:dyDescent="0.45">
      <c r="C3427" s="575"/>
      <c r="D3427" s="616" t="s">
        <v>587</v>
      </c>
      <c r="E3427" s="616"/>
      <c r="F3427" s="616"/>
      <c r="G3427" s="616"/>
      <c r="H3427" s="616"/>
      <c r="I3427" s="616"/>
      <c r="J3427" s="645"/>
      <c r="K3427" s="450"/>
      <c r="L3427" s="451"/>
      <c r="N3427" s="450"/>
      <c r="O3427" s="588">
        <f>SUM(TrialBalanceC!I51:I52)</f>
        <v>0</v>
      </c>
      <c r="P3427" s="454"/>
      <c r="R3427" s="490" t="str">
        <f t="shared" si="261"/>
        <v>DELETE</v>
      </c>
      <c r="S3427" s="491"/>
      <c r="T3427" s="491"/>
      <c r="U3427" s="491"/>
      <c r="V3427" s="491"/>
      <c r="W3427" s="491"/>
      <c r="X3427" s="491"/>
      <c r="Y3427" s="498"/>
      <c r="Z3427" s="498"/>
      <c r="AA3427" s="492"/>
      <c r="AB3427" s="39"/>
      <c r="AC3427" s="39"/>
      <c r="AD3427" s="39"/>
      <c r="AE3427" s="39"/>
      <c r="AF3427" s="39"/>
      <c r="AG3427" s="39"/>
      <c r="AH3427" s="39"/>
      <c r="AI3427" s="39"/>
      <c r="AJ3427" s="39"/>
      <c r="AK3427" s="39"/>
      <c r="AL3427" s="39"/>
      <c r="AM3427" s="39"/>
      <c r="AN3427" s="39"/>
      <c r="AO3427" s="39"/>
      <c r="AP3427" s="39"/>
      <c r="AQ3427" s="39"/>
      <c r="AR3427" s="39"/>
      <c r="AS3427" s="39"/>
      <c r="AT3427" s="39"/>
      <c r="AU3427" s="39"/>
      <c r="AV3427" s="39"/>
      <c r="AW3427" s="39"/>
      <c r="AX3427" s="39"/>
      <c r="AY3427" s="39"/>
    </row>
    <row r="3428" spans="3:51" s="448" customFormat="1" ht="36" customHeight="1" x14ac:dyDescent="0.45">
      <c r="C3428" s="575"/>
      <c r="D3428" s="616" t="s">
        <v>585</v>
      </c>
      <c r="E3428" s="616"/>
      <c r="F3428" s="616"/>
      <c r="G3428" s="616"/>
      <c r="H3428" s="616"/>
      <c r="I3428" s="616"/>
      <c r="J3428" s="645"/>
      <c r="K3428" s="450"/>
      <c r="L3428" s="451"/>
      <c r="N3428" s="450"/>
      <c r="O3428" s="588">
        <f>TrialBalanceC!I53</f>
        <v>0</v>
      </c>
      <c r="P3428" s="454"/>
      <c r="R3428" s="490" t="str">
        <f t="shared" si="261"/>
        <v>DELETE</v>
      </c>
      <c r="S3428" s="491"/>
      <c r="T3428" s="491"/>
      <c r="U3428" s="491"/>
      <c r="V3428" s="491"/>
      <c r="W3428" s="491"/>
      <c r="X3428" s="491"/>
      <c r="Y3428" s="498"/>
      <c r="Z3428" s="498"/>
      <c r="AA3428" s="492"/>
      <c r="AB3428" s="39"/>
      <c r="AC3428" s="39"/>
      <c r="AD3428" s="39"/>
      <c r="AE3428" s="39"/>
      <c r="AF3428" s="39"/>
      <c r="AG3428" s="39"/>
      <c r="AH3428" s="39"/>
      <c r="AI3428" s="39"/>
      <c r="AJ3428" s="39"/>
      <c r="AK3428" s="39"/>
      <c r="AL3428" s="39"/>
      <c r="AM3428" s="39"/>
      <c r="AN3428" s="39"/>
      <c r="AO3428" s="39"/>
      <c r="AP3428" s="39"/>
      <c r="AQ3428" s="39"/>
      <c r="AR3428" s="39"/>
      <c r="AS3428" s="39"/>
      <c r="AT3428" s="39"/>
      <c r="AU3428" s="39"/>
      <c r="AV3428" s="39"/>
      <c r="AW3428" s="39"/>
      <c r="AX3428" s="39"/>
      <c r="AY3428" s="39"/>
    </row>
    <row r="3429" spans="3:51" s="448" customFormat="1" ht="36" customHeight="1" x14ac:dyDescent="0.45">
      <c r="C3429" s="575"/>
      <c r="D3429" s="616" t="s">
        <v>566</v>
      </c>
      <c r="E3429" s="616"/>
      <c r="F3429" s="616"/>
      <c r="G3429" s="616"/>
      <c r="H3429" s="616"/>
      <c r="I3429" s="616"/>
      <c r="J3429" s="645"/>
      <c r="K3429" s="450"/>
      <c r="L3429" s="451"/>
      <c r="N3429" s="450"/>
      <c r="O3429" s="588">
        <f>SUM(TrialBalanceC!I55:I59)</f>
        <v>0</v>
      </c>
      <c r="P3429" s="454"/>
      <c r="R3429" s="490" t="str">
        <f t="shared" si="261"/>
        <v>DELETE</v>
      </c>
      <c r="S3429" s="491"/>
      <c r="T3429" s="491"/>
      <c r="U3429" s="491"/>
      <c r="V3429" s="491"/>
      <c r="W3429" s="491"/>
      <c r="X3429" s="491"/>
      <c r="Y3429" s="498"/>
      <c r="Z3429" s="498"/>
      <c r="AA3429" s="492"/>
      <c r="AB3429" s="39"/>
      <c r="AC3429" s="39"/>
      <c r="AD3429" s="39"/>
      <c r="AE3429" s="39"/>
      <c r="AF3429" s="39"/>
      <c r="AG3429" s="39"/>
      <c r="AH3429" s="39"/>
      <c r="AI3429" s="39"/>
      <c r="AJ3429" s="39"/>
      <c r="AK3429" s="39"/>
      <c r="AL3429" s="39"/>
      <c r="AM3429" s="39"/>
      <c r="AN3429" s="39"/>
      <c r="AO3429" s="39"/>
      <c r="AP3429" s="39"/>
      <c r="AQ3429" s="39"/>
      <c r="AR3429" s="39"/>
      <c r="AS3429" s="39"/>
      <c r="AT3429" s="39"/>
      <c r="AU3429" s="39"/>
      <c r="AV3429" s="39"/>
      <c r="AW3429" s="39"/>
      <c r="AX3429" s="39"/>
      <c r="AY3429" s="39"/>
    </row>
    <row r="3430" spans="3:51" s="448" customFormat="1" ht="36" customHeight="1" x14ac:dyDescent="0.45">
      <c r="C3430" s="575"/>
      <c r="D3430" s="616" t="s">
        <v>547</v>
      </c>
      <c r="E3430" s="616"/>
      <c r="F3430" s="616"/>
      <c r="G3430" s="616"/>
      <c r="H3430" s="616"/>
      <c r="I3430" s="616"/>
      <c r="J3430" s="645"/>
      <c r="K3430" s="450">
        <f>B$1212</f>
        <v>4</v>
      </c>
      <c r="L3430" s="451"/>
      <c r="N3430" s="450"/>
      <c r="O3430" s="588">
        <f>SUM(TrialBalanceC!I61:I63)</f>
        <v>0</v>
      </c>
      <c r="P3430" s="454"/>
      <c r="R3430" s="490" t="str">
        <f t="shared" si="261"/>
        <v>DELETE</v>
      </c>
      <c r="S3430" s="491"/>
      <c r="T3430" s="491"/>
      <c r="U3430" s="491"/>
      <c r="V3430" s="491"/>
      <c r="W3430" s="491"/>
      <c r="X3430" s="491"/>
      <c r="Y3430" s="498"/>
      <c r="Z3430" s="498"/>
      <c r="AA3430" s="492"/>
      <c r="AB3430" s="39"/>
      <c r="AC3430" s="39"/>
      <c r="AD3430" s="39"/>
      <c r="AE3430" s="39"/>
      <c r="AF3430" s="39"/>
      <c r="AG3430" s="39"/>
      <c r="AH3430" s="39"/>
      <c r="AI3430" s="39"/>
      <c r="AJ3430" s="39"/>
      <c r="AK3430" s="39"/>
      <c r="AL3430" s="39"/>
      <c r="AM3430" s="39"/>
      <c r="AN3430" s="39"/>
      <c r="AO3430" s="39"/>
      <c r="AP3430" s="39"/>
      <c r="AQ3430" s="39"/>
      <c r="AR3430" s="39"/>
      <c r="AS3430" s="39"/>
      <c r="AT3430" s="39"/>
      <c r="AU3430" s="39"/>
      <c r="AV3430" s="39"/>
      <c r="AW3430" s="39"/>
      <c r="AX3430" s="39"/>
      <c r="AY3430" s="39"/>
    </row>
    <row r="3431" spans="3:51" s="448" customFormat="1" ht="36" customHeight="1" x14ac:dyDescent="0.45">
      <c r="C3431" s="575"/>
      <c r="D3431" s="616" t="s">
        <v>77</v>
      </c>
      <c r="E3431" s="616"/>
      <c r="F3431" s="616"/>
      <c r="G3431" s="616"/>
      <c r="H3431" s="616"/>
      <c r="I3431" s="616"/>
      <c r="J3431" s="645"/>
      <c r="K3431" s="450"/>
      <c r="L3431" s="451"/>
      <c r="N3431" s="450"/>
      <c r="O3431" s="588">
        <f>TrialBalanceC!I64</f>
        <v>0</v>
      </c>
      <c r="P3431" s="454"/>
      <c r="R3431" s="490" t="str">
        <f t="shared" si="261"/>
        <v>DELETE</v>
      </c>
      <c r="S3431" s="491"/>
      <c r="T3431" s="491"/>
      <c r="U3431" s="491"/>
      <c r="V3431" s="491"/>
      <c r="W3431" s="491"/>
      <c r="X3431" s="491"/>
      <c r="Y3431" s="498"/>
      <c r="Z3431" s="498"/>
      <c r="AA3431" s="492"/>
      <c r="AB3431" s="39"/>
      <c r="AC3431" s="39"/>
      <c r="AD3431" s="39"/>
      <c r="AE3431" s="39"/>
      <c r="AF3431" s="39"/>
      <c r="AG3431" s="39"/>
      <c r="AH3431" s="39"/>
      <c r="AI3431" s="39"/>
      <c r="AJ3431" s="39"/>
      <c r="AK3431" s="39"/>
      <c r="AL3431" s="39"/>
      <c r="AM3431" s="39"/>
      <c r="AN3431" s="39"/>
      <c r="AO3431" s="39"/>
      <c r="AP3431" s="39"/>
      <c r="AQ3431" s="39"/>
      <c r="AR3431" s="39"/>
      <c r="AS3431" s="39"/>
      <c r="AT3431" s="39"/>
      <c r="AU3431" s="39"/>
      <c r="AV3431" s="39"/>
      <c r="AW3431" s="39"/>
      <c r="AX3431" s="39"/>
      <c r="AY3431" s="39"/>
    </row>
    <row r="3432" spans="3:51" s="448" customFormat="1" ht="36" customHeight="1" x14ac:dyDescent="0.45">
      <c r="C3432" s="575"/>
      <c r="D3432" s="616" t="s">
        <v>1756</v>
      </c>
      <c r="E3432" s="616"/>
      <c r="F3432" s="616"/>
      <c r="G3432" s="616"/>
      <c r="H3432" s="616"/>
      <c r="I3432" s="616"/>
      <c r="J3432" s="645"/>
      <c r="K3432" s="450"/>
      <c r="L3432" s="451"/>
      <c r="N3432" s="450"/>
      <c r="O3432" s="588">
        <f>TrialBalanceC!I65</f>
        <v>0</v>
      </c>
      <c r="P3432" s="454"/>
      <c r="R3432" s="490" t="str">
        <f t="shared" ref="R3432" si="262">IF(R$3370="DELETE","DELETE",IF(O3432=0,"DELETE"," "))</f>
        <v>DELETE</v>
      </c>
      <c r="S3432" s="491"/>
      <c r="T3432" s="491"/>
      <c r="U3432" s="491"/>
      <c r="V3432" s="491"/>
      <c r="W3432" s="491"/>
      <c r="X3432" s="491"/>
      <c r="Y3432" s="498"/>
      <c r="Z3432" s="498"/>
      <c r="AA3432" s="492"/>
      <c r="AB3432" s="39"/>
      <c r="AC3432" s="39"/>
      <c r="AD3432" s="39"/>
      <c r="AE3432" s="39"/>
      <c r="AF3432" s="39"/>
      <c r="AG3432" s="39"/>
      <c r="AH3432" s="39"/>
      <c r="AI3432" s="39"/>
      <c r="AJ3432" s="39"/>
      <c r="AK3432" s="39"/>
      <c r="AL3432" s="39"/>
      <c r="AM3432" s="39"/>
      <c r="AN3432" s="39"/>
      <c r="AO3432" s="39"/>
      <c r="AP3432" s="39"/>
      <c r="AQ3432" s="39"/>
      <c r="AR3432" s="39"/>
      <c r="AS3432" s="39"/>
      <c r="AT3432" s="39"/>
      <c r="AU3432" s="39"/>
      <c r="AV3432" s="39"/>
      <c r="AW3432" s="39"/>
      <c r="AX3432" s="39"/>
      <c r="AY3432" s="39"/>
    </row>
    <row r="3433" spans="3:51" s="448" customFormat="1" ht="36" customHeight="1" x14ac:dyDescent="0.45">
      <c r="C3433" s="575"/>
      <c r="D3433" s="616" t="s">
        <v>286</v>
      </c>
      <c r="E3433" s="616"/>
      <c r="F3433" s="616"/>
      <c r="G3433" s="616"/>
      <c r="H3433" s="616"/>
      <c r="I3433" s="616"/>
      <c r="J3433" s="645"/>
      <c r="K3433" s="450"/>
      <c r="L3433" s="451"/>
      <c r="N3433" s="450"/>
      <c r="O3433" s="588">
        <f>SUM(TrialBalanceC!I66:I68)</f>
        <v>0</v>
      </c>
      <c r="P3433" s="454"/>
      <c r="R3433" s="490" t="str">
        <f t="shared" si="261"/>
        <v>DELETE</v>
      </c>
      <c r="S3433" s="491"/>
      <c r="T3433" s="491"/>
      <c r="U3433" s="491"/>
      <c r="V3433" s="491"/>
      <c r="W3433" s="491"/>
      <c r="X3433" s="491"/>
      <c r="Y3433" s="498"/>
      <c r="Z3433" s="498"/>
      <c r="AA3433" s="492"/>
      <c r="AB3433" s="39"/>
      <c r="AC3433" s="39"/>
      <c r="AD3433" s="39"/>
      <c r="AE3433" s="39"/>
      <c r="AF3433" s="39"/>
      <c r="AG3433" s="39"/>
      <c r="AH3433" s="39"/>
      <c r="AI3433" s="39"/>
      <c r="AJ3433" s="39"/>
      <c r="AK3433" s="39"/>
      <c r="AL3433" s="39"/>
      <c r="AM3433" s="39"/>
      <c r="AN3433" s="39"/>
      <c r="AO3433" s="39"/>
      <c r="AP3433" s="39"/>
      <c r="AQ3433" s="39"/>
      <c r="AR3433" s="39"/>
      <c r="AS3433" s="39"/>
      <c r="AT3433" s="39"/>
      <c r="AU3433" s="39"/>
      <c r="AV3433" s="39"/>
      <c r="AW3433" s="39"/>
      <c r="AX3433" s="39"/>
      <c r="AY3433" s="39"/>
    </row>
    <row r="3434" spans="3:51" s="448" customFormat="1" ht="36" customHeight="1" x14ac:dyDescent="0.45">
      <c r="C3434" s="575"/>
      <c r="D3434" s="616" t="s">
        <v>872</v>
      </c>
      <c r="E3434" s="616"/>
      <c r="F3434" s="616"/>
      <c r="G3434" s="616"/>
      <c r="H3434" s="616"/>
      <c r="I3434" s="616"/>
      <c r="J3434" s="645"/>
      <c r="K3434" s="450"/>
      <c r="L3434" s="451"/>
      <c r="N3434" s="450"/>
      <c r="O3434" s="588">
        <f>SUM(TrialBalanceC!I69:I70)</f>
        <v>0</v>
      </c>
      <c r="P3434" s="454"/>
      <c r="R3434" s="490" t="str">
        <f t="shared" si="261"/>
        <v>DELETE</v>
      </c>
      <c r="S3434" s="491"/>
      <c r="T3434" s="491"/>
      <c r="U3434" s="491"/>
      <c r="V3434" s="491"/>
      <c r="W3434" s="491"/>
      <c r="X3434" s="491"/>
      <c r="Y3434" s="498"/>
      <c r="Z3434" s="498"/>
      <c r="AA3434" s="492"/>
      <c r="AB3434" s="39"/>
      <c r="AC3434" s="39"/>
      <c r="AD3434" s="39"/>
      <c r="AE3434" s="39"/>
      <c r="AF3434" s="39"/>
      <c r="AG3434" s="39"/>
      <c r="AH3434" s="39"/>
      <c r="AI3434" s="39"/>
      <c r="AJ3434" s="39"/>
      <c r="AK3434" s="39"/>
      <c r="AL3434" s="39"/>
      <c r="AM3434" s="39"/>
      <c r="AN3434" s="39"/>
      <c r="AO3434" s="39"/>
      <c r="AP3434" s="39"/>
      <c r="AQ3434" s="39"/>
      <c r="AR3434" s="39"/>
      <c r="AS3434" s="39"/>
      <c r="AT3434" s="39"/>
      <c r="AU3434" s="39"/>
      <c r="AV3434" s="39"/>
      <c r="AW3434" s="39"/>
      <c r="AX3434" s="39"/>
      <c r="AY3434" s="39"/>
    </row>
    <row r="3435" spans="3:51" s="448" customFormat="1" ht="36" customHeight="1" x14ac:dyDescent="0.45">
      <c r="C3435" s="575"/>
      <c r="D3435" s="616" t="s">
        <v>287</v>
      </c>
      <c r="E3435" s="616"/>
      <c r="F3435" s="616"/>
      <c r="G3435" s="616"/>
      <c r="H3435" s="616"/>
      <c r="I3435" s="616"/>
      <c r="J3435" s="645"/>
      <c r="K3435" s="450"/>
      <c r="L3435" s="451"/>
      <c r="N3435" s="450"/>
      <c r="O3435" s="588">
        <f>TrialBalanceC!I71</f>
        <v>0</v>
      </c>
      <c r="P3435" s="454"/>
      <c r="R3435" s="490" t="str">
        <f t="shared" si="261"/>
        <v>DELETE</v>
      </c>
      <c r="S3435" s="491"/>
      <c r="T3435" s="491"/>
      <c r="U3435" s="491"/>
      <c r="V3435" s="491"/>
      <c r="W3435" s="491"/>
      <c r="X3435" s="491"/>
      <c r="Y3435" s="498"/>
      <c r="Z3435" s="498"/>
      <c r="AA3435" s="492"/>
      <c r="AB3435" s="39"/>
      <c r="AC3435" s="39"/>
      <c r="AD3435" s="39"/>
      <c r="AE3435" s="39"/>
      <c r="AF3435" s="39"/>
      <c r="AG3435" s="39"/>
      <c r="AH3435" s="39"/>
      <c r="AI3435" s="39"/>
      <c r="AJ3435" s="39"/>
      <c r="AK3435" s="39"/>
      <c r="AL3435" s="39"/>
      <c r="AM3435" s="39"/>
      <c r="AN3435" s="39"/>
      <c r="AO3435" s="39"/>
      <c r="AP3435" s="39"/>
      <c r="AQ3435" s="39"/>
      <c r="AR3435" s="39"/>
      <c r="AS3435" s="39"/>
      <c r="AT3435" s="39"/>
      <c r="AU3435" s="39"/>
      <c r="AV3435" s="39"/>
      <c r="AW3435" s="39"/>
      <c r="AX3435" s="39"/>
      <c r="AY3435" s="39"/>
    </row>
    <row r="3436" spans="3:51" s="448" customFormat="1" ht="36" customHeight="1" x14ac:dyDescent="0.45">
      <c r="C3436" s="575"/>
      <c r="D3436" s="616" t="s">
        <v>425</v>
      </c>
      <c r="E3436" s="616"/>
      <c r="F3436" s="616"/>
      <c r="G3436" s="616"/>
      <c r="H3436" s="616"/>
      <c r="I3436" s="616"/>
      <c r="J3436" s="645"/>
      <c r="K3436" s="450"/>
      <c r="L3436" s="451"/>
      <c r="N3436" s="450"/>
      <c r="O3436" s="588">
        <f>TrialBalanceC!I72</f>
        <v>0</v>
      </c>
      <c r="P3436" s="454"/>
      <c r="R3436" s="490" t="str">
        <f t="shared" si="261"/>
        <v>DELETE</v>
      </c>
      <c r="S3436" s="491"/>
      <c r="T3436" s="491"/>
      <c r="U3436" s="491"/>
      <c r="V3436" s="491"/>
      <c r="W3436" s="491"/>
      <c r="X3436" s="491"/>
      <c r="Y3436" s="498"/>
      <c r="Z3436" s="498"/>
      <c r="AA3436" s="492"/>
      <c r="AB3436" s="39"/>
      <c r="AC3436" s="39"/>
      <c r="AD3436" s="39"/>
      <c r="AE3436" s="39"/>
      <c r="AF3436" s="39"/>
      <c r="AG3436" s="39"/>
      <c r="AH3436" s="39"/>
      <c r="AI3436" s="39"/>
      <c r="AJ3436" s="39"/>
      <c r="AK3436" s="39"/>
      <c r="AL3436" s="39"/>
      <c r="AM3436" s="39"/>
      <c r="AN3436" s="39"/>
      <c r="AO3436" s="39"/>
      <c r="AP3436" s="39"/>
      <c r="AQ3436" s="39"/>
      <c r="AR3436" s="39"/>
      <c r="AS3436" s="39"/>
      <c r="AT3436" s="39"/>
      <c r="AU3436" s="39"/>
      <c r="AV3436" s="39"/>
      <c r="AW3436" s="39"/>
      <c r="AX3436" s="39"/>
      <c r="AY3436" s="39"/>
    </row>
    <row r="3437" spans="3:51" s="448" customFormat="1" ht="36" customHeight="1" x14ac:dyDescent="0.45">
      <c r="C3437" s="575"/>
      <c r="D3437" s="616">
        <f>TrialBalanceC!C73</f>
        <v>0</v>
      </c>
      <c r="E3437" s="616"/>
      <c r="F3437" s="616"/>
      <c r="G3437" s="616"/>
      <c r="H3437" s="616"/>
      <c r="I3437" s="616"/>
      <c r="J3437" s="645"/>
      <c r="K3437" s="450"/>
      <c r="L3437" s="451"/>
      <c r="N3437" s="450"/>
      <c r="O3437" s="588">
        <f>TrialBalanceC!I73</f>
        <v>0</v>
      </c>
      <c r="P3437" s="454"/>
      <c r="R3437" s="490" t="str">
        <f t="shared" si="261"/>
        <v>DELETE</v>
      </c>
      <c r="S3437" s="491"/>
      <c r="T3437" s="491"/>
      <c r="U3437" s="491"/>
      <c r="V3437" s="491"/>
      <c r="W3437" s="491"/>
      <c r="X3437" s="491"/>
      <c r="Y3437" s="498"/>
      <c r="Z3437" s="498"/>
      <c r="AA3437" s="492"/>
      <c r="AB3437" s="39"/>
      <c r="AC3437" s="39"/>
      <c r="AD3437" s="39"/>
      <c r="AE3437" s="39"/>
      <c r="AF3437" s="39"/>
      <c r="AG3437" s="39"/>
      <c r="AH3437" s="39"/>
      <c r="AI3437" s="39"/>
      <c r="AJ3437" s="39"/>
      <c r="AK3437" s="39"/>
      <c r="AL3437" s="39"/>
      <c r="AM3437" s="39"/>
      <c r="AN3437" s="39"/>
      <c r="AO3437" s="39"/>
      <c r="AP3437" s="39"/>
      <c r="AQ3437" s="39"/>
      <c r="AR3437" s="39"/>
      <c r="AS3437" s="39"/>
      <c r="AT3437" s="39"/>
      <c r="AU3437" s="39"/>
      <c r="AV3437" s="39"/>
      <c r="AW3437" s="39"/>
      <c r="AX3437" s="39"/>
      <c r="AY3437" s="39"/>
    </row>
    <row r="3438" spans="3:51" s="448" customFormat="1" ht="36" customHeight="1" x14ac:dyDescent="0.45">
      <c r="C3438" s="575"/>
      <c r="D3438" s="616">
        <f>TrialBalanceC!C74</f>
        <v>0</v>
      </c>
      <c r="E3438" s="616"/>
      <c r="F3438" s="616"/>
      <c r="G3438" s="616"/>
      <c r="H3438" s="616"/>
      <c r="I3438" s="616"/>
      <c r="J3438" s="645"/>
      <c r="K3438" s="450"/>
      <c r="L3438" s="451"/>
      <c r="N3438" s="450"/>
      <c r="O3438" s="588">
        <f>TrialBalanceC!I74</f>
        <v>0</v>
      </c>
      <c r="P3438" s="454"/>
      <c r="R3438" s="490" t="str">
        <f t="shared" si="261"/>
        <v>DELETE</v>
      </c>
      <c r="S3438" s="491"/>
      <c r="T3438" s="491"/>
      <c r="U3438" s="491"/>
      <c r="V3438" s="491"/>
      <c r="W3438" s="491"/>
      <c r="X3438" s="491"/>
      <c r="Y3438" s="498"/>
      <c r="Z3438" s="498"/>
      <c r="AA3438" s="492"/>
      <c r="AB3438" s="39"/>
      <c r="AC3438" s="39"/>
      <c r="AD3438" s="39"/>
      <c r="AE3438" s="39"/>
      <c r="AF3438" s="39"/>
      <c r="AG3438" s="39"/>
      <c r="AH3438" s="39"/>
      <c r="AI3438" s="39"/>
      <c r="AJ3438" s="39"/>
      <c r="AK3438" s="39"/>
      <c r="AL3438" s="39"/>
      <c r="AM3438" s="39"/>
      <c r="AN3438" s="39"/>
      <c r="AO3438" s="39"/>
      <c r="AP3438" s="39"/>
      <c r="AQ3438" s="39"/>
      <c r="AR3438" s="39"/>
      <c r="AS3438" s="39"/>
      <c r="AT3438" s="39"/>
      <c r="AU3438" s="39"/>
      <c r="AV3438" s="39"/>
      <c r="AW3438" s="39"/>
      <c r="AX3438" s="39"/>
      <c r="AY3438" s="39"/>
    </row>
    <row r="3439" spans="3:51" s="448" customFormat="1" ht="36" customHeight="1" x14ac:dyDescent="0.45">
      <c r="C3439" s="575"/>
      <c r="D3439" s="616">
        <f>TrialBalanceC!C75</f>
        <v>0</v>
      </c>
      <c r="E3439" s="616"/>
      <c r="F3439" s="616"/>
      <c r="G3439" s="616"/>
      <c r="H3439" s="616"/>
      <c r="I3439" s="616"/>
      <c r="J3439" s="645"/>
      <c r="K3439" s="450"/>
      <c r="L3439" s="451"/>
      <c r="N3439" s="450"/>
      <c r="O3439" s="588">
        <f>TrialBalanceC!I75</f>
        <v>0</v>
      </c>
      <c r="P3439" s="454"/>
      <c r="R3439" s="490" t="str">
        <f t="shared" si="261"/>
        <v>DELETE</v>
      </c>
      <c r="S3439" s="491"/>
      <c r="T3439" s="491"/>
      <c r="U3439" s="491"/>
      <c r="V3439" s="491"/>
      <c r="W3439" s="491"/>
      <c r="X3439" s="491"/>
      <c r="Y3439" s="498"/>
      <c r="Z3439" s="498"/>
      <c r="AA3439" s="492"/>
      <c r="AB3439" s="39"/>
      <c r="AC3439" s="39"/>
      <c r="AD3439" s="39"/>
      <c r="AE3439" s="39"/>
      <c r="AF3439" s="39"/>
      <c r="AG3439" s="39"/>
      <c r="AH3439" s="39"/>
      <c r="AI3439" s="39"/>
      <c r="AJ3439" s="39"/>
      <c r="AK3439" s="39"/>
      <c r="AL3439" s="39"/>
      <c r="AM3439" s="39"/>
      <c r="AN3439" s="39"/>
      <c r="AO3439" s="39"/>
      <c r="AP3439" s="39"/>
      <c r="AQ3439" s="39"/>
      <c r="AR3439" s="39"/>
      <c r="AS3439" s="39"/>
      <c r="AT3439" s="39"/>
      <c r="AU3439" s="39"/>
      <c r="AV3439" s="39"/>
      <c r="AW3439" s="39"/>
      <c r="AX3439" s="39"/>
      <c r="AY3439" s="39"/>
    </row>
    <row r="3440" spans="3:51" s="448" customFormat="1" ht="36" customHeight="1" x14ac:dyDescent="0.45">
      <c r="C3440" s="575"/>
      <c r="D3440" s="616">
        <f>TrialBalanceC!C76</f>
        <v>0</v>
      </c>
      <c r="E3440" s="616"/>
      <c r="F3440" s="616"/>
      <c r="G3440" s="616"/>
      <c r="H3440" s="616"/>
      <c r="I3440" s="616"/>
      <c r="J3440" s="645"/>
      <c r="K3440" s="450"/>
      <c r="L3440" s="451"/>
      <c r="N3440" s="450"/>
      <c r="O3440" s="588">
        <f>TrialBalanceC!I76</f>
        <v>0</v>
      </c>
      <c r="P3440" s="454"/>
      <c r="R3440" s="490" t="str">
        <f t="shared" si="261"/>
        <v>DELETE</v>
      </c>
      <c r="S3440" s="491"/>
      <c r="T3440" s="491"/>
      <c r="U3440" s="491"/>
      <c r="V3440" s="491"/>
      <c r="W3440" s="491"/>
      <c r="X3440" s="491"/>
      <c r="Y3440" s="498"/>
      <c r="Z3440" s="498"/>
      <c r="AA3440" s="492"/>
      <c r="AB3440" s="39"/>
      <c r="AC3440" s="39"/>
      <c r="AD3440" s="39"/>
      <c r="AE3440" s="39"/>
      <c r="AF3440" s="39"/>
      <c r="AG3440" s="39"/>
      <c r="AH3440" s="39"/>
      <c r="AI3440" s="39"/>
      <c r="AJ3440" s="39"/>
      <c r="AK3440" s="39"/>
      <c r="AL3440" s="39"/>
      <c r="AM3440" s="39"/>
      <c r="AN3440" s="39"/>
      <c r="AO3440" s="39"/>
      <c r="AP3440" s="39"/>
      <c r="AQ3440" s="39"/>
      <c r="AR3440" s="39"/>
      <c r="AS3440" s="39"/>
      <c r="AT3440" s="39"/>
      <c r="AU3440" s="39"/>
      <c r="AV3440" s="39"/>
      <c r="AW3440" s="39"/>
      <c r="AX3440" s="39"/>
      <c r="AY3440" s="39"/>
    </row>
    <row r="3441" spans="3:51" s="448" customFormat="1" ht="36" customHeight="1" x14ac:dyDescent="0.45">
      <c r="C3441" s="575"/>
      <c r="D3441" s="616">
        <f>TrialBalanceC!C77</f>
        <v>0</v>
      </c>
      <c r="E3441" s="616"/>
      <c r="F3441" s="616"/>
      <c r="G3441" s="616"/>
      <c r="H3441" s="616"/>
      <c r="I3441" s="616"/>
      <c r="J3441" s="645"/>
      <c r="K3441" s="450"/>
      <c r="L3441" s="451"/>
      <c r="N3441" s="450"/>
      <c r="O3441" s="588">
        <f>TrialBalanceC!I77</f>
        <v>0</v>
      </c>
      <c r="P3441" s="454"/>
      <c r="R3441" s="490" t="str">
        <f t="shared" si="261"/>
        <v>DELETE</v>
      </c>
      <c r="S3441" s="491"/>
      <c r="T3441" s="491"/>
      <c r="U3441" s="491"/>
      <c r="V3441" s="491"/>
      <c r="W3441" s="491"/>
      <c r="X3441" s="491"/>
      <c r="Y3441" s="498"/>
      <c r="Z3441" s="498"/>
      <c r="AA3441" s="492"/>
      <c r="AB3441" s="39"/>
      <c r="AC3441" s="39"/>
      <c r="AD3441" s="39"/>
      <c r="AE3441" s="39"/>
      <c r="AF3441" s="39"/>
      <c r="AG3441" s="39"/>
      <c r="AH3441" s="39"/>
      <c r="AI3441" s="39"/>
      <c r="AJ3441" s="39"/>
      <c r="AK3441" s="39"/>
      <c r="AL3441" s="39"/>
      <c r="AM3441" s="39"/>
      <c r="AN3441" s="39"/>
      <c r="AO3441" s="39"/>
      <c r="AP3441" s="39"/>
      <c r="AQ3441" s="39"/>
      <c r="AR3441" s="39"/>
      <c r="AS3441" s="39"/>
      <c r="AT3441" s="39"/>
      <c r="AU3441" s="39"/>
      <c r="AV3441" s="39"/>
      <c r="AW3441" s="39"/>
      <c r="AX3441" s="39"/>
      <c r="AY3441" s="39"/>
    </row>
    <row r="3442" spans="3:51" s="448" customFormat="1" ht="36" customHeight="1" x14ac:dyDescent="0.45">
      <c r="C3442" s="575"/>
      <c r="D3442" s="616">
        <f>TrialBalanceC!C78</f>
        <v>0</v>
      </c>
      <c r="E3442" s="616"/>
      <c r="F3442" s="616"/>
      <c r="G3442" s="616"/>
      <c r="H3442" s="616"/>
      <c r="I3442" s="616"/>
      <c r="J3442" s="645"/>
      <c r="K3442" s="450"/>
      <c r="L3442" s="451"/>
      <c r="N3442" s="450"/>
      <c r="O3442" s="588">
        <f>TrialBalanceC!I78</f>
        <v>0</v>
      </c>
      <c r="P3442" s="454"/>
      <c r="R3442" s="490" t="str">
        <f t="shared" si="261"/>
        <v>DELETE</v>
      </c>
      <c r="S3442" s="491"/>
      <c r="T3442" s="491"/>
      <c r="U3442" s="491"/>
      <c r="V3442" s="491"/>
      <c r="W3442" s="491"/>
      <c r="X3442" s="491"/>
      <c r="Y3442" s="498"/>
      <c r="Z3442" s="498"/>
      <c r="AA3442" s="492"/>
      <c r="AB3442" s="39"/>
      <c r="AC3442" s="39"/>
      <c r="AD3442" s="39"/>
      <c r="AE3442" s="39"/>
      <c r="AF3442" s="39"/>
      <c r="AG3442" s="39"/>
      <c r="AH3442" s="39"/>
      <c r="AI3442" s="39"/>
      <c r="AJ3442" s="39"/>
      <c r="AK3442" s="39"/>
      <c r="AL3442" s="39"/>
      <c r="AM3442" s="39"/>
      <c r="AN3442" s="39"/>
      <c r="AO3442" s="39"/>
      <c r="AP3442" s="39"/>
      <c r="AQ3442" s="39"/>
      <c r="AR3442" s="39"/>
      <c r="AS3442" s="39"/>
      <c r="AT3442" s="39"/>
      <c r="AU3442" s="39"/>
      <c r="AV3442" s="39"/>
      <c r="AW3442" s="39"/>
      <c r="AX3442" s="39"/>
      <c r="AY3442" s="39"/>
    </row>
    <row r="3443" spans="3:51" s="448" customFormat="1" ht="36" customHeight="1" x14ac:dyDescent="0.45">
      <c r="C3443" s="575"/>
      <c r="D3443" s="616">
        <f>TrialBalanceC!C79</f>
        <v>0</v>
      </c>
      <c r="E3443" s="616"/>
      <c r="F3443" s="616"/>
      <c r="G3443" s="616"/>
      <c r="H3443" s="616"/>
      <c r="I3443" s="616"/>
      <c r="J3443" s="645"/>
      <c r="K3443" s="450"/>
      <c r="L3443" s="451"/>
      <c r="N3443" s="450"/>
      <c r="O3443" s="588">
        <f>TrialBalanceC!I79</f>
        <v>0</v>
      </c>
      <c r="P3443" s="454"/>
      <c r="R3443" s="490" t="str">
        <f t="shared" si="261"/>
        <v>DELETE</v>
      </c>
      <c r="S3443" s="491"/>
      <c r="T3443" s="491"/>
      <c r="U3443" s="491"/>
      <c r="V3443" s="491"/>
      <c r="W3443" s="491"/>
      <c r="X3443" s="491"/>
      <c r="Y3443" s="498"/>
      <c r="Z3443" s="498"/>
      <c r="AA3443" s="492"/>
      <c r="AB3443" s="39"/>
      <c r="AC3443" s="39"/>
      <c r="AD3443" s="39"/>
      <c r="AE3443" s="39"/>
      <c r="AF3443" s="39"/>
      <c r="AG3443" s="39"/>
      <c r="AH3443" s="39"/>
      <c r="AI3443" s="39"/>
      <c r="AJ3443" s="39"/>
      <c r="AK3443" s="39"/>
      <c r="AL3443" s="39"/>
      <c r="AM3443" s="39"/>
      <c r="AN3443" s="39"/>
      <c r="AO3443" s="39"/>
      <c r="AP3443" s="39"/>
      <c r="AQ3443" s="39"/>
      <c r="AR3443" s="39"/>
      <c r="AS3443" s="39"/>
      <c r="AT3443" s="39"/>
      <c r="AU3443" s="39"/>
      <c r="AV3443" s="39"/>
      <c r="AW3443" s="39"/>
      <c r="AX3443" s="39"/>
      <c r="AY3443" s="39"/>
    </row>
    <row r="3444" spans="3:51" s="448" customFormat="1" ht="36" customHeight="1" x14ac:dyDescent="0.45">
      <c r="C3444" s="575"/>
      <c r="D3444" s="616">
        <f>TrialBalanceC!C80</f>
        <v>0</v>
      </c>
      <c r="E3444" s="616"/>
      <c r="F3444" s="616"/>
      <c r="G3444" s="616"/>
      <c r="H3444" s="616"/>
      <c r="I3444" s="616"/>
      <c r="J3444" s="645"/>
      <c r="K3444" s="450"/>
      <c r="L3444" s="451"/>
      <c r="N3444" s="450"/>
      <c r="O3444" s="588">
        <f>TrialBalanceC!I80</f>
        <v>0</v>
      </c>
      <c r="P3444" s="454"/>
      <c r="R3444" s="490" t="str">
        <f t="shared" si="261"/>
        <v>DELETE</v>
      </c>
      <c r="S3444" s="491"/>
      <c r="T3444" s="491"/>
      <c r="U3444" s="491"/>
      <c r="V3444" s="491"/>
      <c r="W3444" s="491"/>
      <c r="X3444" s="491"/>
      <c r="Y3444" s="498"/>
      <c r="Z3444" s="498"/>
      <c r="AA3444" s="492"/>
      <c r="AB3444" s="39"/>
      <c r="AC3444" s="39"/>
      <c r="AD3444" s="39"/>
      <c r="AE3444" s="39"/>
      <c r="AF3444" s="39"/>
      <c r="AG3444" s="39"/>
      <c r="AH3444" s="39"/>
      <c r="AI3444" s="39"/>
      <c r="AJ3444" s="39"/>
      <c r="AK3444" s="39"/>
      <c r="AL3444" s="39"/>
      <c r="AM3444" s="39"/>
      <c r="AN3444" s="39"/>
      <c r="AO3444" s="39"/>
      <c r="AP3444" s="39"/>
      <c r="AQ3444" s="39"/>
      <c r="AR3444" s="39"/>
      <c r="AS3444" s="39"/>
      <c r="AT3444" s="39"/>
      <c r="AU3444" s="39"/>
      <c r="AV3444" s="39"/>
      <c r="AW3444" s="39"/>
      <c r="AX3444" s="39"/>
      <c r="AY3444" s="39"/>
    </row>
    <row r="3445" spans="3:51" s="448" customFormat="1" ht="36" customHeight="1" x14ac:dyDescent="0.45">
      <c r="C3445" s="575"/>
      <c r="D3445" s="616">
        <f>TrialBalanceC!C81</f>
        <v>0</v>
      </c>
      <c r="E3445" s="616"/>
      <c r="F3445" s="616"/>
      <c r="G3445" s="616"/>
      <c r="H3445" s="616"/>
      <c r="I3445" s="616"/>
      <c r="J3445" s="645"/>
      <c r="K3445" s="450"/>
      <c r="L3445" s="451"/>
      <c r="N3445" s="450"/>
      <c r="O3445" s="588">
        <f>TrialBalanceC!I81</f>
        <v>0</v>
      </c>
      <c r="P3445" s="454"/>
      <c r="R3445" s="490" t="str">
        <f t="shared" si="261"/>
        <v>DELETE</v>
      </c>
      <c r="S3445" s="491"/>
      <c r="T3445" s="491"/>
      <c r="U3445" s="491"/>
      <c r="V3445" s="491"/>
      <c r="W3445" s="491"/>
      <c r="X3445" s="491"/>
      <c r="Y3445" s="498"/>
      <c r="Z3445" s="498"/>
      <c r="AA3445" s="492"/>
      <c r="AB3445" s="39"/>
      <c r="AC3445" s="39"/>
      <c r="AD3445" s="39"/>
      <c r="AE3445" s="39"/>
      <c r="AF3445" s="39"/>
      <c r="AG3445" s="39"/>
      <c r="AH3445" s="39"/>
      <c r="AI3445" s="39"/>
      <c r="AJ3445" s="39"/>
      <c r="AK3445" s="39"/>
      <c r="AL3445" s="39"/>
      <c r="AM3445" s="39"/>
      <c r="AN3445" s="39"/>
      <c r="AO3445" s="39"/>
      <c r="AP3445" s="39"/>
      <c r="AQ3445" s="39"/>
      <c r="AR3445" s="39"/>
      <c r="AS3445" s="39"/>
      <c r="AT3445" s="39"/>
      <c r="AU3445" s="39"/>
      <c r="AV3445" s="39"/>
      <c r="AW3445" s="39"/>
      <c r="AX3445" s="39"/>
      <c r="AY3445" s="39"/>
    </row>
    <row r="3446" spans="3:51" s="448" customFormat="1" ht="36" customHeight="1" x14ac:dyDescent="0.45">
      <c r="C3446" s="575"/>
      <c r="D3446" s="616">
        <f>TrialBalanceC!C82</f>
        <v>0</v>
      </c>
      <c r="E3446" s="616"/>
      <c r="F3446" s="616"/>
      <c r="G3446" s="616"/>
      <c r="H3446" s="616"/>
      <c r="I3446" s="616"/>
      <c r="J3446" s="645"/>
      <c r="K3446" s="450"/>
      <c r="L3446" s="451"/>
      <c r="N3446" s="450"/>
      <c r="O3446" s="588">
        <f>TrialBalanceC!I82</f>
        <v>0</v>
      </c>
      <c r="P3446" s="454"/>
      <c r="R3446" s="490" t="str">
        <f t="shared" si="261"/>
        <v>DELETE</v>
      </c>
      <c r="S3446" s="491"/>
      <c r="T3446" s="491"/>
      <c r="U3446" s="491"/>
      <c r="V3446" s="491"/>
      <c r="W3446" s="491"/>
      <c r="X3446" s="491"/>
      <c r="Y3446" s="498"/>
      <c r="Z3446" s="498"/>
      <c r="AA3446" s="492"/>
      <c r="AB3446" s="39"/>
      <c r="AC3446" s="39"/>
      <c r="AD3446" s="39"/>
      <c r="AE3446" s="39"/>
      <c r="AF3446" s="39"/>
      <c r="AG3446" s="39"/>
      <c r="AH3446" s="39"/>
      <c r="AI3446" s="39"/>
      <c r="AJ3446" s="39"/>
      <c r="AK3446" s="39"/>
      <c r="AL3446" s="39"/>
      <c r="AM3446" s="39"/>
      <c r="AN3446" s="39"/>
      <c r="AO3446" s="39"/>
      <c r="AP3446" s="39"/>
      <c r="AQ3446" s="39"/>
      <c r="AR3446" s="39"/>
      <c r="AS3446" s="39"/>
      <c r="AT3446" s="39"/>
      <c r="AU3446" s="39"/>
      <c r="AV3446" s="39"/>
      <c r="AW3446" s="39"/>
      <c r="AX3446" s="39"/>
      <c r="AY3446" s="39"/>
    </row>
    <row r="3447" spans="3:51" s="448" customFormat="1" ht="9" customHeight="1" x14ac:dyDescent="0.45">
      <c r="C3447" s="575"/>
      <c r="D3447" s="616"/>
      <c r="E3447" s="616"/>
      <c r="F3447" s="616"/>
      <c r="G3447" s="616"/>
      <c r="H3447" s="616"/>
      <c r="I3447" s="616"/>
      <c r="J3447" s="645"/>
      <c r="K3447" s="450"/>
      <c r="L3447" s="451"/>
      <c r="N3447" s="450"/>
      <c r="O3447" s="589"/>
      <c r="P3447" s="454"/>
      <c r="R3447" s="490" t="str">
        <f>R3416</f>
        <v>DELETE</v>
      </c>
      <c r="S3447" s="491"/>
      <c r="T3447" s="491"/>
      <c r="U3447" s="491"/>
      <c r="V3447" s="491"/>
      <c r="W3447" s="491"/>
      <c r="X3447" s="491"/>
      <c r="Y3447" s="498"/>
      <c r="Z3447" s="498"/>
      <c r="AA3447" s="492"/>
      <c r="AB3447" s="39"/>
      <c r="AC3447" s="39"/>
      <c r="AD3447" s="39"/>
      <c r="AE3447" s="39"/>
      <c r="AF3447" s="39"/>
      <c r="AG3447" s="39"/>
      <c r="AH3447" s="39"/>
      <c r="AI3447" s="39"/>
      <c r="AJ3447" s="39"/>
      <c r="AK3447" s="39"/>
      <c r="AL3447" s="39"/>
      <c r="AM3447" s="39"/>
      <c r="AN3447" s="39"/>
      <c r="AO3447" s="39"/>
      <c r="AP3447" s="39"/>
      <c r="AQ3447" s="39"/>
      <c r="AR3447" s="39"/>
      <c r="AS3447" s="39"/>
      <c r="AT3447" s="39"/>
      <c r="AU3447" s="39"/>
      <c r="AV3447" s="39"/>
      <c r="AW3447" s="39"/>
      <c r="AX3447" s="39"/>
      <c r="AY3447" s="39"/>
    </row>
    <row r="3448" spans="3:51" s="448" customFormat="1" ht="9" customHeight="1" x14ac:dyDescent="0.45">
      <c r="C3448" s="575"/>
      <c r="D3448" s="616"/>
      <c r="E3448" s="616"/>
      <c r="F3448" s="616"/>
      <c r="G3448" s="616"/>
      <c r="H3448" s="616"/>
      <c r="I3448" s="616"/>
      <c r="J3448" s="645"/>
      <c r="K3448" s="450"/>
      <c r="L3448" s="451"/>
      <c r="N3448" s="450"/>
      <c r="O3448" s="461"/>
      <c r="P3448" s="454"/>
      <c r="R3448" s="490" t="str">
        <f t="shared" ref="R3448:R3468" si="263">R$3370</f>
        <v>DELETE</v>
      </c>
      <c r="S3448" s="491"/>
      <c r="T3448" s="491"/>
      <c r="U3448" s="491"/>
      <c r="V3448" s="491"/>
      <c r="W3448" s="491"/>
      <c r="X3448" s="491"/>
      <c r="Y3448" s="498"/>
      <c r="Z3448" s="498"/>
      <c r="AA3448" s="492"/>
      <c r="AB3448" s="39"/>
      <c r="AC3448" s="39"/>
      <c r="AD3448" s="39"/>
      <c r="AE3448" s="39"/>
      <c r="AF3448" s="39"/>
      <c r="AG3448" s="39"/>
      <c r="AH3448" s="39"/>
      <c r="AI3448" s="39"/>
      <c r="AJ3448" s="39"/>
      <c r="AK3448" s="39"/>
      <c r="AL3448" s="39"/>
      <c r="AM3448" s="39"/>
      <c r="AN3448" s="39"/>
      <c r="AO3448" s="39"/>
      <c r="AP3448" s="39"/>
      <c r="AQ3448" s="39"/>
      <c r="AR3448" s="39"/>
      <c r="AS3448" s="39"/>
      <c r="AT3448" s="39"/>
      <c r="AU3448" s="39"/>
      <c r="AV3448" s="39"/>
      <c r="AW3448" s="39"/>
      <c r="AX3448" s="39"/>
      <c r="AY3448" s="39"/>
    </row>
    <row r="3449" spans="3:51" s="448" customFormat="1" ht="9" customHeight="1" x14ac:dyDescent="0.45">
      <c r="C3449" s="575"/>
      <c r="D3449" s="616"/>
      <c r="E3449" s="616"/>
      <c r="F3449" s="616"/>
      <c r="G3449" s="616"/>
      <c r="H3449" s="616"/>
      <c r="I3449" s="616"/>
      <c r="J3449" s="645"/>
      <c r="K3449" s="450"/>
      <c r="L3449" s="451"/>
      <c r="N3449" s="450"/>
      <c r="O3449" s="458"/>
      <c r="P3449" s="454"/>
      <c r="R3449" s="490" t="str">
        <f t="shared" si="263"/>
        <v>DELETE</v>
      </c>
      <c r="S3449" s="491"/>
      <c r="T3449" s="491"/>
      <c r="U3449" s="491"/>
      <c r="V3449" s="491"/>
      <c r="W3449" s="491"/>
      <c r="X3449" s="491"/>
      <c r="Y3449" s="498"/>
      <c r="Z3449" s="498"/>
      <c r="AA3449" s="492"/>
      <c r="AB3449" s="39"/>
      <c r="AC3449" s="39"/>
      <c r="AD3449" s="39"/>
      <c r="AE3449" s="39"/>
      <c r="AF3449" s="39"/>
      <c r="AG3449" s="39"/>
      <c r="AH3449" s="39"/>
      <c r="AI3449" s="39"/>
      <c r="AJ3449" s="39"/>
      <c r="AK3449" s="39"/>
      <c r="AL3449" s="39"/>
      <c r="AM3449" s="39"/>
      <c r="AN3449" s="39"/>
      <c r="AO3449" s="39"/>
      <c r="AP3449" s="39"/>
      <c r="AQ3449" s="39"/>
      <c r="AR3449" s="39"/>
      <c r="AS3449" s="39"/>
      <c r="AT3449" s="39"/>
      <c r="AU3449" s="39"/>
      <c r="AV3449" s="39"/>
      <c r="AW3449" s="39"/>
      <c r="AX3449" s="39"/>
      <c r="AY3449" s="39"/>
    </row>
    <row r="3450" spans="3:51" s="448" customFormat="1" ht="36" customHeight="1" x14ac:dyDescent="0.45">
      <c r="D3450" s="637" t="str">
        <f>IF(O3450&lt;0,"Operating loss","Operating profit")</f>
        <v>Operating profit</v>
      </c>
      <c r="E3450" s="616"/>
      <c r="F3450" s="616"/>
      <c r="G3450" s="616"/>
      <c r="H3450" s="616"/>
      <c r="I3450" s="616"/>
      <c r="J3450" s="645"/>
      <c r="K3450" s="450"/>
      <c r="L3450" s="451"/>
      <c r="N3450" s="450"/>
      <c r="O3450" s="458">
        <f>SUM(S3382:S3448)</f>
        <v>0</v>
      </c>
      <c r="P3450" s="454"/>
      <c r="R3450" s="490" t="str">
        <f t="shared" si="263"/>
        <v>DELETE</v>
      </c>
      <c r="S3450" s="491"/>
      <c r="T3450" s="491"/>
      <c r="U3450" s="491"/>
      <c r="V3450" s="491"/>
      <c r="W3450" s="491"/>
      <c r="X3450" s="491"/>
      <c r="Y3450" s="498"/>
      <c r="Z3450" s="498"/>
      <c r="AA3450" s="492"/>
      <c r="AB3450" s="39"/>
      <c r="AC3450" s="39"/>
      <c r="AD3450" s="39"/>
      <c r="AE3450" s="39"/>
      <c r="AF3450" s="39"/>
      <c r="AG3450" s="39"/>
      <c r="AH3450" s="39"/>
      <c r="AI3450" s="39"/>
      <c r="AJ3450" s="39"/>
      <c r="AK3450" s="39"/>
      <c r="AL3450" s="39"/>
      <c r="AM3450" s="39"/>
      <c r="AN3450" s="39"/>
      <c r="AO3450" s="39"/>
      <c r="AP3450" s="39"/>
      <c r="AQ3450" s="39"/>
      <c r="AR3450" s="39"/>
      <c r="AS3450" s="39"/>
      <c r="AT3450" s="39"/>
      <c r="AU3450" s="39"/>
      <c r="AV3450" s="39"/>
      <c r="AW3450" s="39"/>
      <c r="AX3450" s="39"/>
      <c r="AY3450" s="39"/>
    </row>
    <row r="3451" spans="3:51" s="448" customFormat="1" ht="36" customHeight="1" x14ac:dyDescent="0.45">
      <c r="C3451" s="575"/>
      <c r="D3451" s="616"/>
      <c r="E3451" s="616" t="s">
        <v>289</v>
      </c>
      <c r="F3451" s="616"/>
      <c r="G3451" s="616"/>
      <c r="H3451" s="616"/>
      <c r="I3451" s="616"/>
      <c r="J3451" s="645"/>
      <c r="K3451" s="450"/>
      <c r="L3451" s="451"/>
      <c r="N3451" s="450"/>
      <c r="O3451" s="458"/>
      <c r="P3451" s="454"/>
      <c r="R3451" s="490" t="str">
        <f t="shared" si="263"/>
        <v>DELETE</v>
      </c>
      <c r="S3451" s="491"/>
      <c r="T3451" s="491"/>
      <c r="U3451" s="491"/>
      <c r="V3451" s="491"/>
      <c r="W3451" s="491"/>
      <c r="X3451" s="491"/>
      <c r="Y3451" s="498"/>
      <c r="Z3451" s="498"/>
      <c r="AA3451" s="492"/>
      <c r="AB3451" s="39"/>
      <c r="AC3451" s="39"/>
      <c r="AD3451" s="39"/>
      <c r="AE3451" s="39"/>
      <c r="AF3451" s="39"/>
      <c r="AG3451" s="39"/>
      <c r="AH3451" s="39"/>
      <c r="AI3451" s="39"/>
      <c r="AJ3451" s="39"/>
      <c r="AK3451" s="39"/>
      <c r="AL3451" s="39"/>
      <c r="AM3451" s="39"/>
      <c r="AN3451" s="39"/>
      <c r="AO3451" s="39"/>
      <c r="AP3451" s="39"/>
      <c r="AQ3451" s="39"/>
      <c r="AR3451" s="39"/>
      <c r="AS3451" s="39"/>
      <c r="AT3451" s="39"/>
      <c r="AU3451" s="39"/>
      <c r="AV3451" s="39"/>
      <c r="AW3451" s="39"/>
      <c r="AX3451" s="39"/>
      <c r="AY3451" s="39"/>
    </row>
    <row r="3452" spans="3:51" s="448" customFormat="1" ht="36" customHeight="1" x14ac:dyDescent="0.45">
      <c r="C3452" s="575"/>
      <c r="D3452" s="616"/>
      <c r="E3452" s="616"/>
      <c r="F3452" s="616"/>
      <c r="G3452" s="616"/>
      <c r="H3452" s="616"/>
      <c r="I3452" s="616"/>
      <c r="J3452" s="645"/>
      <c r="K3452" s="450"/>
      <c r="L3452" s="450"/>
      <c r="M3452" s="458"/>
      <c r="N3452" s="458"/>
      <c r="O3452" s="458"/>
      <c r="P3452" s="454"/>
      <c r="R3452" s="490" t="str">
        <f t="shared" si="263"/>
        <v>DELETE</v>
      </c>
      <c r="S3452" s="491"/>
      <c r="T3452" s="491"/>
      <c r="U3452" s="491"/>
      <c r="V3452" s="491"/>
      <c r="W3452" s="491"/>
      <c r="X3452" s="491"/>
      <c r="Y3452" s="498"/>
      <c r="Z3452" s="498"/>
      <c r="AA3452" s="492"/>
      <c r="AB3452" s="39"/>
      <c r="AC3452" s="39"/>
      <c r="AD3452" s="39"/>
      <c r="AE3452" s="39"/>
      <c r="AF3452" s="39"/>
      <c r="AG3452" s="39"/>
      <c r="AH3452" s="39"/>
      <c r="AI3452" s="39"/>
      <c r="AJ3452" s="39"/>
      <c r="AK3452" s="39"/>
      <c r="AL3452" s="39"/>
      <c r="AM3452" s="39"/>
      <c r="AN3452" s="39"/>
      <c r="AO3452" s="39"/>
      <c r="AP3452" s="39"/>
      <c r="AQ3452" s="39"/>
      <c r="AR3452" s="39"/>
      <c r="AS3452" s="39"/>
      <c r="AT3452" s="39"/>
      <c r="AU3452" s="39"/>
      <c r="AV3452" s="39"/>
      <c r="AW3452" s="39"/>
      <c r="AX3452" s="39"/>
      <c r="AY3452" s="39"/>
    </row>
    <row r="3453" spans="3:51" s="448" customFormat="1" ht="36" customHeight="1" x14ac:dyDescent="0.45">
      <c r="C3453" s="575"/>
      <c r="D3453" s="616"/>
      <c r="E3453" s="616"/>
      <c r="F3453" s="616"/>
      <c r="G3453" s="616"/>
      <c r="H3453" s="616"/>
      <c r="I3453" s="616"/>
      <c r="J3453" s="645"/>
      <c r="K3453" s="450"/>
      <c r="L3453" s="450"/>
      <c r="M3453" s="458"/>
      <c r="N3453" s="458"/>
      <c r="O3453" s="458"/>
      <c r="P3453" s="454"/>
      <c r="R3453" s="490" t="str">
        <f t="shared" si="263"/>
        <v>DELETE</v>
      </c>
      <c r="S3453" s="491"/>
      <c r="T3453" s="491"/>
      <c r="U3453" s="491"/>
      <c r="V3453" s="491"/>
      <c r="W3453" s="491"/>
      <c r="X3453" s="491"/>
      <c r="Y3453" s="498"/>
      <c r="Z3453" s="498"/>
      <c r="AA3453" s="492"/>
      <c r="AB3453" s="39"/>
      <c r="AC3453" s="39"/>
      <c r="AD3453" s="39"/>
      <c r="AE3453" s="39"/>
      <c r="AF3453" s="39"/>
      <c r="AG3453" s="39"/>
      <c r="AH3453" s="39"/>
      <c r="AI3453" s="39"/>
      <c r="AJ3453" s="39"/>
      <c r="AK3453" s="39"/>
      <c r="AL3453" s="39"/>
      <c r="AM3453" s="39"/>
      <c r="AN3453" s="39"/>
      <c r="AO3453" s="39"/>
      <c r="AP3453" s="39"/>
      <c r="AQ3453" s="39"/>
      <c r="AR3453" s="39"/>
      <c r="AS3453" s="39"/>
      <c r="AT3453" s="39"/>
      <c r="AU3453" s="39"/>
      <c r="AV3453" s="39"/>
      <c r="AW3453" s="39"/>
      <c r="AX3453" s="39"/>
      <c r="AY3453" s="39"/>
    </row>
    <row r="3454" spans="3:51" s="448" customFormat="1" ht="36" customHeight="1" x14ac:dyDescent="0.45">
      <c r="C3454" s="575"/>
      <c r="D3454" s="616"/>
      <c r="E3454" s="616"/>
      <c r="F3454" s="616"/>
      <c r="G3454" s="616"/>
      <c r="H3454" s="616"/>
      <c r="I3454" s="616"/>
      <c r="J3454" s="645"/>
      <c r="K3454" s="450"/>
      <c r="L3454" s="450"/>
      <c r="M3454" s="475"/>
      <c r="N3454" s="475"/>
      <c r="O3454" s="475"/>
      <c r="P3454" s="521"/>
      <c r="R3454" s="490" t="str">
        <f t="shared" si="263"/>
        <v>DELETE</v>
      </c>
      <c r="S3454" s="491"/>
      <c r="T3454" s="491"/>
      <c r="U3454" s="491"/>
      <c r="V3454" s="491"/>
      <c r="W3454" s="491"/>
      <c r="X3454" s="491"/>
      <c r="Y3454" s="498"/>
      <c r="Z3454" s="498"/>
      <c r="AA3454" s="492"/>
      <c r="AB3454" s="39"/>
      <c r="AC3454" s="39"/>
      <c r="AD3454" s="39"/>
      <c r="AE3454" s="39"/>
      <c r="AF3454" s="39"/>
      <c r="AG3454" s="39"/>
      <c r="AH3454" s="39"/>
      <c r="AI3454" s="39"/>
      <c r="AJ3454" s="39"/>
      <c r="AK3454" s="39"/>
      <c r="AL3454" s="39"/>
      <c r="AM3454" s="39"/>
      <c r="AN3454" s="39"/>
      <c r="AO3454" s="39"/>
      <c r="AP3454" s="39"/>
      <c r="AQ3454" s="39"/>
      <c r="AR3454" s="39"/>
      <c r="AS3454" s="39"/>
      <c r="AT3454" s="39"/>
      <c r="AU3454" s="39"/>
      <c r="AV3454" s="39"/>
      <c r="AW3454" s="39"/>
      <c r="AX3454" s="39"/>
      <c r="AY3454" s="39"/>
    </row>
    <row r="3455" spans="3:51" s="448" customFormat="1" ht="36" customHeight="1" x14ac:dyDescent="0.45">
      <c r="C3455" s="575"/>
      <c r="D3455" s="616"/>
      <c r="E3455" s="616"/>
      <c r="F3455" s="616"/>
      <c r="G3455" s="616"/>
      <c r="H3455" s="616"/>
      <c r="I3455" s="616"/>
      <c r="J3455" s="645"/>
      <c r="K3455" s="450"/>
      <c r="L3455" s="450"/>
      <c r="M3455" s="458"/>
      <c r="N3455" s="458"/>
      <c r="O3455" s="458"/>
      <c r="P3455" s="454"/>
      <c r="R3455" s="490" t="str">
        <f t="shared" si="263"/>
        <v>DELETE</v>
      </c>
      <c r="S3455" s="491"/>
      <c r="T3455" s="491"/>
      <c r="U3455" s="491"/>
      <c r="V3455" s="491"/>
      <c r="W3455" s="491"/>
      <c r="X3455" s="491"/>
      <c r="Y3455" s="498"/>
      <c r="Z3455" s="498"/>
      <c r="AA3455" s="492"/>
      <c r="AB3455" s="39"/>
      <c r="AC3455" s="39"/>
      <c r="AD3455" s="39"/>
      <c r="AE3455" s="39"/>
      <c r="AF3455" s="39"/>
      <c r="AG3455" s="39"/>
      <c r="AH3455" s="39"/>
      <c r="AI3455" s="39"/>
      <c r="AJ3455" s="39"/>
      <c r="AK3455" s="39"/>
      <c r="AL3455" s="39"/>
      <c r="AM3455" s="39"/>
      <c r="AN3455" s="39"/>
      <c r="AO3455" s="39"/>
      <c r="AP3455" s="39"/>
      <c r="AQ3455" s="39"/>
      <c r="AR3455" s="39"/>
      <c r="AS3455" s="39"/>
      <c r="AT3455" s="39"/>
      <c r="AU3455" s="39"/>
      <c r="AV3455" s="39"/>
      <c r="AW3455" s="39"/>
      <c r="AX3455" s="39"/>
      <c r="AY3455" s="39"/>
    </row>
    <row r="3456" spans="3:51" s="448" customFormat="1" ht="36" customHeight="1" x14ac:dyDescent="0.45">
      <c r="C3456" s="575"/>
      <c r="D3456" s="616"/>
      <c r="E3456" s="616"/>
      <c r="F3456" s="616"/>
      <c r="G3456" s="616"/>
      <c r="H3456" s="616"/>
      <c r="I3456" s="616"/>
      <c r="J3456" s="645"/>
      <c r="K3456" s="450"/>
      <c r="L3456" s="450"/>
      <c r="M3456" s="458"/>
      <c r="N3456" s="458"/>
      <c r="O3456" s="458" t="s">
        <v>112</v>
      </c>
      <c r="P3456" s="454"/>
      <c r="Q3456" s="450">
        <f>MAX($Q$3370:Q3455)+1</f>
        <v>2</v>
      </c>
      <c r="R3456" s="490" t="str">
        <f t="shared" si="263"/>
        <v>DELETE</v>
      </c>
      <c r="S3456" s="491"/>
      <c r="T3456" s="491"/>
      <c r="U3456" s="491"/>
      <c r="V3456" s="491"/>
      <c r="W3456" s="491"/>
      <c r="X3456" s="491"/>
      <c r="Y3456" s="498"/>
      <c r="Z3456" s="498"/>
      <c r="AA3456" s="492"/>
      <c r="AB3456" s="39"/>
      <c r="AC3456" s="39"/>
      <c r="AD3456" s="39"/>
      <c r="AE3456" s="39"/>
      <c r="AF3456" s="39"/>
      <c r="AG3456" s="39"/>
      <c r="AH3456" s="39"/>
      <c r="AI3456" s="39"/>
      <c r="AJ3456" s="39"/>
      <c r="AK3456" s="39"/>
      <c r="AL3456" s="39"/>
      <c r="AM3456" s="39"/>
      <c r="AN3456" s="39"/>
      <c r="AO3456" s="39"/>
      <c r="AP3456" s="39"/>
      <c r="AQ3456" s="39"/>
      <c r="AR3456" s="39"/>
      <c r="AS3456" s="39"/>
      <c r="AT3456" s="39"/>
      <c r="AU3456" s="39"/>
      <c r="AV3456" s="39"/>
      <c r="AW3456" s="39"/>
      <c r="AX3456" s="39"/>
      <c r="AY3456" s="39"/>
    </row>
    <row r="3457" spans="3:51" s="448" customFormat="1" ht="36" customHeight="1" x14ac:dyDescent="0.45">
      <c r="C3457" s="575"/>
      <c r="D3457" s="615" t="str">
        <f>Criteria!E9</f>
        <v>ABC COMPANY (PROPRIETARY) LIMITED</v>
      </c>
      <c r="E3457" s="616"/>
      <c r="F3457" s="616"/>
      <c r="G3457" s="616"/>
      <c r="H3457" s="616"/>
      <c r="I3457" s="616"/>
      <c r="J3457" s="645"/>
      <c r="K3457" s="450"/>
      <c r="L3457" s="450"/>
      <c r="M3457" s="458"/>
      <c r="N3457" s="458"/>
      <c r="R3457" s="490" t="str">
        <f t="shared" si="263"/>
        <v>DELETE</v>
      </c>
      <c r="S3457" s="491"/>
      <c r="T3457" s="491"/>
      <c r="U3457" s="491"/>
      <c r="V3457" s="491"/>
      <c r="W3457" s="491"/>
      <c r="X3457" s="491"/>
      <c r="Y3457" s="498"/>
      <c r="Z3457" s="498"/>
      <c r="AA3457" s="492"/>
      <c r="AB3457" s="39"/>
      <c r="AC3457" s="39"/>
      <c r="AD3457" s="39"/>
      <c r="AE3457" s="39"/>
      <c r="AF3457" s="39"/>
      <c r="AG3457" s="39"/>
      <c r="AH3457" s="39"/>
      <c r="AI3457" s="39"/>
      <c r="AJ3457" s="39"/>
      <c r="AK3457" s="39"/>
      <c r="AL3457" s="39"/>
      <c r="AM3457" s="39"/>
      <c r="AN3457" s="39"/>
      <c r="AO3457" s="39"/>
      <c r="AP3457" s="39"/>
      <c r="AQ3457" s="39"/>
      <c r="AR3457" s="39"/>
      <c r="AS3457" s="39"/>
      <c r="AT3457" s="39"/>
      <c r="AU3457" s="39"/>
      <c r="AV3457" s="39"/>
      <c r="AW3457" s="39"/>
      <c r="AX3457" s="39"/>
      <c r="AY3457" s="39"/>
    </row>
    <row r="3458" spans="3:51" s="448" customFormat="1" ht="36" customHeight="1" x14ac:dyDescent="0.45">
      <c r="C3458" s="575"/>
      <c r="D3458" s="615" t="str">
        <f>CONCATENATE("T/A ",Criteria!E16)</f>
        <v xml:space="preserve">T/A </v>
      </c>
      <c r="E3458" s="616"/>
      <c r="F3458" s="616"/>
      <c r="G3458" s="616"/>
      <c r="H3458" s="616"/>
      <c r="I3458" s="616"/>
      <c r="J3458" s="645"/>
      <c r="K3458" s="450"/>
      <c r="L3458" s="450"/>
      <c r="M3458" s="458"/>
      <c r="N3458" s="458"/>
      <c r="O3458" s="458"/>
      <c r="P3458" s="454"/>
      <c r="R3458" s="490" t="str">
        <f t="shared" si="263"/>
        <v>DELETE</v>
      </c>
      <c r="S3458" s="491"/>
      <c r="T3458" s="491"/>
      <c r="U3458" s="491"/>
      <c r="V3458" s="491"/>
      <c r="W3458" s="491"/>
      <c r="X3458" s="491"/>
      <c r="Y3458" s="498"/>
      <c r="Z3458" s="498"/>
      <c r="AA3458" s="492"/>
      <c r="AB3458" s="39"/>
      <c r="AC3458" s="39"/>
      <c r="AD3458" s="39"/>
      <c r="AE3458" s="39"/>
      <c r="AF3458" s="39"/>
      <c r="AG3458" s="39"/>
      <c r="AH3458" s="39"/>
      <c r="AI3458" s="39"/>
      <c r="AJ3458" s="39"/>
      <c r="AK3458" s="39"/>
      <c r="AL3458" s="39"/>
      <c r="AM3458" s="39"/>
      <c r="AN3458" s="39"/>
      <c r="AO3458" s="39"/>
      <c r="AP3458" s="39"/>
      <c r="AQ3458" s="39"/>
      <c r="AR3458" s="39"/>
      <c r="AS3458" s="39"/>
      <c r="AT3458" s="39"/>
      <c r="AU3458" s="39"/>
      <c r="AV3458" s="39"/>
      <c r="AW3458" s="39"/>
      <c r="AX3458" s="39"/>
      <c r="AY3458" s="39"/>
    </row>
    <row r="3459" spans="3:51" s="448" customFormat="1" ht="36" customHeight="1" x14ac:dyDescent="0.45">
      <c r="C3459" s="575"/>
      <c r="D3459" s="616"/>
      <c r="E3459" s="616"/>
      <c r="F3459" s="616"/>
      <c r="G3459" s="616"/>
      <c r="H3459" s="616"/>
      <c r="I3459" s="616"/>
      <c r="J3459" s="645"/>
      <c r="K3459" s="450"/>
      <c r="L3459" s="450"/>
      <c r="M3459" s="458"/>
      <c r="N3459" s="458"/>
      <c r="O3459" s="458"/>
      <c r="P3459" s="454"/>
      <c r="R3459" s="490" t="str">
        <f t="shared" si="263"/>
        <v>DELETE</v>
      </c>
      <c r="S3459" s="491"/>
      <c r="T3459" s="491"/>
      <c r="U3459" s="491"/>
      <c r="V3459" s="491"/>
      <c r="W3459" s="491"/>
      <c r="X3459" s="491"/>
      <c r="Y3459" s="498"/>
      <c r="Z3459" s="498"/>
      <c r="AA3459" s="492"/>
      <c r="AB3459" s="39"/>
      <c r="AC3459" s="39"/>
      <c r="AD3459" s="39"/>
      <c r="AE3459" s="39"/>
      <c r="AF3459" s="39"/>
      <c r="AG3459" s="39"/>
      <c r="AH3459" s="39"/>
      <c r="AI3459" s="39"/>
      <c r="AJ3459" s="39"/>
      <c r="AK3459" s="39"/>
      <c r="AL3459" s="39"/>
      <c r="AM3459" s="39"/>
      <c r="AN3459" s="39"/>
      <c r="AO3459" s="39"/>
      <c r="AP3459" s="39"/>
      <c r="AQ3459" s="39"/>
      <c r="AR3459" s="39"/>
      <c r="AS3459" s="39"/>
      <c r="AT3459" s="39"/>
      <c r="AU3459" s="39"/>
      <c r="AV3459" s="39"/>
      <c r="AW3459" s="39"/>
      <c r="AX3459" s="39"/>
      <c r="AY3459" s="39"/>
    </row>
    <row r="3460" spans="3:51" s="448" customFormat="1" ht="36" customHeight="1" x14ac:dyDescent="0.45">
      <c r="C3460" s="575"/>
      <c r="D3460" s="615" t="s">
        <v>109</v>
      </c>
      <c r="E3460" s="616"/>
      <c r="F3460" s="616"/>
      <c r="G3460" s="616"/>
      <c r="H3460" s="616"/>
      <c r="I3460" s="616"/>
      <c r="J3460" s="645"/>
      <c r="K3460" s="450"/>
      <c r="L3460" s="450"/>
      <c r="M3460" s="458"/>
      <c r="N3460" s="458"/>
      <c r="O3460" s="458"/>
      <c r="P3460" s="454"/>
      <c r="R3460" s="490" t="str">
        <f t="shared" si="263"/>
        <v>DELETE</v>
      </c>
      <c r="S3460" s="491"/>
      <c r="T3460" s="491"/>
      <c r="U3460" s="491"/>
      <c r="V3460" s="491"/>
      <c r="W3460" s="491"/>
      <c r="X3460" s="491"/>
      <c r="Y3460" s="498"/>
      <c r="Z3460" s="498"/>
      <c r="AA3460" s="492"/>
      <c r="AB3460" s="39"/>
      <c r="AC3460" s="39"/>
      <c r="AD3460" s="39"/>
      <c r="AE3460" s="39"/>
      <c r="AF3460" s="39"/>
      <c r="AG3460" s="39"/>
      <c r="AH3460" s="39"/>
      <c r="AI3460" s="39"/>
      <c r="AJ3460" s="39"/>
      <c r="AK3460" s="39"/>
      <c r="AL3460" s="39"/>
      <c r="AM3460" s="39"/>
      <c r="AN3460" s="39"/>
      <c r="AO3460" s="39"/>
      <c r="AP3460" s="39"/>
      <c r="AQ3460" s="39"/>
      <c r="AR3460" s="39"/>
      <c r="AS3460" s="39"/>
      <c r="AT3460" s="39"/>
      <c r="AU3460" s="39"/>
      <c r="AV3460" s="39"/>
      <c r="AW3460" s="39"/>
      <c r="AX3460" s="39"/>
      <c r="AY3460" s="39"/>
    </row>
    <row r="3461" spans="3:51" s="448" customFormat="1" ht="36" customHeight="1" x14ac:dyDescent="0.45">
      <c r="C3461" s="575"/>
      <c r="D3461" s="615" t="str">
        <f>D3377</f>
        <v>28 FEBRUARY 2026</v>
      </c>
      <c r="E3461" s="616"/>
      <c r="F3461" s="616"/>
      <c r="G3461" s="616"/>
      <c r="H3461" s="616"/>
      <c r="I3461" s="616"/>
      <c r="J3461" s="616" t="s">
        <v>118</v>
      </c>
      <c r="K3461" s="450"/>
      <c r="L3461" s="450"/>
      <c r="M3461" s="458"/>
      <c r="N3461" s="458"/>
      <c r="O3461" s="458"/>
      <c r="P3461" s="454"/>
      <c r="R3461" s="490" t="str">
        <f t="shared" si="263"/>
        <v>DELETE</v>
      </c>
      <c r="S3461" s="491"/>
      <c r="T3461" s="491"/>
      <c r="U3461" s="491"/>
      <c r="V3461" s="491"/>
      <c r="W3461" s="491"/>
      <c r="X3461" s="491"/>
      <c r="Y3461" s="498"/>
      <c r="Z3461" s="498"/>
      <c r="AA3461" s="492"/>
      <c r="AB3461" s="39"/>
      <c r="AC3461" s="39"/>
      <c r="AD3461" s="39"/>
      <c r="AE3461" s="39"/>
      <c r="AF3461" s="39"/>
      <c r="AG3461" s="39"/>
      <c r="AH3461" s="39"/>
      <c r="AI3461" s="39"/>
      <c r="AJ3461" s="39"/>
      <c r="AK3461" s="39"/>
      <c r="AL3461" s="39"/>
      <c r="AM3461" s="39"/>
      <c r="AN3461" s="39"/>
      <c r="AO3461" s="39"/>
      <c r="AP3461" s="39"/>
      <c r="AQ3461" s="39"/>
      <c r="AR3461" s="39"/>
      <c r="AS3461" s="39"/>
      <c r="AT3461" s="39"/>
      <c r="AU3461" s="39"/>
      <c r="AV3461" s="39"/>
      <c r="AW3461" s="39"/>
      <c r="AX3461" s="39"/>
      <c r="AY3461" s="39"/>
    </row>
    <row r="3462" spans="3:51" s="448" customFormat="1" ht="36" customHeight="1" x14ac:dyDescent="0.45">
      <c r="C3462" s="575"/>
      <c r="D3462" s="616"/>
      <c r="E3462" s="616"/>
      <c r="F3462" s="616"/>
      <c r="G3462" s="616"/>
      <c r="H3462" s="616"/>
      <c r="I3462" s="616"/>
      <c r="J3462" s="645"/>
      <c r="K3462" s="467"/>
      <c r="L3462" s="467"/>
      <c r="M3462" s="461"/>
      <c r="N3462" s="461"/>
      <c r="O3462" s="461"/>
      <c r="P3462" s="454"/>
      <c r="R3462" s="490" t="str">
        <f t="shared" si="263"/>
        <v>DELETE</v>
      </c>
      <c r="S3462" s="491"/>
      <c r="T3462" s="491"/>
      <c r="U3462" s="491"/>
      <c r="V3462" s="491"/>
      <c r="W3462" s="491"/>
      <c r="X3462" s="491"/>
      <c r="Y3462" s="498"/>
      <c r="Z3462" s="498"/>
      <c r="AA3462" s="492"/>
      <c r="AB3462" s="39"/>
      <c r="AC3462" s="39"/>
      <c r="AD3462" s="39"/>
      <c r="AE3462" s="39"/>
      <c r="AF3462" s="39"/>
      <c r="AG3462" s="39"/>
      <c r="AH3462" s="39"/>
      <c r="AI3462" s="39"/>
      <c r="AJ3462" s="39"/>
      <c r="AK3462" s="39"/>
      <c r="AL3462" s="39"/>
      <c r="AM3462" s="39"/>
      <c r="AN3462" s="39"/>
      <c r="AO3462" s="39"/>
      <c r="AP3462" s="39"/>
      <c r="AQ3462" s="39"/>
      <c r="AR3462" s="39"/>
      <c r="AS3462" s="39"/>
      <c r="AT3462" s="39"/>
      <c r="AU3462" s="39"/>
      <c r="AV3462" s="39"/>
      <c r="AW3462" s="39"/>
      <c r="AX3462" s="39"/>
      <c r="AY3462" s="39"/>
    </row>
    <row r="3463" spans="3:51" s="448" customFormat="1" ht="36" customHeight="1" x14ac:dyDescent="0.45">
      <c r="C3463" s="575"/>
      <c r="D3463" s="634"/>
      <c r="E3463" s="634"/>
      <c r="F3463" s="634"/>
      <c r="G3463" s="634"/>
      <c r="H3463" s="634"/>
      <c r="I3463" s="634"/>
      <c r="J3463" s="647"/>
      <c r="M3463" s="541"/>
      <c r="N3463" s="541"/>
      <c r="O3463" s="541"/>
      <c r="P3463" s="486"/>
      <c r="Q3463" s="457"/>
      <c r="R3463" s="490" t="str">
        <f t="shared" si="263"/>
        <v>DELETE</v>
      </c>
      <c r="S3463" s="491"/>
      <c r="T3463" s="491"/>
      <c r="U3463" s="491"/>
      <c r="V3463" s="491"/>
      <c r="W3463" s="491"/>
      <c r="X3463" s="491"/>
      <c r="Y3463" s="498"/>
      <c r="Z3463" s="498"/>
      <c r="AA3463" s="492"/>
      <c r="AB3463" s="39"/>
      <c r="AC3463" s="39"/>
      <c r="AD3463" s="39"/>
      <c r="AE3463" s="39"/>
      <c r="AF3463" s="39"/>
      <c r="AG3463" s="39"/>
      <c r="AH3463" s="39"/>
      <c r="AI3463" s="39"/>
      <c r="AJ3463" s="39"/>
      <c r="AK3463" s="39"/>
      <c r="AL3463" s="39"/>
      <c r="AM3463" s="39"/>
      <c r="AN3463" s="39"/>
      <c r="AO3463" s="39"/>
      <c r="AP3463" s="39"/>
      <c r="AQ3463" s="39"/>
      <c r="AR3463" s="39"/>
      <c r="AS3463" s="39"/>
      <c r="AT3463" s="39"/>
      <c r="AU3463" s="39"/>
      <c r="AV3463" s="39"/>
      <c r="AW3463" s="39"/>
      <c r="AX3463" s="39"/>
      <c r="AY3463" s="39"/>
    </row>
    <row r="3464" spans="3:51" s="448" customFormat="1" ht="36" customHeight="1" x14ac:dyDescent="0.45">
      <c r="C3464" s="575"/>
      <c r="D3464" s="616"/>
      <c r="E3464" s="616"/>
      <c r="F3464" s="616"/>
      <c r="G3464" s="616"/>
      <c r="H3464" s="616"/>
      <c r="I3464" s="616"/>
      <c r="J3464" s="645"/>
      <c r="K3464" s="450" t="s">
        <v>1494</v>
      </c>
      <c r="L3464" s="451"/>
      <c r="N3464" s="450"/>
      <c r="O3464" s="453">
        <f>Criteria!E22</f>
        <v>2026</v>
      </c>
      <c r="P3464" s="454"/>
      <c r="R3464" s="490" t="str">
        <f t="shared" si="263"/>
        <v>DELETE</v>
      </c>
      <c r="S3464" s="491"/>
      <c r="T3464" s="491"/>
      <c r="U3464" s="491"/>
      <c r="V3464" s="491"/>
      <c r="W3464" s="491"/>
      <c r="X3464" s="491"/>
      <c r="Y3464" s="498"/>
      <c r="Z3464" s="498"/>
      <c r="AA3464" s="492"/>
      <c r="AB3464" s="39"/>
      <c r="AC3464" s="39"/>
      <c r="AD3464" s="39"/>
      <c r="AE3464" s="39"/>
      <c r="AF3464" s="39"/>
      <c r="AG3464" s="39"/>
      <c r="AH3464" s="39"/>
      <c r="AI3464" s="39"/>
      <c r="AJ3464" s="39"/>
      <c r="AK3464" s="39"/>
      <c r="AL3464" s="39"/>
      <c r="AM3464" s="39"/>
      <c r="AN3464" s="39"/>
      <c r="AO3464" s="39"/>
      <c r="AP3464" s="39"/>
      <c r="AQ3464" s="39"/>
      <c r="AR3464" s="39"/>
      <c r="AS3464" s="39"/>
      <c r="AT3464" s="39"/>
      <c r="AU3464" s="39"/>
      <c r="AV3464" s="39"/>
      <c r="AW3464" s="39"/>
      <c r="AX3464" s="39"/>
      <c r="AY3464" s="39"/>
    </row>
    <row r="3465" spans="3:51" s="448" customFormat="1" ht="36" customHeight="1" x14ac:dyDescent="0.45">
      <c r="C3465" s="575"/>
      <c r="D3465" s="616"/>
      <c r="E3465" s="616"/>
      <c r="F3465" s="616"/>
      <c r="G3465" s="616"/>
      <c r="H3465" s="616"/>
      <c r="I3465" s="616"/>
      <c r="J3465" s="645"/>
      <c r="K3465" s="450"/>
      <c r="L3465" s="451"/>
      <c r="N3465" s="450"/>
      <c r="O3465" s="458"/>
      <c r="P3465" s="454"/>
      <c r="R3465" s="490" t="str">
        <f t="shared" si="263"/>
        <v>DELETE</v>
      </c>
      <c r="S3465" s="491"/>
      <c r="T3465" s="491"/>
      <c r="U3465" s="491"/>
      <c r="V3465" s="491"/>
      <c r="W3465" s="491"/>
      <c r="X3465" s="491"/>
      <c r="Y3465" s="498"/>
      <c r="Z3465" s="498"/>
      <c r="AA3465" s="492"/>
      <c r="AB3465" s="39"/>
      <c r="AC3465" s="39"/>
      <c r="AD3465" s="39"/>
      <c r="AE3465" s="39"/>
      <c r="AF3465" s="39"/>
      <c r="AG3465" s="39"/>
      <c r="AH3465" s="39"/>
      <c r="AI3465" s="39"/>
      <c r="AJ3465" s="39"/>
      <c r="AK3465" s="39"/>
      <c r="AL3465" s="39"/>
      <c r="AM3465" s="39"/>
      <c r="AN3465" s="39"/>
      <c r="AO3465" s="39"/>
      <c r="AP3465" s="39"/>
      <c r="AQ3465" s="39"/>
      <c r="AR3465" s="39"/>
      <c r="AS3465" s="39"/>
      <c r="AT3465" s="39"/>
      <c r="AU3465" s="39"/>
      <c r="AV3465" s="39"/>
      <c r="AW3465" s="39"/>
      <c r="AX3465" s="39"/>
      <c r="AY3465" s="39"/>
    </row>
    <row r="3466" spans="3:51" s="448" customFormat="1" ht="36" customHeight="1" x14ac:dyDescent="0.45">
      <c r="D3466" s="637" t="str">
        <f>IF(O3466&lt;0,"Operating loss","Operating profit")</f>
        <v>Operating profit</v>
      </c>
      <c r="E3466" s="616"/>
      <c r="F3466" s="616"/>
      <c r="G3466" s="616"/>
      <c r="H3466" s="616"/>
      <c r="I3466" s="616"/>
      <c r="J3466" s="645"/>
      <c r="K3466" s="450"/>
      <c r="L3466" s="451"/>
      <c r="N3466" s="450"/>
      <c r="O3466" s="458">
        <f>SUM(S3382:S3447)</f>
        <v>0</v>
      </c>
      <c r="P3466" s="454"/>
      <c r="R3466" s="490" t="str">
        <f t="shared" si="263"/>
        <v>DELETE</v>
      </c>
      <c r="S3466" s="491"/>
      <c r="T3466" s="491"/>
      <c r="U3466" s="491" t="b">
        <f>O3466=O3450</f>
        <v>1</v>
      </c>
      <c r="V3466" s="491"/>
      <c r="W3466" s="491"/>
      <c r="X3466" s="491"/>
      <c r="Y3466" s="498"/>
      <c r="Z3466" s="498"/>
      <c r="AA3466" s="492"/>
      <c r="AB3466" s="39"/>
      <c r="AC3466" s="39"/>
      <c r="AD3466" s="39"/>
      <c r="AE3466" s="39"/>
      <c r="AF3466" s="39"/>
      <c r="AG3466" s="39"/>
      <c r="AH3466" s="39"/>
      <c r="AI3466" s="39"/>
      <c r="AJ3466" s="39"/>
      <c r="AK3466" s="39"/>
      <c r="AL3466" s="39"/>
      <c r="AM3466" s="39"/>
      <c r="AN3466" s="39"/>
      <c r="AO3466" s="39"/>
      <c r="AP3466" s="39"/>
      <c r="AQ3466" s="39"/>
      <c r="AR3466" s="39"/>
      <c r="AS3466" s="39"/>
      <c r="AT3466" s="39"/>
      <c r="AU3466" s="39"/>
      <c r="AV3466" s="39"/>
      <c r="AW3466" s="39"/>
      <c r="AX3466" s="39"/>
      <c r="AY3466" s="39"/>
    </row>
    <row r="3467" spans="3:51" s="448" customFormat="1" ht="36" customHeight="1" x14ac:dyDescent="0.45">
      <c r="C3467" s="575"/>
      <c r="D3467" s="616"/>
      <c r="E3467" s="616" t="s">
        <v>290</v>
      </c>
      <c r="F3467" s="616"/>
      <c r="G3467" s="616"/>
      <c r="H3467" s="616"/>
      <c r="I3467" s="616"/>
      <c r="J3467" s="645"/>
      <c r="K3467" s="450"/>
      <c r="L3467" s="451"/>
      <c r="N3467" s="450"/>
      <c r="O3467" s="458"/>
      <c r="P3467" s="454"/>
      <c r="R3467" s="490" t="str">
        <f t="shared" si="263"/>
        <v>DELETE</v>
      </c>
      <c r="S3467" s="491"/>
      <c r="T3467" s="491"/>
      <c r="U3467" s="491"/>
      <c r="V3467" s="491"/>
      <c r="W3467" s="491"/>
      <c r="X3467" s="491"/>
      <c r="Y3467" s="498"/>
      <c r="Z3467" s="498"/>
      <c r="AA3467" s="492"/>
      <c r="AB3467" s="39"/>
      <c r="AC3467" s="39"/>
      <c r="AD3467" s="39"/>
      <c r="AE3467" s="39"/>
      <c r="AF3467" s="39"/>
      <c r="AG3467" s="39"/>
      <c r="AH3467" s="39"/>
      <c r="AI3467" s="39"/>
      <c r="AJ3467" s="39"/>
      <c r="AK3467" s="39"/>
      <c r="AL3467" s="39"/>
      <c r="AM3467" s="39"/>
      <c r="AN3467" s="39"/>
      <c r="AO3467" s="39"/>
      <c r="AP3467" s="39"/>
      <c r="AQ3467" s="39"/>
      <c r="AR3467" s="39"/>
      <c r="AS3467" s="39"/>
      <c r="AT3467" s="39"/>
      <c r="AU3467" s="39"/>
      <c r="AV3467" s="39"/>
      <c r="AW3467" s="39"/>
      <c r="AX3467" s="39"/>
      <c r="AY3467" s="39"/>
    </row>
    <row r="3468" spans="3:51" s="448" customFormat="1" ht="36" customHeight="1" x14ac:dyDescent="0.45">
      <c r="C3468" s="575"/>
      <c r="D3468" s="616"/>
      <c r="E3468" s="616"/>
      <c r="F3468" s="616"/>
      <c r="G3468" s="616"/>
      <c r="H3468" s="616"/>
      <c r="I3468" s="616"/>
      <c r="J3468" s="645"/>
      <c r="K3468" s="450"/>
      <c r="L3468" s="451"/>
      <c r="N3468" s="450"/>
      <c r="O3468" s="458"/>
      <c r="P3468" s="454"/>
      <c r="R3468" s="490" t="str">
        <f t="shared" si="263"/>
        <v>DELETE</v>
      </c>
      <c r="S3468" s="491"/>
      <c r="T3468" s="491"/>
      <c r="U3468" s="491"/>
      <c r="V3468" s="491"/>
      <c r="W3468" s="491"/>
      <c r="X3468" s="491"/>
      <c r="Y3468" s="498"/>
      <c r="Z3468" s="498"/>
      <c r="AA3468" s="492"/>
      <c r="AB3468" s="39"/>
      <c r="AC3468" s="39"/>
      <c r="AD3468" s="39"/>
      <c r="AE3468" s="39"/>
      <c r="AF3468" s="39"/>
      <c r="AG3468" s="39"/>
      <c r="AH3468" s="39"/>
      <c r="AI3468" s="39"/>
      <c r="AJ3468" s="39"/>
      <c r="AK3468" s="39"/>
      <c r="AL3468" s="39"/>
      <c r="AM3468" s="39"/>
      <c r="AN3468" s="39"/>
      <c r="AO3468" s="39"/>
      <c r="AP3468" s="39"/>
      <c r="AQ3468" s="39"/>
      <c r="AR3468" s="39"/>
      <c r="AS3468" s="39"/>
      <c r="AT3468" s="39"/>
      <c r="AU3468" s="39"/>
      <c r="AV3468" s="39"/>
      <c r="AW3468" s="39"/>
      <c r="AX3468" s="39"/>
      <c r="AY3468" s="39"/>
    </row>
    <row r="3469" spans="3:51" s="448" customFormat="1" ht="36" customHeight="1" x14ac:dyDescent="0.45">
      <c r="D3469" s="615" t="s">
        <v>1533</v>
      </c>
      <c r="E3469" s="616"/>
      <c r="F3469" s="616"/>
      <c r="G3469" s="616"/>
      <c r="H3469" s="616"/>
      <c r="I3469" s="616"/>
      <c r="J3469" s="645"/>
      <c r="K3469" s="450"/>
      <c r="L3469" s="451"/>
      <c r="N3469" s="450"/>
      <c r="O3469" s="458">
        <f>SUM(O3472:O3505)</f>
        <v>0</v>
      </c>
      <c r="P3469" s="454"/>
      <c r="R3469" s="490" t="str">
        <f t="shared" ref="R3469" si="264">IF(R$3370="DELETE","DELETE",IF(O3469=0,"DELETE"," "))</f>
        <v>DELETE</v>
      </c>
      <c r="S3469" s="495">
        <f>-O3469</f>
        <v>0</v>
      </c>
      <c r="T3469" s="495"/>
      <c r="U3469" s="495"/>
      <c r="V3469" s="495"/>
      <c r="W3469" s="491"/>
      <c r="X3469" s="491"/>
      <c r="Y3469" s="498"/>
      <c r="Z3469" s="498"/>
      <c r="AA3469" s="492"/>
      <c r="AB3469" s="39"/>
      <c r="AC3469" s="39"/>
      <c r="AD3469" s="39"/>
      <c r="AE3469" s="39"/>
      <c r="AF3469" s="39"/>
      <c r="AG3469" s="39"/>
      <c r="AH3469" s="39"/>
      <c r="AI3469" s="39"/>
      <c r="AJ3469" s="39"/>
      <c r="AK3469" s="39"/>
      <c r="AL3469" s="39"/>
      <c r="AM3469" s="39"/>
      <c r="AN3469" s="39"/>
      <c r="AO3469" s="39"/>
      <c r="AP3469" s="39"/>
      <c r="AQ3469" s="39"/>
      <c r="AR3469" s="39"/>
      <c r="AS3469" s="39"/>
      <c r="AT3469" s="39"/>
      <c r="AU3469" s="39"/>
      <c r="AV3469" s="39"/>
      <c r="AW3469" s="39"/>
      <c r="AX3469" s="39"/>
      <c r="AY3469" s="39"/>
    </row>
    <row r="3470" spans="3:51" s="448" customFormat="1" ht="9" customHeight="1" x14ac:dyDescent="0.45">
      <c r="C3470" s="575"/>
      <c r="D3470" s="616"/>
      <c r="E3470" s="616"/>
      <c r="F3470" s="616"/>
      <c r="G3470" s="616"/>
      <c r="H3470" s="616"/>
      <c r="I3470" s="616"/>
      <c r="J3470" s="645"/>
      <c r="K3470" s="450"/>
      <c r="L3470" s="451"/>
      <c r="N3470" s="450"/>
      <c r="O3470" s="458"/>
      <c r="P3470" s="454"/>
      <c r="R3470" s="490" t="str">
        <f>R3469</f>
        <v>DELETE</v>
      </c>
      <c r="S3470" s="491"/>
      <c r="T3470" s="491"/>
      <c r="U3470" s="491"/>
      <c r="V3470" s="491"/>
      <c r="W3470" s="491"/>
      <c r="X3470" s="491"/>
      <c r="Y3470" s="498"/>
      <c r="Z3470" s="498"/>
      <c r="AA3470" s="492"/>
      <c r="AB3470" s="39"/>
      <c r="AC3470" s="39"/>
      <c r="AD3470" s="39"/>
      <c r="AE3470" s="39"/>
      <c r="AF3470" s="39"/>
      <c r="AG3470" s="39"/>
      <c r="AH3470" s="39"/>
      <c r="AI3470" s="39"/>
      <c r="AJ3470" s="39"/>
      <c r="AK3470" s="39"/>
      <c r="AL3470" s="39"/>
      <c r="AM3470" s="39"/>
      <c r="AN3470" s="39"/>
      <c r="AO3470" s="39"/>
      <c r="AP3470" s="39"/>
      <c r="AQ3470" s="39"/>
      <c r="AR3470" s="39"/>
      <c r="AS3470" s="39"/>
      <c r="AT3470" s="39"/>
      <c r="AU3470" s="39"/>
      <c r="AV3470" s="39"/>
      <c r="AW3470" s="39"/>
      <c r="AX3470" s="39"/>
      <c r="AY3470" s="39"/>
    </row>
    <row r="3471" spans="3:51" s="448" customFormat="1" ht="9" customHeight="1" x14ac:dyDescent="0.45">
      <c r="C3471" s="575"/>
      <c r="D3471" s="616"/>
      <c r="E3471" s="616"/>
      <c r="F3471" s="616"/>
      <c r="G3471" s="616"/>
      <c r="H3471" s="616"/>
      <c r="I3471" s="616"/>
      <c r="J3471" s="645"/>
      <c r="K3471" s="450"/>
      <c r="L3471" s="451"/>
      <c r="N3471" s="450"/>
      <c r="O3471" s="587"/>
      <c r="P3471" s="454"/>
      <c r="R3471" s="490" t="str">
        <f>R3470</f>
        <v>DELETE</v>
      </c>
      <c r="S3471" s="491"/>
      <c r="T3471" s="491"/>
      <c r="U3471" s="491"/>
      <c r="V3471" s="491"/>
      <c r="W3471" s="491"/>
      <c r="X3471" s="491"/>
      <c r="Y3471" s="498"/>
      <c r="Z3471" s="498"/>
      <c r="AA3471" s="492"/>
      <c r="AB3471" s="39"/>
      <c r="AC3471" s="39"/>
      <c r="AD3471" s="39"/>
      <c r="AE3471" s="39"/>
      <c r="AF3471" s="39"/>
      <c r="AG3471" s="39"/>
      <c r="AH3471" s="39"/>
      <c r="AI3471" s="39"/>
      <c r="AJ3471" s="39"/>
      <c r="AK3471" s="39"/>
      <c r="AL3471" s="39"/>
      <c r="AM3471" s="39"/>
      <c r="AN3471" s="39"/>
      <c r="AO3471" s="39"/>
      <c r="AP3471" s="39"/>
      <c r="AQ3471" s="39"/>
      <c r="AR3471" s="39"/>
      <c r="AS3471" s="39"/>
      <c r="AT3471" s="39"/>
      <c r="AU3471" s="39"/>
      <c r="AV3471" s="39"/>
      <c r="AW3471" s="39"/>
      <c r="AX3471" s="39"/>
      <c r="AY3471" s="39"/>
    </row>
    <row r="3472" spans="3:51" s="448" customFormat="1" ht="36" customHeight="1" x14ac:dyDescent="0.45">
      <c r="C3472" s="575"/>
      <c r="D3472" s="616" t="s">
        <v>233</v>
      </c>
      <c r="E3472" s="616"/>
      <c r="F3472" s="616"/>
      <c r="G3472" s="616"/>
      <c r="H3472" s="616"/>
      <c r="I3472" s="616"/>
      <c r="J3472" s="645"/>
      <c r="K3472" s="450"/>
      <c r="L3472" s="451"/>
      <c r="N3472" s="450"/>
      <c r="O3472" s="588">
        <f>SUM(TrialBalanceC!I99:I102)</f>
        <v>0</v>
      </c>
      <c r="P3472" s="454"/>
      <c r="R3472" s="490" t="str">
        <f t="shared" ref="R3472:R3503" si="265">IF(R$3370="DELETE","DELETE",IF(O3472=0,"DELETE"," "))</f>
        <v>DELETE</v>
      </c>
      <c r="S3472" s="491"/>
      <c r="T3472" s="491"/>
      <c r="U3472" s="491"/>
      <c r="V3472" s="491"/>
      <c r="W3472" s="491"/>
      <c r="X3472" s="491"/>
      <c r="Y3472" s="498"/>
      <c r="Z3472" s="498"/>
      <c r="AA3472" s="492"/>
      <c r="AB3472" s="39"/>
      <c r="AC3472" s="39"/>
      <c r="AD3472" s="39"/>
      <c r="AE3472" s="39"/>
      <c r="AF3472" s="39"/>
      <c r="AG3472" s="39"/>
      <c r="AH3472" s="39"/>
      <c r="AI3472" s="39"/>
      <c r="AJ3472" s="39"/>
      <c r="AK3472" s="39"/>
      <c r="AL3472" s="39"/>
      <c r="AM3472" s="39"/>
      <c r="AN3472" s="39"/>
      <c r="AO3472" s="39"/>
      <c r="AP3472" s="39"/>
      <c r="AQ3472" s="39"/>
      <c r="AR3472" s="39"/>
      <c r="AS3472" s="39"/>
      <c r="AT3472" s="39"/>
      <c r="AU3472" s="39"/>
      <c r="AV3472" s="39"/>
      <c r="AW3472" s="39"/>
      <c r="AX3472" s="39"/>
      <c r="AY3472" s="39"/>
    </row>
    <row r="3473" spans="3:51" s="448" customFormat="1" ht="36" customHeight="1" x14ac:dyDescent="0.45">
      <c r="C3473" s="575"/>
      <c r="D3473" s="616" t="s">
        <v>235</v>
      </c>
      <c r="E3473" s="616"/>
      <c r="F3473" s="616"/>
      <c r="G3473" s="616"/>
      <c r="H3473" s="616"/>
      <c r="I3473" s="616"/>
      <c r="J3473" s="645"/>
      <c r="K3473" s="450"/>
      <c r="L3473" s="451"/>
      <c r="N3473" s="450"/>
      <c r="O3473" s="588">
        <f>TrialBalanceC!I103</f>
        <v>0</v>
      </c>
      <c r="P3473" s="454"/>
      <c r="R3473" s="490" t="str">
        <f t="shared" si="265"/>
        <v>DELETE</v>
      </c>
      <c r="S3473" s="491"/>
      <c r="T3473" s="491"/>
      <c r="U3473" s="491"/>
      <c r="V3473" s="491"/>
      <c r="W3473" s="491"/>
      <c r="X3473" s="491"/>
      <c r="Y3473" s="498"/>
      <c r="Z3473" s="498"/>
      <c r="AA3473" s="492"/>
      <c r="AB3473" s="39"/>
      <c r="AC3473" s="39"/>
      <c r="AD3473" s="39"/>
      <c r="AE3473" s="39"/>
      <c r="AF3473" s="39"/>
      <c r="AG3473" s="39"/>
      <c r="AH3473" s="39"/>
      <c r="AI3473" s="39"/>
      <c r="AJ3473" s="39"/>
      <c r="AK3473" s="39"/>
      <c r="AL3473" s="39"/>
      <c r="AM3473" s="39"/>
      <c r="AN3473" s="39"/>
      <c r="AO3473" s="39"/>
      <c r="AP3473" s="39"/>
      <c r="AQ3473" s="39"/>
      <c r="AR3473" s="39"/>
      <c r="AS3473" s="39"/>
      <c r="AT3473" s="39"/>
      <c r="AU3473" s="39"/>
      <c r="AV3473" s="39"/>
      <c r="AW3473" s="39"/>
      <c r="AX3473" s="39"/>
      <c r="AY3473" s="39"/>
    </row>
    <row r="3474" spans="3:51" s="448" customFormat="1" ht="36" customHeight="1" x14ac:dyDescent="0.45">
      <c r="C3474" s="575"/>
      <c r="D3474" s="616" t="s">
        <v>237</v>
      </c>
      <c r="E3474" s="616"/>
      <c r="F3474" s="616"/>
      <c r="G3474" s="616"/>
      <c r="H3474" s="616"/>
      <c r="I3474" s="616"/>
      <c r="J3474" s="645"/>
      <c r="K3474" s="450"/>
      <c r="L3474" s="451"/>
      <c r="N3474" s="450"/>
      <c r="O3474" s="588">
        <f>TrialBalanceC!I104</f>
        <v>0</v>
      </c>
      <c r="P3474" s="454"/>
      <c r="R3474" s="490" t="str">
        <f t="shared" si="265"/>
        <v>DELETE</v>
      </c>
      <c r="S3474" s="491"/>
      <c r="T3474" s="491"/>
      <c r="U3474" s="491"/>
      <c r="V3474" s="491"/>
      <c r="W3474" s="491"/>
      <c r="X3474" s="491"/>
      <c r="Y3474" s="498"/>
      <c r="Z3474" s="498"/>
      <c r="AA3474" s="492"/>
      <c r="AB3474" s="39"/>
      <c r="AC3474" s="39"/>
      <c r="AD3474" s="39"/>
      <c r="AE3474" s="39"/>
      <c r="AF3474" s="39"/>
      <c r="AG3474" s="39"/>
      <c r="AH3474" s="39"/>
      <c r="AI3474" s="39"/>
      <c r="AJ3474" s="39"/>
      <c r="AK3474" s="39"/>
      <c r="AL3474" s="39"/>
      <c r="AM3474" s="39"/>
      <c r="AN3474" s="39"/>
      <c r="AO3474" s="39"/>
      <c r="AP3474" s="39"/>
      <c r="AQ3474" s="39"/>
      <c r="AR3474" s="39"/>
      <c r="AS3474" s="39"/>
      <c r="AT3474" s="39"/>
      <c r="AU3474" s="39"/>
      <c r="AV3474" s="39"/>
      <c r="AW3474" s="39"/>
      <c r="AX3474" s="39"/>
      <c r="AY3474" s="39"/>
    </row>
    <row r="3475" spans="3:51" s="448" customFormat="1" ht="36" customHeight="1" x14ac:dyDescent="0.45">
      <c r="C3475" s="575"/>
      <c r="D3475" s="616" t="s">
        <v>291</v>
      </c>
      <c r="E3475" s="616"/>
      <c r="F3475" s="616"/>
      <c r="G3475" s="616"/>
      <c r="H3475" s="616"/>
      <c r="I3475" s="616"/>
      <c r="J3475" s="645"/>
      <c r="K3475" s="450"/>
      <c r="L3475" s="451"/>
      <c r="N3475" s="450"/>
      <c r="O3475" s="588">
        <f>TrialBalanceC!I105</f>
        <v>0</v>
      </c>
      <c r="P3475" s="454"/>
      <c r="R3475" s="490" t="str">
        <f t="shared" si="265"/>
        <v>DELETE</v>
      </c>
      <c r="S3475" s="491"/>
      <c r="T3475" s="491"/>
      <c r="U3475" s="491"/>
      <c r="V3475" s="491"/>
      <c r="W3475" s="491"/>
      <c r="X3475" s="491"/>
      <c r="Y3475" s="498"/>
      <c r="Z3475" s="498"/>
      <c r="AA3475" s="492"/>
      <c r="AB3475" s="39"/>
      <c r="AC3475" s="39"/>
      <c r="AD3475" s="39"/>
      <c r="AE3475" s="39"/>
      <c r="AF3475" s="39"/>
      <c r="AG3475" s="39"/>
      <c r="AH3475" s="39"/>
      <c r="AI3475" s="39"/>
      <c r="AJ3475" s="39"/>
      <c r="AK3475" s="39"/>
      <c r="AL3475" s="39"/>
      <c r="AM3475" s="39"/>
      <c r="AN3475" s="39"/>
      <c r="AO3475" s="39"/>
      <c r="AP3475" s="39"/>
      <c r="AQ3475" s="39"/>
      <c r="AR3475" s="39"/>
      <c r="AS3475" s="39"/>
      <c r="AT3475" s="39"/>
      <c r="AU3475" s="39"/>
      <c r="AV3475" s="39"/>
      <c r="AW3475" s="39"/>
      <c r="AX3475" s="39"/>
      <c r="AY3475" s="39"/>
    </row>
    <row r="3476" spans="3:51" s="448" customFormat="1" ht="36" customHeight="1" x14ac:dyDescent="0.45">
      <c r="C3476" s="575"/>
      <c r="D3476" s="616" t="s">
        <v>240</v>
      </c>
      <c r="E3476" s="616"/>
      <c r="F3476" s="616"/>
      <c r="G3476" s="616"/>
      <c r="H3476" s="616"/>
      <c r="I3476" s="616"/>
      <c r="J3476" s="645"/>
      <c r="K3476" s="450"/>
      <c r="L3476" s="451"/>
      <c r="N3476" s="450"/>
      <c r="O3476" s="588">
        <f>TrialBalanceC!I106</f>
        <v>0</v>
      </c>
      <c r="P3476" s="454"/>
      <c r="R3476" s="490" t="str">
        <f t="shared" si="265"/>
        <v>DELETE</v>
      </c>
      <c r="S3476" s="491"/>
      <c r="T3476" s="491"/>
      <c r="U3476" s="491"/>
      <c r="V3476" s="491"/>
      <c r="W3476" s="491"/>
      <c r="X3476" s="491"/>
      <c r="Y3476" s="498"/>
      <c r="Z3476" s="498"/>
      <c r="AA3476" s="492"/>
      <c r="AB3476" s="39"/>
      <c r="AC3476" s="39"/>
      <c r="AD3476" s="39"/>
      <c r="AE3476" s="39"/>
      <c r="AF3476" s="39"/>
      <c r="AG3476" s="39"/>
      <c r="AH3476" s="39"/>
      <c r="AI3476" s="39"/>
      <c r="AJ3476" s="39"/>
      <c r="AK3476" s="39"/>
      <c r="AL3476" s="39"/>
      <c r="AM3476" s="39"/>
      <c r="AN3476" s="39"/>
      <c r="AO3476" s="39"/>
      <c r="AP3476" s="39"/>
      <c r="AQ3476" s="39"/>
      <c r="AR3476" s="39"/>
      <c r="AS3476" s="39"/>
      <c r="AT3476" s="39"/>
      <c r="AU3476" s="39"/>
      <c r="AV3476" s="39"/>
      <c r="AW3476" s="39"/>
      <c r="AX3476" s="39"/>
      <c r="AY3476" s="39"/>
    </row>
    <row r="3477" spans="3:51" s="448" customFormat="1" ht="36" customHeight="1" x14ac:dyDescent="0.45">
      <c r="C3477" s="575"/>
      <c r="D3477" s="616" t="s">
        <v>873</v>
      </c>
      <c r="E3477" s="616"/>
      <c r="F3477" s="616"/>
      <c r="G3477" s="616"/>
      <c r="H3477" s="616"/>
      <c r="I3477" s="616"/>
      <c r="J3477" s="645"/>
      <c r="K3477" s="450"/>
      <c r="L3477" s="451"/>
      <c r="N3477" s="450"/>
      <c r="O3477" s="588">
        <f>TrialBalanceC!I107</f>
        <v>0</v>
      </c>
      <c r="P3477" s="454"/>
      <c r="R3477" s="490" t="str">
        <f t="shared" si="265"/>
        <v>DELETE</v>
      </c>
      <c r="S3477" s="491"/>
      <c r="T3477" s="491"/>
      <c r="U3477" s="491"/>
      <c r="V3477" s="491"/>
      <c r="W3477" s="491"/>
      <c r="X3477" s="491"/>
      <c r="Y3477" s="498"/>
      <c r="Z3477" s="498"/>
      <c r="AA3477" s="492"/>
      <c r="AB3477" s="39"/>
      <c r="AC3477" s="39"/>
      <c r="AD3477" s="39"/>
      <c r="AE3477" s="39"/>
      <c r="AF3477" s="39"/>
      <c r="AG3477" s="39"/>
      <c r="AH3477" s="39"/>
      <c r="AI3477" s="39"/>
      <c r="AJ3477" s="39"/>
      <c r="AK3477" s="39"/>
      <c r="AL3477" s="39"/>
      <c r="AM3477" s="39"/>
      <c r="AN3477" s="39"/>
      <c r="AO3477" s="39"/>
      <c r="AP3477" s="39"/>
      <c r="AQ3477" s="39"/>
      <c r="AR3477" s="39"/>
      <c r="AS3477" s="39"/>
      <c r="AT3477" s="39"/>
      <c r="AU3477" s="39"/>
      <c r="AV3477" s="39"/>
      <c r="AW3477" s="39"/>
      <c r="AX3477" s="39"/>
      <c r="AY3477" s="39"/>
    </row>
    <row r="3478" spans="3:51" s="448" customFormat="1" ht="36" customHeight="1" x14ac:dyDescent="0.45">
      <c r="C3478" s="575"/>
      <c r="D3478" s="616" t="s">
        <v>1759</v>
      </c>
      <c r="E3478" s="616"/>
      <c r="F3478" s="616"/>
      <c r="G3478" s="616"/>
      <c r="H3478" s="616"/>
      <c r="I3478" s="616"/>
      <c r="J3478" s="645"/>
      <c r="K3478" s="450"/>
      <c r="L3478" s="451"/>
      <c r="N3478" s="450"/>
      <c r="O3478" s="588">
        <f>TrialBalanceC!I108</f>
        <v>0</v>
      </c>
      <c r="P3478" s="454"/>
      <c r="R3478" s="490" t="str">
        <f t="shared" ref="R3478" si="266">IF(R$3370="DELETE","DELETE",IF(O3478=0,"DELETE"," "))</f>
        <v>DELETE</v>
      </c>
      <c r="S3478" s="491"/>
      <c r="T3478" s="491"/>
      <c r="U3478" s="491"/>
      <c r="V3478" s="491"/>
      <c r="W3478" s="491"/>
      <c r="X3478" s="491"/>
      <c r="Y3478" s="498"/>
      <c r="Z3478" s="498"/>
      <c r="AA3478" s="492"/>
      <c r="AB3478" s="39"/>
      <c r="AC3478" s="39"/>
      <c r="AD3478" s="39"/>
      <c r="AE3478" s="39"/>
      <c r="AF3478" s="39"/>
      <c r="AG3478" s="39"/>
      <c r="AH3478" s="39"/>
      <c r="AI3478" s="39"/>
      <c r="AJ3478" s="39"/>
      <c r="AK3478" s="39"/>
      <c r="AL3478" s="39"/>
      <c r="AM3478" s="39"/>
      <c r="AN3478" s="39"/>
      <c r="AO3478" s="39"/>
      <c r="AP3478" s="39"/>
      <c r="AQ3478" s="39"/>
      <c r="AR3478" s="39"/>
      <c r="AS3478" s="39"/>
      <c r="AT3478" s="39"/>
      <c r="AU3478" s="39"/>
      <c r="AV3478" s="39"/>
      <c r="AW3478" s="39"/>
      <c r="AX3478" s="39"/>
      <c r="AY3478" s="39"/>
    </row>
    <row r="3479" spans="3:51" s="448" customFormat="1" ht="36" customHeight="1" x14ac:dyDescent="0.45">
      <c r="C3479" s="575"/>
      <c r="D3479" s="616" t="s">
        <v>304</v>
      </c>
      <c r="E3479" s="616"/>
      <c r="F3479" s="616"/>
      <c r="G3479" s="616"/>
      <c r="H3479" s="616"/>
      <c r="I3479" s="616"/>
      <c r="J3479" s="645"/>
      <c r="K3479" s="450">
        <f>B$1212</f>
        <v>4</v>
      </c>
      <c r="L3479" s="451"/>
      <c r="N3479" s="450"/>
      <c r="O3479" s="588">
        <f>SUM(TrialBalanceC!I110:I111)</f>
        <v>0</v>
      </c>
      <c r="P3479" s="454"/>
      <c r="R3479" s="490" t="str">
        <f t="shared" si="265"/>
        <v>DELETE</v>
      </c>
      <c r="S3479" s="491"/>
      <c r="T3479" s="491"/>
      <c r="U3479" s="491"/>
      <c r="V3479" s="491"/>
      <c r="W3479" s="491"/>
      <c r="X3479" s="491"/>
      <c r="Y3479" s="498"/>
      <c r="Z3479" s="498"/>
      <c r="AA3479" s="492"/>
      <c r="AB3479" s="39"/>
      <c r="AC3479" s="39"/>
      <c r="AD3479" s="39"/>
      <c r="AE3479" s="39"/>
      <c r="AF3479" s="39"/>
      <c r="AG3479" s="39"/>
      <c r="AH3479" s="39"/>
      <c r="AI3479" s="39"/>
      <c r="AJ3479" s="39"/>
      <c r="AK3479" s="39"/>
      <c r="AL3479" s="39"/>
      <c r="AM3479" s="39"/>
      <c r="AN3479" s="39"/>
      <c r="AO3479" s="39"/>
      <c r="AP3479" s="39"/>
      <c r="AQ3479" s="39"/>
      <c r="AR3479" s="39"/>
      <c r="AS3479" s="39"/>
      <c r="AT3479" s="39"/>
      <c r="AU3479" s="39"/>
      <c r="AV3479" s="39"/>
      <c r="AW3479" s="39"/>
      <c r="AX3479" s="39"/>
      <c r="AY3479" s="39"/>
    </row>
    <row r="3480" spans="3:51" s="448" customFormat="1" ht="36" customHeight="1" x14ac:dyDescent="0.45">
      <c r="C3480" s="575"/>
      <c r="D3480" s="616" t="str">
        <f>IF(MAX(Criteria!I41:I45)&gt;1,"Directors' remuneration","Director's remuneration")</f>
        <v>Directors' remuneration</v>
      </c>
      <c r="E3480" s="616"/>
      <c r="F3480" s="616"/>
      <c r="G3480" s="616"/>
      <c r="H3480" s="616"/>
      <c r="I3480" s="616"/>
      <c r="J3480" s="645"/>
      <c r="K3480" s="450">
        <f>B$1212</f>
        <v>4</v>
      </c>
      <c r="L3480" s="451"/>
      <c r="N3480" s="450"/>
      <c r="O3480" s="588">
        <f>SUM(TrialBalanceC!I113:I117)</f>
        <v>0</v>
      </c>
      <c r="P3480" s="454"/>
      <c r="R3480" s="490" t="str">
        <f t="shared" si="265"/>
        <v>DELETE</v>
      </c>
      <c r="S3480" s="491"/>
      <c r="T3480" s="491"/>
      <c r="U3480" s="491"/>
      <c r="V3480" s="491"/>
      <c r="W3480" s="491"/>
      <c r="X3480" s="491"/>
      <c r="Y3480" s="498"/>
      <c r="Z3480" s="498"/>
      <c r="AA3480" s="492"/>
      <c r="AB3480" s="39"/>
      <c r="AC3480" s="39"/>
      <c r="AD3480" s="39"/>
      <c r="AE3480" s="39"/>
      <c r="AF3480" s="39"/>
      <c r="AG3480" s="39"/>
      <c r="AH3480" s="39"/>
      <c r="AI3480" s="39"/>
      <c r="AJ3480" s="39"/>
      <c r="AK3480" s="39"/>
      <c r="AL3480" s="39"/>
      <c r="AM3480" s="39"/>
      <c r="AN3480" s="39"/>
      <c r="AO3480" s="39"/>
      <c r="AP3480" s="39"/>
      <c r="AQ3480" s="39"/>
      <c r="AR3480" s="39"/>
      <c r="AS3480" s="39"/>
      <c r="AT3480" s="39"/>
      <c r="AU3480" s="39"/>
      <c r="AV3480" s="39"/>
      <c r="AW3480" s="39"/>
      <c r="AX3480" s="39"/>
      <c r="AY3480" s="39"/>
    </row>
    <row r="3481" spans="3:51" s="448" customFormat="1" ht="36" customHeight="1" x14ac:dyDescent="0.45">
      <c r="C3481" s="575"/>
      <c r="D3481" s="616" t="s">
        <v>292</v>
      </c>
      <c r="E3481" s="616"/>
      <c r="F3481" s="616"/>
      <c r="G3481" s="616"/>
      <c r="H3481" s="616"/>
      <c r="I3481" s="616"/>
      <c r="J3481" s="645"/>
      <c r="K3481" s="450"/>
      <c r="L3481" s="451"/>
      <c r="N3481" s="450"/>
      <c r="O3481" s="588">
        <f>TrialBalanceC!I118</f>
        <v>0</v>
      </c>
      <c r="P3481" s="454"/>
      <c r="R3481" s="490" t="str">
        <f t="shared" si="265"/>
        <v>DELETE</v>
      </c>
      <c r="S3481" s="491"/>
      <c r="T3481" s="491"/>
      <c r="U3481" s="491"/>
      <c r="V3481" s="491"/>
      <c r="W3481" s="491"/>
      <c r="X3481" s="491"/>
      <c r="Y3481" s="498"/>
      <c r="Z3481" s="498"/>
      <c r="AA3481" s="492"/>
      <c r="AB3481" s="39"/>
      <c r="AC3481" s="39"/>
      <c r="AD3481" s="39"/>
      <c r="AE3481" s="39"/>
      <c r="AF3481" s="39"/>
      <c r="AG3481" s="39"/>
      <c r="AH3481" s="39"/>
      <c r="AI3481" s="39"/>
      <c r="AJ3481" s="39"/>
      <c r="AK3481" s="39"/>
      <c r="AL3481" s="39"/>
      <c r="AM3481" s="39"/>
      <c r="AN3481" s="39"/>
      <c r="AO3481" s="39"/>
      <c r="AP3481" s="39"/>
      <c r="AQ3481" s="39"/>
      <c r="AR3481" s="39"/>
      <c r="AS3481" s="39"/>
      <c r="AT3481" s="39"/>
      <c r="AU3481" s="39"/>
      <c r="AV3481" s="39"/>
      <c r="AW3481" s="39"/>
      <c r="AX3481" s="39"/>
      <c r="AY3481" s="39"/>
    </row>
    <row r="3482" spans="3:51" s="448" customFormat="1" ht="36" customHeight="1" x14ac:dyDescent="0.45">
      <c r="C3482" s="575"/>
      <c r="D3482" s="616" t="s">
        <v>408</v>
      </c>
      <c r="E3482" s="616"/>
      <c r="F3482" s="616"/>
      <c r="G3482" s="616"/>
      <c r="H3482" s="616"/>
      <c r="I3482" s="616"/>
      <c r="J3482" s="645"/>
      <c r="K3482" s="450"/>
      <c r="L3482" s="451"/>
      <c r="N3482" s="450"/>
      <c r="O3482" s="588">
        <f>TrialBalanceC!I119</f>
        <v>0</v>
      </c>
      <c r="P3482" s="454"/>
      <c r="R3482" s="490" t="str">
        <f t="shared" si="265"/>
        <v>DELETE</v>
      </c>
      <c r="S3482" s="491"/>
      <c r="T3482" s="491"/>
      <c r="U3482" s="491"/>
      <c r="V3482" s="491"/>
      <c r="W3482" s="491"/>
      <c r="X3482" s="491"/>
      <c r="Y3482" s="498"/>
      <c r="Z3482" s="498"/>
      <c r="AA3482" s="492"/>
      <c r="AB3482" s="39"/>
      <c r="AC3482" s="39"/>
      <c r="AD3482" s="39"/>
      <c r="AE3482" s="39"/>
      <c r="AF3482" s="39"/>
      <c r="AG3482" s="39"/>
      <c r="AH3482" s="39"/>
      <c r="AI3482" s="39"/>
      <c r="AJ3482" s="39"/>
      <c r="AK3482" s="39"/>
      <c r="AL3482" s="39"/>
      <c r="AM3482" s="39"/>
      <c r="AN3482" s="39"/>
      <c r="AO3482" s="39"/>
      <c r="AP3482" s="39"/>
      <c r="AQ3482" s="39"/>
      <c r="AR3482" s="39"/>
      <c r="AS3482" s="39"/>
      <c r="AT3482" s="39"/>
      <c r="AU3482" s="39"/>
      <c r="AV3482" s="39"/>
      <c r="AW3482" s="39"/>
      <c r="AX3482" s="39"/>
      <c r="AY3482" s="39"/>
    </row>
    <row r="3483" spans="3:51" s="448" customFormat="1" ht="36" customHeight="1" x14ac:dyDescent="0.45">
      <c r="C3483" s="575"/>
      <c r="D3483" s="616" t="s">
        <v>357</v>
      </c>
      <c r="E3483" s="616"/>
      <c r="F3483" s="616"/>
      <c r="G3483" s="616"/>
      <c r="H3483" s="616"/>
      <c r="I3483" s="616"/>
      <c r="J3483" s="645"/>
      <c r="K3483" s="450"/>
      <c r="L3483" s="451"/>
      <c r="N3483" s="450"/>
      <c r="O3483" s="588">
        <f>TrialBalanceC!I120</f>
        <v>0</v>
      </c>
      <c r="P3483" s="454"/>
      <c r="R3483" s="490" t="str">
        <f t="shared" si="265"/>
        <v>DELETE</v>
      </c>
      <c r="S3483" s="491"/>
      <c r="T3483" s="491"/>
      <c r="U3483" s="491"/>
      <c r="V3483" s="491"/>
      <c r="W3483" s="491"/>
      <c r="X3483" s="491"/>
      <c r="Y3483" s="498"/>
      <c r="Z3483" s="498"/>
      <c r="AA3483" s="492"/>
      <c r="AB3483" s="39"/>
      <c r="AC3483" s="39"/>
      <c r="AD3483" s="39"/>
      <c r="AE3483" s="39"/>
      <c r="AF3483" s="39"/>
      <c r="AG3483" s="39"/>
      <c r="AH3483" s="39"/>
      <c r="AI3483" s="39"/>
      <c r="AJ3483" s="39"/>
      <c r="AK3483" s="39"/>
      <c r="AL3483" s="39"/>
      <c r="AM3483" s="39"/>
      <c r="AN3483" s="39"/>
      <c r="AO3483" s="39"/>
      <c r="AP3483" s="39"/>
      <c r="AQ3483" s="39"/>
      <c r="AR3483" s="39"/>
      <c r="AS3483" s="39"/>
      <c r="AT3483" s="39"/>
      <c r="AU3483" s="39"/>
      <c r="AV3483" s="39"/>
      <c r="AW3483" s="39"/>
      <c r="AX3483" s="39"/>
      <c r="AY3483" s="39"/>
    </row>
    <row r="3484" spans="3:51" s="448" customFormat="1" ht="36" customHeight="1" x14ac:dyDescent="0.45">
      <c r="C3484" s="575"/>
      <c r="D3484" s="616" t="s">
        <v>410</v>
      </c>
      <c r="E3484" s="616"/>
      <c r="F3484" s="616"/>
      <c r="G3484" s="616"/>
      <c r="H3484" s="616"/>
      <c r="I3484" s="616"/>
      <c r="J3484" s="645"/>
      <c r="K3484" s="450"/>
      <c r="L3484" s="451"/>
      <c r="N3484" s="450"/>
      <c r="O3484" s="588">
        <f>TrialBalanceC!I121</f>
        <v>0</v>
      </c>
      <c r="P3484" s="454"/>
      <c r="R3484" s="490" t="str">
        <f t="shared" si="265"/>
        <v>DELETE</v>
      </c>
      <c r="S3484" s="491"/>
      <c r="T3484" s="491"/>
      <c r="U3484" s="491"/>
      <c r="V3484" s="491"/>
      <c r="W3484" s="491"/>
      <c r="X3484" s="491"/>
      <c r="Y3484" s="498"/>
      <c r="Z3484" s="498"/>
      <c r="AA3484" s="492"/>
      <c r="AB3484" s="39"/>
      <c r="AC3484" s="39"/>
      <c r="AD3484" s="39"/>
      <c r="AE3484" s="39"/>
      <c r="AF3484" s="39"/>
      <c r="AG3484" s="39"/>
      <c r="AH3484" s="39"/>
      <c r="AI3484" s="39"/>
      <c r="AJ3484" s="39"/>
      <c r="AK3484" s="39"/>
      <c r="AL3484" s="39"/>
      <c r="AM3484" s="39"/>
      <c r="AN3484" s="39"/>
      <c r="AO3484" s="39"/>
      <c r="AP3484" s="39"/>
      <c r="AQ3484" s="39"/>
      <c r="AR3484" s="39"/>
      <c r="AS3484" s="39"/>
      <c r="AT3484" s="39"/>
      <c r="AU3484" s="39"/>
      <c r="AV3484" s="39"/>
      <c r="AW3484" s="39"/>
      <c r="AX3484" s="39"/>
      <c r="AY3484" s="39"/>
    </row>
    <row r="3485" spans="3:51" s="448" customFormat="1" ht="36" customHeight="1" x14ac:dyDescent="0.45">
      <c r="C3485" s="575"/>
      <c r="D3485" s="616" t="s">
        <v>1256</v>
      </c>
      <c r="E3485" s="616"/>
      <c r="F3485" s="616"/>
      <c r="G3485" s="616"/>
      <c r="H3485" s="616"/>
      <c r="I3485" s="616"/>
      <c r="J3485" s="645"/>
      <c r="K3485" s="450"/>
      <c r="L3485" s="451"/>
      <c r="N3485" s="450"/>
      <c r="O3485" s="588">
        <f>TrialBalanceC!I156</f>
        <v>0</v>
      </c>
      <c r="P3485" s="454"/>
      <c r="R3485" s="490" t="str">
        <f t="shared" si="265"/>
        <v>DELETE</v>
      </c>
      <c r="S3485" s="491"/>
      <c r="T3485" s="491"/>
      <c r="U3485" s="491"/>
      <c r="V3485" s="491"/>
      <c r="W3485" s="491"/>
      <c r="X3485" s="491"/>
      <c r="Y3485" s="498"/>
      <c r="Z3485" s="498"/>
      <c r="AA3485" s="492"/>
      <c r="AB3485" s="39"/>
      <c r="AC3485" s="39"/>
      <c r="AD3485" s="39"/>
      <c r="AE3485" s="39"/>
      <c r="AF3485" s="39"/>
      <c r="AG3485" s="39"/>
      <c r="AH3485" s="39"/>
      <c r="AI3485" s="39"/>
      <c r="AJ3485" s="39"/>
      <c r="AK3485" s="39"/>
      <c r="AL3485" s="39"/>
      <c r="AM3485" s="39"/>
      <c r="AN3485" s="39"/>
      <c r="AO3485" s="39"/>
      <c r="AP3485" s="39"/>
      <c r="AQ3485" s="39"/>
      <c r="AR3485" s="39"/>
      <c r="AS3485" s="39"/>
      <c r="AT3485" s="39"/>
      <c r="AU3485" s="39"/>
      <c r="AV3485" s="39"/>
      <c r="AW3485" s="39"/>
      <c r="AX3485" s="39"/>
      <c r="AY3485" s="39"/>
    </row>
    <row r="3486" spans="3:51" s="448" customFormat="1" ht="36" customHeight="1" x14ac:dyDescent="0.45">
      <c r="C3486" s="575"/>
      <c r="D3486" s="616" t="s">
        <v>561</v>
      </c>
      <c r="E3486" s="616"/>
      <c r="F3486" s="616"/>
      <c r="G3486" s="616"/>
      <c r="H3486" s="616"/>
      <c r="I3486" s="616"/>
      <c r="J3486" s="645"/>
      <c r="K3486" s="450"/>
      <c r="L3486" s="451"/>
      <c r="N3486" s="450"/>
      <c r="O3486" s="588">
        <f>TrialBalanceC!I122+TrialBalanceC!I123</f>
        <v>0</v>
      </c>
      <c r="P3486" s="454"/>
      <c r="R3486" s="490" t="str">
        <f t="shared" si="265"/>
        <v>DELETE</v>
      </c>
      <c r="S3486" s="491"/>
      <c r="T3486" s="491"/>
      <c r="U3486" s="491"/>
      <c r="V3486" s="491"/>
      <c r="W3486" s="491"/>
      <c r="X3486" s="491"/>
      <c r="Y3486" s="498"/>
      <c r="Z3486" s="498"/>
      <c r="AA3486" s="492"/>
      <c r="AB3486" s="39"/>
      <c r="AC3486" s="39"/>
      <c r="AD3486" s="39"/>
      <c r="AE3486" s="39"/>
      <c r="AF3486" s="39"/>
      <c r="AG3486" s="39"/>
      <c r="AH3486" s="39"/>
      <c r="AI3486" s="39"/>
      <c r="AJ3486" s="39"/>
      <c r="AK3486" s="39"/>
      <c r="AL3486" s="39"/>
      <c r="AM3486" s="39"/>
      <c r="AN3486" s="39"/>
      <c r="AO3486" s="39"/>
      <c r="AP3486" s="39"/>
      <c r="AQ3486" s="39"/>
      <c r="AR3486" s="39"/>
      <c r="AS3486" s="39"/>
      <c r="AT3486" s="39"/>
      <c r="AU3486" s="39"/>
      <c r="AV3486" s="39"/>
      <c r="AW3486" s="39"/>
      <c r="AX3486" s="39"/>
      <c r="AY3486" s="39"/>
    </row>
    <row r="3487" spans="3:51" s="448" customFormat="1" ht="36" customHeight="1" x14ac:dyDescent="0.45">
      <c r="C3487" s="575"/>
      <c r="D3487" s="616" t="s">
        <v>588</v>
      </c>
      <c r="E3487" s="616"/>
      <c r="F3487" s="616"/>
      <c r="G3487" s="616"/>
      <c r="H3487" s="616"/>
      <c r="I3487" s="616"/>
      <c r="J3487" s="645"/>
      <c r="K3487" s="450"/>
      <c r="L3487" s="451"/>
      <c r="N3487" s="450"/>
      <c r="O3487" s="588">
        <f>IF(TrialBalanceC!I94&gt;0,TrialBalanceC!I94,0)</f>
        <v>0</v>
      </c>
      <c r="P3487" s="454"/>
      <c r="R3487" s="490" t="str">
        <f t="shared" si="265"/>
        <v>DELETE</v>
      </c>
      <c r="S3487" s="491"/>
      <c r="T3487" s="491"/>
      <c r="U3487" s="491"/>
      <c r="V3487" s="491"/>
      <c r="W3487" s="491"/>
      <c r="X3487" s="491"/>
      <c r="Y3487" s="498"/>
      <c r="Z3487" s="498"/>
      <c r="AA3487" s="492"/>
      <c r="AB3487" s="39"/>
      <c r="AC3487" s="39"/>
      <c r="AD3487" s="39"/>
      <c r="AE3487" s="39"/>
      <c r="AF3487" s="39"/>
      <c r="AG3487" s="39"/>
      <c r="AH3487" s="39"/>
      <c r="AI3487" s="39"/>
      <c r="AJ3487" s="39"/>
      <c r="AK3487" s="39"/>
      <c r="AL3487" s="39"/>
      <c r="AM3487" s="39"/>
      <c r="AN3487" s="39"/>
      <c r="AO3487" s="39"/>
      <c r="AP3487" s="39"/>
      <c r="AQ3487" s="39"/>
      <c r="AR3487" s="39"/>
      <c r="AS3487" s="39"/>
      <c r="AT3487" s="39"/>
      <c r="AU3487" s="39"/>
      <c r="AV3487" s="39"/>
      <c r="AW3487" s="39"/>
      <c r="AX3487" s="39"/>
      <c r="AY3487" s="39"/>
    </row>
    <row r="3488" spans="3:51" s="448" customFormat="1" ht="36" customHeight="1" x14ac:dyDescent="0.45">
      <c r="C3488" s="575"/>
      <c r="D3488" s="616" t="s">
        <v>874</v>
      </c>
      <c r="E3488" s="616"/>
      <c r="F3488" s="616"/>
      <c r="G3488" s="616"/>
      <c r="H3488" s="616"/>
      <c r="I3488" s="616"/>
      <c r="J3488" s="645"/>
      <c r="K3488" s="450"/>
      <c r="L3488" s="451"/>
      <c r="N3488" s="450"/>
      <c r="O3488" s="588">
        <f>TrialBalanceC!I124</f>
        <v>0</v>
      </c>
      <c r="P3488" s="454"/>
      <c r="R3488" s="490" t="str">
        <f t="shared" si="265"/>
        <v>DELETE</v>
      </c>
      <c r="S3488" s="491"/>
      <c r="T3488" s="491"/>
      <c r="U3488" s="491"/>
      <c r="V3488" s="491"/>
      <c r="W3488" s="491"/>
      <c r="X3488" s="491"/>
      <c r="Y3488" s="498"/>
      <c r="Z3488" s="498"/>
      <c r="AA3488" s="492"/>
      <c r="AB3488" s="39"/>
      <c r="AC3488" s="39"/>
      <c r="AD3488" s="39"/>
      <c r="AE3488" s="39"/>
      <c r="AF3488" s="39"/>
      <c r="AG3488" s="39"/>
      <c r="AH3488" s="39"/>
      <c r="AI3488" s="39"/>
      <c r="AJ3488" s="39"/>
      <c r="AK3488" s="39"/>
      <c r="AL3488" s="39"/>
      <c r="AM3488" s="39"/>
      <c r="AN3488" s="39"/>
      <c r="AO3488" s="39"/>
      <c r="AP3488" s="39"/>
      <c r="AQ3488" s="39"/>
      <c r="AR3488" s="39"/>
      <c r="AS3488" s="39"/>
      <c r="AT3488" s="39"/>
      <c r="AU3488" s="39"/>
      <c r="AV3488" s="39"/>
      <c r="AW3488" s="39"/>
      <c r="AX3488" s="39"/>
      <c r="AY3488" s="39"/>
    </row>
    <row r="3489" spans="3:51" s="448" customFormat="1" ht="36" customHeight="1" x14ac:dyDescent="0.45">
      <c r="C3489" s="575"/>
      <c r="D3489" s="616" t="s">
        <v>293</v>
      </c>
      <c r="E3489" s="616"/>
      <c r="F3489" s="616"/>
      <c r="G3489" s="616"/>
      <c r="H3489" s="616"/>
      <c r="I3489" s="616"/>
      <c r="J3489" s="645"/>
      <c r="K3489" s="450"/>
      <c r="L3489" s="451"/>
      <c r="N3489" s="450"/>
      <c r="O3489" s="588">
        <f>TrialBalanceC!I125</f>
        <v>0</v>
      </c>
      <c r="P3489" s="454"/>
      <c r="R3489" s="490" t="str">
        <f t="shared" si="265"/>
        <v>DELETE</v>
      </c>
      <c r="S3489" s="491"/>
      <c r="T3489" s="491"/>
      <c r="U3489" s="491"/>
      <c r="V3489" s="491"/>
      <c r="W3489" s="491"/>
      <c r="X3489" s="491"/>
      <c r="Y3489" s="498"/>
      <c r="Z3489" s="498"/>
      <c r="AA3489" s="492"/>
      <c r="AB3489" s="39"/>
      <c r="AC3489" s="39"/>
      <c r="AD3489" s="39"/>
      <c r="AE3489" s="39"/>
      <c r="AF3489" s="39"/>
      <c r="AG3489" s="39"/>
      <c r="AH3489" s="39"/>
      <c r="AI3489" s="39"/>
      <c r="AJ3489" s="39"/>
      <c r="AK3489" s="39"/>
      <c r="AL3489" s="39"/>
      <c r="AM3489" s="39"/>
      <c r="AN3489" s="39"/>
      <c r="AO3489" s="39"/>
      <c r="AP3489" s="39"/>
      <c r="AQ3489" s="39"/>
      <c r="AR3489" s="39"/>
      <c r="AS3489" s="39"/>
      <c r="AT3489" s="39"/>
      <c r="AU3489" s="39"/>
      <c r="AV3489" s="39"/>
      <c r="AW3489" s="39"/>
      <c r="AX3489" s="39"/>
      <c r="AY3489" s="39"/>
    </row>
    <row r="3490" spans="3:51" s="448" customFormat="1" ht="36" customHeight="1" x14ac:dyDescent="0.45">
      <c r="C3490" s="575"/>
      <c r="D3490" s="616" t="s">
        <v>286</v>
      </c>
      <c r="E3490" s="616"/>
      <c r="F3490" s="616"/>
      <c r="G3490" s="616"/>
      <c r="H3490" s="616"/>
      <c r="I3490" s="616"/>
      <c r="J3490" s="645"/>
      <c r="K3490" s="450"/>
      <c r="L3490" s="451"/>
      <c r="N3490" s="450"/>
      <c r="O3490" s="588">
        <f>SUM(TrialBalanceC!I126:I127)</f>
        <v>0</v>
      </c>
      <c r="P3490" s="454"/>
      <c r="R3490" s="490" t="str">
        <f t="shared" si="265"/>
        <v>DELETE</v>
      </c>
      <c r="S3490" s="491"/>
      <c r="T3490" s="491"/>
      <c r="U3490" s="491"/>
      <c r="V3490" s="491"/>
      <c r="W3490" s="491"/>
      <c r="X3490" s="491"/>
      <c r="Y3490" s="498"/>
      <c r="Z3490" s="498"/>
      <c r="AA3490" s="492"/>
      <c r="AB3490" s="39"/>
      <c r="AC3490" s="39"/>
      <c r="AD3490" s="39"/>
      <c r="AE3490" s="39"/>
      <c r="AF3490" s="39"/>
      <c r="AG3490" s="39"/>
      <c r="AH3490" s="39"/>
      <c r="AI3490" s="39"/>
      <c r="AJ3490" s="39"/>
      <c r="AK3490" s="39"/>
      <c r="AL3490" s="39"/>
      <c r="AM3490" s="39"/>
      <c r="AN3490" s="39"/>
      <c r="AO3490" s="39"/>
      <c r="AP3490" s="39"/>
      <c r="AQ3490" s="39"/>
      <c r="AR3490" s="39"/>
      <c r="AS3490" s="39"/>
      <c r="AT3490" s="39"/>
      <c r="AU3490" s="39"/>
      <c r="AV3490" s="39"/>
      <c r="AW3490" s="39"/>
      <c r="AX3490" s="39"/>
      <c r="AY3490" s="39"/>
    </row>
    <row r="3491" spans="3:51" s="448" customFormat="1" ht="36" customHeight="1" x14ac:dyDescent="0.45">
      <c r="C3491" s="575"/>
      <c r="D3491" s="616" t="s">
        <v>294</v>
      </c>
      <c r="E3491" s="616"/>
      <c r="F3491" s="616"/>
      <c r="G3491" s="616"/>
      <c r="H3491" s="616"/>
      <c r="I3491" s="616"/>
      <c r="J3491" s="645"/>
      <c r="K3491" s="450"/>
      <c r="L3491" s="451"/>
      <c r="N3491" s="450"/>
      <c r="O3491" s="588">
        <f>TrialBalanceC!I128</f>
        <v>0</v>
      </c>
      <c r="P3491" s="454"/>
      <c r="R3491" s="490" t="str">
        <f t="shared" si="265"/>
        <v>DELETE</v>
      </c>
      <c r="S3491" s="491"/>
      <c r="T3491" s="491"/>
      <c r="U3491" s="491"/>
      <c r="V3491" s="491"/>
      <c r="W3491" s="491"/>
      <c r="X3491" s="491"/>
      <c r="Y3491" s="498"/>
      <c r="Z3491" s="498"/>
      <c r="AA3491" s="492"/>
      <c r="AB3491" s="39"/>
      <c r="AC3491" s="39"/>
      <c r="AD3491" s="39"/>
      <c r="AE3491" s="39"/>
      <c r="AF3491" s="39"/>
      <c r="AG3491" s="39"/>
      <c r="AH3491" s="39"/>
      <c r="AI3491" s="39"/>
      <c r="AJ3491" s="39"/>
      <c r="AK3491" s="39"/>
      <c r="AL3491" s="39"/>
      <c r="AM3491" s="39"/>
      <c r="AN3491" s="39"/>
      <c r="AO3491" s="39"/>
      <c r="AP3491" s="39"/>
      <c r="AQ3491" s="39"/>
      <c r="AR3491" s="39"/>
      <c r="AS3491" s="39"/>
      <c r="AT3491" s="39"/>
      <c r="AU3491" s="39"/>
      <c r="AV3491" s="39"/>
      <c r="AW3491" s="39"/>
      <c r="AX3491" s="39"/>
      <c r="AY3491" s="39"/>
    </row>
    <row r="3492" spans="3:51" s="448" customFormat="1" ht="36" customHeight="1" x14ac:dyDescent="0.45">
      <c r="C3492" s="575"/>
      <c r="D3492" s="616" t="s">
        <v>875</v>
      </c>
      <c r="E3492" s="616"/>
      <c r="F3492" s="616"/>
      <c r="G3492" s="616"/>
      <c r="H3492" s="616"/>
      <c r="I3492" s="616"/>
      <c r="J3492" s="645"/>
      <c r="K3492" s="450"/>
      <c r="L3492" s="451"/>
      <c r="N3492" s="450"/>
      <c r="O3492" s="588">
        <f>TrialBalanceC!I129</f>
        <v>0</v>
      </c>
      <c r="P3492" s="454"/>
      <c r="R3492" s="490" t="str">
        <f t="shared" si="265"/>
        <v>DELETE</v>
      </c>
      <c r="S3492" s="491"/>
      <c r="T3492" s="491"/>
      <c r="U3492" s="491"/>
      <c r="V3492" s="491"/>
      <c r="W3492" s="491"/>
      <c r="X3492" s="491"/>
      <c r="Y3492" s="498"/>
      <c r="Z3492" s="498"/>
      <c r="AA3492" s="492"/>
      <c r="AB3492" s="39"/>
      <c r="AC3492" s="39"/>
      <c r="AD3492" s="39"/>
      <c r="AE3492" s="39"/>
      <c r="AF3492" s="39"/>
      <c r="AG3492" s="39"/>
      <c r="AH3492" s="39"/>
      <c r="AI3492" s="39"/>
      <c r="AJ3492" s="39"/>
      <c r="AK3492" s="39"/>
      <c r="AL3492" s="39"/>
      <c r="AM3492" s="39"/>
      <c r="AN3492" s="39"/>
      <c r="AO3492" s="39"/>
      <c r="AP3492" s="39"/>
      <c r="AQ3492" s="39"/>
      <c r="AR3492" s="39"/>
      <c r="AS3492" s="39"/>
      <c r="AT3492" s="39"/>
      <c r="AU3492" s="39"/>
      <c r="AV3492" s="39"/>
      <c r="AW3492" s="39"/>
      <c r="AX3492" s="39"/>
      <c r="AY3492" s="39"/>
    </row>
    <row r="3493" spans="3:51" s="448" customFormat="1" ht="36" customHeight="1" x14ac:dyDescent="0.45">
      <c r="C3493" s="575"/>
      <c r="D3493" s="616" t="s">
        <v>94</v>
      </c>
      <c r="E3493" s="616"/>
      <c r="F3493" s="616"/>
      <c r="G3493" s="616"/>
      <c r="H3493" s="616"/>
      <c r="I3493" s="616"/>
      <c r="J3493" s="645"/>
      <c r="K3493" s="450"/>
      <c r="L3493" s="451"/>
      <c r="N3493" s="450"/>
      <c r="O3493" s="588">
        <f>TrialBalanceC!I130</f>
        <v>0</v>
      </c>
      <c r="P3493" s="454"/>
      <c r="R3493" s="490" t="str">
        <f t="shared" si="265"/>
        <v>DELETE</v>
      </c>
      <c r="S3493" s="491"/>
      <c r="T3493" s="491"/>
      <c r="U3493" s="491"/>
      <c r="V3493" s="491"/>
      <c r="W3493" s="491"/>
      <c r="X3493" s="491"/>
      <c r="Y3493" s="498"/>
      <c r="Z3493" s="498"/>
      <c r="AA3493" s="492"/>
      <c r="AB3493" s="39"/>
      <c r="AC3493" s="39"/>
      <c r="AD3493" s="39"/>
      <c r="AE3493" s="39"/>
      <c r="AF3493" s="39"/>
      <c r="AG3493" s="39"/>
      <c r="AH3493" s="39"/>
      <c r="AI3493" s="39"/>
      <c r="AJ3493" s="39"/>
      <c r="AK3493" s="39"/>
      <c r="AL3493" s="39"/>
      <c r="AM3493" s="39"/>
      <c r="AN3493" s="39"/>
      <c r="AO3493" s="39"/>
      <c r="AP3493" s="39"/>
      <c r="AQ3493" s="39"/>
      <c r="AR3493" s="39"/>
      <c r="AS3493" s="39"/>
      <c r="AT3493" s="39"/>
      <c r="AU3493" s="39"/>
      <c r="AV3493" s="39"/>
      <c r="AW3493" s="39"/>
      <c r="AX3493" s="39"/>
      <c r="AY3493" s="39"/>
    </row>
    <row r="3494" spans="3:51" s="448" customFormat="1" ht="36" customHeight="1" x14ac:dyDescent="0.45">
      <c r="C3494" s="575"/>
      <c r="D3494" s="616">
        <f>TrialBalanceC!C131</f>
        <v>0</v>
      </c>
      <c r="E3494" s="616"/>
      <c r="F3494" s="616"/>
      <c r="G3494" s="616"/>
      <c r="H3494" s="616"/>
      <c r="I3494" s="616"/>
      <c r="J3494" s="645"/>
      <c r="K3494" s="450"/>
      <c r="L3494" s="451"/>
      <c r="N3494" s="450"/>
      <c r="O3494" s="588">
        <f>TrialBalanceC!I131</f>
        <v>0</v>
      </c>
      <c r="P3494" s="454"/>
      <c r="R3494" s="490" t="str">
        <f t="shared" si="265"/>
        <v>DELETE</v>
      </c>
      <c r="S3494" s="491"/>
      <c r="T3494" s="491"/>
      <c r="U3494" s="491"/>
      <c r="V3494" s="491"/>
      <c r="W3494" s="491"/>
      <c r="X3494" s="491"/>
      <c r="Y3494" s="498"/>
      <c r="Z3494" s="498"/>
      <c r="AA3494" s="492"/>
      <c r="AB3494" s="39"/>
      <c r="AC3494" s="39"/>
      <c r="AD3494" s="39"/>
      <c r="AE3494" s="39"/>
      <c r="AF3494" s="39"/>
      <c r="AG3494" s="39"/>
      <c r="AH3494" s="39"/>
      <c r="AI3494" s="39"/>
      <c r="AJ3494" s="39"/>
      <c r="AK3494" s="39"/>
      <c r="AL3494" s="39"/>
      <c r="AM3494" s="39"/>
      <c r="AN3494" s="39"/>
      <c r="AO3494" s="39"/>
      <c r="AP3494" s="39"/>
      <c r="AQ3494" s="39"/>
      <c r="AR3494" s="39"/>
      <c r="AS3494" s="39"/>
      <c r="AT3494" s="39"/>
      <c r="AU3494" s="39"/>
      <c r="AV3494" s="39"/>
      <c r="AW3494" s="39"/>
      <c r="AX3494" s="39"/>
      <c r="AY3494" s="39"/>
    </row>
    <row r="3495" spans="3:51" s="448" customFormat="1" ht="36" customHeight="1" x14ac:dyDescent="0.45">
      <c r="C3495" s="575"/>
      <c r="D3495" s="616">
        <f>TrialBalanceC!C132</f>
        <v>0</v>
      </c>
      <c r="E3495" s="616"/>
      <c r="F3495" s="616"/>
      <c r="G3495" s="616"/>
      <c r="H3495" s="616"/>
      <c r="I3495" s="616"/>
      <c r="J3495" s="645"/>
      <c r="K3495" s="450"/>
      <c r="L3495" s="451"/>
      <c r="N3495" s="450"/>
      <c r="O3495" s="588">
        <f>TrialBalanceC!I132</f>
        <v>0</v>
      </c>
      <c r="P3495" s="454"/>
      <c r="R3495" s="490" t="str">
        <f t="shared" si="265"/>
        <v>DELETE</v>
      </c>
      <c r="S3495" s="491"/>
      <c r="T3495" s="491"/>
      <c r="U3495" s="491"/>
      <c r="V3495" s="491"/>
      <c r="W3495" s="491"/>
      <c r="X3495" s="491"/>
      <c r="Y3495" s="498"/>
      <c r="Z3495" s="498"/>
      <c r="AA3495" s="492"/>
      <c r="AB3495" s="39"/>
      <c r="AC3495" s="39"/>
      <c r="AD3495" s="39"/>
      <c r="AE3495" s="39"/>
      <c r="AF3495" s="39"/>
      <c r="AG3495" s="39"/>
      <c r="AH3495" s="39"/>
      <c r="AI3495" s="39"/>
      <c r="AJ3495" s="39"/>
      <c r="AK3495" s="39"/>
      <c r="AL3495" s="39"/>
      <c r="AM3495" s="39"/>
      <c r="AN3495" s="39"/>
      <c r="AO3495" s="39"/>
      <c r="AP3495" s="39"/>
      <c r="AQ3495" s="39"/>
      <c r="AR3495" s="39"/>
      <c r="AS3495" s="39"/>
      <c r="AT3495" s="39"/>
      <c r="AU3495" s="39"/>
      <c r="AV3495" s="39"/>
      <c r="AW3495" s="39"/>
      <c r="AX3495" s="39"/>
      <c r="AY3495" s="39"/>
    </row>
    <row r="3496" spans="3:51" s="448" customFormat="1" ht="36" customHeight="1" x14ac:dyDescent="0.45">
      <c r="C3496" s="575"/>
      <c r="D3496" s="616">
        <f>TrialBalanceC!C133</f>
        <v>0</v>
      </c>
      <c r="E3496" s="616"/>
      <c r="F3496" s="616"/>
      <c r="G3496" s="616"/>
      <c r="H3496" s="616"/>
      <c r="I3496" s="616"/>
      <c r="J3496" s="645"/>
      <c r="K3496" s="450"/>
      <c r="L3496" s="451"/>
      <c r="N3496" s="450"/>
      <c r="O3496" s="588">
        <f>TrialBalanceC!I133</f>
        <v>0</v>
      </c>
      <c r="P3496" s="454"/>
      <c r="R3496" s="490" t="str">
        <f t="shared" si="265"/>
        <v>DELETE</v>
      </c>
      <c r="S3496" s="491"/>
      <c r="T3496" s="491"/>
      <c r="U3496" s="491"/>
      <c r="V3496" s="491"/>
      <c r="W3496" s="491"/>
      <c r="X3496" s="491"/>
      <c r="Y3496" s="498"/>
      <c r="Z3496" s="498"/>
      <c r="AA3496" s="492"/>
      <c r="AB3496" s="39"/>
      <c r="AC3496" s="39"/>
      <c r="AD3496" s="39"/>
      <c r="AE3496" s="39"/>
      <c r="AF3496" s="39"/>
      <c r="AG3496" s="39"/>
      <c r="AH3496" s="39"/>
      <c r="AI3496" s="39"/>
      <c r="AJ3496" s="39"/>
      <c r="AK3496" s="39"/>
      <c r="AL3496" s="39"/>
      <c r="AM3496" s="39"/>
      <c r="AN3496" s="39"/>
      <c r="AO3496" s="39"/>
      <c r="AP3496" s="39"/>
      <c r="AQ3496" s="39"/>
      <c r="AR3496" s="39"/>
      <c r="AS3496" s="39"/>
      <c r="AT3496" s="39"/>
      <c r="AU3496" s="39"/>
      <c r="AV3496" s="39"/>
      <c r="AW3496" s="39"/>
      <c r="AX3496" s="39"/>
      <c r="AY3496" s="39"/>
    </row>
    <row r="3497" spans="3:51" s="448" customFormat="1" ht="36" customHeight="1" x14ac:dyDescent="0.45">
      <c r="C3497" s="575"/>
      <c r="D3497" s="616">
        <f>TrialBalanceC!C134</f>
        <v>0</v>
      </c>
      <c r="E3497" s="616"/>
      <c r="F3497" s="616"/>
      <c r="G3497" s="616"/>
      <c r="H3497" s="616"/>
      <c r="I3497" s="616"/>
      <c r="J3497" s="645"/>
      <c r="K3497" s="450"/>
      <c r="L3497" s="451"/>
      <c r="N3497" s="450"/>
      <c r="O3497" s="588">
        <f>TrialBalanceC!I134</f>
        <v>0</v>
      </c>
      <c r="P3497" s="454"/>
      <c r="R3497" s="490" t="str">
        <f t="shared" si="265"/>
        <v>DELETE</v>
      </c>
      <c r="S3497" s="491"/>
      <c r="T3497" s="491"/>
      <c r="U3497" s="491"/>
      <c r="V3497" s="491"/>
      <c r="W3497" s="491"/>
      <c r="X3497" s="491"/>
      <c r="Y3497" s="498"/>
      <c r="Z3497" s="498"/>
      <c r="AA3497" s="492"/>
      <c r="AB3497" s="39"/>
      <c r="AC3497" s="39"/>
      <c r="AD3497" s="39"/>
      <c r="AE3497" s="39"/>
      <c r="AF3497" s="39"/>
      <c r="AG3497" s="39"/>
      <c r="AH3497" s="39"/>
      <c r="AI3497" s="39"/>
      <c r="AJ3497" s="39"/>
      <c r="AK3497" s="39"/>
      <c r="AL3497" s="39"/>
      <c r="AM3497" s="39"/>
      <c r="AN3497" s="39"/>
      <c r="AO3497" s="39"/>
      <c r="AP3497" s="39"/>
      <c r="AQ3497" s="39"/>
      <c r="AR3497" s="39"/>
      <c r="AS3497" s="39"/>
      <c r="AT3497" s="39"/>
      <c r="AU3497" s="39"/>
      <c r="AV3497" s="39"/>
      <c r="AW3497" s="39"/>
      <c r="AX3497" s="39"/>
      <c r="AY3497" s="39"/>
    </row>
    <row r="3498" spans="3:51" s="448" customFormat="1" ht="36" customHeight="1" x14ac:dyDescent="0.45">
      <c r="C3498" s="575"/>
      <c r="D3498" s="616">
        <f>TrialBalanceC!C135</f>
        <v>0</v>
      </c>
      <c r="E3498" s="616"/>
      <c r="F3498" s="616"/>
      <c r="G3498" s="616"/>
      <c r="H3498" s="616"/>
      <c r="I3498" s="616"/>
      <c r="J3498" s="645"/>
      <c r="K3498" s="450"/>
      <c r="L3498" s="451"/>
      <c r="N3498" s="450"/>
      <c r="O3498" s="588">
        <f>TrialBalanceC!I135</f>
        <v>0</v>
      </c>
      <c r="P3498" s="454"/>
      <c r="R3498" s="490" t="str">
        <f t="shared" si="265"/>
        <v>DELETE</v>
      </c>
      <c r="S3498" s="491"/>
      <c r="T3498" s="491"/>
      <c r="U3498" s="491"/>
      <c r="V3498" s="491"/>
      <c r="W3498" s="491"/>
      <c r="X3498" s="491"/>
      <c r="Y3498" s="498"/>
      <c r="Z3498" s="498"/>
      <c r="AA3498" s="492"/>
      <c r="AB3498" s="39"/>
      <c r="AC3498" s="39"/>
      <c r="AD3498" s="39"/>
      <c r="AE3498" s="39"/>
      <c r="AF3498" s="39"/>
      <c r="AG3498" s="39"/>
      <c r="AH3498" s="39"/>
      <c r="AI3498" s="39"/>
      <c r="AJ3498" s="39"/>
      <c r="AK3498" s="39"/>
      <c r="AL3498" s="39"/>
      <c r="AM3498" s="39"/>
      <c r="AN3498" s="39"/>
      <c r="AO3498" s="39"/>
      <c r="AP3498" s="39"/>
      <c r="AQ3498" s="39"/>
      <c r="AR3498" s="39"/>
      <c r="AS3498" s="39"/>
      <c r="AT3498" s="39"/>
      <c r="AU3498" s="39"/>
      <c r="AV3498" s="39"/>
      <c r="AW3498" s="39"/>
      <c r="AX3498" s="39"/>
      <c r="AY3498" s="39"/>
    </row>
    <row r="3499" spans="3:51" s="448" customFormat="1" ht="36" customHeight="1" x14ac:dyDescent="0.45">
      <c r="C3499" s="575"/>
      <c r="D3499" s="616">
        <f>TrialBalanceC!C136</f>
        <v>0</v>
      </c>
      <c r="E3499" s="616"/>
      <c r="F3499" s="616"/>
      <c r="G3499" s="616"/>
      <c r="H3499" s="616"/>
      <c r="I3499" s="616"/>
      <c r="J3499" s="645"/>
      <c r="K3499" s="450"/>
      <c r="L3499" s="451"/>
      <c r="N3499" s="450"/>
      <c r="O3499" s="588">
        <f>TrialBalanceC!I136</f>
        <v>0</v>
      </c>
      <c r="P3499" s="454"/>
      <c r="R3499" s="490" t="str">
        <f t="shared" si="265"/>
        <v>DELETE</v>
      </c>
      <c r="S3499" s="491"/>
      <c r="T3499" s="491"/>
      <c r="U3499" s="491"/>
      <c r="V3499" s="491"/>
      <c r="W3499" s="491"/>
      <c r="X3499" s="491"/>
      <c r="Y3499" s="498"/>
      <c r="Z3499" s="498"/>
      <c r="AA3499" s="492"/>
      <c r="AB3499" s="39"/>
      <c r="AC3499" s="39"/>
      <c r="AD3499" s="39"/>
      <c r="AE3499" s="39"/>
      <c r="AF3499" s="39"/>
      <c r="AG3499" s="39"/>
      <c r="AH3499" s="39"/>
      <c r="AI3499" s="39"/>
      <c r="AJ3499" s="39"/>
      <c r="AK3499" s="39"/>
      <c r="AL3499" s="39"/>
      <c r="AM3499" s="39"/>
      <c r="AN3499" s="39"/>
      <c r="AO3499" s="39"/>
      <c r="AP3499" s="39"/>
      <c r="AQ3499" s="39"/>
      <c r="AR3499" s="39"/>
      <c r="AS3499" s="39"/>
      <c r="AT3499" s="39"/>
      <c r="AU3499" s="39"/>
      <c r="AV3499" s="39"/>
      <c r="AW3499" s="39"/>
      <c r="AX3499" s="39"/>
      <c r="AY3499" s="39"/>
    </row>
    <row r="3500" spans="3:51" s="448" customFormat="1" ht="36" customHeight="1" x14ac:dyDescent="0.45">
      <c r="C3500" s="575"/>
      <c r="D3500" s="616">
        <f>TrialBalanceC!C137</f>
        <v>0</v>
      </c>
      <c r="E3500" s="616"/>
      <c r="F3500" s="616"/>
      <c r="G3500" s="616"/>
      <c r="H3500" s="616"/>
      <c r="I3500" s="616"/>
      <c r="J3500" s="645"/>
      <c r="K3500" s="450"/>
      <c r="L3500" s="451"/>
      <c r="N3500" s="450"/>
      <c r="O3500" s="588">
        <f>TrialBalanceC!I137</f>
        <v>0</v>
      </c>
      <c r="P3500" s="454"/>
      <c r="R3500" s="490" t="str">
        <f t="shared" si="265"/>
        <v>DELETE</v>
      </c>
      <c r="S3500" s="491"/>
      <c r="T3500" s="491"/>
      <c r="U3500" s="491"/>
      <c r="V3500" s="491"/>
      <c r="W3500" s="491"/>
      <c r="X3500" s="491"/>
      <c r="Y3500" s="498"/>
      <c r="Z3500" s="498"/>
      <c r="AA3500" s="492"/>
      <c r="AB3500" s="39"/>
      <c r="AC3500" s="39"/>
      <c r="AD3500" s="39"/>
      <c r="AE3500" s="39"/>
      <c r="AF3500" s="39"/>
      <c r="AG3500" s="39"/>
      <c r="AH3500" s="39"/>
      <c r="AI3500" s="39"/>
      <c r="AJ3500" s="39"/>
      <c r="AK3500" s="39"/>
      <c r="AL3500" s="39"/>
      <c r="AM3500" s="39"/>
      <c r="AN3500" s="39"/>
      <c r="AO3500" s="39"/>
      <c r="AP3500" s="39"/>
      <c r="AQ3500" s="39"/>
      <c r="AR3500" s="39"/>
      <c r="AS3500" s="39"/>
      <c r="AT3500" s="39"/>
      <c r="AU3500" s="39"/>
      <c r="AV3500" s="39"/>
      <c r="AW3500" s="39"/>
      <c r="AX3500" s="39"/>
      <c r="AY3500" s="39"/>
    </row>
    <row r="3501" spans="3:51" s="448" customFormat="1" ht="36" customHeight="1" x14ac:dyDescent="0.45">
      <c r="C3501" s="575"/>
      <c r="D3501" s="616">
        <f>TrialBalanceC!C138</f>
        <v>0</v>
      </c>
      <c r="E3501" s="616"/>
      <c r="F3501" s="616"/>
      <c r="G3501" s="616"/>
      <c r="H3501" s="616"/>
      <c r="I3501" s="616"/>
      <c r="J3501" s="645"/>
      <c r="K3501" s="450"/>
      <c r="L3501" s="451"/>
      <c r="N3501" s="450"/>
      <c r="O3501" s="588">
        <f>TrialBalanceC!I138</f>
        <v>0</v>
      </c>
      <c r="P3501" s="454"/>
      <c r="R3501" s="490" t="str">
        <f t="shared" si="265"/>
        <v>DELETE</v>
      </c>
      <c r="S3501" s="491"/>
      <c r="T3501" s="491"/>
      <c r="U3501" s="491"/>
      <c r="V3501" s="491"/>
      <c r="W3501" s="491"/>
      <c r="X3501" s="491"/>
      <c r="Y3501" s="498"/>
      <c r="Z3501" s="498"/>
      <c r="AA3501" s="492"/>
      <c r="AB3501" s="39"/>
      <c r="AC3501" s="39"/>
      <c r="AD3501" s="39"/>
      <c r="AE3501" s="39"/>
      <c r="AF3501" s="39"/>
      <c r="AG3501" s="39"/>
      <c r="AH3501" s="39"/>
      <c r="AI3501" s="39"/>
      <c r="AJ3501" s="39"/>
      <c r="AK3501" s="39"/>
      <c r="AL3501" s="39"/>
      <c r="AM3501" s="39"/>
      <c r="AN3501" s="39"/>
      <c r="AO3501" s="39"/>
      <c r="AP3501" s="39"/>
      <c r="AQ3501" s="39"/>
      <c r="AR3501" s="39"/>
      <c r="AS3501" s="39"/>
      <c r="AT3501" s="39"/>
      <c r="AU3501" s="39"/>
      <c r="AV3501" s="39"/>
      <c r="AW3501" s="39"/>
      <c r="AX3501" s="39"/>
      <c r="AY3501" s="39"/>
    </row>
    <row r="3502" spans="3:51" s="448" customFormat="1" ht="36" customHeight="1" x14ac:dyDescent="0.45">
      <c r="C3502" s="575"/>
      <c r="D3502" s="616">
        <f>TrialBalanceC!C139</f>
        <v>0</v>
      </c>
      <c r="E3502" s="616"/>
      <c r="F3502" s="616"/>
      <c r="G3502" s="616"/>
      <c r="H3502" s="616"/>
      <c r="I3502" s="616"/>
      <c r="J3502" s="645"/>
      <c r="K3502" s="450"/>
      <c r="L3502" s="451"/>
      <c r="N3502" s="450"/>
      <c r="O3502" s="588">
        <f>TrialBalanceC!I139</f>
        <v>0</v>
      </c>
      <c r="P3502" s="454"/>
      <c r="R3502" s="490" t="str">
        <f t="shared" si="265"/>
        <v>DELETE</v>
      </c>
      <c r="S3502" s="491"/>
      <c r="T3502" s="491"/>
      <c r="U3502" s="491"/>
      <c r="V3502" s="491"/>
      <c r="W3502" s="491"/>
      <c r="X3502" s="491"/>
      <c r="Y3502" s="498"/>
      <c r="Z3502" s="498"/>
      <c r="AA3502" s="492"/>
      <c r="AB3502" s="39"/>
      <c r="AC3502" s="39"/>
      <c r="AD3502" s="39"/>
      <c r="AE3502" s="39"/>
      <c r="AF3502" s="39"/>
      <c r="AG3502" s="39"/>
      <c r="AH3502" s="39"/>
      <c r="AI3502" s="39"/>
      <c r="AJ3502" s="39"/>
      <c r="AK3502" s="39"/>
      <c r="AL3502" s="39"/>
      <c r="AM3502" s="39"/>
      <c r="AN3502" s="39"/>
      <c r="AO3502" s="39"/>
      <c r="AP3502" s="39"/>
      <c r="AQ3502" s="39"/>
      <c r="AR3502" s="39"/>
      <c r="AS3502" s="39"/>
      <c r="AT3502" s="39"/>
      <c r="AU3502" s="39"/>
      <c r="AV3502" s="39"/>
      <c r="AW3502" s="39"/>
      <c r="AX3502" s="39"/>
      <c r="AY3502" s="39"/>
    </row>
    <row r="3503" spans="3:51" s="448" customFormat="1" ht="36" customHeight="1" x14ac:dyDescent="0.45">
      <c r="C3503" s="575"/>
      <c r="D3503" s="616" t="str">
        <f>TrialBalanceC!C140</f>
        <v>Amortisation of prepaid lease agreement</v>
      </c>
      <c r="E3503" s="616"/>
      <c r="F3503" s="616"/>
      <c r="G3503" s="616"/>
      <c r="H3503" s="616"/>
      <c r="I3503" s="616"/>
      <c r="J3503" s="645"/>
      <c r="K3503" s="450"/>
      <c r="L3503" s="451"/>
      <c r="N3503" s="450"/>
      <c r="O3503" s="588">
        <f>TrialBalanceC!I140</f>
        <v>0</v>
      </c>
      <c r="P3503" s="454"/>
      <c r="R3503" s="490" t="str">
        <f t="shared" si="265"/>
        <v>DELETE</v>
      </c>
      <c r="S3503" s="491"/>
      <c r="T3503" s="491"/>
      <c r="U3503" s="491"/>
      <c r="V3503" s="491"/>
      <c r="W3503" s="491"/>
      <c r="X3503" s="491"/>
      <c r="Y3503" s="498"/>
      <c r="Z3503" s="498"/>
      <c r="AA3503" s="492"/>
      <c r="AB3503" s="39"/>
      <c r="AC3503" s="39"/>
      <c r="AD3503" s="39"/>
      <c r="AE3503" s="39"/>
      <c r="AF3503" s="39"/>
      <c r="AG3503" s="39"/>
      <c r="AH3503" s="39"/>
      <c r="AI3503" s="39"/>
      <c r="AJ3503" s="39"/>
      <c r="AK3503" s="39"/>
      <c r="AL3503" s="39"/>
      <c r="AM3503" s="39"/>
      <c r="AN3503" s="39"/>
      <c r="AO3503" s="39"/>
      <c r="AP3503" s="39"/>
      <c r="AQ3503" s="39"/>
      <c r="AR3503" s="39"/>
      <c r="AS3503" s="39"/>
      <c r="AT3503" s="39"/>
      <c r="AU3503" s="39"/>
      <c r="AV3503" s="39"/>
      <c r="AW3503" s="39"/>
      <c r="AX3503" s="39"/>
      <c r="AY3503" s="39"/>
    </row>
    <row r="3504" spans="3:51" s="448" customFormat="1" ht="36" customHeight="1" x14ac:dyDescent="0.45">
      <c r="C3504" s="575"/>
      <c r="D3504" s="616" t="str">
        <f>TrialBalanceC!C141</f>
        <v>Amortisation of goodwill</v>
      </c>
      <c r="E3504" s="616"/>
      <c r="F3504" s="616"/>
      <c r="G3504" s="616"/>
      <c r="H3504" s="616"/>
      <c r="I3504" s="616"/>
      <c r="J3504" s="645"/>
      <c r="K3504" s="450"/>
      <c r="L3504" s="451"/>
      <c r="N3504" s="450"/>
      <c r="O3504" s="588">
        <f>TrialBalanceC!I141</f>
        <v>0</v>
      </c>
      <c r="P3504" s="454"/>
      <c r="R3504" s="490" t="str">
        <f t="shared" ref="R3504" si="267">IF(R$3370="DELETE","DELETE",IF(O3504=0,"DELETE"," "))</f>
        <v>DELETE</v>
      </c>
      <c r="S3504" s="491"/>
      <c r="T3504" s="491"/>
      <c r="U3504" s="491"/>
      <c r="V3504" s="491"/>
      <c r="W3504" s="491"/>
      <c r="X3504" s="491"/>
      <c r="Y3504" s="498"/>
      <c r="Z3504" s="498"/>
      <c r="AA3504" s="492"/>
      <c r="AB3504" s="39"/>
      <c r="AC3504" s="39"/>
      <c r="AD3504" s="39"/>
      <c r="AE3504" s="39"/>
      <c r="AF3504" s="39"/>
      <c r="AG3504" s="39"/>
      <c r="AH3504" s="39"/>
      <c r="AI3504" s="39"/>
      <c r="AJ3504" s="39"/>
      <c r="AK3504" s="39"/>
      <c r="AL3504" s="39"/>
      <c r="AM3504" s="39"/>
      <c r="AN3504" s="39"/>
      <c r="AO3504" s="39"/>
      <c r="AP3504" s="39"/>
      <c r="AQ3504" s="39"/>
      <c r="AR3504" s="39"/>
      <c r="AS3504" s="39"/>
      <c r="AT3504" s="39"/>
      <c r="AU3504" s="39"/>
      <c r="AV3504" s="39"/>
      <c r="AW3504" s="39"/>
      <c r="AX3504" s="39"/>
      <c r="AY3504" s="39"/>
    </row>
    <row r="3505" spans="3:51" s="448" customFormat="1" ht="9" customHeight="1" x14ac:dyDescent="0.45">
      <c r="C3505" s="575"/>
      <c r="D3505" s="616"/>
      <c r="E3505" s="616"/>
      <c r="F3505" s="616"/>
      <c r="G3505" s="616"/>
      <c r="H3505" s="616"/>
      <c r="I3505" s="616"/>
      <c r="J3505" s="645"/>
      <c r="K3505" s="450"/>
      <c r="L3505" s="451"/>
      <c r="N3505" s="450"/>
      <c r="O3505" s="589"/>
      <c r="P3505" s="454"/>
      <c r="R3505" s="490" t="str">
        <f>R3469</f>
        <v>DELETE</v>
      </c>
      <c r="S3505" s="491"/>
      <c r="T3505" s="491"/>
      <c r="U3505" s="491"/>
      <c r="V3505" s="491"/>
      <c r="W3505" s="491"/>
      <c r="X3505" s="491"/>
      <c r="Y3505" s="498"/>
      <c r="Z3505" s="498"/>
      <c r="AA3505" s="492"/>
      <c r="AB3505" s="39"/>
      <c r="AC3505" s="39"/>
      <c r="AD3505" s="39"/>
      <c r="AE3505" s="39"/>
      <c r="AF3505" s="39"/>
      <c r="AG3505" s="39"/>
      <c r="AH3505" s="39"/>
      <c r="AI3505" s="39"/>
      <c r="AJ3505" s="39"/>
      <c r="AK3505" s="39"/>
      <c r="AL3505" s="39"/>
      <c r="AM3505" s="39"/>
      <c r="AN3505" s="39"/>
      <c r="AO3505" s="39"/>
      <c r="AP3505" s="39"/>
      <c r="AQ3505" s="39"/>
      <c r="AR3505" s="39"/>
      <c r="AS3505" s="39"/>
      <c r="AT3505" s="39"/>
      <c r="AU3505" s="39"/>
      <c r="AV3505" s="39"/>
      <c r="AW3505" s="39"/>
      <c r="AX3505" s="39"/>
      <c r="AY3505" s="39"/>
    </row>
    <row r="3506" spans="3:51" s="448" customFormat="1" ht="9" customHeight="1" x14ac:dyDescent="0.45">
      <c r="C3506" s="575"/>
      <c r="D3506" s="616"/>
      <c r="E3506" s="616"/>
      <c r="F3506" s="616"/>
      <c r="G3506" s="616"/>
      <c r="H3506" s="616"/>
      <c r="I3506" s="616"/>
      <c r="J3506" s="645"/>
      <c r="K3506" s="450"/>
      <c r="L3506" s="451"/>
      <c r="N3506" s="450"/>
      <c r="O3506" s="461"/>
      <c r="P3506" s="454"/>
      <c r="R3506" s="490" t="str">
        <f t="shared" ref="R3506:R3509" si="268">R$3370</f>
        <v>DELETE</v>
      </c>
      <c r="S3506" s="491"/>
      <c r="T3506" s="491"/>
      <c r="U3506" s="491"/>
      <c r="V3506" s="491"/>
      <c r="W3506" s="491"/>
      <c r="X3506" s="491"/>
      <c r="Y3506" s="498"/>
      <c r="Z3506" s="498"/>
      <c r="AA3506" s="492"/>
      <c r="AB3506" s="39"/>
      <c r="AC3506" s="39"/>
      <c r="AD3506" s="39"/>
      <c r="AE3506" s="39"/>
      <c r="AF3506" s="39"/>
      <c r="AG3506" s="39"/>
      <c r="AH3506" s="39"/>
      <c r="AI3506" s="39"/>
      <c r="AJ3506" s="39"/>
      <c r="AK3506" s="39"/>
      <c r="AL3506" s="39"/>
      <c r="AM3506" s="39"/>
      <c r="AN3506" s="39"/>
      <c r="AO3506" s="39"/>
      <c r="AP3506" s="39"/>
      <c r="AQ3506" s="39"/>
      <c r="AR3506" s="39"/>
      <c r="AS3506" s="39"/>
      <c r="AT3506" s="39"/>
      <c r="AU3506" s="39"/>
      <c r="AV3506" s="39"/>
      <c r="AW3506" s="39"/>
      <c r="AX3506" s="39"/>
      <c r="AY3506" s="39"/>
    </row>
    <row r="3507" spans="3:51" s="448" customFormat="1" ht="9" customHeight="1" x14ac:dyDescent="0.45">
      <c r="C3507" s="575"/>
      <c r="D3507" s="616"/>
      <c r="E3507" s="616"/>
      <c r="F3507" s="616"/>
      <c r="G3507" s="616"/>
      <c r="H3507" s="616"/>
      <c r="I3507" s="616"/>
      <c r="J3507" s="645"/>
      <c r="K3507" s="450"/>
      <c r="L3507" s="451"/>
      <c r="N3507" s="450"/>
      <c r="O3507" s="458"/>
      <c r="P3507" s="454"/>
      <c r="R3507" s="490" t="str">
        <f t="shared" si="268"/>
        <v>DELETE</v>
      </c>
      <c r="S3507" s="491"/>
      <c r="T3507" s="491"/>
      <c r="U3507" s="491"/>
      <c r="V3507" s="491"/>
      <c r="W3507" s="491"/>
      <c r="X3507" s="491"/>
      <c r="Y3507" s="498"/>
      <c r="Z3507" s="498"/>
      <c r="AA3507" s="492"/>
      <c r="AB3507" s="39"/>
      <c r="AC3507" s="39"/>
      <c r="AD3507" s="39"/>
      <c r="AE3507" s="39"/>
      <c r="AF3507" s="39"/>
      <c r="AG3507" s="39"/>
      <c r="AH3507" s="39"/>
      <c r="AI3507" s="39"/>
      <c r="AJ3507" s="39"/>
      <c r="AK3507" s="39"/>
      <c r="AL3507" s="39"/>
      <c r="AM3507" s="39"/>
      <c r="AN3507" s="39"/>
      <c r="AO3507" s="39"/>
      <c r="AP3507" s="39"/>
      <c r="AQ3507" s="39"/>
      <c r="AR3507" s="39"/>
      <c r="AS3507" s="39"/>
      <c r="AT3507" s="39"/>
      <c r="AU3507" s="39"/>
      <c r="AV3507" s="39"/>
      <c r="AW3507" s="39"/>
      <c r="AX3507" s="39"/>
      <c r="AY3507" s="39"/>
    </row>
    <row r="3508" spans="3:51" s="448" customFormat="1" ht="36" customHeight="1" x14ac:dyDescent="0.45">
      <c r="D3508" s="637" t="str">
        <f>IF(O3508&lt;0,"Operating loss for the year","Operating profit for the year")</f>
        <v>Operating profit for the year</v>
      </c>
      <c r="E3508" s="616"/>
      <c r="F3508" s="616"/>
      <c r="G3508" s="616"/>
      <c r="H3508" s="616"/>
      <c r="I3508" s="616"/>
      <c r="J3508" s="645"/>
      <c r="K3508" s="450">
        <f>'FS2'!B1212</f>
        <v>4</v>
      </c>
      <c r="L3508" s="451"/>
      <c r="N3508" s="450"/>
      <c r="O3508" s="458">
        <f>SUM(S3382:S3505)</f>
        <v>0</v>
      </c>
      <c r="P3508" s="454"/>
      <c r="R3508" s="490" t="str">
        <f t="shared" si="268"/>
        <v>DELETE</v>
      </c>
      <c r="S3508" s="491"/>
      <c r="T3508" s="491"/>
      <c r="U3508" s="491"/>
      <c r="V3508" s="491"/>
      <c r="W3508" s="491"/>
      <c r="X3508" s="491"/>
      <c r="Y3508" s="498"/>
      <c r="Z3508" s="498"/>
      <c r="AA3508" s="492"/>
      <c r="AB3508" s="39"/>
      <c r="AC3508" s="39"/>
      <c r="AD3508" s="39"/>
      <c r="AE3508" s="39"/>
      <c r="AF3508" s="39"/>
      <c r="AG3508" s="39"/>
      <c r="AH3508" s="39"/>
      <c r="AI3508" s="39"/>
      <c r="AJ3508" s="39"/>
      <c r="AK3508" s="39"/>
      <c r="AL3508" s="39"/>
      <c r="AM3508" s="39"/>
      <c r="AN3508" s="39"/>
      <c r="AO3508" s="39"/>
      <c r="AP3508" s="39"/>
      <c r="AQ3508" s="39"/>
      <c r="AR3508" s="39"/>
      <c r="AS3508" s="39"/>
      <c r="AT3508" s="39"/>
      <c r="AU3508" s="39"/>
      <c r="AV3508" s="39"/>
      <c r="AW3508" s="39"/>
      <c r="AX3508" s="39"/>
      <c r="AY3508" s="39"/>
    </row>
    <row r="3509" spans="3:51" s="448" customFormat="1" ht="36" customHeight="1" x14ac:dyDescent="0.45">
      <c r="C3509" s="575"/>
      <c r="D3509" s="616"/>
      <c r="E3509" s="616"/>
      <c r="F3509" s="616"/>
      <c r="G3509" s="616"/>
      <c r="H3509" s="616"/>
      <c r="I3509" s="616"/>
      <c r="J3509" s="645"/>
      <c r="K3509" s="450"/>
      <c r="L3509" s="451"/>
      <c r="N3509" s="450"/>
      <c r="O3509" s="458"/>
      <c r="P3509" s="454"/>
      <c r="R3509" s="490" t="str">
        <f t="shared" si="268"/>
        <v>DELETE</v>
      </c>
      <c r="S3509" s="491"/>
      <c r="T3509" s="491"/>
      <c r="U3509" s="491"/>
      <c r="V3509" s="491"/>
      <c r="W3509" s="491"/>
      <c r="X3509" s="491"/>
      <c r="Y3509" s="498"/>
      <c r="Z3509" s="498"/>
      <c r="AA3509" s="492"/>
      <c r="AB3509" s="39"/>
      <c r="AC3509" s="39"/>
      <c r="AD3509" s="39"/>
      <c r="AE3509" s="39"/>
      <c r="AF3509" s="39"/>
      <c r="AG3509" s="39"/>
      <c r="AH3509" s="39"/>
      <c r="AI3509" s="39"/>
      <c r="AJ3509" s="39"/>
      <c r="AK3509" s="39"/>
      <c r="AL3509" s="39"/>
      <c r="AM3509" s="39"/>
      <c r="AN3509" s="39"/>
      <c r="AO3509" s="39"/>
      <c r="AP3509" s="39"/>
      <c r="AQ3509" s="39"/>
      <c r="AR3509" s="39"/>
      <c r="AS3509" s="39"/>
      <c r="AT3509" s="39"/>
      <c r="AU3509" s="39"/>
      <c r="AV3509" s="39"/>
      <c r="AW3509" s="39"/>
      <c r="AX3509" s="39"/>
      <c r="AY3509" s="39"/>
    </row>
    <row r="3510" spans="3:51" s="448" customFormat="1" ht="36" customHeight="1" x14ac:dyDescent="0.45">
      <c r="D3510" s="615" t="s">
        <v>225</v>
      </c>
      <c r="E3510" s="616"/>
      <c r="F3510" s="616"/>
      <c r="G3510" s="616"/>
      <c r="H3510" s="616"/>
      <c r="I3510" s="616"/>
      <c r="J3510" s="645"/>
      <c r="K3510" s="450">
        <f>'FS2'!B1325</f>
        <v>5</v>
      </c>
      <c r="L3510" s="451"/>
      <c r="N3510" s="450"/>
      <c r="O3510" s="458">
        <f>SUM(O3513:O3519)</f>
        <v>0</v>
      </c>
      <c r="P3510" s="454"/>
      <c r="R3510" s="490" t="str">
        <f t="shared" ref="R3510" si="269">IF(R$3370="DELETE","DELETE",IF(O3510=0,"DELETE"," "))</f>
        <v>DELETE</v>
      </c>
      <c r="S3510" s="495">
        <f>O3510</f>
        <v>0</v>
      </c>
      <c r="T3510" s="495"/>
      <c r="U3510" s="495"/>
      <c r="V3510" s="495"/>
      <c r="W3510" s="491"/>
      <c r="X3510" s="491"/>
      <c r="Y3510" s="498"/>
      <c r="Z3510" s="498"/>
      <c r="AA3510" s="492"/>
      <c r="AB3510" s="39"/>
      <c r="AC3510" s="39"/>
      <c r="AD3510" s="39"/>
      <c r="AE3510" s="39"/>
      <c r="AF3510" s="39"/>
      <c r="AG3510" s="39"/>
      <c r="AH3510" s="39"/>
      <c r="AI3510" s="39"/>
      <c r="AJ3510" s="39"/>
      <c r="AK3510" s="39"/>
      <c r="AL3510" s="39"/>
      <c r="AM3510" s="39"/>
      <c r="AN3510" s="39"/>
      <c r="AO3510" s="39"/>
      <c r="AP3510" s="39"/>
      <c r="AQ3510" s="39"/>
      <c r="AR3510" s="39"/>
      <c r="AS3510" s="39"/>
      <c r="AT3510" s="39"/>
      <c r="AU3510" s="39"/>
      <c r="AV3510" s="39"/>
      <c r="AW3510" s="39"/>
      <c r="AX3510" s="39"/>
      <c r="AY3510" s="39"/>
    </row>
    <row r="3511" spans="3:51" s="448" customFormat="1" ht="9" customHeight="1" x14ac:dyDescent="0.45">
      <c r="C3511" s="575"/>
      <c r="D3511" s="616"/>
      <c r="E3511" s="616"/>
      <c r="F3511" s="616"/>
      <c r="G3511" s="616"/>
      <c r="H3511" s="616"/>
      <c r="I3511" s="616"/>
      <c r="J3511" s="645"/>
      <c r="K3511" s="450"/>
      <c r="L3511" s="451"/>
      <c r="N3511" s="450"/>
      <c r="O3511" s="458"/>
      <c r="P3511" s="454"/>
      <c r="R3511" s="490" t="str">
        <f>R3510</f>
        <v>DELETE</v>
      </c>
      <c r="S3511" s="491"/>
      <c r="T3511" s="491"/>
      <c r="U3511" s="491"/>
      <c r="V3511" s="491"/>
      <c r="W3511" s="491"/>
      <c r="X3511" s="491"/>
      <c r="Y3511" s="498"/>
      <c r="Z3511" s="498"/>
      <c r="AA3511" s="492"/>
      <c r="AB3511" s="39"/>
      <c r="AC3511" s="39"/>
      <c r="AD3511" s="39"/>
      <c r="AE3511" s="39"/>
      <c r="AF3511" s="39"/>
      <c r="AG3511" s="39"/>
      <c r="AH3511" s="39"/>
      <c r="AI3511" s="39"/>
      <c r="AJ3511" s="39"/>
      <c r="AK3511" s="39"/>
      <c r="AL3511" s="39"/>
      <c r="AM3511" s="39"/>
      <c r="AN3511" s="39"/>
      <c r="AO3511" s="39"/>
      <c r="AP3511" s="39"/>
      <c r="AQ3511" s="39"/>
      <c r="AR3511" s="39"/>
      <c r="AS3511" s="39"/>
      <c r="AT3511" s="39"/>
      <c r="AU3511" s="39"/>
      <c r="AV3511" s="39"/>
      <c r="AW3511" s="39"/>
      <c r="AX3511" s="39"/>
      <c r="AY3511" s="39"/>
    </row>
    <row r="3512" spans="3:51" s="448" customFormat="1" ht="9" customHeight="1" x14ac:dyDescent="0.45">
      <c r="C3512" s="575"/>
      <c r="D3512" s="616"/>
      <c r="E3512" s="616"/>
      <c r="F3512" s="616"/>
      <c r="G3512" s="616"/>
      <c r="H3512" s="616"/>
      <c r="I3512" s="616"/>
      <c r="J3512" s="645"/>
      <c r="K3512" s="450"/>
      <c r="L3512" s="451"/>
      <c r="N3512" s="450"/>
      <c r="O3512" s="587"/>
      <c r="P3512" s="454"/>
      <c r="R3512" s="490" t="str">
        <f>R3511</f>
        <v>DELETE</v>
      </c>
      <c r="S3512" s="491"/>
      <c r="T3512" s="491"/>
      <c r="U3512" s="491"/>
      <c r="V3512" s="491"/>
      <c r="W3512" s="491"/>
      <c r="X3512" s="491"/>
      <c r="Y3512" s="498"/>
      <c r="Z3512" s="498"/>
      <c r="AA3512" s="492"/>
      <c r="AB3512" s="39"/>
      <c r="AC3512" s="39"/>
      <c r="AD3512" s="39"/>
      <c r="AE3512" s="39"/>
      <c r="AF3512" s="39"/>
      <c r="AG3512" s="39"/>
      <c r="AH3512" s="39"/>
      <c r="AI3512" s="39"/>
      <c r="AJ3512" s="39"/>
      <c r="AK3512" s="39"/>
      <c r="AL3512" s="39"/>
      <c r="AM3512" s="39"/>
      <c r="AN3512" s="39"/>
      <c r="AO3512" s="39"/>
      <c r="AP3512" s="39"/>
      <c r="AQ3512" s="39"/>
      <c r="AR3512" s="39"/>
      <c r="AS3512" s="39"/>
      <c r="AT3512" s="39"/>
      <c r="AU3512" s="39"/>
      <c r="AV3512" s="39"/>
      <c r="AW3512" s="39"/>
      <c r="AX3512" s="39"/>
      <c r="AY3512" s="39"/>
    </row>
    <row r="3513" spans="3:51" s="448" customFormat="1" ht="36" customHeight="1" x14ac:dyDescent="0.45">
      <c r="C3513" s="575"/>
      <c r="D3513" s="616" t="s">
        <v>223</v>
      </c>
      <c r="E3513" s="616"/>
      <c r="F3513" s="616"/>
      <c r="G3513" s="616"/>
      <c r="H3513" s="616"/>
      <c r="I3513" s="616"/>
      <c r="J3513" s="645"/>
      <c r="K3513" s="450"/>
      <c r="L3513" s="451"/>
      <c r="N3513" s="450"/>
      <c r="O3513" s="588">
        <f>-TrialBalanceC!I95</f>
        <v>0</v>
      </c>
      <c r="P3513" s="454"/>
      <c r="R3513" s="490" t="str">
        <f t="shared" ref="R3513:R3518" si="270">IF(R$3370="DELETE","DELETE",IF(O3513=0,"DELETE"," "))</f>
        <v>DELETE</v>
      </c>
      <c r="S3513" s="491"/>
      <c r="T3513" s="491"/>
      <c r="U3513" s="491"/>
      <c r="V3513" s="491"/>
      <c r="W3513" s="491"/>
      <c r="X3513" s="491"/>
      <c r="Y3513" s="498"/>
      <c r="Z3513" s="498"/>
      <c r="AA3513" s="492"/>
      <c r="AB3513" s="39"/>
      <c r="AC3513" s="39"/>
      <c r="AD3513" s="39"/>
      <c r="AE3513" s="39"/>
      <c r="AF3513" s="39"/>
      <c r="AG3513" s="39"/>
      <c r="AH3513" s="39"/>
      <c r="AI3513" s="39"/>
      <c r="AJ3513" s="39"/>
      <c r="AK3513" s="39"/>
      <c r="AL3513" s="39"/>
      <c r="AM3513" s="39"/>
      <c r="AN3513" s="39"/>
      <c r="AO3513" s="39"/>
      <c r="AP3513" s="39"/>
      <c r="AQ3513" s="39"/>
      <c r="AR3513" s="39"/>
      <c r="AS3513" s="39"/>
      <c r="AT3513" s="39"/>
      <c r="AU3513" s="39"/>
      <c r="AV3513" s="39"/>
      <c r="AW3513" s="39"/>
      <c r="AX3513" s="39"/>
      <c r="AY3513" s="39"/>
    </row>
    <row r="3514" spans="3:51" s="448" customFormat="1" ht="36" customHeight="1" x14ac:dyDescent="0.45">
      <c r="C3514" s="575"/>
      <c r="D3514" s="616" t="s">
        <v>567</v>
      </c>
      <c r="E3514" s="616"/>
      <c r="F3514" s="616"/>
      <c r="G3514" s="616"/>
      <c r="H3514" s="616"/>
      <c r="I3514" s="616"/>
      <c r="J3514" s="645"/>
      <c r="K3514" s="450"/>
      <c r="L3514" s="451"/>
      <c r="N3514" s="450"/>
      <c r="O3514" s="588">
        <f>-SUM(TrialBalanceC!I91:I93)</f>
        <v>0</v>
      </c>
      <c r="P3514" s="454"/>
      <c r="R3514" s="490" t="str">
        <f t="shared" si="270"/>
        <v>DELETE</v>
      </c>
      <c r="S3514" s="491"/>
      <c r="T3514" s="491"/>
      <c r="U3514" s="491"/>
      <c r="V3514" s="491"/>
      <c r="W3514" s="491"/>
      <c r="X3514" s="491"/>
      <c r="Y3514" s="498"/>
      <c r="Z3514" s="498"/>
      <c r="AA3514" s="492"/>
      <c r="AB3514" s="39"/>
      <c r="AC3514" s="39"/>
      <c r="AD3514" s="39"/>
      <c r="AE3514" s="39"/>
      <c r="AF3514" s="39"/>
      <c r="AG3514" s="39"/>
      <c r="AH3514" s="39"/>
      <c r="AI3514" s="39"/>
      <c r="AJ3514" s="39"/>
      <c r="AK3514" s="39"/>
      <c r="AL3514" s="39"/>
      <c r="AM3514" s="39"/>
      <c r="AN3514" s="39"/>
      <c r="AO3514" s="39"/>
      <c r="AP3514" s="39"/>
      <c r="AQ3514" s="39"/>
      <c r="AR3514" s="39"/>
      <c r="AS3514" s="39"/>
      <c r="AT3514" s="39"/>
      <c r="AU3514" s="39"/>
      <c r="AV3514" s="39"/>
      <c r="AW3514" s="39"/>
      <c r="AX3514" s="39"/>
      <c r="AY3514" s="39"/>
    </row>
    <row r="3515" spans="3:51" s="448" customFormat="1" ht="36" customHeight="1" x14ac:dyDescent="0.45">
      <c r="C3515" s="575"/>
      <c r="D3515" s="616" t="s">
        <v>568</v>
      </c>
      <c r="E3515" s="616"/>
      <c r="F3515" s="616"/>
      <c r="G3515" s="616"/>
      <c r="H3515" s="616"/>
      <c r="I3515" s="616"/>
      <c r="J3515" s="645"/>
      <c r="K3515" s="450"/>
      <c r="L3515" s="451"/>
      <c r="N3515" s="450"/>
      <c r="O3515" s="604">
        <f>-SUM(TrialBalanceC!I86:I89)</f>
        <v>0</v>
      </c>
      <c r="P3515" s="454"/>
      <c r="R3515" s="490" t="str">
        <f t="shared" si="270"/>
        <v>DELETE</v>
      </c>
      <c r="S3515" s="491"/>
      <c r="T3515" s="491"/>
      <c r="U3515" s="491"/>
      <c r="V3515" s="491"/>
      <c r="W3515" s="491"/>
      <c r="X3515" s="491"/>
      <c r="Y3515" s="498"/>
      <c r="Z3515" s="498"/>
      <c r="AA3515" s="492"/>
      <c r="AB3515" s="39"/>
      <c r="AC3515" s="39"/>
      <c r="AD3515" s="39"/>
      <c r="AE3515" s="39"/>
      <c r="AF3515" s="39"/>
      <c r="AG3515" s="39"/>
      <c r="AH3515" s="39"/>
      <c r="AI3515" s="39"/>
      <c r="AJ3515" s="39"/>
      <c r="AK3515" s="39"/>
      <c r="AL3515" s="39"/>
      <c r="AM3515" s="39"/>
      <c r="AN3515" s="39"/>
      <c r="AO3515" s="39"/>
      <c r="AP3515" s="39"/>
      <c r="AQ3515" s="39"/>
      <c r="AR3515" s="39"/>
      <c r="AS3515" s="39"/>
      <c r="AT3515" s="39"/>
      <c r="AU3515" s="39"/>
      <c r="AV3515" s="39"/>
      <c r="AW3515" s="39"/>
      <c r="AX3515" s="39"/>
      <c r="AY3515" s="39"/>
    </row>
    <row r="3516" spans="3:51" s="448" customFormat="1" ht="36" customHeight="1" x14ac:dyDescent="0.45">
      <c r="C3516" s="575"/>
      <c r="D3516" s="616" t="s">
        <v>225</v>
      </c>
      <c r="E3516" s="616"/>
      <c r="F3516" s="616"/>
      <c r="G3516" s="616"/>
      <c r="H3516" s="616"/>
      <c r="I3516" s="616"/>
      <c r="J3516" s="645"/>
      <c r="K3516" s="450"/>
      <c r="L3516" s="451"/>
      <c r="N3516" s="450"/>
      <c r="O3516" s="604">
        <f>-SUM(TrialBalanceC!I96)</f>
        <v>0</v>
      </c>
      <c r="P3516" s="454"/>
      <c r="R3516" s="490" t="str">
        <f t="shared" si="270"/>
        <v>DELETE</v>
      </c>
      <c r="S3516" s="491"/>
      <c r="T3516" s="491"/>
      <c r="U3516" s="491"/>
      <c r="V3516" s="491"/>
      <c r="W3516" s="491"/>
      <c r="X3516" s="491"/>
      <c r="Y3516" s="498"/>
      <c r="Z3516" s="498"/>
      <c r="AA3516" s="492"/>
      <c r="AB3516" s="39"/>
      <c r="AC3516" s="39"/>
      <c r="AD3516" s="39"/>
      <c r="AE3516" s="39"/>
      <c r="AF3516" s="39"/>
      <c r="AG3516" s="39"/>
      <c r="AH3516" s="39"/>
      <c r="AI3516" s="39"/>
      <c r="AJ3516" s="39"/>
      <c r="AK3516" s="39"/>
      <c r="AL3516" s="39"/>
      <c r="AM3516" s="39"/>
      <c r="AN3516" s="39"/>
      <c r="AO3516" s="39"/>
      <c r="AP3516" s="39"/>
      <c r="AQ3516" s="39"/>
      <c r="AR3516" s="39"/>
      <c r="AS3516" s="39"/>
      <c r="AT3516" s="39"/>
      <c r="AU3516" s="39"/>
      <c r="AV3516" s="39"/>
      <c r="AW3516" s="39"/>
      <c r="AX3516" s="39"/>
      <c r="AY3516" s="39"/>
    </row>
    <row r="3517" spans="3:51" s="448" customFormat="1" ht="36" customHeight="1" x14ac:dyDescent="0.45">
      <c r="C3517" s="575"/>
      <c r="D3517" s="616" t="s">
        <v>589</v>
      </c>
      <c r="E3517" s="616"/>
      <c r="F3517" s="616"/>
      <c r="G3517" s="616"/>
      <c r="H3517" s="616"/>
      <c r="I3517" s="616"/>
      <c r="J3517" s="645"/>
      <c r="K3517" s="450"/>
      <c r="L3517" s="451"/>
      <c r="N3517" s="450"/>
      <c r="O3517" s="588">
        <f>IF(TrialBalanceC!I94&lt;0,-TrialBalanceC!I94,0)</f>
        <v>0</v>
      </c>
      <c r="P3517" s="454"/>
      <c r="R3517" s="490" t="str">
        <f t="shared" si="270"/>
        <v>DELETE</v>
      </c>
      <c r="S3517" s="491"/>
      <c r="T3517" s="491"/>
      <c r="U3517" s="491"/>
      <c r="V3517" s="491"/>
      <c r="W3517" s="491"/>
      <c r="X3517" s="491"/>
      <c r="Y3517" s="498"/>
      <c r="Z3517" s="498"/>
      <c r="AA3517" s="492"/>
      <c r="AB3517" s="39"/>
      <c r="AC3517" s="39"/>
      <c r="AD3517" s="39"/>
      <c r="AE3517" s="39"/>
      <c r="AF3517" s="39"/>
      <c r="AG3517" s="39"/>
      <c r="AH3517" s="39"/>
      <c r="AI3517" s="39"/>
      <c r="AJ3517" s="39"/>
      <c r="AK3517" s="39"/>
      <c r="AL3517" s="39"/>
      <c r="AM3517" s="39"/>
      <c r="AN3517" s="39"/>
      <c r="AO3517" s="39"/>
      <c r="AP3517" s="39"/>
      <c r="AQ3517" s="39"/>
      <c r="AR3517" s="39"/>
      <c r="AS3517" s="39"/>
      <c r="AT3517" s="39"/>
      <c r="AU3517" s="39"/>
      <c r="AV3517" s="39"/>
      <c r="AW3517" s="39"/>
      <c r="AX3517" s="39"/>
      <c r="AY3517" s="39"/>
    </row>
    <row r="3518" spans="3:51" s="448" customFormat="1" ht="36" customHeight="1" x14ac:dyDescent="0.45">
      <c r="C3518" s="575"/>
      <c r="D3518" s="616" t="s">
        <v>398</v>
      </c>
      <c r="E3518" s="616"/>
      <c r="F3518" s="616"/>
      <c r="G3518" s="616"/>
      <c r="H3518" s="616"/>
      <c r="I3518" s="616"/>
      <c r="J3518" s="645"/>
      <c r="K3518" s="450"/>
      <c r="L3518" s="451"/>
      <c r="N3518" s="450"/>
      <c r="O3518" s="588">
        <f>-TrialBalanceC!I84</f>
        <v>0</v>
      </c>
      <c r="P3518" s="454"/>
      <c r="R3518" s="490" t="str">
        <f t="shared" si="270"/>
        <v>DELETE</v>
      </c>
      <c r="S3518" s="491"/>
      <c r="T3518" s="491"/>
      <c r="U3518" s="491"/>
      <c r="V3518" s="491"/>
      <c r="W3518" s="491"/>
      <c r="X3518" s="491"/>
      <c r="Y3518" s="498"/>
      <c r="Z3518" s="498"/>
      <c r="AA3518" s="492"/>
      <c r="AB3518" s="39"/>
      <c r="AC3518" s="39"/>
      <c r="AD3518" s="39"/>
      <c r="AE3518" s="39"/>
      <c r="AF3518" s="39"/>
      <c r="AG3518" s="39"/>
      <c r="AH3518" s="39"/>
      <c r="AI3518" s="39"/>
      <c r="AJ3518" s="39"/>
      <c r="AK3518" s="39"/>
      <c r="AL3518" s="39"/>
      <c r="AM3518" s="39"/>
      <c r="AN3518" s="39"/>
      <c r="AO3518" s="39"/>
      <c r="AP3518" s="39"/>
      <c r="AQ3518" s="39"/>
      <c r="AR3518" s="39"/>
      <c r="AS3518" s="39"/>
      <c r="AT3518" s="39"/>
      <c r="AU3518" s="39"/>
      <c r="AV3518" s="39"/>
      <c r="AW3518" s="39"/>
      <c r="AX3518" s="39"/>
      <c r="AY3518" s="39"/>
    </row>
    <row r="3519" spans="3:51" s="448" customFormat="1" ht="9" customHeight="1" x14ac:dyDescent="0.45">
      <c r="C3519" s="575"/>
      <c r="D3519" s="616"/>
      <c r="E3519" s="616"/>
      <c r="F3519" s="616"/>
      <c r="G3519" s="616"/>
      <c r="H3519" s="616"/>
      <c r="I3519" s="616"/>
      <c r="J3519" s="645"/>
      <c r="K3519" s="450"/>
      <c r="L3519" s="451"/>
      <c r="N3519" s="450"/>
      <c r="O3519" s="589"/>
      <c r="P3519" s="454"/>
      <c r="R3519" s="490" t="str">
        <f>R3510</f>
        <v>DELETE</v>
      </c>
      <c r="S3519" s="491"/>
      <c r="T3519" s="491"/>
      <c r="U3519" s="491"/>
      <c r="V3519" s="491"/>
      <c r="W3519" s="491"/>
      <c r="X3519" s="491"/>
      <c r="Y3519" s="498"/>
      <c r="Z3519" s="498"/>
      <c r="AA3519" s="492"/>
      <c r="AB3519" s="39"/>
      <c r="AC3519" s="39"/>
      <c r="AD3519" s="39"/>
      <c r="AE3519" s="39"/>
      <c r="AF3519" s="39"/>
      <c r="AG3519" s="39"/>
      <c r="AH3519" s="39"/>
      <c r="AI3519" s="39"/>
      <c r="AJ3519" s="39"/>
      <c r="AK3519" s="39"/>
      <c r="AL3519" s="39"/>
      <c r="AM3519" s="39"/>
      <c r="AN3519" s="39"/>
      <c r="AO3519" s="39"/>
      <c r="AP3519" s="39"/>
      <c r="AQ3519" s="39"/>
      <c r="AR3519" s="39"/>
      <c r="AS3519" s="39"/>
      <c r="AT3519" s="39"/>
      <c r="AU3519" s="39"/>
      <c r="AV3519" s="39"/>
      <c r="AW3519" s="39"/>
      <c r="AX3519" s="39"/>
      <c r="AY3519" s="39"/>
    </row>
    <row r="3520" spans="3:51" s="448" customFormat="1" ht="9" customHeight="1" x14ac:dyDescent="0.45">
      <c r="C3520" s="575"/>
      <c r="D3520" s="616"/>
      <c r="E3520" s="616"/>
      <c r="F3520" s="616"/>
      <c r="G3520" s="616"/>
      <c r="H3520" s="616"/>
      <c r="I3520" s="616"/>
      <c r="J3520" s="645"/>
      <c r="K3520" s="450"/>
      <c r="L3520" s="451"/>
      <c r="N3520" s="450"/>
      <c r="O3520" s="461"/>
      <c r="P3520" s="454"/>
      <c r="R3520" s="490" t="str">
        <f>R$3522</f>
        <v>DELETE</v>
      </c>
      <c r="S3520" s="491"/>
      <c r="T3520" s="491"/>
      <c r="U3520" s="491"/>
      <c r="V3520" s="491"/>
      <c r="W3520" s="491"/>
      <c r="X3520" s="491"/>
      <c r="Y3520" s="498"/>
      <c r="Z3520" s="498"/>
      <c r="AA3520" s="492"/>
      <c r="AB3520" s="39"/>
      <c r="AC3520" s="39"/>
      <c r="AD3520" s="39"/>
      <c r="AE3520" s="39"/>
      <c r="AF3520" s="39"/>
      <c r="AG3520" s="39"/>
      <c r="AH3520" s="39"/>
      <c r="AI3520" s="39"/>
      <c r="AJ3520" s="39"/>
      <c r="AK3520" s="39"/>
      <c r="AL3520" s="39"/>
      <c r="AM3520" s="39"/>
      <c r="AN3520" s="39"/>
      <c r="AO3520" s="39"/>
      <c r="AP3520" s="39"/>
      <c r="AQ3520" s="39"/>
      <c r="AR3520" s="39"/>
      <c r="AS3520" s="39"/>
      <c r="AT3520" s="39"/>
      <c r="AU3520" s="39"/>
      <c r="AV3520" s="39"/>
      <c r="AW3520" s="39"/>
      <c r="AX3520" s="39"/>
      <c r="AY3520" s="39"/>
    </row>
    <row r="3521" spans="3:51" s="448" customFormat="1" ht="9" customHeight="1" x14ac:dyDescent="0.45">
      <c r="C3521" s="575"/>
      <c r="D3521" s="616"/>
      <c r="E3521" s="616"/>
      <c r="F3521" s="616"/>
      <c r="G3521" s="616"/>
      <c r="H3521" s="616"/>
      <c r="I3521" s="616"/>
      <c r="J3521" s="645"/>
      <c r="K3521" s="450"/>
      <c r="L3521" s="451"/>
      <c r="N3521" s="450"/>
      <c r="O3521" s="458"/>
      <c r="P3521" s="454"/>
      <c r="R3521" s="490" t="str">
        <f>R$3522</f>
        <v>DELETE</v>
      </c>
      <c r="S3521" s="491"/>
      <c r="T3521" s="491"/>
      <c r="U3521" s="491"/>
      <c r="V3521" s="491"/>
      <c r="W3521" s="491"/>
      <c r="X3521" s="491"/>
      <c r="Y3521" s="498"/>
      <c r="Z3521" s="498"/>
      <c r="AA3521" s="492"/>
      <c r="AB3521" s="39"/>
      <c r="AC3521" s="39"/>
      <c r="AD3521" s="39"/>
      <c r="AE3521" s="39"/>
      <c r="AF3521" s="39"/>
      <c r="AG3521" s="39"/>
      <c r="AH3521" s="39"/>
      <c r="AI3521" s="39"/>
      <c r="AJ3521" s="39"/>
      <c r="AK3521" s="39"/>
      <c r="AL3521" s="39"/>
      <c r="AM3521" s="39"/>
      <c r="AN3521" s="39"/>
      <c r="AO3521" s="39"/>
      <c r="AP3521" s="39"/>
      <c r="AQ3521" s="39"/>
      <c r="AR3521" s="39"/>
      <c r="AS3521" s="39"/>
      <c r="AT3521" s="39"/>
      <c r="AU3521" s="39"/>
      <c r="AV3521" s="39"/>
      <c r="AW3521" s="39"/>
      <c r="AX3521" s="39"/>
      <c r="AY3521" s="39"/>
    </row>
    <row r="3522" spans="3:51" s="448" customFormat="1" ht="36" customHeight="1" x14ac:dyDescent="0.45">
      <c r="C3522" s="575"/>
      <c r="D3522" s="616"/>
      <c r="E3522" s="616"/>
      <c r="F3522" s="616"/>
      <c r="G3522" s="616"/>
      <c r="H3522" s="616"/>
      <c r="I3522" s="616"/>
      <c r="J3522" s="645"/>
      <c r="K3522" s="450"/>
      <c r="L3522" s="451"/>
      <c r="N3522" s="450"/>
      <c r="O3522" s="458">
        <f>SUM(S3382:S3519)</f>
        <v>0</v>
      </c>
      <c r="P3522" s="454"/>
      <c r="R3522" s="490" t="str">
        <f>IF(R$3370="DELETE","DELETE",IF(O3510=0,"DELETE",IF(O3522=O3527,"DELETE"," ")))</f>
        <v>DELETE</v>
      </c>
      <c r="S3522" s="491"/>
      <c r="T3522" s="491"/>
      <c r="U3522" s="491"/>
      <c r="V3522" s="491"/>
      <c r="W3522" s="491"/>
      <c r="X3522" s="491"/>
      <c r="Y3522" s="498"/>
      <c r="Z3522" s="498"/>
      <c r="AA3522" s="492"/>
      <c r="AB3522" s="39"/>
      <c r="AC3522" s="39"/>
      <c r="AD3522" s="39"/>
      <c r="AE3522" s="39"/>
      <c r="AF3522" s="39"/>
      <c r="AG3522" s="39"/>
      <c r="AH3522" s="39"/>
      <c r="AI3522" s="39"/>
      <c r="AJ3522" s="39"/>
      <c r="AK3522" s="39"/>
      <c r="AL3522" s="39"/>
      <c r="AM3522" s="39"/>
      <c r="AN3522" s="39"/>
      <c r="AO3522" s="39"/>
      <c r="AP3522" s="39"/>
      <c r="AQ3522" s="39"/>
      <c r="AR3522" s="39"/>
      <c r="AS3522" s="39"/>
      <c r="AT3522" s="39"/>
      <c r="AU3522" s="39"/>
      <c r="AV3522" s="39"/>
      <c r="AW3522" s="39"/>
      <c r="AX3522" s="39"/>
      <c r="AY3522" s="39"/>
    </row>
    <row r="3523" spans="3:51" s="448" customFormat="1" ht="36" customHeight="1" x14ac:dyDescent="0.45">
      <c r="C3523" s="575"/>
      <c r="D3523" s="616"/>
      <c r="E3523" s="616"/>
      <c r="F3523" s="616"/>
      <c r="G3523" s="616"/>
      <c r="H3523" s="616"/>
      <c r="I3523" s="616"/>
      <c r="J3523" s="645"/>
      <c r="K3523" s="450"/>
      <c r="L3523" s="451"/>
      <c r="N3523" s="450"/>
      <c r="O3523" s="458"/>
      <c r="P3523" s="454"/>
      <c r="R3523" s="490" t="str">
        <f>R3522</f>
        <v>DELETE</v>
      </c>
      <c r="S3523" s="491"/>
      <c r="T3523" s="491"/>
      <c r="U3523" s="491"/>
      <c r="V3523" s="491"/>
      <c r="W3523" s="491"/>
      <c r="X3523" s="491"/>
      <c r="Y3523" s="498"/>
      <c r="Z3523" s="498"/>
      <c r="AA3523" s="492"/>
      <c r="AB3523" s="39"/>
      <c r="AC3523" s="39"/>
      <c r="AD3523" s="39"/>
      <c r="AE3523" s="39"/>
      <c r="AF3523" s="39"/>
      <c r="AG3523" s="39"/>
      <c r="AH3523" s="39"/>
      <c r="AI3523" s="39"/>
      <c r="AJ3523" s="39"/>
      <c r="AK3523" s="39"/>
      <c r="AL3523" s="39"/>
      <c r="AM3523" s="39"/>
      <c r="AN3523" s="39"/>
      <c r="AO3523" s="39"/>
      <c r="AP3523" s="39"/>
      <c r="AQ3523" s="39"/>
      <c r="AR3523" s="39"/>
      <c r="AS3523" s="39"/>
      <c r="AT3523" s="39"/>
      <c r="AU3523" s="39"/>
      <c r="AV3523" s="39"/>
      <c r="AW3523" s="39"/>
      <c r="AX3523" s="39"/>
      <c r="AY3523" s="39"/>
    </row>
    <row r="3524" spans="3:51" s="448" customFormat="1" ht="36" customHeight="1" x14ac:dyDescent="0.45">
      <c r="D3524" s="616" t="s">
        <v>1534</v>
      </c>
      <c r="E3524" s="616"/>
      <c r="F3524" s="616"/>
      <c r="G3524" s="616"/>
      <c r="H3524" s="616"/>
      <c r="I3524" s="616"/>
      <c r="J3524" s="645"/>
      <c r="K3524" s="450">
        <f>'FS2'!B1384</f>
        <v>6</v>
      </c>
      <c r="L3524" s="451"/>
      <c r="N3524" s="450"/>
      <c r="O3524" s="458">
        <f>SUM(TrialBalanceC!I144:I154)</f>
        <v>0</v>
      </c>
      <c r="P3524" s="454"/>
      <c r="R3524" s="490" t="str">
        <f t="shared" ref="R3524" si="271">IF(R$3370="DELETE","DELETE",IF(O3524=0,"DELETE"," "))</f>
        <v>DELETE</v>
      </c>
      <c r="S3524" s="495">
        <f>-O3524</f>
        <v>0</v>
      </c>
      <c r="T3524" s="495"/>
      <c r="U3524" s="495"/>
      <c r="V3524" s="495"/>
      <c r="W3524" s="491"/>
      <c r="X3524" s="491"/>
      <c r="Y3524" s="498"/>
      <c r="Z3524" s="498"/>
      <c r="AA3524" s="492"/>
      <c r="AB3524" s="39"/>
      <c r="AC3524" s="39"/>
      <c r="AD3524" s="39"/>
      <c r="AE3524" s="39"/>
      <c r="AF3524" s="39"/>
      <c r="AG3524" s="39"/>
      <c r="AH3524" s="39"/>
      <c r="AI3524" s="39"/>
      <c r="AJ3524" s="39"/>
      <c r="AK3524" s="39"/>
      <c r="AL3524" s="39"/>
      <c r="AM3524" s="39"/>
      <c r="AN3524" s="39"/>
      <c r="AO3524" s="39"/>
      <c r="AP3524" s="39"/>
      <c r="AQ3524" s="39"/>
      <c r="AR3524" s="39"/>
      <c r="AS3524" s="39"/>
      <c r="AT3524" s="39"/>
      <c r="AU3524" s="39"/>
      <c r="AV3524" s="39"/>
      <c r="AW3524" s="39"/>
      <c r="AX3524" s="39"/>
      <c r="AY3524" s="39"/>
    </row>
    <row r="3525" spans="3:51" s="448" customFormat="1" ht="9" customHeight="1" x14ac:dyDescent="0.45">
      <c r="C3525" s="575"/>
      <c r="D3525" s="616"/>
      <c r="E3525" s="616"/>
      <c r="F3525" s="616"/>
      <c r="G3525" s="616"/>
      <c r="H3525" s="616"/>
      <c r="I3525" s="616"/>
      <c r="J3525" s="645"/>
      <c r="K3525" s="450"/>
      <c r="L3525" s="451"/>
      <c r="N3525" s="450"/>
      <c r="O3525" s="461"/>
      <c r="P3525" s="454"/>
      <c r="R3525" s="490" t="str">
        <f t="shared" ref="R3525:R3533" si="272">R$3370</f>
        <v>DELETE</v>
      </c>
      <c r="S3525" s="491"/>
      <c r="T3525" s="491"/>
      <c r="U3525" s="491"/>
      <c r="V3525" s="491"/>
      <c r="W3525" s="491"/>
      <c r="X3525" s="491"/>
      <c r="Y3525" s="498"/>
      <c r="Z3525" s="498"/>
      <c r="AA3525" s="492"/>
      <c r="AB3525" s="39"/>
      <c r="AC3525" s="39"/>
      <c r="AD3525" s="39"/>
      <c r="AE3525" s="39"/>
      <c r="AF3525" s="39"/>
      <c r="AG3525" s="39"/>
      <c r="AH3525" s="39"/>
      <c r="AI3525" s="39"/>
      <c r="AJ3525" s="39"/>
      <c r="AK3525" s="39"/>
      <c r="AL3525" s="39"/>
      <c r="AM3525" s="39"/>
      <c r="AN3525" s="39"/>
      <c r="AO3525" s="39"/>
      <c r="AP3525" s="39"/>
      <c r="AQ3525" s="39"/>
      <c r="AR3525" s="39"/>
      <c r="AS3525" s="39"/>
      <c r="AT3525" s="39"/>
      <c r="AU3525" s="39"/>
      <c r="AV3525" s="39"/>
      <c r="AW3525" s="39"/>
      <c r="AX3525" s="39"/>
      <c r="AY3525" s="39"/>
    </row>
    <row r="3526" spans="3:51" s="448" customFormat="1" ht="9" customHeight="1" x14ac:dyDescent="0.45">
      <c r="C3526" s="575"/>
      <c r="D3526" s="616"/>
      <c r="E3526" s="616"/>
      <c r="F3526" s="616"/>
      <c r="G3526" s="616"/>
      <c r="H3526" s="616"/>
      <c r="I3526" s="616"/>
      <c r="J3526" s="645"/>
      <c r="K3526" s="450"/>
      <c r="L3526" s="451"/>
      <c r="N3526" s="450"/>
      <c r="O3526" s="458"/>
      <c r="P3526" s="454"/>
      <c r="R3526" s="490" t="str">
        <f t="shared" si="272"/>
        <v>DELETE</v>
      </c>
      <c r="S3526" s="491"/>
      <c r="T3526" s="491"/>
      <c r="U3526" s="491"/>
      <c r="V3526" s="491"/>
      <c r="W3526" s="491"/>
      <c r="X3526" s="491"/>
      <c r="Y3526" s="498"/>
      <c r="Z3526" s="498"/>
      <c r="AA3526" s="492"/>
      <c r="AB3526" s="39"/>
      <c r="AC3526" s="39"/>
      <c r="AD3526" s="39"/>
      <c r="AE3526" s="39"/>
      <c r="AF3526" s="39"/>
      <c r="AG3526" s="39"/>
      <c r="AH3526" s="39"/>
      <c r="AI3526" s="39"/>
      <c r="AJ3526" s="39"/>
      <c r="AK3526" s="39"/>
      <c r="AL3526" s="39"/>
      <c r="AM3526" s="39"/>
      <c r="AN3526" s="39"/>
      <c r="AO3526" s="39"/>
      <c r="AP3526" s="39"/>
      <c r="AQ3526" s="39"/>
      <c r="AR3526" s="39"/>
      <c r="AS3526" s="39"/>
      <c r="AT3526" s="39"/>
      <c r="AU3526" s="39"/>
      <c r="AV3526" s="39"/>
      <c r="AW3526" s="39"/>
      <c r="AX3526" s="39"/>
      <c r="AY3526" s="39"/>
    </row>
    <row r="3527" spans="3:51" s="448" customFormat="1" ht="36.75" customHeight="1" x14ac:dyDescent="0.45">
      <c r="D3527" s="637" t="str">
        <f>IF(O3527&lt;0,"Loss before taxation","Profit before taxation")</f>
        <v>Profit before taxation</v>
      </c>
      <c r="E3527" s="616"/>
      <c r="F3527" s="616"/>
      <c r="G3527" s="616"/>
      <c r="H3527" s="616"/>
      <c r="I3527" s="616"/>
      <c r="J3527" s="645"/>
      <c r="K3527" s="450"/>
      <c r="L3527" s="451"/>
      <c r="N3527" s="450"/>
      <c r="O3527" s="458">
        <f>SUM(S3382:S3526)</f>
        <v>0</v>
      </c>
      <c r="P3527" s="454"/>
      <c r="R3527" s="490" t="str">
        <f t="shared" si="272"/>
        <v>DELETE</v>
      </c>
      <c r="S3527" s="491"/>
      <c r="T3527" s="491"/>
      <c r="U3527" s="491" t="b">
        <f>O3527='FS2'!O2885</f>
        <v>1</v>
      </c>
      <c r="V3527" s="491"/>
      <c r="W3527" s="491"/>
      <c r="X3527" s="491"/>
      <c r="Y3527" s="498"/>
      <c r="Z3527" s="498"/>
      <c r="AA3527" s="492"/>
      <c r="AB3527" s="39"/>
      <c r="AC3527" s="39"/>
      <c r="AD3527" s="39"/>
      <c r="AE3527" s="39"/>
      <c r="AF3527" s="39"/>
      <c r="AG3527" s="39"/>
      <c r="AH3527" s="39"/>
      <c r="AI3527" s="39"/>
      <c r="AJ3527" s="39"/>
      <c r="AK3527" s="39"/>
      <c r="AL3527" s="39"/>
      <c r="AM3527" s="39"/>
      <c r="AN3527" s="39"/>
      <c r="AO3527" s="39"/>
      <c r="AP3527" s="39"/>
      <c r="AQ3527" s="39"/>
      <c r="AR3527" s="39"/>
      <c r="AS3527" s="39"/>
      <c r="AT3527" s="39"/>
      <c r="AU3527" s="39"/>
      <c r="AV3527" s="39"/>
      <c r="AW3527" s="39"/>
      <c r="AX3527" s="39"/>
      <c r="AY3527" s="39"/>
    </row>
    <row r="3528" spans="3:51" s="448" customFormat="1" ht="9" customHeight="1" thickBot="1" x14ac:dyDescent="0.5">
      <c r="C3528" s="575"/>
      <c r="D3528" s="616"/>
      <c r="E3528" s="616"/>
      <c r="F3528" s="616"/>
      <c r="G3528" s="616"/>
      <c r="H3528" s="616"/>
      <c r="I3528" s="616"/>
      <c r="J3528" s="645"/>
      <c r="K3528" s="450"/>
      <c r="L3528" s="451"/>
      <c r="N3528" s="450"/>
      <c r="O3528" s="462"/>
      <c r="P3528" s="454"/>
      <c r="R3528" s="490" t="str">
        <f t="shared" si="272"/>
        <v>DELETE</v>
      </c>
      <c r="S3528" s="491"/>
      <c r="T3528" s="491"/>
      <c r="U3528" s="491"/>
      <c r="V3528" s="491"/>
      <c r="W3528" s="491"/>
      <c r="X3528" s="491"/>
      <c r="Y3528" s="498"/>
      <c r="Z3528" s="498"/>
      <c r="AA3528" s="492"/>
      <c r="AB3528" s="39"/>
      <c r="AC3528" s="39"/>
      <c r="AD3528" s="39"/>
      <c r="AE3528" s="39"/>
      <c r="AF3528" s="39"/>
      <c r="AG3528" s="39"/>
      <c r="AH3528" s="39"/>
      <c r="AI3528" s="39"/>
      <c r="AJ3528" s="39"/>
      <c r="AK3528" s="39"/>
      <c r="AL3528" s="39"/>
      <c r="AM3528" s="39"/>
      <c r="AN3528" s="39"/>
      <c r="AO3528" s="39"/>
      <c r="AP3528" s="39"/>
      <c r="AQ3528" s="39"/>
      <c r="AR3528" s="39"/>
      <c r="AS3528" s="39"/>
      <c r="AT3528" s="39"/>
      <c r="AU3528" s="39"/>
      <c r="AV3528" s="39"/>
      <c r="AW3528" s="39"/>
      <c r="AX3528" s="39"/>
      <c r="AY3528" s="39"/>
    </row>
    <row r="3529" spans="3:51" s="448" customFormat="1" ht="9" customHeight="1" thickTop="1" x14ac:dyDescent="0.45">
      <c r="C3529" s="575"/>
      <c r="D3529" s="616"/>
      <c r="E3529" s="616"/>
      <c r="F3529" s="616"/>
      <c r="G3529" s="616"/>
      <c r="H3529" s="616"/>
      <c r="I3529" s="616"/>
      <c r="J3529" s="645"/>
      <c r="K3529" s="450"/>
      <c r="L3529" s="451"/>
      <c r="N3529" s="450"/>
      <c r="O3529" s="475"/>
      <c r="P3529" s="454"/>
      <c r="R3529" s="490" t="str">
        <f t="shared" si="272"/>
        <v>DELETE</v>
      </c>
      <c r="S3529" s="491"/>
      <c r="T3529" s="491"/>
      <c r="U3529" s="491"/>
      <c r="V3529" s="491"/>
      <c r="W3529" s="491"/>
      <c r="X3529" s="491"/>
      <c r="Y3529" s="498"/>
      <c r="Z3529" s="498"/>
      <c r="AA3529" s="492"/>
      <c r="AB3529" s="39"/>
      <c r="AC3529" s="39"/>
      <c r="AD3529" s="39"/>
      <c r="AE3529" s="39"/>
      <c r="AF3529" s="39"/>
      <c r="AG3529" s="39"/>
      <c r="AH3529" s="39"/>
      <c r="AI3529" s="39"/>
      <c r="AJ3529" s="39"/>
      <c r="AK3529" s="39"/>
      <c r="AL3529" s="39"/>
      <c r="AM3529" s="39"/>
      <c r="AN3529" s="39"/>
      <c r="AO3529" s="39"/>
      <c r="AP3529" s="39"/>
      <c r="AQ3529" s="39"/>
      <c r="AR3529" s="39"/>
      <c r="AS3529" s="39"/>
      <c r="AT3529" s="39"/>
      <c r="AU3529" s="39"/>
      <c r="AV3529" s="39"/>
      <c r="AW3529" s="39"/>
      <c r="AX3529" s="39"/>
      <c r="AY3529" s="39"/>
    </row>
    <row r="3530" spans="3:51" s="448" customFormat="1" ht="36" customHeight="1" x14ac:dyDescent="0.45">
      <c r="C3530" s="575"/>
      <c r="D3530" s="616"/>
      <c r="E3530" s="616"/>
      <c r="F3530" s="616"/>
      <c r="G3530" s="616"/>
      <c r="H3530" s="616"/>
      <c r="I3530" s="616"/>
      <c r="J3530" s="645"/>
      <c r="K3530" s="450"/>
      <c r="L3530" s="451"/>
      <c r="N3530" s="450"/>
      <c r="O3530" s="458"/>
      <c r="P3530" s="454"/>
      <c r="R3530" s="490" t="str">
        <f t="shared" si="272"/>
        <v>DELETE</v>
      </c>
      <c r="S3530" s="491"/>
      <c r="T3530" s="491"/>
      <c r="U3530" s="491"/>
      <c r="V3530" s="491"/>
      <c r="W3530" s="491"/>
      <c r="X3530" s="491"/>
      <c r="Y3530" s="498"/>
      <c r="Z3530" s="498"/>
      <c r="AA3530" s="492"/>
      <c r="AB3530" s="39"/>
      <c r="AC3530" s="39"/>
      <c r="AD3530" s="39"/>
      <c r="AE3530" s="39"/>
      <c r="AF3530" s="39"/>
      <c r="AG3530" s="39"/>
      <c r="AH3530" s="39"/>
      <c r="AI3530" s="39"/>
      <c r="AJ3530" s="39"/>
      <c r="AK3530" s="39"/>
      <c r="AL3530" s="39"/>
      <c r="AM3530" s="39"/>
      <c r="AN3530" s="39"/>
      <c r="AO3530" s="39"/>
      <c r="AP3530" s="39"/>
      <c r="AQ3530" s="39"/>
      <c r="AR3530" s="39"/>
      <c r="AS3530" s="39"/>
      <c r="AT3530" s="39"/>
      <c r="AU3530" s="39"/>
      <c r="AV3530" s="39"/>
      <c r="AW3530" s="39"/>
      <c r="AX3530" s="39"/>
      <c r="AY3530" s="39"/>
    </row>
    <row r="3531" spans="3:51" s="448" customFormat="1" ht="36" customHeight="1" x14ac:dyDescent="0.45">
      <c r="C3531" s="575"/>
      <c r="D3531" s="616"/>
      <c r="E3531" s="616"/>
      <c r="F3531" s="616"/>
      <c r="G3531" s="616"/>
      <c r="H3531" s="616"/>
      <c r="I3531" s="616"/>
      <c r="J3531" s="645"/>
      <c r="K3531" s="450"/>
      <c r="L3531" s="450"/>
      <c r="M3531" s="458"/>
      <c r="N3531" s="458"/>
      <c r="O3531" s="458"/>
      <c r="P3531" s="454"/>
      <c r="R3531" s="490" t="str">
        <f t="shared" si="272"/>
        <v>DELETE</v>
      </c>
      <c r="S3531" s="491"/>
      <c r="T3531" s="491"/>
      <c r="U3531" s="491"/>
      <c r="V3531" s="491"/>
      <c r="W3531" s="491"/>
      <c r="X3531" s="491"/>
      <c r="Y3531" s="498"/>
      <c r="Z3531" s="498"/>
      <c r="AA3531" s="492"/>
      <c r="AB3531" s="39"/>
      <c r="AC3531" s="39"/>
      <c r="AD3531" s="39"/>
      <c r="AE3531" s="39"/>
      <c r="AF3531" s="39"/>
      <c r="AG3531" s="39"/>
      <c r="AH3531" s="39"/>
      <c r="AI3531" s="39"/>
      <c r="AJ3531" s="39"/>
      <c r="AK3531" s="39"/>
      <c r="AL3531" s="39"/>
      <c r="AM3531" s="39"/>
      <c r="AN3531" s="39"/>
      <c r="AO3531" s="39"/>
      <c r="AP3531" s="39"/>
      <c r="AQ3531" s="39"/>
      <c r="AR3531" s="39"/>
      <c r="AS3531" s="39"/>
      <c r="AT3531" s="39"/>
      <c r="AU3531" s="39"/>
      <c r="AV3531" s="39"/>
      <c r="AW3531" s="39"/>
      <c r="AX3531" s="39"/>
      <c r="AY3531" s="39"/>
    </row>
    <row r="3532" spans="3:51" s="448" customFormat="1" ht="36" customHeight="1" x14ac:dyDescent="0.5">
      <c r="C3532" s="520"/>
      <c r="D3532" s="616"/>
      <c r="E3532" s="616"/>
      <c r="F3532" s="616"/>
      <c r="G3532" s="616"/>
      <c r="H3532" s="616"/>
      <c r="I3532" s="616"/>
      <c r="J3532" s="616"/>
      <c r="M3532" s="555"/>
      <c r="N3532" s="555"/>
      <c r="O3532" s="555"/>
      <c r="P3532" s="545"/>
      <c r="R3532" s="490" t="str">
        <f t="shared" si="272"/>
        <v>DELETE</v>
      </c>
      <c r="S3532" s="491"/>
      <c r="T3532" s="491"/>
      <c r="U3532" s="491"/>
      <c r="V3532" s="491"/>
      <c r="W3532" s="491"/>
      <c r="X3532" s="491"/>
      <c r="Y3532" s="498"/>
      <c r="Z3532" s="498"/>
      <c r="AA3532" s="492"/>
      <c r="AB3532" s="39"/>
      <c r="AC3532" s="39"/>
      <c r="AD3532" s="39"/>
      <c r="AE3532" s="39"/>
      <c r="AF3532" s="39"/>
      <c r="AG3532" s="39"/>
      <c r="AH3532" s="39"/>
      <c r="AI3532" s="39"/>
      <c r="AJ3532" s="39"/>
      <c r="AK3532" s="39"/>
      <c r="AL3532" s="39"/>
      <c r="AM3532" s="39"/>
      <c r="AN3532" s="39"/>
      <c r="AO3532" s="39"/>
      <c r="AP3532" s="39"/>
      <c r="AQ3532" s="39"/>
      <c r="AR3532" s="39"/>
      <c r="AS3532" s="39"/>
      <c r="AT3532" s="39"/>
      <c r="AU3532" s="39"/>
      <c r="AV3532" s="39"/>
      <c r="AW3532" s="39"/>
      <c r="AX3532" s="39"/>
      <c r="AY3532" s="39"/>
    </row>
    <row r="3533" spans="3:51" s="448" customFormat="1" ht="36" customHeight="1" x14ac:dyDescent="0.5">
      <c r="C3533" s="520"/>
      <c r="D3533" s="616"/>
      <c r="E3533" s="616"/>
      <c r="F3533" s="616"/>
      <c r="G3533" s="616"/>
      <c r="H3533" s="616"/>
      <c r="I3533" s="616"/>
      <c r="J3533" s="616"/>
      <c r="M3533" s="541"/>
      <c r="N3533" s="541"/>
      <c r="O3533" s="541"/>
      <c r="P3533" s="540"/>
      <c r="R3533" s="490" t="str">
        <f t="shared" si="272"/>
        <v>DELETE</v>
      </c>
      <c r="S3533" s="491"/>
      <c r="T3533" s="491"/>
      <c r="U3533" s="491"/>
      <c r="V3533" s="491"/>
      <c r="W3533" s="491"/>
      <c r="X3533" s="491"/>
      <c r="Y3533" s="498"/>
      <c r="Z3533" s="498"/>
      <c r="AA3533" s="492"/>
      <c r="AB3533" s="39"/>
      <c r="AC3533" s="39"/>
      <c r="AD3533" s="39"/>
      <c r="AE3533" s="39"/>
      <c r="AF3533" s="39"/>
      <c r="AG3533" s="39"/>
      <c r="AH3533" s="39"/>
      <c r="AI3533" s="39"/>
      <c r="AJ3533" s="39"/>
      <c r="AK3533" s="39"/>
      <c r="AL3533" s="39"/>
      <c r="AM3533" s="39"/>
      <c r="AN3533" s="39"/>
      <c r="AO3533" s="39"/>
      <c r="AP3533" s="39"/>
      <c r="AQ3533" s="39"/>
      <c r="AR3533" s="39"/>
      <c r="AS3533" s="39"/>
      <c r="AT3533" s="39"/>
      <c r="AU3533" s="39"/>
      <c r="AV3533" s="39"/>
      <c r="AW3533" s="39"/>
      <c r="AX3533" s="39"/>
      <c r="AY3533" s="39"/>
    </row>
  </sheetData>
  <sheetProtection formatColumns="0" formatRows="0" insertRows="0" deleteRows="0"/>
  <sortState xmlns:xlrd2="http://schemas.microsoft.com/office/spreadsheetml/2017/richdata2" ref="D2669:R2672">
    <sortCondition ref="D2669"/>
  </sortState>
  <mergeCells count="21">
    <mergeCell ref="D305:Q311"/>
    <mergeCell ref="D265:Q270"/>
    <mergeCell ref="D229:Q234"/>
    <mergeCell ref="D222:Q227"/>
    <mergeCell ref="D361:Q367"/>
    <mergeCell ref="U1:V1"/>
    <mergeCell ref="J201:K201"/>
    <mergeCell ref="O2720:P2720"/>
    <mergeCell ref="O2721:P2721"/>
    <mergeCell ref="A213:Q213"/>
    <mergeCell ref="A260:P260"/>
    <mergeCell ref="F1687:G1687"/>
    <mergeCell ref="F1709:G1709"/>
    <mergeCell ref="F1733:G1733"/>
    <mergeCell ref="A16:Q16"/>
    <mergeCell ref="A18:Q18"/>
    <mergeCell ref="A20:Q20"/>
    <mergeCell ref="A22:Q22"/>
    <mergeCell ref="L2720:N2720"/>
    <mergeCell ref="L2721:N2721"/>
    <mergeCell ref="D411:H411"/>
  </mergeCells>
  <hyperlinks>
    <hyperlink ref="D634" r:id="rId1" display="=@IF(U501+V501=1,&quot;GROSS PROFIT/(LOSS)&quot;,IF((U501+V501=2),&quot;GROSS PROFIT&quot;,&quot;GROSS LOSS&quot;))" xr:uid="{6EC37E41-BCC4-4C53-9493-94F79E412701}"/>
    <hyperlink ref="D644" r:id="rId2" display="=@IF(U501+V501=1,&quot;GROSS PROFIT/(LOSS)&quot;,IF((U501+V501=2),&quot;GROSS PROFIT&quot;,&quot;GROSS LOSS&quot;))" xr:uid="{FFB167F4-7EB2-4FEE-8BFC-C7143253C1DE}"/>
    <hyperlink ref="D2765" r:id="rId3" display="=@IF(U501+V501=1,&quot;GROSS PROFIT/(LOSS)&quot;,IF((U501+V501=2),&quot;GROSS PROFIT&quot;,&quot;GROSS LOSS&quot;))" xr:uid="{1643BDFA-D727-47D4-9BA2-6D5DCF7E0D84}"/>
    <hyperlink ref="D2815" r:id="rId4" display="=@IF(U501+V501=1,&quot;GROSS PROFIT/(LOSS)&quot;,IF((U501+V501=2),&quot;GROSS PROFIT&quot;,&quot;GROSS LOSS&quot;))" xr:uid="{103FBFC9-7DF4-4D47-A11C-A8E48A23ACBD}"/>
    <hyperlink ref="D2830" r:id="rId5" display="=@IF(U501+V501=1,&quot;GROSS PROFIT/(LOSS)&quot;,IF((U501+V501=2),&quot;GROSS PROFIT&quot;,&quot;GROSS LOSS&quot;))" xr:uid="{9CC7F115-90DD-48D8-86EA-ECB612A365AE}"/>
    <hyperlink ref="D2873" r:id="rId6" display="=@IF(U501+V501=1,&quot;GROSS PROFIT/(LOSS)&quot;,IF((U501+V501=2),&quot;GROSS PROFIT&quot;,&quot;GROSS LOSS&quot;))" xr:uid="{6C93F943-EB95-497D-84FF-67DFEEF43968}"/>
    <hyperlink ref="D2880" r:id="rId7" display="=@IF(U501+V501=1,&quot;GROSS PROFIT/(LOSS)&quot;,IF((U501+V501=2),&quot;GROSS PROFIT&quot;,&quot;GROSS LOSS&quot;))" xr:uid="{3D5E6050-17BE-4D4D-90F9-84758F5A61B2}"/>
    <hyperlink ref="D2898" r:id="rId8" display="=@IF(U501+V501=1,&quot;GROSS PROFIT/(LOSS)&quot;,IF((U501+V501=2),&quot;GROSS PROFIT&quot;,&quot;GROSS LOSS&quot;))" xr:uid="{A8C271EC-EC6D-47EB-83A6-43F55E5FC312}"/>
    <hyperlink ref="D705" r:id="rId9" display="=@IF(U501+V501=1,&quot;GROSS PROFIT/(LOSS)&quot;,IF((U501+V501=2),&quot;GROSS PROFIT&quot;,&quot;GROSS LOSS&quot;))" xr:uid="{0FC3C64B-3B23-49E0-A6EB-83863B23F98F}"/>
    <hyperlink ref="C1214" r:id="rId10" display="=@IF(U501+V501=1,&quot;GROSS PROFIT/(LOSS)&quot;,IF((U501+V501=2),&quot;GROSS PROFIT&quot;,&quot;GROSS LOSS&quot;))" xr:uid="{385F827D-69D9-449D-9E9A-86FACF81D6F8}"/>
    <hyperlink ref="C2661" r:id="rId11" display="=@IF(U501+V501=1,&quot;GROSS PROFIT/(LOSS)&quot;,IF((U501+V501=2),&quot;GROSS PROFIT&quot;,&quot;GROSS LOSS&quot;))" xr:uid="{2D445731-1201-4DA5-887A-7A77876C7E55}"/>
    <hyperlink ref="O705" r:id="rId12" display="-TrialBalance!A146-@sum(TrialBalance!A5:A127)" xr:uid="{FF572C62-E9B4-42A8-A28A-041B701D6F61}"/>
    <hyperlink ref="C2664" r:id="rId13" display="=@IF(U501+V501=1,&quot;GROSS PROFIT/(LOSS)&quot;,IF((U501+V501=2),&quot;GROSS PROFIT&quot;,&quot;GROSS LOSS&quot;))" xr:uid="{6C5A779F-02A7-4744-9E0D-1CDC14CF46F9}"/>
    <hyperlink ref="O613" r:id="rId14" display="-@sum(TrialBalance!A8:A22" xr:uid="{EB092C9A-4DBA-4D21-BD08-6D7278AC32E0}"/>
    <hyperlink ref="O620" r:id="rId15" display="-@sum(TrialBalance!A23:A63" xr:uid="{06BA80CE-08E8-472B-9C0F-A701C364BD31}"/>
    <hyperlink ref="O622" r:id="rId16" display="-@sum(TrialBalance!A77:A111" xr:uid="{44E9DDB7-0601-4D66-87DE-8DB26AD3ECE4}"/>
    <hyperlink ref="O630" r:id="rId17" display="-@sum(TrialBalance!A112:A118" xr:uid="{93CECDAD-479E-4CF7-9E09-D3D0509BF138}"/>
    <hyperlink ref="O636" r:id="rId18" display="-@sum(TrialBalance!A119:A125" xr:uid="{BD339420-551F-480B-8EC5-160132AD1B8A}"/>
    <hyperlink ref="C2681" r:id="rId19" display="=@IF(U501+V501=1,&quot;GROSS PROFIT/(LOSS)&quot;,IF((U501+V501=2),&quot;GROSS PROFIT&quot;,&quot;GROSS LOSS&quot;))" xr:uid="{1504743E-7240-4006-AB33-E73F2E0A4BA2}"/>
    <hyperlink ref="C2682" r:id="rId20" display="=@IF(U501+V501=1,&quot;GROSS PROFIT/(LOSS)&quot;,IF((U501+V501=2),&quot;GROSS PROFIT&quot;,&quot;GROSS LOSS&quot;))" xr:uid="{E563952C-912D-4F47-8883-3714B4AF65D2}"/>
    <hyperlink ref="C2683" r:id="rId21" display="=@IF(U501+V501=1,&quot;GROSS PROFIT/(LOSS)&quot;,IF((U501+V501=2),&quot;GROSS PROFIT&quot;,&quot;GROSS LOSS&quot;))" xr:uid="{67DC3EBD-B899-448D-94BC-43990820C210}"/>
    <hyperlink ref="O804" r:id="rId22" display="-@sum(TrialBalance!B301:B307)-@sum(TrialBalance!B310:B312)+@sum(TrialBalance!A13:A18)+@sum(TrialBalance!A23:A26)+@sum(TrialBalance!A32:A63)+@sum(TrialBalance!A77:A86)+@sum(TrialBalance!A94:A111)+@sum(TrialBalance!A301:A307)+@SUM(TrialBalance!A310:A312)" xr:uid="{74FD6B9E-0E94-4A7C-A1C6-3511AD48654E}"/>
    <hyperlink ref="D835" r:id="rId23" display="=@IF(U501+V501=1,&quot;GROSS PROFIT/(LOSS)&quot;,IF((U501+V501=2),&quot;GROSS PROFIT&quot;,&quot;GROSS LOSS&quot;))" xr:uid="{0D0BE93C-CC3F-4E80-9DC5-BB853B98908D}"/>
    <hyperlink ref="D836" r:id="rId24" display="=@IF(U501+V501=1,&quot;GROSS PROFIT/(LOSS)&quot;,IF((U501+V501=2),&quot;GROSS PROFIT&quot;,&quot;GROSS LOSS&quot;))" xr:uid="{BDB89C65-D75F-4F4F-B73F-E22C0EC69543}"/>
    <hyperlink ref="D846" r:id="rId25" display="=@IF(U501+V501=1,&quot;GROSS PROFIT/(LOSS)&quot;,IF((U501+V501=2),&quot;GROSS PROFIT&quot;,&quot;GROSS LOSS&quot;))" xr:uid="{C190CEDB-668C-4E2A-ABF8-3B041AEA27AB}"/>
    <hyperlink ref="D852" r:id="rId26" display="=@IF(U501+V501=1,&quot;GROSS PROFIT/(LOSS)&quot;,IF((U501+V501=2),&quot;GROSS PROFIT&quot;,&quot;GROSS LOSS&quot;))" xr:uid="{2A6EB977-4D42-4C38-9986-CF6327F92C47}"/>
    <hyperlink ref="O825" r:id="rId27" display="-@sum(TrialBalance!A311:A321)+@sum(TrialBalance!A123:A125)=@sum(TrialBalance!A311:A321)" xr:uid="{FF435E9A-3967-4985-AF38-81C02CC6659B}"/>
    <hyperlink ref="D2990" r:id="rId28" display="=@IF(U501+V501=1,&quot;GROSS PROFIT/(LOSS)&quot;,IF((U501+V501=2),&quot;GROSS PROFIT&quot;,&quot;GROSS LOSS&quot;))" xr:uid="{52264E7E-C96C-42EA-A6C7-CC3AF937E7E0}"/>
    <hyperlink ref="C1212" r:id="rId29" display="=@IF(U501+V501=1,&quot;GROSS PROFIT/(LOSS)&quot;,IF((U501+V501=2),&quot;GROSS PROFIT&quot;,&quot;GROSS LOSS&quot;))" xr:uid="{F835615E-7600-4C23-8922-16564FA57C95}"/>
    <hyperlink ref="D847" r:id="rId30" display="=@IF(U501+V501=1,&quot;GROSS PROFIT/(LOSS)&quot;,IF((U501+V501=2),&quot;GROSS PROFIT&quot;,&quot;GROSS LOSS&quot;))" xr:uid="{B953EC64-EE85-4228-AD76-6239205CBC3B}"/>
    <hyperlink ref="D848" r:id="rId31" display="=@IF(U501+V501=1,&quot;GROSS PROFIT/(LOSS)&quot;,IF((U501+V501=2),&quot;GROSS PROFIT&quot;,&quot;GROSS LOSS&quot;))" xr:uid="{8E9C6A91-7684-4B11-95DD-69A6EF621812}"/>
    <hyperlink ref="C776" r:id="rId32" display="=@IF(U501+V501=1,&quot;GROSS PROFIT/(LOSS)&quot;,IF((U501+V501=2),&quot;GROSS PROFIT&quot;,&quot;GROSS LOSS&quot;))" xr:uid="{37FEEF04-5C7E-4EF3-BCDD-1CE9BD539F04}"/>
    <hyperlink ref="C779" r:id="rId33" display="=@IF(U501+V501=1,&quot;GROSS PROFIT/(LOSS)&quot;,IF((U501+V501=2),&quot;GROSS PROFIT&quot;,&quot;GROSS LOSS&quot;))" xr:uid="{D55A10C6-027F-40AD-9164-704B8B4DA379}"/>
    <hyperlink ref="O2216" r:id="rId34" display="=@if(Criteria!E33*Criteria!E34=Criteria!E36*Criteria!E37,&quot; &quot;,Criteria!E33*Criteria!E34)" xr:uid="{75BED5CF-6ABE-46F6-AAD7-1DE3B8AF5676}"/>
    <hyperlink ref="D2883" r:id="rId35" display="=@IF(U501+V501=1,&quot;GROSS PROFIT/(LOSS)&quot;,IF((U501+V501=2),&quot;GROSS PROFIT&quot;,&quot;GROSS LOSS&quot;))" xr:uid="{59956A35-B889-42C0-9BFB-E3D11CAD8708}"/>
    <hyperlink ref="D2884" r:id="rId36" display="=@IF(U501+V501=1,&quot;GROSS PROFIT/(LOSS)&quot;,IF((U501+V501=2),&quot;GROSS PROFIT&quot;,&quot;GROSS LOSS&quot;))" xr:uid="{8C560084-76AE-4E03-B786-F5668C590C1D}"/>
    <hyperlink ref="D2885" r:id="rId37" display="=@IF(U501+V501=1,&quot;GROSS PROFIT/(LOSS)&quot;,IF((U501+V501=2),&quot;GROSS PROFIT&quot;,&quot;GROSS LOSS&quot;))" xr:uid="{943C22D1-C410-4C73-A5C6-E2A43F6C2223}"/>
    <hyperlink ref="C2415" r:id="rId38" display="=@IF(U501+V501=1,&quot;GROSS PROFIT/(LOSS)&quot;,IF((U501+V501=2),&quot;GROSS PROFIT&quot;,&quot;GROSS LOSS&quot;))" xr:uid="{EF2B8CBB-8CD0-44A8-BD7B-F29DDCF87E41}"/>
    <hyperlink ref="C2444" r:id="rId39" display="=@IF(U501+V501=1,&quot;GROSS PROFIT/(LOSS)&quot;,IF((U501+V501=2),&quot;GROSS PROFIT&quot;,&quot;GROSS LOSS&quot;))" xr:uid="{91D17A33-3561-4A2D-AAD3-4F12B6A529BF}"/>
    <hyperlink ref="D845" r:id="rId40" display="=@IF(U501+V501=1,&quot;GROSS PROFIT/(LOSS)&quot;,IF((U501+V501=2),&quot;GROSS PROFIT&quot;,&quot;GROSS LOSS&quot;))" xr:uid="{8512FDFD-1253-4386-9111-ACE0A7C46AA5}"/>
    <hyperlink ref="D834" r:id="rId41" display="=@IF(U501+V501=1,&quot;GROSS PROFIT/(LOSS)&quot;,IF((U501+V501=2),&quot;GROSS PROFIT&quot;,&quot;GROSS LOSS&quot;))" xr:uid="{8A14D7AA-B1A2-4EAA-89D4-226AB2F354B7}"/>
    <hyperlink ref="O3187" r:id="rId42" display="-@sum(TrialBalance!A67:A70" xr:uid="{F1135C42-6EF3-4919-98DD-C2DAF1E01619}"/>
    <hyperlink ref="D3199" r:id="rId43" display="=@IF(U501+V501=1,&quot;GROSS PROFIT/(LOSS)&quot;,IF((U501+V501=2),&quot;GROSS PROFIT&quot;,&quot;GROSS LOSS&quot;))" xr:uid="{0A67C957-8A96-41AA-9CC2-3AA59A9CEA50}"/>
    <hyperlink ref="D3180" r:id="rId44" display="=@IF(U501+V501=1,&quot;GROSS PROFIT/(LOSS)&quot;,IF((U501+V501=2),&quot;GROSS PROFIT&quot;,&quot;GROSS LOSS&quot;))" xr:uid="{F10BFC7D-6E95-4207-A099-5C561083F887}"/>
    <hyperlink ref="D3138" r:id="rId45" display="=@IF(U501+V501=1,&quot;GROSS PROFIT/(LOSS)&quot;,IF((U501+V501=2),&quot;GROSS PROFIT&quot;,&quot;GROSS LOSS&quot;))" xr:uid="{712617A2-D6CD-4E60-BB31-C3466777F117}"/>
    <hyperlink ref="D3122" r:id="rId46" display="=@IF(U501+V501=1,&quot;GROSS PROFIT/(LOSS)&quot;,IF((U501+V501=2),&quot;GROSS PROFIT&quot;,&quot;GROSS LOSS&quot;))" xr:uid="{F99CBF6E-81AD-4109-9092-FF9B960F3C6B}"/>
    <hyperlink ref="D3072" r:id="rId47" display="=@IF(U501+V501=1,&quot;GROSS PROFIT/(LOSS)&quot;,IF((U501+V501=2),&quot;GROSS PROFIT&quot;,&quot;GROSS LOSS&quot;))" xr:uid="{86586CB7-84A4-484F-BDCF-62517A748845}"/>
    <hyperlink ref="O3351" r:id="rId48" display="-@sum(TrialBalance!A67:A70" xr:uid="{F8C1963A-9E34-4A98-9F85-930629AE2643}"/>
    <hyperlink ref="D3363" r:id="rId49" display="=@IF(U501+V501=1,&quot;GROSS PROFIT/(LOSS)&quot;,IF((U501+V501=2),&quot;GROSS PROFIT&quot;,&quot;GROSS LOSS&quot;))" xr:uid="{CEC5C5F2-914F-4AD5-974E-26470BECA6EA}"/>
    <hyperlink ref="D3344" r:id="rId50" display="=@IF(U501+V501=1,&quot;GROSS PROFIT/(LOSS)&quot;,IF((U501+V501=2),&quot;GROSS PROFIT&quot;,&quot;GROSS LOSS&quot;))" xr:uid="{D45ADED7-4FC5-490C-A289-BE9B3F0F5C90}"/>
    <hyperlink ref="D3286" r:id="rId51" display="=@IF(U501+V501=1,&quot;GROSS PROFIT/(LOSS)&quot;,IF((U501+V501=2),&quot;GROSS PROFIT&quot;,&quot;GROSS LOSS&quot;))" xr:uid="{99D387F1-43FC-4BAC-8C9B-35FE9D052ECB}"/>
    <hyperlink ref="D3236" r:id="rId52" display="=@IF(U501+V501=1,&quot;GROSS PROFIT/(LOSS)&quot;,IF((U501+V501=2),&quot;GROSS PROFIT&quot;,&quot;GROSS LOSS&quot;))" xr:uid="{801CD040-8E67-434D-9E98-B3C6B9547D43}"/>
    <hyperlink ref="D3302" r:id="rId53" display="=@IF(U501+V501=1,&quot;GROSS PROFIT/(LOSS)&quot;,IF((U501+V501=2),&quot;GROSS PROFIT&quot;,&quot;GROSS LOSS&quot;))" xr:uid="{A069841F-5D72-492E-8DDC-BDC43412D60E}"/>
    <hyperlink ref="D3400" r:id="rId54" display="=@IF(U501+V501=1,&quot;GROSS PROFIT/(LOSS)&quot;,IF((U501+V501=2),&quot;GROSS PROFIT&quot;,&quot;GROSS LOSS&quot;))" xr:uid="{98FC5CC4-FB4D-4EE2-BC82-6A0526F0C56D}"/>
    <hyperlink ref="D3450" r:id="rId55" display="=@IF(U501+V501=1,&quot;GROSS PROFIT/(LOSS)&quot;,IF((U501+V501=2),&quot;GROSS PROFIT&quot;,&quot;GROSS LOSS&quot;))" xr:uid="{050D4589-7F9F-48B7-9C73-2F842C20F794}"/>
    <hyperlink ref="D3508" r:id="rId56" display="=@IF(U501+V501=1,&quot;GROSS PROFIT/(LOSS)&quot;,IF((U501+V501=2),&quot;GROSS PROFIT&quot;,&quot;GROSS LOSS&quot;))" xr:uid="{0D6834C2-6D1C-41F1-964F-12D5E1F5D175}"/>
    <hyperlink ref="D3527" r:id="rId57" display="=@IF(U501+V501=1,&quot;GROSS PROFIT/(LOSS)&quot;,IF((U501+V501=2),&quot;GROSS PROFIT&quot;,&quot;GROSS LOSS&quot;))" xr:uid="{BED28F06-5C74-4DB1-B992-1F47A300C042}"/>
    <hyperlink ref="O3515" r:id="rId58" display="-@sum(TrialBalance!A67:A70" xr:uid="{2D083B57-EE56-49C8-9A6A-B7F4C640C6FC}"/>
    <hyperlink ref="D3466" r:id="rId59" display="=@IF(U501+V501=1,&quot;GROSS PROFIT/(LOSS)&quot;,IF((U501+V501=2),&quot;GROSS PROFIT&quot;,&quot;GROSS LOSS&quot;))" xr:uid="{A32CB3F5-F645-4B9D-8CA0-57B981C3D99A}"/>
    <hyperlink ref="D616" r:id="rId60" display="=@IF(U501+V501=1,&quot;GROSS PROFIT/(LOSS)&quot;,IF((U501+V501=2),&quot;GROSS PROFIT&quot;,&quot;GROSS LOSS&quot;))" xr:uid="{E1B80E91-18FE-42C6-A1A2-2B5043F18074}"/>
    <hyperlink ref="D626" r:id="rId61" display="=@IF(U501+V501=1,&quot;GROSS PROFIT/(LOSS)&quot;,IF((U501+V501=2),&quot;GROSS PROFIT&quot;,&quot;GROSS LOSS&quot;))" xr:uid="{88ECA870-FAD9-4EDF-8F7E-DFEAB539C34D}"/>
    <hyperlink ref="C2703" r:id="rId62" display="=@IF(U501+V501=1,&quot;GROSS PROFIT/(LOSS)&quot;,IF((U501+V501=2),&quot;GROSS PROFIT&quot;,&quot;GROSS LOSS&quot;))" xr:uid="{471418B5-D822-44AF-8787-3075991ECC71}"/>
    <hyperlink ref="C2429" r:id="rId63" display="=@IF(U501+V501=1,&quot;GROSS PROFIT/(LOSS)&quot;,IF((U501+V501=2),&quot;GROSS PROFIT&quot;,&quot;GROSS LOSS&quot;))" xr:uid="{4C2532C6-EC0B-4311-89C8-9545F896CE9B}"/>
    <hyperlink ref="C2572" r:id="rId64" display="=@IF(U501+V501=1,&quot;GROSS PROFIT/(LOSS)&quot;,IF((U501+V501=2),&quot;GROSS PROFIT&quot;,&quot;GROSS LOSS&quot;))" xr:uid="{7A5EFC27-E565-4CB0-9724-D85600B2AB85}"/>
    <hyperlink ref="C2581" r:id="rId65" display="=@IF(U501+V501=1,&quot;GROSS PROFIT/(LOSS)&quot;,IF((U501+V501=2),&quot;GROSS PROFIT&quot;,&quot;GROSS LOSS&quot;))" xr:uid="{F790B4E4-08B5-4A00-8DB1-BB65143292E1}"/>
    <hyperlink ref="C2570" r:id="rId66" display="=@IF(U501+V501=1,&quot;GROSS PROFIT/(LOSS)&quot;,IF((U501+V501=2),&quot;GROSS PROFIT&quot;,&quot;GROSS LOSS&quot;))" xr:uid="{66D917FA-CC69-4897-BD9A-352EE1CE50E2}"/>
    <hyperlink ref="D594" r:id="rId67" display="=@if(Criteria!F343=&quot;No&quot;,Criteria!G346,&quot; &quot;)" xr:uid="{742F580A-5B68-42D8-93A6-5F94F336E3B7}"/>
    <hyperlink ref="D595" r:id="rId68" display="=@if(Criteria!F343=&quot;No&quot;,Criteria!G346,&quot; &quot;)" xr:uid="{261E20C9-DC48-4D03-B6E3-CA61BCB3266F}"/>
    <hyperlink ref="D596" r:id="rId69" display="=@if(Criteria!F343=&quot;No&quot;,Criteria!G346,&quot; &quot;)" xr:uid="{DE9BFDD1-B63C-4878-82F2-B4C6C2D95833}"/>
    <hyperlink ref="D639" r:id="rId70" display="=@IF(U501+V501=1,&quot;GROSS PROFIT/(LOSS)&quot;,IF((U501+V501=2),&quot;GROSS PROFIT&quot;,&quot;GROSS LOSS&quot;))" xr:uid="{A1174595-E1EF-4D71-813F-094214C90731}"/>
    <hyperlink ref="D825" r:id="rId71" display="=@IF(U501+V501=1,&quot;GROSS PROFIT/(LOSS)&quot;,IF((U501+V501=2),&quot;GROSS PROFIT&quot;,&quot;GROSS LOSS&quot;))" xr:uid="{4B56984B-F91B-49D5-8D9B-DECC6E1F4F1F}"/>
  </hyperlinks>
  <pageMargins left="0.7" right="0.7" top="0.75" bottom="0.75" header="0.3" footer="0.3"/>
  <pageSetup paperSize="9" scale="43" fitToHeight="0" orientation="portrait" r:id="rId72"/>
  <headerFooter alignWithMargins="0"/>
  <drawing r:id="rId73"/>
  <picture r:id="rId7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2:V537"/>
  <sheetViews>
    <sheetView zoomScale="87" zoomScaleNormal="87" workbookViewId="0">
      <selection activeCell="E9" sqref="E9:G9"/>
    </sheetView>
  </sheetViews>
  <sheetFormatPr defaultRowHeight="15.75" x14ac:dyDescent="0.25"/>
  <cols>
    <col min="1" max="1" width="8.85546875" style="26" customWidth="1"/>
    <col min="2" max="2" width="7.140625" customWidth="1"/>
    <col min="3" max="3" width="27.5703125" style="2" customWidth="1"/>
    <col min="4" max="4" width="11.7109375" style="2" customWidth="1"/>
    <col min="5" max="5" width="30.85546875" style="2" customWidth="1"/>
    <col min="6" max="6" width="24.140625" style="2" customWidth="1"/>
    <col min="7" max="7" width="29.28515625" style="2" customWidth="1"/>
    <col min="8" max="8" width="23.85546875" style="2" customWidth="1"/>
    <col min="9" max="9" width="22.7109375" style="2" customWidth="1"/>
    <col min="10" max="10" width="24.28515625" style="2" customWidth="1"/>
    <col min="11" max="11" width="14.85546875" style="2" customWidth="1"/>
    <col min="12" max="12" width="6.7109375" style="2" customWidth="1"/>
    <col min="13" max="13" width="17.7109375" customWidth="1"/>
    <col min="14" max="14" width="17.85546875" customWidth="1"/>
    <col min="15" max="15" width="16" bestFit="1" customWidth="1"/>
    <col min="16" max="16" width="18.28515625" customWidth="1"/>
    <col min="18" max="18" width="18.28515625" customWidth="1"/>
    <col min="19" max="20" width="18" customWidth="1"/>
    <col min="21" max="21" width="15.5703125" customWidth="1"/>
    <col min="22" max="22" width="12" bestFit="1" customWidth="1"/>
  </cols>
  <sheetData>
    <row r="2" spans="3:10" ht="23.25" x14ac:dyDescent="0.35">
      <c r="E2" s="36" t="s">
        <v>1410</v>
      </c>
    </row>
    <row r="3" spans="3:10" ht="18.75" x14ac:dyDescent="0.3">
      <c r="E3" s="361" t="s">
        <v>1075</v>
      </c>
    </row>
    <row r="4" spans="3:10" ht="18.75" x14ac:dyDescent="0.3">
      <c r="E4" s="361" t="s">
        <v>841</v>
      </c>
    </row>
    <row r="7" spans="3:10" ht="19.5" x14ac:dyDescent="0.35">
      <c r="C7" s="164" t="s">
        <v>583</v>
      </c>
    </row>
    <row r="9" spans="3:10" ht="18.75" x14ac:dyDescent="0.3">
      <c r="C9" s="2" t="s">
        <v>584</v>
      </c>
      <c r="E9" s="678" t="s">
        <v>1188</v>
      </c>
      <c r="F9" s="678"/>
      <c r="G9" s="678"/>
    </row>
    <row r="10" spans="3:10" ht="18.75" x14ac:dyDescent="0.3">
      <c r="E10" s="678" t="s">
        <v>1539</v>
      </c>
      <c r="F10" s="678"/>
      <c r="G10" s="678"/>
      <c r="H10" s="2" t="s">
        <v>1404</v>
      </c>
    </row>
    <row r="11" spans="3:10" x14ac:dyDescent="0.25">
      <c r="E11" s="677" t="s">
        <v>1660</v>
      </c>
      <c r="F11" s="677"/>
      <c r="G11" s="677"/>
    </row>
    <row r="13" spans="3:10" ht="18.75" x14ac:dyDescent="0.3">
      <c r="D13" s="2" t="s">
        <v>924</v>
      </c>
      <c r="E13" s="679" t="s">
        <v>1160</v>
      </c>
      <c r="F13" s="679"/>
      <c r="G13" s="679"/>
      <c r="H13" s="362" t="s">
        <v>1162</v>
      </c>
      <c r="I13" s="299"/>
      <c r="J13" s="2" t="s">
        <v>1404</v>
      </c>
    </row>
    <row r="14" spans="3:10" ht="18.75" x14ac:dyDescent="0.3">
      <c r="C14" s="2" t="s">
        <v>550</v>
      </c>
      <c r="D14" s="2" t="s">
        <v>662</v>
      </c>
      <c r="E14" s="679" t="s">
        <v>1540</v>
      </c>
      <c r="F14" s="679"/>
      <c r="G14" s="679"/>
      <c r="H14" s="362" t="s">
        <v>1541</v>
      </c>
      <c r="I14" s="299"/>
      <c r="J14" s="2" t="s">
        <v>1404</v>
      </c>
    </row>
    <row r="15" spans="3:10" ht="18.75" x14ac:dyDescent="0.3">
      <c r="D15" s="2" t="s">
        <v>663</v>
      </c>
      <c r="E15" s="679" t="s">
        <v>1161</v>
      </c>
      <c r="F15" s="679"/>
      <c r="G15" s="679"/>
      <c r="H15" s="362" t="s">
        <v>1163</v>
      </c>
      <c r="I15" s="299"/>
      <c r="J15" s="2" t="s">
        <v>1404</v>
      </c>
    </row>
    <row r="16" spans="3:10" ht="18.75" x14ac:dyDescent="0.3">
      <c r="D16" s="2" t="s">
        <v>664</v>
      </c>
      <c r="E16" s="679"/>
      <c r="F16" s="679"/>
      <c r="G16" s="679"/>
      <c r="H16" s="362"/>
      <c r="I16" s="299"/>
    </row>
    <row r="17" spans="3:10" x14ac:dyDescent="0.25">
      <c r="I17"/>
    </row>
    <row r="18" spans="3:10" x14ac:dyDescent="0.25">
      <c r="C18" s="2" t="s">
        <v>734</v>
      </c>
      <c r="E18" s="363" t="s">
        <v>1164</v>
      </c>
      <c r="J18" s="58"/>
    </row>
    <row r="20" spans="3:10" x14ac:dyDescent="0.25">
      <c r="C20" s="2" t="s">
        <v>177</v>
      </c>
      <c r="E20" s="364" t="s">
        <v>1767</v>
      </c>
      <c r="G20" s="367">
        <v>46081</v>
      </c>
    </row>
    <row r="21" spans="3:10" x14ac:dyDescent="0.25">
      <c r="G21" s="367">
        <f>G20-365</f>
        <v>45716</v>
      </c>
    </row>
    <row r="22" spans="3:10" x14ac:dyDescent="0.25">
      <c r="C22" s="2" t="s">
        <v>178</v>
      </c>
      <c r="E22" s="363">
        <v>2026</v>
      </c>
      <c r="G22" s="367">
        <f>G21-365</f>
        <v>45351</v>
      </c>
      <c r="H22" s="5"/>
    </row>
    <row r="23" spans="3:10" x14ac:dyDescent="0.25">
      <c r="E23" s="5"/>
      <c r="G23" s="162"/>
    </row>
    <row r="24" spans="3:10" x14ac:dyDescent="0.25">
      <c r="C24" s="2" t="s">
        <v>107</v>
      </c>
      <c r="E24" s="365" t="s">
        <v>103</v>
      </c>
      <c r="G24" s="5" t="str">
        <f>PROPER(E20)</f>
        <v>28 February 2026</v>
      </c>
    </row>
    <row r="25" spans="3:10" hidden="1" x14ac:dyDescent="0.25">
      <c r="E25" s="5"/>
      <c r="F25" s="2" t="s">
        <v>102</v>
      </c>
      <c r="G25" s="5" t="s">
        <v>103</v>
      </c>
    </row>
    <row r="26" spans="3:10" x14ac:dyDescent="0.25">
      <c r="E26" s="5"/>
    </row>
    <row r="27" spans="3:10" x14ac:dyDescent="0.25">
      <c r="C27" s="2" t="s">
        <v>1243</v>
      </c>
      <c r="E27" s="366">
        <f>E22-1</f>
        <v>2025</v>
      </c>
    </row>
    <row r="28" spans="3:10" x14ac:dyDescent="0.25">
      <c r="E28" s="366"/>
    </row>
    <row r="29" spans="3:10" x14ac:dyDescent="0.25">
      <c r="C29" s="2" t="s">
        <v>1245</v>
      </c>
      <c r="E29" s="524" t="s">
        <v>735</v>
      </c>
    </row>
    <row r="30" spans="3:10" ht="15.75" hidden="1" customHeight="1" x14ac:dyDescent="0.25">
      <c r="E30" s="2" t="s">
        <v>842</v>
      </c>
      <c r="F30" s="2" t="s">
        <v>736</v>
      </c>
      <c r="G30" s="2" t="s">
        <v>735</v>
      </c>
    </row>
    <row r="32" spans="3:10" x14ac:dyDescent="0.25">
      <c r="C32" s="2" t="s">
        <v>746</v>
      </c>
      <c r="E32" s="525" t="s">
        <v>833</v>
      </c>
    </row>
    <row r="34" spans="3:9" ht="19.5" x14ac:dyDescent="0.35">
      <c r="C34" s="164" t="s">
        <v>181</v>
      </c>
    </row>
    <row r="36" spans="3:9" x14ac:dyDescent="0.25">
      <c r="C36" s="2" t="s">
        <v>113</v>
      </c>
      <c r="E36" s="369" t="s">
        <v>1165</v>
      </c>
      <c r="F36" s="154"/>
    </row>
    <row r="37" spans="3:9" x14ac:dyDescent="0.25">
      <c r="E37" s="370" t="s">
        <v>1166</v>
      </c>
      <c r="F37" s="155"/>
    </row>
    <row r="38" spans="3:9" x14ac:dyDescent="0.25">
      <c r="E38" s="370" t="s">
        <v>1167</v>
      </c>
      <c r="F38" s="155"/>
    </row>
    <row r="39" spans="3:9" x14ac:dyDescent="0.25">
      <c r="E39" s="371"/>
      <c r="F39" s="156"/>
    </row>
    <row r="40" spans="3:9" x14ac:dyDescent="0.25">
      <c r="G40" s="5" t="s">
        <v>859</v>
      </c>
    </row>
    <row r="41" spans="3:9" x14ac:dyDescent="0.25">
      <c r="C41" s="2" t="s">
        <v>520</v>
      </c>
      <c r="D41" s="157"/>
      <c r="E41" s="368" t="s">
        <v>858</v>
      </c>
      <c r="F41" s="372" t="s">
        <v>116</v>
      </c>
      <c r="G41" s="372" t="s">
        <v>860</v>
      </c>
      <c r="H41" s="2" t="str">
        <f>E41</f>
        <v>A Director</v>
      </c>
      <c r="I41" s="2">
        <f>IF(H41=0," ",1)</f>
        <v>1</v>
      </c>
    </row>
    <row r="42" spans="3:9" x14ac:dyDescent="0.25">
      <c r="D42" s="158"/>
      <c r="E42" s="368" t="s">
        <v>1544</v>
      </c>
      <c r="F42" s="372" t="s">
        <v>116</v>
      </c>
      <c r="G42" s="372" t="s">
        <v>860</v>
      </c>
      <c r="H42" s="2" t="str">
        <f>E42</f>
        <v>B Director</v>
      </c>
      <c r="I42" s="2">
        <f>IF(H42=0," ",I41+1)</f>
        <v>2</v>
      </c>
    </row>
    <row r="43" spans="3:9" x14ac:dyDescent="0.25">
      <c r="D43" s="157"/>
      <c r="E43" s="368"/>
      <c r="F43" s="368"/>
      <c r="G43" s="368"/>
      <c r="H43" s="2">
        <f>E43</f>
        <v>0</v>
      </c>
      <c r="I43" s="2" t="str">
        <f>IF(H43=0," ",I42+1)</f>
        <v xml:space="preserve"> </v>
      </c>
    </row>
    <row r="44" spans="3:9" x14ac:dyDescent="0.25">
      <c r="D44" s="158"/>
      <c r="E44" s="368"/>
      <c r="F44" s="368"/>
      <c r="G44" s="368"/>
      <c r="H44" s="2">
        <f>E44</f>
        <v>0</v>
      </c>
      <c r="I44" s="2" t="str">
        <f>IF(H44=0," ",I43+1)</f>
        <v xml:space="preserve"> </v>
      </c>
    </row>
    <row r="45" spans="3:9" x14ac:dyDescent="0.25">
      <c r="D45" s="158"/>
      <c r="E45" s="368"/>
      <c r="F45" s="368"/>
      <c r="G45" s="368"/>
      <c r="H45" s="2">
        <f>E45</f>
        <v>0</v>
      </c>
      <c r="I45" s="2" t="str">
        <f>IF(H45=0," ",I44+1)</f>
        <v xml:space="preserve"> </v>
      </c>
    </row>
    <row r="47" spans="3:9" hidden="1" x14ac:dyDescent="0.25">
      <c r="G47" s="2" t="s">
        <v>363</v>
      </c>
    </row>
    <row r="48" spans="3:9" hidden="1" x14ac:dyDescent="0.25">
      <c r="G48" s="2" t="s">
        <v>365</v>
      </c>
    </row>
    <row r="49" spans="3:10" hidden="1" x14ac:dyDescent="0.25">
      <c r="G49" s="2" t="s">
        <v>364</v>
      </c>
    </row>
    <row r="50" spans="3:10" x14ac:dyDescent="0.25">
      <c r="E50" s="2" t="s">
        <v>861</v>
      </c>
      <c r="G50" s="365" t="s">
        <v>103</v>
      </c>
    </row>
    <row r="51" spans="3:10" x14ac:dyDescent="0.25">
      <c r="F51" s="2" t="s">
        <v>526</v>
      </c>
      <c r="G51" s="372" t="s">
        <v>1008</v>
      </c>
      <c r="H51" s="159"/>
      <c r="I51" s="159"/>
      <c r="J51" s="159"/>
    </row>
    <row r="52" spans="3:10" x14ac:dyDescent="0.25">
      <c r="G52" s="372"/>
      <c r="H52" s="159"/>
      <c r="I52" s="159"/>
      <c r="J52" s="159"/>
    </row>
    <row r="54" spans="3:10" x14ac:dyDescent="0.25">
      <c r="C54" s="2" t="s">
        <v>1405</v>
      </c>
      <c r="E54" s="368"/>
      <c r="F54" s="372"/>
      <c r="G54" s="2">
        <f>E54</f>
        <v>0</v>
      </c>
      <c r="H54" s="2" t="str">
        <f>IF(G54=0," ",1)</f>
        <v xml:space="preserve"> </v>
      </c>
    </row>
    <row r="55" spans="3:10" x14ac:dyDescent="0.25">
      <c r="E55" s="368"/>
      <c r="F55" s="372"/>
      <c r="G55" s="2">
        <f t="shared" ref="G55:G58" si="0">E55</f>
        <v>0</v>
      </c>
      <c r="H55" s="2" t="str">
        <f>IF(G55=0," ",H54+1)</f>
        <v xml:space="preserve"> </v>
      </c>
    </row>
    <row r="56" spans="3:10" x14ac:dyDescent="0.25">
      <c r="E56" s="368"/>
      <c r="F56" s="368"/>
      <c r="G56" s="2">
        <f t="shared" si="0"/>
        <v>0</v>
      </c>
      <c r="H56" s="2" t="str">
        <f>IF(G56=0," ",H55+1)</f>
        <v xml:space="preserve"> </v>
      </c>
    </row>
    <row r="57" spans="3:10" x14ac:dyDescent="0.25">
      <c r="E57" s="368"/>
      <c r="F57" s="368"/>
      <c r="G57" s="2">
        <f t="shared" si="0"/>
        <v>0</v>
      </c>
      <c r="H57" s="2" t="str">
        <f>IF(G57=0," ",H56+1)</f>
        <v xml:space="preserve"> </v>
      </c>
    </row>
    <row r="58" spans="3:10" x14ac:dyDescent="0.25">
      <c r="E58" s="368"/>
      <c r="F58" s="368"/>
      <c r="G58" s="2">
        <f t="shared" si="0"/>
        <v>0</v>
      </c>
      <c r="H58" s="2" t="str">
        <f>IF(G58=0," ",H57+1)</f>
        <v xml:space="preserve"> </v>
      </c>
    </row>
    <row r="60" spans="3:10" x14ac:dyDescent="0.25">
      <c r="C60" s="2" t="s">
        <v>114</v>
      </c>
      <c r="E60" s="368"/>
    </row>
    <row r="61" spans="3:10" x14ac:dyDescent="0.25">
      <c r="E61" s="368"/>
    </row>
    <row r="62" spans="3:10" x14ac:dyDescent="0.25">
      <c r="E62" s="373"/>
      <c r="G62" s="58"/>
    </row>
    <row r="63" spans="3:10" x14ac:dyDescent="0.25">
      <c r="E63" s="374"/>
    </row>
    <row r="65" spans="1:10" x14ac:dyDescent="0.25">
      <c r="C65" s="2" t="s">
        <v>984</v>
      </c>
      <c r="E65" s="374"/>
    </row>
    <row r="66" spans="1:10" x14ac:dyDescent="0.25">
      <c r="E66" s="374"/>
    </row>
    <row r="67" spans="1:10" x14ac:dyDescent="0.25">
      <c r="E67" s="373"/>
    </row>
    <row r="68" spans="1:10" x14ac:dyDescent="0.25">
      <c r="E68" s="374"/>
    </row>
    <row r="70" spans="1:10" x14ac:dyDescent="0.25">
      <c r="C70" s="2" t="s">
        <v>44</v>
      </c>
      <c r="E70" s="368"/>
    </row>
    <row r="71" spans="1:10" x14ac:dyDescent="0.25">
      <c r="E71" s="368"/>
    </row>
    <row r="72" spans="1:10" x14ac:dyDescent="0.25">
      <c r="E72" s="373"/>
    </row>
    <row r="73" spans="1:10" x14ac:dyDescent="0.25">
      <c r="E73" s="374"/>
    </row>
    <row r="75" spans="1:10" x14ac:dyDescent="0.25">
      <c r="C75" s="2" t="s">
        <v>863</v>
      </c>
      <c r="E75" s="374"/>
    </row>
    <row r="76" spans="1:10" x14ac:dyDescent="0.25">
      <c r="E76" s="374"/>
    </row>
    <row r="77" spans="1:10" x14ac:dyDescent="0.25">
      <c r="E77" s="374"/>
    </row>
    <row r="80" spans="1:10" ht="18.75" x14ac:dyDescent="0.3">
      <c r="A80" s="676" t="s">
        <v>629</v>
      </c>
      <c r="B80" s="676"/>
      <c r="C80" s="676"/>
      <c r="D80" s="676"/>
      <c r="E80" s="676"/>
      <c r="F80" s="676"/>
      <c r="G80" s="676"/>
      <c r="H80" s="676"/>
      <c r="I80" s="676"/>
      <c r="J80" s="676"/>
    </row>
    <row r="82" spans="3:10" ht="19.5" x14ac:dyDescent="0.35">
      <c r="C82" s="164" t="s">
        <v>521</v>
      </c>
    </row>
    <row r="83" spans="3:10" x14ac:dyDescent="0.25">
      <c r="F83" s="29"/>
    </row>
    <row r="84" spans="3:10" x14ac:dyDescent="0.25">
      <c r="C84" s="680" t="s">
        <v>1467</v>
      </c>
      <c r="D84" s="680"/>
      <c r="E84" s="680"/>
      <c r="F84" s="680"/>
    </row>
    <row r="85" spans="3:10" x14ac:dyDescent="0.25">
      <c r="E85" s="29"/>
    </row>
    <row r="86" spans="3:10" x14ac:dyDescent="0.25">
      <c r="C86" s="2" t="s">
        <v>522</v>
      </c>
      <c r="E86" s="29"/>
      <c r="F86" s="365" t="s">
        <v>102</v>
      </c>
    </row>
    <row r="87" spans="3:10" x14ac:dyDescent="0.25">
      <c r="E87" s="29"/>
    </row>
    <row r="88" spans="3:10" x14ac:dyDescent="0.25">
      <c r="C88" s="2" t="s">
        <v>523</v>
      </c>
      <c r="E88" s="29"/>
      <c r="F88" s="365" t="s">
        <v>102</v>
      </c>
    </row>
    <row r="89" spans="3:10" x14ac:dyDescent="0.25">
      <c r="E89" s="29"/>
    </row>
    <row r="90" spans="3:10" x14ac:dyDescent="0.25">
      <c r="C90" s="2" t="s">
        <v>524</v>
      </c>
      <c r="E90" s="29"/>
      <c r="F90" s="365" t="s">
        <v>103</v>
      </c>
    </row>
    <row r="91" spans="3:10" x14ac:dyDescent="0.25">
      <c r="E91" s="29"/>
    </row>
    <row r="92" spans="3:10" x14ac:dyDescent="0.25">
      <c r="C92" s="2" t="s">
        <v>525</v>
      </c>
      <c r="E92" s="29"/>
      <c r="F92" s="365" t="s">
        <v>103</v>
      </c>
      <c r="G92" s="375" t="s">
        <v>1768</v>
      </c>
      <c r="H92" s="161"/>
      <c r="I92" s="161"/>
      <c r="J92" s="161"/>
    </row>
    <row r="93" spans="3:10" x14ac:dyDescent="0.25">
      <c r="E93" s="29"/>
      <c r="G93" s="611" t="s">
        <v>1769</v>
      </c>
      <c r="H93" s="161"/>
      <c r="I93" s="161"/>
      <c r="J93" s="161"/>
    </row>
    <row r="94" spans="3:10" x14ac:dyDescent="0.25">
      <c r="E94" s="29"/>
    </row>
    <row r="95" spans="3:10" x14ac:dyDescent="0.25">
      <c r="C95" s="2" t="s">
        <v>888</v>
      </c>
      <c r="E95" s="29"/>
      <c r="F95" s="365" t="s">
        <v>103</v>
      </c>
    </row>
    <row r="96" spans="3:10" x14ac:dyDescent="0.25">
      <c r="E96" s="29"/>
      <c r="F96" s="2" t="s">
        <v>526</v>
      </c>
      <c r="G96" s="375" t="s">
        <v>1156</v>
      </c>
      <c r="H96" s="161"/>
      <c r="I96" s="161"/>
      <c r="J96" s="161"/>
    </row>
    <row r="97" spans="3:13" x14ac:dyDescent="0.25">
      <c r="E97" s="29"/>
      <c r="G97" s="375"/>
      <c r="H97" s="161"/>
      <c r="I97" s="161"/>
      <c r="J97" s="161"/>
    </row>
    <row r="98" spans="3:13" x14ac:dyDescent="0.25">
      <c r="E98" s="29"/>
    </row>
    <row r="99" spans="3:13" x14ac:dyDescent="0.25">
      <c r="C99" s="2" t="s">
        <v>527</v>
      </c>
      <c r="E99" s="29"/>
      <c r="F99" s="365" t="s">
        <v>103</v>
      </c>
    </row>
    <row r="100" spans="3:13" x14ac:dyDescent="0.25">
      <c r="E100" s="29"/>
      <c r="F100" s="2" t="s">
        <v>526</v>
      </c>
      <c r="G100" s="375" t="s">
        <v>889</v>
      </c>
      <c r="H100" s="161"/>
      <c r="I100" s="161"/>
      <c r="J100" s="161"/>
    </row>
    <row r="101" spans="3:13" x14ac:dyDescent="0.25">
      <c r="E101" s="29"/>
    </row>
    <row r="102" spans="3:13" x14ac:dyDescent="0.25">
      <c r="C102" s="2" t="s">
        <v>851</v>
      </c>
      <c r="E102" s="29"/>
      <c r="F102" s="365" t="s">
        <v>103</v>
      </c>
    </row>
    <row r="103" spans="3:13" x14ac:dyDescent="0.25">
      <c r="E103" s="29"/>
    </row>
    <row r="104" spans="3:13" x14ac:dyDescent="0.25">
      <c r="E104" s="29"/>
      <c r="F104" s="2" t="s">
        <v>526</v>
      </c>
      <c r="G104" s="375"/>
      <c r="H104" s="161"/>
      <c r="I104" s="161"/>
      <c r="J104" s="161"/>
      <c r="M104" s="2"/>
    </row>
    <row r="105" spans="3:13" x14ac:dyDescent="0.25">
      <c r="E105" s="29"/>
      <c r="G105" s="375"/>
      <c r="H105" s="161"/>
      <c r="I105" s="161"/>
      <c r="J105" s="161"/>
      <c r="M105" s="2"/>
    </row>
    <row r="106" spans="3:13" x14ac:dyDescent="0.25">
      <c r="E106" s="29"/>
      <c r="G106" s="375"/>
      <c r="H106" s="161"/>
      <c r="I106" s="161"/>
      <c r="J106" s="161"/>
      <c r="M106" s="2"/>
    </row>
    <row r="108" spans="3:13" x14ac:dyDescent="0.25">
      <c r="C108" s="2" t="s">
        <v>68</v>
      </c>
      <c r="F108" s="365" t="s">
        <v>102</v>
      </c>
    </row>
    <row r="110" spans="3:13" x14ac:dyDescent="0.25">
      <c r="C110" s="2" t="s">
        <v>281</v>
      </c>
      <c r="F110" s="365" t="s">
        <v>102</v>
      </c>
    </row>
    <row r="112" spans="3:13" x14ac:dyDescent="0.25">
      <c r="C112" s="20" t="s">
        <v>528</v>
      </c>
    </row>
    <row r="113" spans="3:8" x14ac:dyDescent="0.25">
      <c r="E113" s="5">
        <f>E22</f>
        <v>2026</v>
      </c>
      <c r="F113" s="5">
        <f>E27</f>
        <v>2025</v>
      </c>
    </row>
    <row r="114" spans="3:8" x14ac:dyDescent="0.25">
      <c r="C114" s="2" t="s">
        <v>1253</v>
      </c>
      <c r="E114" s="376">
        <v>1000</v>
      </c>
      <c r="F114" s="376">
        <v>1000</v>
      </c>
      <c r="G114" s="2" t="str">
        <f>CONCATENATE(E114," Ordinary shares of R",E115," each")</f>
        <v>1000 Ordinary shares of R1 each</v>
      </c>
    </row>
    <row r="115" spans="3:8" x14ac:dyDescent="0.25">
      <c r="E115" s="377">
        <v>1</v>
      </c>
      <c r="F115" s="377">
        <v>1</v>
      </c>
    </row>
    <row r="117" spans="3:8" x14ac:dyDescent="0.25">
      <c r="C117" s="2" t="s">
        <v>890</v>
      </c>
      <c r="E117" s="378">
        <v>100</v>
      </c>
      <c r="F117" s="378">
        <v>100</v>
      </c>
      <c r="G117" s="2" t="str">
        <f>CONCATENATE(E117," Ordinary shares of R",E118," each")</f>
        <v>100 Ordinary shares of R1 each</v>
      </c>
    </row>
    <row r="118" spans="3:8" x14ac:dyDescent="0.25">
      <c r="E118" s="377">
        <v>1</v>
      </c>
      <c r="F118" s="377">
        <v>1</v>
      </c>
    </row>
    <row r="119" spans="3:8" x14ac:dyDescent="0.25">
      <c r="E119" s="29"/>
    </row>
    <row r="120" spans="3:8" ht="16.5" x14ac:dyDescent="0.3">
      <c r="C120" s="163" t="s">
        <v>120</v>
      </c>
    </row>
    <row r="121" spans="3:8" ht="16.5" x14ac:dyDescent="0.3">
      <c r="C121" s="163"/>
    </row>
    <row r="122" spans="3:8" x14ac:dyDescent="0.25">
      <c r="C122" s="2" t="s">
        <v>1472</v>
      </c>
      <c r="E122" s="365" t="s">
        <v>103</v>
      </c>
    </row>
    <row r="123" spans="3:8" ht="16.5" x14ac:dyDescent="0.3">
      <c r="C123" s="163"/>
    </row>
    <row r="124" spans="3:8" x14ac:dyDescent="0.25">
      <c r="C124" s="2" t="s">
        <v>1217</v>
      </c>
    </row>
    <row r="125" spans="3:8" x14ac:dyDescent="0.25">
      <c r="C125" s="2" t="s">
        <v>1473</v>
      </c>
      <c r="F125" s="365" t="s">
        <v>103</v>
      </c>
    </row>
    <row r="126" spans="3:8" ht="16.5" x14ac:dyDescent="0.3">
      <c r="C126" s="163"/>
    </row>
    <row r="127" spans="3:8" x14ac:dyDescent="0.25">
      <c r="C127" s="2" t="s">
        <v>1218</v>
      </c>
      <c r="F127" s="375"/>
      <c r="G127" s="375"/>
      <c r="H127" s="375"/>
    </row>
    <row r="128" spans="3:8" ht="16.5" x14ac:dyDescent="0.3">
      <c r="C128" s="163"/>
      <c r="F128" s="375"/>
      <c r="G128" s="375"/>
      <c r="H128" s="375"/>
    </row>
    <row r="129" spans="2:12" ht="16.5" x14ac:dyDescent="0.3">
      <c r="C129" s="163"/>
      <c r="F129" s="375"/>
      <c r="G129" s="375"/>
      <c r="H129" s="375"/>
    </row>
    <row r="130" spans="2:12" ht="16.5" x14ac:dyDescent="0.3">
      <c r="C130" s="163"/>
      <c r="F130" s="375"/>
      <c r="G130" s="375"/>
      <c r="H130" s="375"/>
    </row>
    <row r="131" spans="2:12" ht="16.5" x14ac:dyDescent="0.3">
      <c r="C131" s="163"/>
      <c r="F131" s="375"/>
      <c r="G131" s="375"/>
      <c r="H131" s="375"/>
    </row>
    <row r="133" spans="2:12" x14ac:dyDescent="0.25">
      <c r="B133" s="13"/>
      <c r="C133" s="20" t="s">
        <v>1224</v>
      </c>
      <c r="F133" s="23"/>
      <c r="G133" s="23"/>
      <c r="H133" s="23"/>
      <c r="I133" s="22"/>
      <c r="J133" s="22"/>
      <c r="L133" s="8"/>
    </row>
    <row r="135" spans="2:12" x14ac:dyDescent="0.25">
      <c r="C135" s="2" t="s">
        <v>1350</v>
      </c>
      <c r="F135" s="365" t="s">
        <v>102</v>
      </c>
    </row>
    <row r="137" spans="2:12" x14ac:dyDescent="0.25">
      <c r="F137" s="5">
        <f>E22</f>
        <v>2026</v>
      </c>
      <c r="G137" s="5">
        <f>E27</f>
        <v>2025</v>
      </c>
    </row>
    <row r="138" spans="2:12" x14ac:dyDescent="0.25">
      <c r="C138" s="2" t="s">
        <v>1438</v>
      </c>
    </row>
    <row r="140" spans="2:12" x14ac:dyDescent="0.25">
      <c r="C140" s="386"/>
      <c r="D140" s="386"/>
      <c r="E140" s="386"/>
      <c r="F140" s="386"/>
      <c r="G140" s="386"/>
    </row>
    <row r="141" spans="2:12" x14ac:dyDescent="0.25">
      <c r="C141" s="386"/>
      <c r="D141" s="386"/>
      <c r="E141" s="386"/>
      <c r="F141" s="386"/>
      <c r="G141" s="386"/>
    </row>
    <row r="142" spans="2:12" x14ac:dyDescent="0.25">
      <c r="C142" s="386"/>
      <c r="D142" s="386"/>
      <c r="E142" s="386"/>
      <c r="F142" s="386"/>
      <c r="G142" s="386"/>
    </row>
    <row r="143" spans="2:12" x14ac:dyDescent="0.25">
      <c r="C143" s="386"/>
      <c r="D143" s="386"/>
      <c r="E143" s="386"/>
      <c r="F143" s="386"/>
      <c r="G143" s="386"/>
    </row>
    <row r="144" spans="2:12" x14ac:dyDescent="0.25">
      <c r="C144" s="386"/>
      <c r="D144" s="386"/>
      <c r="E144" s="386"/>
      <c r="F144" s="386"/>
      <c r="G144" s="386"/>
    </row>
    <row r="145" spans="3:7" x14ac:dyDescent="0.25">
      <c r="C145" s="386"/>
      <c r="D145" s="386"/>
      <c r="E145" s="386"/>
      <c r="F145" s="386"/>
      <c r="G145" s="386"/>
    </row>
    <row r="146" spans="3:7" x14ac:dyDescent="0.25">
      <c r="C146" s="386"/>
      <c r="D146" s="386"/>
      <c r="E146" s="386"/>
      <c r="F146" s="386"/>
      <c r="G146" s="386"/>
    </row>
    <row r="147" spans="3:7" x14ac:dyDescent="0.25">
      <c r="C147" s="386"/>
      <c r="D147" s="386"/>
      <c r="E147" s="386"/>
      <c r="F147" s="386"/>
      <c r="G147" s="386"/>
    </row>
    <row r="148" spans="3:7" x14ac:dyDescent="0.25">
      <c r="C148" s="386"/>
      <c r="D148" s="386"/>
      <c r="E148" s="386"/>
      <c r="F148" s="386"/>
      <c r="G148" s="386"/>
    </row>
    <row r="149" spans="3:7" x14ac:dyDescent="0.25">
      <c r="C149" s="386"/>
      <c r="D149" s="386"/>
      <c r="E149" s="386"/>
      <c r="F149" s="386"/>
      <c r="G149" s="386"/>
    </row>
    <row r="150" spans="3:7" x14ac:dyDescent="0.25">
      <c r="C150" s="386"/>
      <c r="D150" s="386"/>
      <c r="E150" s="386"/>
      <c r="F150" s="386"/>
      <c r="G150" s="386"/>
    </row>
    <row r="151" spans="3:7" x14ac:dyDescent="0.25">
      <c r="C151" s="386"/>
      <c r="D151" s="386"/>
      <c r="E151" s="386"/>
      <c r="F151" s="386"/>
      <c r="G151" s="386"/>
    </row>
    <row r="152" spans="3:7" x14ac:dyDescent="0.25">
      <c r="C152" s="386"/>
      <c r="D152" s="386"/>
      <c r="E152" s="386"/>
      <c r="F152" s="386"/>
      <c r="G152" s="386"/>
    </row>
    <row r="153" spans="3:7" x14ac:dyDescent="0.25">
      <c r="C153" s="386"/>
      <c r="D153" s="386"/>
      <c r="E153" s="386"/>
      <c r="F153" s="386"/>
      <c r="G153" s="386"/>
    </row>
    <row r="154" spans="3:7" x14ac:dyDescent="0.25">
      <c r="C154" s="386"/>
      <c r="D154" s="386"/>
      <c r="E154" s="386"/>
      <c r="F154" s="386"/>
      <c r="G154" s="386"/>
    </row>
    <row r="155" spans="3:7" x14ac:dyDescent="0.25">
      <c r="C155" s="386"/>
      <c r="D155" s="386"/>
      <c r="E155" s="386"/>
      <c r="F155" s="386"/>
      <c r="G155" s="386"/>
    </row>
    <row r="156" spans="3:7" x14ac:dyDescent="0.25">
      <c r="C156" s="386"/>
      <c r="D156" s="386"/>
      <c r="E156" s="386"/>
      <c r="F156" s="386"/>
      <c r="G156" s="386"/>
    </row>
    <row r="157" spans="3:7" x14ac:dyDescent="0.25">
      <c r="C157" s="386"/>
      <c r="D157" s="386"/>
      <c r="E157" s="386"/>
      <c r="F157" s="386"/>
      <c r="G157" s="386"/>
    </row>
    <row r="158" spans="3:7" x14ac:dyDescent="0.25">
      <c r="C158" s="386"/>
      <c r="D158" s="386"/>
      <c r="E158" s="386"/>
      <c r="F158" s="386"/>
      <c r="G158" s="386"/>
    </row>
    <row r="159" spans="3:7" x14ac:dyDescent="0.25">
      <c r="C159" s="386"/>
      <c r="D159" s="386"/>
      <c r="E159" s="386"/>
      <c r="F159" s="386"/>
      <c r="G159" s="386"/>
    </row>
    <row r="160" spans="3:7" x14ac:dyDescent="0.25">
      <c r="C160" s="386"/>
      <c r="D160" s="386"/>
      <c r="E160" s="386"/>
      <c r="F160" s="386"/>
      <c r="G160" s="386"/>
    </row>
    <row r="161" spans="3:7" x14ac:dyDescent="0.25">
      <c r="C161" s="386"/>
      <c r="D161" s="386"/>
      <c r="E161" s="386"/>
      <c r="F161" s="386"/>
      <c r="G161" s="386"/>
    </row>
    <row r="162" spans="3:7" x14ac:dyDescent="0.25">
      <c r="C162" s="386"/>
      <c r="D162" s="386"/>
      <c r="E162" s="386"/>
      <c r="F162" s="386"/>
      <c r="G162" s="386"/>
    </row>
    <row r="163" spans="3:7" x14ac:dyDescent="0.25">
      <c r="C163" s="386"/>
      <c r="D163" s="386"/>
      <c r="E163" s="386"/>
      <c r="F163" s="386"/>
      <c r="G163" s="386"/>
    </row>
    <row r="164" spans="3:7" x14ac:dyDescent="0.25">
      <c r="C164" s="386"/>
      <c r="D164" s="386"/>
      <c r="E164" s="386"/>
      <c r="F164" s="386"/>
      <c r="G164" s="386"/>
    </row>
    <row r="165" spans="3:7" x14ac:dyDescent="0.25">
      <c r="C165" s="386"/>
      <c r="D165" s="386"/>
      <c r="E165" s="386"/>
      <c r="F165" s="386"/>
      <c r="G165" s="386"/>
    </row>
    <row r="166" spans="3:7" x14ac:dyDescent="0.25">
      <c r="C166" s="386"/>
      <c r="D166" s="386"/>
      <c r="E166" s="386"/>
      <c r="F166" s="386"/>
      <c r="G166" s="386"/>
    </row>
    <row r="167" spans="3:7" x14ac:dyDescent="0.25">
      <c r="C167" s="386"/>
      <c r="D167" s="386"/>
      <c r="E167" s="386"/>
      <c r="F167" s="386"/>
      <c r="G167" s="386"/>
    </row>
    <row r="168" spans="3:7" x14ac:dyDescent="0.25">
      <c r="C168" s="386"/>
      <c r="D168" s="386"/>
      <c r="E168" s="386"/>
      <c r="F168" s="386"/>
      <c r="G168" s="386"/>
    </row>
    <row r="169" spans="3:7" x14ac:dyDescent="0.25">
      <c r="C169" s="386"/>
      <c r="D169" s="386"/>
      <c r="E169" s="386"/>
      <c r="F169" s="386"/>
      <c r="G169" s="386"/>
    </row>
    <row r="170" spans="3:7" x14ac:dyDescent="0.25">
      <c r="C170" s="386"/>
      <c r="D170" s="386"/>
      <c r="E170" s="386"/>
      <c r="F170" s="386"/>
      <c r="G170" s="386"/>
    </row>
    <row r="171" spans="3:7" x14ac:dyDescent="0.25">
      <c r="C171" s="386"/>
      <c r="D171" s="386"/>
      <c r="E171" s="386"/>
      <c r="F171" s="386"/>
      <c r="G171" s="386"/>
    </row>
    <row r="172" spans="3:7" x14ac:dyDescent="0.25">
      <c r="C172" s="386"/>
      <c r="D172" s="386"/>
      <c r="E172" s="386"/>
      <c r="F172" s="386"/>
      <c r="G172" s="386"/>
    </row>
    <row r="173" spans="3:7" x14ac:dyDescent="0.25">
      <c r="C173" s="386"/>
      <c r="D173" s="386"/>
      <c r="E173" s="386"/>
      <c r="F173" s="386"/>
      <c r="G173" s="386"/>
    </row>
    <row r="174" spans="3:7" x14ac:dyDescent="0.25">
      <c r="C174" s="386"/>
      <c r="D174" s="386"/>
      <c r="E174" s="386"/>
      <c r="F174" s="386"/>
      <c r="G174" s="386"/>
    </row>
    <row r="175" spans="3:7" x14ac:dyDescent="0.25">
      <c r="C175" s="386"/>
      <c r="D175" s="386"/>
      <c r="E175" s="386"/>
      <c r="F175" s="386"/>
      <c r="G175" s="386"/>
    </row>
    <row r="176" spans="3:7" x14ac:dyDescent="0.25">
      <c r="C176" s="386"/>
      <c r="D176" s="386"/>
      <c r="E176" s="386"/>
      <c r="F176" s="386"/>
      <c r="G176" s="386"/>
    </row>
    <row r="177" spans="3:7" x14ac:dyDescent="0.25">
      <c r="C177" s="386"/>
      <c r="D177" s="386"/>
      <c r="E177" s="386"/>
      <c r="F177" s="386"/>
      <c r="G177" s="386"/>
    </row>
    <row r="178" spans="3:7" ht="16.5" thickBot="1" x14ac:dyDescent="0.3">
      <c r="F178" s="571">
        <f>SUM(F140:F177)</f>
        <v>0</v>
      </c>
      <c r="G178" s="571">
        <f>SUM(G140:G177)</f>
        <v>0</v>
      </c>
    </row>
    <row r="179" spans="3:7" ht="16.5" thickTop="1" x14ac:dyDescent="0.25"/>
    <row r="180" spans="3:7" x14ac:dyDescent="0.25">
      <c r="C180" s="2" t="s">
        <v>1439</v>
      </c>
    </row>
    <row r="182" spans="3:7" x14ac:dyDescent="0.25">
      <c r="C182" s="386"/>
      <c r="D182" s="386"/>
      <c r="E182" s="386"/>
      <c r="F182" s="386"/>
      <c r="G182" s="386"/>
    </row>
    <row r="183" spans="3:7" x14ac:dyDescent="0.25">
      <c r="C183" s="386"/>
      <c r="D183" s="386"/>
      <c r="E183" s="386"/>
      <c r="F183" s="386"/>
      <c r="G183" s="386"/>
    </row>
    <row r="184" spans="3:7" x14ac:dyDescent="0.25">
      <c r="C184" s="386"/>
      <c r="D184" s="386"/>
      <c r="E184" s="386"/>
      <c r="F184" s="386"/>
      <c r="G184" s="386"/>
    </row>
    <row r="185" spans="3:7" x14ac:dyDescent="0.25">
      <c r="C185" s="386"/>
      <c r="D185" s="386"/>
      <c r="E185" s="386"/>
      <c r="F185" s="386"/>
      <c r="G185" s="386"/>
    </row>
    <row r="186" spans="3:7" x14ac:dyDescent="0.25">
      <c r="C186" s="386"/>
      <c r="D186" s="386"/>
      <c r="E186" s="386"/>
      <c r="F186" s="386"/>
      <c r="G186" s="386"/>
    </row>
    <row r="187" spans="3:7" x14ac:dyDescent="0.25">
      <c r="C187" s="386"/>
      <c r="D187" s="386"/>
      <c r="E187" s="386"/>
      <c r="F187" s="386"/>
      <c r="G187" s="386"/>
    </row>
    <row r="188" spans="3:7" x14ac:dyDescent="0.25">
      <c r="C188" s="386"/>
      <c r="D188" s="386"/>
      <c r="E188" s="386"/>
      <c r="F188" s="386"/>
      <c r="G188" s="386"/>
    </row>
    <row r="189" spans="3:7" x14ac:dyDescent="0.25">
      <c r="C189" s="386"/>
      <c r="D189" s="386"/>
      <c r="E189" s="386"/>
      <c r="F189" s="386"/>
      <c r="G189" s="386"/>
    </row>
    <row r="190" spans="3:7" x14ac:dyDescent="0.25">
      <c r="C190" s="386"/>
      <c r="D190" s="386"/>
      <c r="E190" s="386"/>
      <c r="F190" s="386"/>
      <c r="G190" s="386"/>
    </row>
    <row r="191" spans="3:7" x14ac:dyDescent="0.25">
      <c r="C191" s="386"/>
      <c r="D191" s="386"/>
      <c r="E191" s="386"/>
      <c r="F191" s="386"/>
      <c r="G191" s="386"/>
    </row>
    <row r="192" spans="3:7" x14ac:dyDescent="0.25">
      <c r="C192" s="386"/>
      <c r="D192" s="386"/>
      <c r="E192" s="386"/>
      <c r="F192" s="386"/>
      <c r="G192" s="386"/>
    </row>
    <row r="193" spans="3:7" x14ac:dyDescent="0.25">
      <c r="C193" s="386"/>
      <c r="D193" s="386"/>
      <c r="E193" s="386"/>
      <c r="F193" s="386"/>
      <c r="G193" s="386"/>
    </row>
    <row r="194" spans="3:7" x14ac:dyDescent="0.25">
      <c r="C194" s="386"/>
      <c r="D194" s="386"/>
      <c r="E194" s="386"/>
      <c r="F194" s="386"/>
      <c r="G194" s="386"/>
    </row>
    <row r="195" spans="3:7" x14ac:dyDescent="0.25">
      <c r="C195" s="386"/>
      <c r="D195" s="386"/>
      <c r="E195" s="386"/>
      <c r="F195" s="386"/>
      <c r="G195" s="386"/>
    </row>
    <row r="196" spans="3:7" x14ac:dyDescent="0.25">
      <c r="C196" s="386"/>
      <c r="D196" s="386"/>
      <c r="E196" s="386"/>
      <c r="F196" s="386"/>
      <c r="G196" s="386"/>
    </row>
    <row r="197" spans="3:7" x14ac:dyDescent="0.25">
      <c r="C197" s="386"/>
      <c r="D197" s="386"/>
      <c r="E197" s="386"/>
      <c r="F197" s="386"/>
      <c r="G197" s="386"/>
    </row>
    <row r="198" spans="3:7" x14ac:dyDescent="0.25">
      <c r="C198" s="386"/>
      <c r="D198" s="386"/>
      <c r="E198" s="386"/>
      <c r="F198" s="386"/>
      <c r="G198" s="386"/>
    </row>
    <row r="199" spans="3:7" x14ac:dyDescent="0.25">
      <c r="C199" s="386"/>
      <c r="D199" s="386"/>
      <c r="E199" s="386"/>
      <c r="F199" s="386"/>
      <c r="G199" s="386"/>
    </row>
    <row r="200" spans="3:7" x14ac:dyDescent="0.25">
      <c r="C200" s="386"/>
      <c r="D200" s="386"/>
      <c r="E200" s="386"/>
      <c r="F200" s="386"/>
      <c r="G200" s="386"/>
    </row>
    <row r="201" spans="3:7" x14ac:dyDescent="0.25">
      <c r="C201" s="386"/>
      <c r="D201" s="386"/>
      <c r="E201" s="386"/>
      <c r="F201" s="386"/>
      <c r="G201" s="386"/>
    </row>
    <row r="202" spans="3:7" x14ac:dyDescent="0.25">
      <c r="C202" s="386"/>
      <c r="D202" s="386"/>
      <c r="E202" s="386"/>
      <c r="F202" s="386"/>
      <c r="G202" s="386"/>
    </row>
    <row r="203" spans="3:7" x14ac:dyDescent="0.25">
      <c r="C203" s="386"/>
      <c r="D203" s="386"/>
      <c r="E203" s="386"/>
      <c r="F203" s="386"/>
      <c r="G203" s="386"/>
    </row>
    <row r="204" spans="3:7" x14ac:dyDescent="0.25">
      <c r="C204" s="386"/>
      <c r="D204" s="386"/>
      <c r="E204" s="386"/>
      <c r="F204" s="386"/>
      <c r="G204" s="386"/>
    </row>
    <row r="205" spans="3:7" x14ac:dyDescent="0.25">
      <c r="C205" s="386"/>
      <c r="D205" s="386"/>
      <c r="E205" s="386"/>
      <c r="F205" s="386"/>
      <c r="G205" s="386"/>
    </row>
    <row r="206" spans="3:7" x14ac:dyDescent="0.25">
      <c r="C206" s="386"/>
      <c r="D206" s="386"/>
      <c r="E206" s="386"/>
      <c r="F206" s="386"/>
      <c r="G206" s="386"/>
    </row>
    <row r="207" spans="3:7" x14ac:dyDescent="0.25">
      <c r="C207" s="386"/>
      <c r="D207" s="386"/>
      <c r="E207" s="386"/>
      <c r="F207" s="386"/>
      <c r="G207" s="386"/>
    </row>
    <row r="208" spans="3:7" x14ac:dyDescent="0.25">
      <c r="C208" s="386"/>
      <c r="D208" s="386"/>
      <c r="E208" s="386"/>
      <c r="F208" s="386"/>
      <c r="G208" s="386"/>
    </row>
    <row r="209" spans="3:10" x14ac:dyDescent="0.25">
      <c r="C209" s="386"/>
      <c r="D209" s="386"/>
      <c r="E209" s="386"/>
      <c r="F209" s="386"/>
      <c r="G209" s="386"/>
    </row>
    <row r="210" spans="3:10" x14ac:dyDescent="0.25">
      <c r="C210" s="386"/>
      <c r="D210" s="386"/>
      <c r="E210" s="386"/>
      <c r="F210" s="386"/>
      <c r="G210" s="386"/>
    </row>
    <row r="211" spans="3:10" x14ac:dyDescent="0.25">
      <c r="C211" s="386"/>
      <c r="D211" s="386"/>
      <c r="E211" s="386"/>
      <c r="F211" s="386"/>
      <c r="G211" s="386"/>
    </row>
    <row r="212" spans="3:10" x14ac:dyDescent="0.25">
      <c r="C212" s="386"/>
      <c r="D212" s="386"/>
      <c r="E212" s="386"/>
      <c r="F212" s="386"/>
      <c r="G212" s="386"/>
    </row>
    <row r="213" spans="3:10" x14ac:dyDescent="0.25">
      <c r="C213" s="386"/>
      <c r="D213" s="386"/>
      <c r="E213" s="386"/>
      <c r="F213" s="386"/>
      <c r="G213" s="386"/>
    </row>
    <row r="214" spans="3:10" x14ac:dyDescent="0.25">
      <c r="C214" s="386"/>
      <c r="D214" s="386"/>
      <c r="E214" s="386"/>
      <c r="F214" s="386"/>
      <c r="G214" s="386"/>
    </row>
    <row r="215" spans="3:10" x14ac:dyDescent="0.25">
      <c r="C215" s="386"/>
      <c r="D215" s="386"/>
      <c r="E215" s="386"/>
      <c r="F215" s="386"/>
      <c r="G215" s="386"/>
    </row>
    <row r="216" spans="3:10" x14ac:dyDescent="0.25">
      <c r="C216" s="386"/>
      <c r="D216" s="386"/>
      <c r="E216" s="386"/>
      <c r="F216" s="386"/>
      <c r="G216" s="386"/>
    </row>
    <row r="217" spans="3:10" x14ac:dyDescent="0.25">
      <c r="C217" s="386"/>
      <c r="D217" s="386"/>
      <c r="E217" s="386"/>
      <c r="F217" s="386"/>
      <c r="G217" s="386"/>
    </row>
    <row r="218" spans="3:10" x14ac:dyDescent="0.25">
      <c r="C218" s="386"/>
      <c r="D218" s="386"/>
      <c r="E218" s="386"/>
      <c r="F218" s="386"/>
      <c r="G218" s="386"/>
    </row>
    <row r="219" spans="3:10" x14ac:dyDescent="0.25">
      <c r="C219" s="386"/>
      <c r="D219" s="386"/>
      <c r="E219" s="386"/>
      <c r="F219" s="386"/>
      <c r="G219" s="386"/>
    </row>
    <row r="220" spans="3:10" ht="16.5" thickBot="1" x14ac:dyDescent="0.3">
      <c r="F220" s="571">
        <f>SUM(F182:F219)</f>
        <v>0</v>
      </c>
      <c r="G220" s="571">
        <f>SUM(G182:G219)</f>
        <v>0</v>
      </c>
    </row>
    <row r="221" spans="3:10" ht="16.5" thickTop="1" x14ac:dyDescent="0.25"/>
    <row r="222" spans="3:10" x14ac:dyDescent="0.25">
      <c r="C222" s="20" t="s">
        <v>1351</v>
      </c>
      <c r="F222" s="379"/>
      <c r="G222" s="379" t="s">
        <v>418</v>
      </c>
      <c r="H222" s="379" t="s">
        <v>981</v>
      </c>
      <c r="I222" s="379" t="s">
        <v>982</v>
      </c>
      <c r="J222" s="379" t="s">
        <v>419</v>
      </c>
    </row>
    <row r="223" spans="3:10" x14ac:dyDescent="0.25">
      <c r="F223" s="380" t="s">
        <v>1224</v>
      </c>
      <c r="G223" s="380" t="s">
        <v>602</v>
      </c>
      <c r="H223" s="380" t="s">
        <v>603</v>
      </c>
      <c r="I223" s="380" t="s">
        <v>602</v>
      </c>
      <c r="J223" s="380" t="s">
        <v>880</v>
      </c>
    </row>
    <row r="224" spans="3:10" x14ac:dyDescent="0.25">
      <c r="C224" s="2" t="s">
        <v>57</v>
      </c>
      <c r="F224" s="381">
        <v>0.02</v>
      </c>
      <c r="G224" s="381">
        <v>0.2</v>
      </c>
      <c r="H224" s="381">
        <v>0.2</v>
      </c>
      <c r="I224" s="381">
        <v>0.33339999999999997</v>
      </c>
      <c r="J224" s="381">
        <v>0.2</v>
      </c>
    </row>
    <row r="225" spans="3:14" x14ac:dyDescent="0.25">
      <c r="F225" s="382" t="s">
        <v>891</v>
      </c>
      <c r="G225" s="382" t="s">
        <v>891</v>
      </c>
      <c r="H225" s="382" t="s">
        <v>891</v>
      </c>
      <c r="I225" s="382" t="s">
        <v>891</v>
      </c>
      <c r="J225" s="382" t="s">
        <v>891</v>
      </c>
    </row>
    <row r="228" spans="3:14" x14ac:dyDescent="0.25">
      <c r="C228" s="20" t="s">
        <v>892</v>
      </c>
      <c r="F228" s="21" t="str">
        <f t="shared" ref="F228:I229" si="1">G222</f>
        <v>Plant and</v>
      </c>
      <c r="G228" s="21" t="str">
        <f t="shared" si="1"/>
        <v>Motor</v>
      </c>
      <c r="H228" s="21" t="str">
        <f t="shared" si="1"/>
        <v>Electronic</v>
      </c>
      <c r="I228" s="21" t="str">
        <f t="shared" si="1"/>
        <v>Furniture and</v>
      </c>
      <c r="J228" s="21"/>
      <c r="L228" s="8"/>
      <c r="M228" s="8"/>
    </row>
    <row r="229" spans="3:14" x14ac:dyDescent="0.25">
      <c r="F229" s="25" t="str">
        <f t="shared" si="1"/>
        <v>equipment</v>
      </c>
      <c r="G229" s="25" t="str">
        <f t="shared" si="1"/>
        <v>vehicles</v>
      </c>
      <c r="H229" s="25" t="str">
        <f t="shared" si="1"/>
        <v>equipment</v>
      </c>
      <c r="I229" s="25" t="str">
        <f t="shared" si="1"/>
        <v>fittings</v>
      </c>
      <c r="J229" s="25" t="s">
        <v>420</v>
      </c>
      <c r="L229" s="8"/>
      <c r="M229" s="8"/>
    </row>
    <row r="230" spans="3:14" x14ac:dyDescent="0.25">
      <c r="C230" s="2" t="s">
        <v>219</v>
      </c>
      <c r="E230" s="10">
        <f>G21</f>
        <v>45716</v>
      </c>
      <c r="F230" s="301">
        <f>F233-F234</f>
        <v>0</v>
      </c>
      <c r="G230" s="302">
        <f>G233-G234</f>
        <v>0</v>
      </c>
      <c r="H230" s="301">
        <f>H233-H234</f>
        <v>0</v>
      </c>
      <c r="I230" s="301">
        <f>I233-I234</f>
        <v>0</v>
      </c>
      <c r="J230" s="301">
        <f>J233-J234</f>
        <v>0</v>
      </c>
      <c r="L230" s="8"/>
      <c r="M230" s="8"/>
      <c r="N230" s="4"/>
    </row>
    <row r="231" spans="3:14" ht="3.6" customHeight="1" x14ac:dyDescent="0.25">
      <c r="E231" s="10"/>
      <c r="F231" s="301"/>
      <c r="G231" s="302"/>
      <c r="H231" s="301"/>
      <c r="I231" s="301"/>
      <c r="J231" s="301"/>
      <c r="L231" s="8"/>
      <c r="M231" s="8"/>
      <c r="N231" s="4"/>
    </row>
    <row r="232" spans="3:14" ht="4.1500000000000004" customHeight="1" x14ac:dyDescent="0.25">
      <c r="E232" s="10"/>
      <c r="F232" s="303"/>
      <c r="G232" s="304"/>
      <c r="H232" s="305"/>
      <c r="I232" s="305"/>
      <c r="J232" s="306"/>
      <c r="L232" s="8"/>
      <c r="M232" s="8"/>
      <c r="N232" s="4"/>
    </row>
    <row r="233" spans="3:14" x14ac:dyDescent="0.25">
      <c r="C233" s="2" t="s">
        <v>421</v>
      </c>
      <c r="E233" s="8"/>
      <c r="F233" s="383"/>
      <c r="G233" s="384"/>
      <c r="H233" s="385"/>
      <c r="I233" s="385"/>
      <c r="J233" s="307">
        <f>SUM(F233:I233)</f>
        <v>0</v>
      </c>
      <c r="L233" s="8"/>
      <c r="M233" s="8"/>
      <c r="N233" s="4"/>
    </row>
    <row r="234" spans="3:14" x14ac:dyDescent="0.25">
      <c r="C234" s="2" t="s">
        <v>893</v>
      </c>
      <c r="E234" s="8"/>
      <c r="F234" s="383"/>
      <c r="G234" s="384"/>
      <c r="H234" s="385"/>
      <c r="I234" s="385"/>
      <c r="J234" s="307">
        <f>SUM(F234:I234)</f>
        <v>0</v>
      </c>
      <c r="L234" s="8"/>
      <c r="M234" s="8"/>
      <c r="N234" s="4"/>
    </row>
    <row r="235" spans="3:14" ht="3.6" customHeight="1" x14ac:dyDescent="0.25">
      <c r="C235" s="1"/>
      <c r="E235" s="8"/>
      <c r="F235" s="308"/>
      <c r="G235" s="309"/>
      <c r="H235" s="309"/>
      <c r="I235" s="309"/>
      <c r="J235" s="310"/>
      <c r="L235" s="8"/>
      <c r="M235" s="8"/>
      <c r="N235" s="4"/>
    </row>
    <row r="236" spans="3:14" x14ac:dyDescent="0.25">
      <c r="E236" s="8"/>
      <c r="F236" s="301"/>
      <c r="G236" s="301"/>
      <c r="H236" s="301"/>
      <c r="I236" s="301"/>
      <c r="J236" s="301"/>
      <c r="L236" s="8"/>
      <c r="M236" s="8"/>
      <c r="N236" s="4"/>
    </row>
    <row r="237" spans="3:14" x14ac:dyDescent="0.25">
      <c r="C237" s="2" t="s">
        <v>219</v>
      </c>
      <c r="E237" s="10">
        <f>G20</f>
        <v>46081</v>
      </c>
      <c r="F237" s="301">
        <f>F240-F241</f>
        <v>0</v>
      </c>
      <c r="G237" s="301">
        <f>G240-G241</f>
        <v>0</v>
      </c>
      <c r="H237" s="301">
        <f>H240-H241</f>
        <v>0</v>
      </c>
      <c r="I237" s="301">
        <f>I240-I241</f>
        <v>0</v>
      </c>
      <c r="J237" s="301">
        <f>J240-J241</f>
        <v>0</v>
      </c>
      <c r="L237" s="8"/>
      <c r="M237" s="8"/>
      <c r="N237" s="4"/>
    </row>
    <row r="238" spans="3:14" ht="3.6" customHeight="1" x14ac:dyDescent="0.25">
      <c r="E238" s="10"/>
      <c r="F238" s="301"/>
      <c r="G238" s="301"/>
      <c r="H238" s="301"/>
      <c r="I238" s="301"/>
      <c r="J238" s="301"/>
      <c r="L238" s="8"/>
      <c r="M238" s="8"/>
      <c r="N238" s="4"/>
    </row>
    <row r="239" spans="3:14" ht="3.6" customHeight="1" x14ac:dyDescent="0.25">
      <c r="E239" s="10"/>
      <c r="F239" s="303"/>
      <c r="G239" s="305"/>
      <c r="H239" s="305"/>
      <c r="I239" s="305"/>
      <c r="J239" s="306"/>
      <c r="L239" s="8"/>
      <c r="M239" s="8"/>
      <c r="N239" s="4"/>
    </row>
    <row r="240" spans="3:14" x14ac:dyDescent="0.25">
      <c r="C240" s="2" t="s">
        <v>421</v>
      </c>
      <c r="E240" s="8"/>
      <c r="F240" s="383"/>
      <c r="G240" s="384"/>
      <c r="H240" s="385"/>
      <c r="I240" s="385"/>
      <c r="J240" s="307">
        <f>SUM(F240:I240)</f>
        <v>0</v>
      </c>
      <c r="L240" s="8"/>
      <c r="M240" s="8"/>
      <c r="N240" s="4"/>
    </row>
    <row r="241" spans="3:14" x14ac:dyDescent="0.25">
      <c r="C241" s="2" t="s">
        <v>893</v>
      </c>
      <c r="E241" s="8"/>
      <c r="F241" s="383"/>
      <c r="G241" s="384"/>
      <c r="H241" s="385"/>
      <c r="I241" s="385"/>
      <c r="J241" s="307">
        <f>SUM(F241:I241)</f>
        <v>0</v>
      </c>
      <c r="L241" s="8"/>
      <c r="M241" s="8"/>
      <c r="N241" s="4"/>
    </row>
    <row r="242" spans="3:14" ht="3.6" customHeight="1" x14ac:dyDescent="0.25">
      <c r="E242" s="8"/>
      <c r="F242" s="308"/>
      <c r="G242" s="309"/>
      <c r="H242" s="309"/>
      <c r="I242" s="309"/>
      <c r="J242" s="310"/>
      <c r="L242" s="8"/>
      <c r="M242" s="8"/>
      <c r="N242" s="4"/>
    </row>
    <row r="244" spans="3:14" x14ac:dyDescent="0.25">
      <c r="C244" s="20" t="s">
        <v>1226</v>
      </c>
    </row>
    <row r="245" spans="3:14" x14ac:dyDescent="0.25">
      <c r="C245" s="2" t="s">
        <v>1227</v>
      </c>
      <c r="F245" s="383">
        <v>10</v>
      </c>
      <c r="G245" s="2" t="s">
        <v>1228</v>
      </c>
    </row>
    <row r="247" spans="3:14" x14ac:dyDescent="0.25">
      <c r="C247" s="20" t="s">
        <v>104</v>
      </c>
      <c r="G247" s="5">
        <f>E22</f>
        <v>2026</v>
      </c>
      <c r="H247" s="5">
        <f>E27</f>
        <v>2025</v>
      </c>
    </row>
    <row r="248" spans="3:14" x14ac:dyDescent="0.25">
      <c r="F248" s="27" t="s">
        <v>106</v>
      </c>
    </row>
    <row r="249" spans="3:14" x14ac:dyDescent="0.25">
      <c r="F249" s="27"/>
    </row>
    <row r="250" spans="3:14" x14ac:dyDescent="0.25">
      <c r="C250" s="2" t="s">
        <v>915</v>
      </c>
      <c r="F250" s="118">
        <f>SUM(TrialBalance!L307:L312)</f>
        <v>0</v>
      </c>
      <c r="G250" s="675" t="s">
        <v>845</v>
      </c>
      <c r="H250" s="675"/>
    </row>
    <row r="251" spans="3:14" x14ac:dyDescent="0.25">
      <c r="C251" s="2" t="s">
        <v>894</v>
      </c>
      <c r="F251" s="118"/>
      <c r="G251" s="386"/>
      <c r="H251" s="386"/>
    </row>
    <row r="252" spans="3:14" x14ac:dyDescent="0.25">
      <c r="F252" s="118"/>
    </row>
    <row r="253" spans="3:14" x14ac:dyDescent="0.25">
      <c r="C253" s="2" t="s">
        <v>895</v>
      </c>
      <c r="F253" s="118">
        <f>SUM(TrialBalance!L313:L318)</f>
        <v>0</v>
      </c>
      <c r="G253" s="675" t="s">
        <v>845</v>
      </c>
      <c r="H253" s="675"/>
    </row>
    <row r="254" spans="3:14" x14ac:dyDescent="0.25">
      <c r="C254" s="2" t="s">
        <v>896</v>
      </c>
      <c r="F254" s="118"/>
      <c r="G254" s="386"/>
      <c r="H254" s="386"/>
    </row>
    <row r="256" spans="3:14" x14ac:dyDescent="0.25">
      <c r="C256" s="20" t="s">
        <v>897</v>
      </c>
    </row>
    <row r="258" spans="3:10" x14ac:dyDescent="0.25">
      <c r="C258" s="2">
        <f>TrialBalance!C321</f>
        <v>0</v>
      </c>
      <c r="E258" s="118">
        <f>TrialBalance!L321</f>
        <v>0</v>
      </c>
      <c r="G258" s="387" t="s">
        <v>412</v>
      </c>
      <c r="H258" s="168"/>
      <c r="I258" s="168"/>
      <c r="J258" s="168"/>
    </row>
    <row r="259" spans="3:10" x14ac:dyDescent="0.25">
      <c r="E259" s="118"/>
      <c r="G259" s="387" t="s">
        <v>413</v>
      </c>
      <c r="H259" s="168"/>
      <c r="I259" s="168"/>
      <c r="J259" s="168"/>
    </row>
    <row r="260" spans="3:10" x14ac:dyDescent="0.25">
      <c r="E260" s="118"/>
    </row>
    <row r="261" spans="3:10" x14ac:dyDescent="0.25">
      <c r="C261" s="2">
        <f>TrialBalance!C322</f>
        <v>0</v>
      </c>
      <c r="E261" s="118">
        <f>TrialBalance!L322</f>
        <v>0</v>
      </c>
      <c r="G261" s="387" t="s">
        <v>412</v>
      </c>
      <c r="H261" s="168"/>
      <c r="I261" s="168"/>
      <c r="J261" s="168"/>
    </row>
    <row r="262" spans="3:10" x14ac:dyDescent="0.25">
      <c r="E262" s="118"/>
      <c r="G262" s="387" t="s">
        <v>413</v>
      </c>
      <c r="H262" s="168"/>
      <c r="I262" s="168"/>
      <c r="J262" s="168"/>
    </row>
    <row r="263" spans="3:10" x14ac:dyDescent="0.25">
      <c r="E263" s="118"/>
    </row>
    <row r="264" spans="3:10" x14ac:dyDescent="0.25">
      <c r="C264" s="2">
        <f>TrialBalance!C323</f>
        <v>0</v>
      </c>
      <c r="E264" s="118">
        <f>TrialBalance!L323</f>
        <v>0</v>
      </c>
      <c r="G264" s="387" t="s">
        <v>412</v>
      </c>
      <c r="H264" s="168"/>
      <c r="I264" s="168"/>
      <c r="J264" s="168"/>
    </row>
    <row r="265" spans="3:10" x14ac:dyDescent="0.25">
      <c r="E265" s="118"/>
      <c r="G265" s="387" t="s">
        <v>413</v>
      </c>
      <c r="H265" s="168"/>
      <c r="I265" s="168"/>
      <c r="J265" s="168"/>
    </row>
    <row r="266" spans="3:10" x14ac:dyDescent="0.25">
      <c r="E266" s="118"/>
    </row>
    <row r="267" spans="3:10" x14ac:dyDescent="0.25">
      <c r="C267" s="2">
        <f>TrialBalance!C324</f>
        <v>0</v>
      </c>
      <c r="E267" s="118">
        <f>TrialBalance!L324</f>
        <v>0</v>
      </c>
      <c r="G267" s="387" t="s">
        <v>412</v>
      </c>
      <c r="H267" s="168"/>
      <c r="I267" s="168"/>
      <c r="J267" s="168"/>
    </row>
    <row r="268" spans="3:10" x14ac:dyDescent="0.25">
      <c r="E268" s="118"/>
      <c r="G268" s="387" t="s">
        <v>413</v>
      </c>
      <c r="H268" s="168"/>
      <c r="I268" s="168"/>
      <c r="J268" s="168"/>
    </row>
    <row r="269" spans="3:10" x14ac:dyDescent="0.25">
      <c r="E269" s="118"/>
    </row>
    <row r="270" spans="3:10" x14ac:dyDescent="0.25">
      <c r="C270" s="2">
        <f>TrialBalance!C325</f>
        <v>0</v>
      </c>
      <c r="E270" s="118">
        <f>TrialBalance!L325</f>
        <v>0</v>
      </c>
      <c r="G270" s="387" t="s">
        <v>412</v>
      </c>
      <c r="H270" s="168"/>
      <c r="I270" s="168"/>
      <c r="J270" s="168"/>
    </row>
    <row r="271" spans="3:10" x14ac:dyDescent="0.25">
      <c r="E271" s="118"/>
      <c r="G271" s="387" t="s">
        <v>413</v>
      </c>
      <c r="H271" s="168"/>
      <c r="I271" s="168"/>
      <c r="J271" s="168"/>
    </row>
    <row r="272" spans="3:10" x14ac:dyDescent="0.25">
      <c r="E272" s="118"/>
    </row>
    <row r="273" spans="3:10" x14ac:dyDescent="0.25">
      <c r="C273" s="2">
        <f>TrialBalance!C326</f>
        <v>0</v>
      </c>
      <c r="E273" s="118">
        <f>TrialBalance!L326</f>
        <v>0</v>
      </c>
      <c r="G273" s="387" t="s">
        <v>412</v>
      </c>
      <c r="H273" s="168"/>
      <c r="I273" s="168"/>
      <c r="J273" s="168"/>
    </row>
    <row r="274" spans="3:10" x14ac:dyDescent="0.25">
      <c r="E274" s="118"/>
      <c r="G274" s="387" t="s">
        <v>413</v>
      </c>
      <c r="H274" s="168"/>
      <c r="I274" s="168"/>
      <c r="J274" s="168"/>
    </row>
    <row r="275" spans="3:10" x14ac:dyDescent="0.25">
      <c r="E275" s="118"/>
    </row>
    <row r="276" spans="3:10" x14ac:dyDescent="0.25">
      <c r="C276" s="2">
        <f>TrialBalance!C327</f>
        <v>0</v>
      </c>
      <c r="E276" s="118">
        <f>TrialBalance!L327</f>
        <v>0</v>
      </c>
      <c r="G276" s="387" t="s">
        <v>412</v>
      </c>
      <c r="H276" s="168"/>
      <c r="I276" s="168"/>
      <c r="J276" s="168"/>
    </row>
    <row r="277" spans="3:10" x14ac:dyDescent="0.25">
      <c r="E277" s="118"/>
      <c r="G277" s="387" t="s">
        <v>413</v>
      </c>
      <c r="H277" s="168"/>
      <c r="I277" s="168"/>
      <c r="J277" s="168"/>
    </row>
    <row r="278" spans="3:10" x14ac:dyDescent="0.25">
      <c r="E278" s="118"/>
    </row>
    <row r="279" spans="3:10" x14ac:dyDescent="0.25">
      <c r="C279" s="2">
        <f>TrialBalance!C328</f>
        <v>0</v>
      </c>
      <c r="E279" s="118">
        <f>TrialBalance!L328</f>
        <v>0</v>
      </c>
      <c r="G279" s="387" t="s">
        <v>412</v>
      </c>
      <c r="H279" s="168"/>
      <c r="I279" s="168"/>
      <c r="J279" s="168"/>
    </row>
    <row r="280" spans="3:10" x14ac:dyDescent="0.25">
      <c r="E280" s="118"/>
      <c r="G280" s="387" t="s">
        <v>413</v>
      </c>
      <c r="H280" s="168"/>
      <c r="I280" s="168"/>
      <c r="J280" s="168"/>
    </row>
    <row r="281" spans="3:10" x14ac:dyDescent="0.25">
      <c r="E281" s="118"/>
    </row>
    <row r="282" spans="3:10" x14ac:dyDescent="0.25">
      <c r="C282" s="2">
        <f>TrialBalance!C329</f>
        <v>0</v>
      </c>
      <c r="E282" s="118">
        <f>TrialBalance!L329</f>
        <v>0</v>
      </c>
      <c r="G282" s="387" t="s">
        <v>412</v>
      </c>
      <c r="H282" s="168"/>
      <c r="I282" s="168"/>
      <c r="J282" s="168"/>
    </row>
    <row r="283" spans="3:10" x14ac:dyDescent="0.25">
      <c r="E283" s="118"/>
      <c r="G283" s="387" t="s">
        <v>413</v>
      </c>
      <c r="H283" s="168"/>
      <c r="I283" s="168"/>
      <c r="J283" s="168"/>
    </row>
    <row r="284" spans="3:10" x14ac:dyDescent="0.25">
      <c r="E284" s="118"/>
    </row>
    <row r="285" spans="3:10" x14ac:dyDescent="0.25">
      <c r="C285" s="2">
        <f>TrialBalance!C330</f>
        <v>0</v>
      </c>
      <c r="E285" s="118">
        <f>TrialBalance!L330</f>
        <v>0</v>
      </c>
      <c r="G285" s="387" t="s">
        <v>412</v>
      </c>
      <c r="H285" s="168"/>
      <c r="I285" s="168"/>
      <c r="J285" s="168"/>
    </row>
    <row r="286" spans="3:10" x14ac:dyDescent="0.25">
      <c r="E286" s="118"/>
      <c r="G286" s="387" t="s">
        <v>413</v>
      </c>
      <c r="H286" s="168"/>
      <c r="I286" s="168"/>
      <c r="J286" s="168"/>
    </row>
    <row r="287" spans="3:10" x14ac:dyDescent="0.25">
      <c r="E287" s="118"/>
    </row>
    <row r="288" spans="3:10" x14ac:dyDescent="0.25">
      <c r="C288" s="2">
        <f>TrialBalance!C344</f>
        <v>0</v>
      </c>
      <c r="E288" s="118">
        <f>TrialBalance!L344</f>
        <v>0</v>
      </c>
      <c r="G288" s="387" t="s">
        <v>412</v>
      </c>
      <c r="H288" s="168"/>
      <c r="I288" s="168"/>
      <c r="J288" s="168"/>
    </row>
    <row r="289" spans="3:10" x14ac:dyDescent="0.25">
      <c r="E289" s="118"/>
      <c r="G289" s="387" t="s">
        <v>413</v>
      </c>
      <c r="H289" s="168"/>
      <c r="I289" s="168"/>
      <c r="J289" s="168"/>
    </row>
    <row r="290" spans="3:10" x14ac:dyDescent="0.25">
      <c r="E290" s="118"/>
    </row>
    <row r="291" spans="3:10" x14ac:dyDescent="0.25">
      <c r="C291" s="2">
        <f>TrialBalance!C345</f>
        <v>0</v>
      </c>
      <c r="E291" s="118">
        <f>TrialBalance!L345</f>
        <v>0</v>
      </c>
      <c r="G291" s="387" t="s">
        <v>412</v>
      </c>
      <c r="H291" s="168"/>
      <c r="I291" s="168"/>
      <c r="J291" s="168"/>
    </row>
    <row r="292" spans="3:10" x14ac:dyDescent="0.25">
      <c r="E292" s="118"/>
      <c r="G292" s="387" t="s">
        <v>413</v>
      </c>
      <c r="H292" s="168"/>
      <c r="I292" s="168"/>
      <c r="J292" s="168"/>
    </row>
    <row r="293" spans="3:10" x14ac:dyDescent="0.25">
      <c r="E293" s="118"/>
    </row>
    <row r="294" spans="3:10" x14ac:dyDescent="0.25">
      <c r="C294" s="2">
        <f>TrialBalance!C346</f>
        <v>0</v>
      </c>
      <c r="E294" s="118">
        <f>TrialBalance!L346</f>
        <v>0</v>
      </c>
      <c r="G294" s="387" t="s">
        <v>412</v>
      </c>
      <c r="H294" s="168"/>
      <c r="I294" s="168"/>
      <c r="J294" s="168"/>
    </row>
    <row r="295" spans="3:10" x14ac:dyDescent="0.25">
      <c r="E295" s="118"/>
      <c r="G295" s="387" t="s">
        <v>413</v>
      </c>
      <c r="H295" s="168"/>
      <c r="I295" s="168"/>
      <c r="J295" s="168"/>
    </row>
    <row r="296" spans="3:10" x14ac:dyDescent="0.25">
      <c r="E296" s="118"/>
    </row>
    <row r="297" spans="3:10" x14ac:dyDescent="0.25">
      <c r="C297" s="2">
        <f>TrialBalance!C347</f>
        <v>0</v>
      </c>
      <c r="E297" s="118">
        <f>TrialBalance!L347</f>
        <v>0</v>
      </c>
      <c r="G297" s="387" t="s">
        <v>412</v>
      </c>
      <c r="H297" s="168"/>
      <c r="I297" s="168"/>
      <c r="J297" s="168"/>
    </row>
    <row r="298" spans="3:10" x14ac:dyDescent="0.25">
      <c r="E298" s="118"/>
      <c r="G298" s="387" t="s">
        <v>413</v>
      </c>
      <c r="H298" s="168"/>
      <c r="I298" s="168"/>
      <c r="J298" s="168"/>
    </row>
    <row r="300" spans="3:10" x14ac:dyDescent="0.25">
      <c r="C300" s="20" t="s">
        <v>869</v>
      </c>
    </row>
    <row r="302" spans="3:10" x14ac:dyDescent="0.25">
      <c r="C302" s="2" t="s">
        <v>898</v>
      </c>
      <c r="G302" s="365" t="s">
        <v>103</v>
      </c>
    </row>
    <row r="304" spans="3:10" x14ac:dyDescent="0.25">
      <c r="F304" s="2" t="s">
        <v>105</v>
      </c>
      <c r="G304" s="387" t="s">
        <v>899</v>
      </c>
      <c r="H304" s="168"/>
      <c r="I304" s="168"/>
    </row>
    <row r="305" spans="3:9" x14ac:dyDescent="0.25">
      <c r="G305" s="387"/>
      <c r="H305" s="168"/>
      <c r="I305" s="168"/>
    </row>
    <row r="307" spans="3:9" x14ac:dyDescent="0.25">
      <c r="C307" s="20" t="s">
        <v>901</v>
      </c>
      <c r="E307" s="27" t="s">
        <v>106</v>
      </c>
    </row>
    <row r="309" spans="3:9" x14ac:dyDescent="0.25">
      <c r="C309" s="2">
        <f>TrialBalance!C186</f>
        <v>0</v>
      </c>
      <c r="E309" s="118">
        <f>-TrialBalance!L186</f>
        <v>0</v>
      </c>
      <c r="F309" s="387" t="s">
        <v>1382</v>
      </c>
      <c r="G309" s="168"/>
      <c r="H309" s="168"/>
      <c r="I309" s="168"/>
    </row>
    <row r="310" spans="3:9" x14ac:dyDescent="0.25">
      <c r="E310" s="118"/>
      <c r="F310" s="387" t="s">
        <v>1383</v>
      </c>
      <c r="G310" s="168"/>
      <c r="H310" s="168"/>
      <c r="I310" s="168"/>
    </row>
    <row r="311" spans="3:9" x14ac:dyDescent="0.25">
      <c r="E311" s="118"/>
      <c r="F311" s="387" t="s">
        <v>1385</v>
      </c>
      <c r="G311" s="168"/>
      <c r="H311" s="168"/>
      <c r="I311" s="168"/>
    </row>
    <row r="312" spans="3:9" x14ac:dyDescent="0.25">
      <c r="E312" s="118"/>
      <c r="F312" s="387" t="s">
        <v>1384</v>
      </c>
      <c r="G312" s="168"/>
      <c r="H312" s="168"/>
      <c r="I312" s="168"/>
    </row>
    <row r="313" spans="3:9" x14ac:dyDescent="0.25">
      <c r="E313" s="118"/>
    </row>
    <row r="314" spans="3:9" x14ac:dyDescent="0.25">
      <c r="C314" s="2">
        <f>TrialBalance!C187</f>
        <v>0</v>
      </c>
      <c r="E314" s="118">
        <f>-TrialBalance!L187</f>
        <v>0</v>
      </c>
      <c r="F314" s="387" t="s">
        <v>1382</v>
      </c>
      <c r="G314" s="168"/>
      <c r="H314" s="168"/>
      <c r="I314" s="168"/>
    </row>
    <row r="315" spans="3:9" x14ac:dyDescent="0.25">
      <c r="E315" s="118"/>
      <c r="F315" s="387" t="s">
        <v>1383</v>
      </c>
      <c r="G315" s="168"/>
      <c r="H315" s="168"/>
      <c r="I315" s="168"/>
    </row>
    <row r="316" spans="3:9" x14ac:dyDescent="0.25">
      <c r="E316" s="118"/>
      <c r="F316" s="387" t="s">
        <v>1385</v>
      </c>
      <c r="G316" s="168"/>
      <c r="H316" s="168"/>
      <c r="I316" s="168"/>
    </row>
    <row r="317" spans="3:9" x14ac:dyDescent="0.25">
      <c r="E317" s="118"/>
      <c r="F317" s="387" t="s">
        <v>1384</v>
      </c>
      <c r="G317" s="168"/>
      <c r="H317" s="168"/>
      <c r="I317" s="168"/>
    </row>
    <row r="318" spans="3:9" x14ac:dyDescent="0.25">
      <c r="E318" s="118"/>
    </row>
    <row r="319" spans="3:9" x14ac:dyDescent="0.25">
      <c r="C319" s="2">
        <f>TrialBalance!C188</f>
        <v>0</v>
      </c>
      <c r="E319" s="118">
        <f>-TrialBalance!L188</f>
        <v>0</v>
      </c>
      <c r="F319" s="387" t="s">
        <v>1382</v>
      </c>
      <c r="G319" s="168"/>
      <c r="H319" s="168"/>
      <c r="I319" s="168"/>
    </row>
    <row r="320" spans="3:9" x14ac:dyDescent="0.25">
      <c r="E320" s="118"/>
      <c r="F320" s="387" t="s">
        <v>1383</v>
      </c>
      <c r="G320" s="168"/>
      <c r="H320" s="168"/>
      <c r="I320" s="168"/>
    </row>
    <row r="321" spans="3:9" x14ac:dyDescent="0.25">
      <c r="E321" s="118"/>
      <c r="F321" s="387" t="s">
        <v>1385</v>
      </c>
      <c r="G321" s="168"/>
      <c r="H321" s="168"/>
      <c r="I321" s="168"/>
    </row>
    <row r="322" spans="3:9" x14ac:dyDescent="0.25">
      <c r="E322" s="118"/>
      <c r="F322" s="387" t="s">
        <v>1384</v>
      </c>
      <c r="G322" s="168"/>
      <c r="H322" s="168"/>
      <c r="I322" s="168"/>
    </row>
    <row r="323" spans="3:9" x14ac:dyDescent="0.25">
      <c r="E323" s="118"/>
    </row>
    <row r="324" spans="3:9" x14ac:dyDescent="0.25">
      <c r="C324" s="2">
        <f>TrialBalance!C189</f>
        <v>0</v>
      </c>
      <c r="E324" s="118">
        <f>-TrialBalance!L189</f>
        <v>0</v>
      </c>
      <c r="F324" s="387" t="s">
        <v>1382</v>
      </c>
      <c r="G324" s="168"/>
      <c r="H324" s="168"/>
      <c r="I324" s="168"/>
    </row>
    <row r="325" spans="3:9" x14ac:dyDescent="0.25">
      <c r="E325" s="118"/>
      <c r="F325" s="387" t="s">
        <v>1383</v>
      </c>
      <c r="G325" s="168"/>
      <c r="H325" s="168"/>
      <c r="I325" s="168"/>
    </row>
    <row r="326" spans="3:9" x14ac:dyDescent="0.25">
      <c r="E326" s="118"/>
      <c r="F326" s="387" t="s">
        <v>1385</v>
      </c>
      <c r="G326" s="168"/>
      <c r="H326" s="168"/>
      <c r="I326" s="168"/>
    </row>
    <row r="327" spans="3:9" x14ac:dyDescent="0.25">
      <c r="E327" s="118"/>
      <c r="F327" s="387" t="s">
        <v>1384</v>
      </c>
      <c r="G327" s="168"/>
      <c r="H327" s="168"/>
      <c r="I327" s="168"/>
    </row>
    <row r="328" spans="3:9" x14ac:dyDescent="0.25">
      <c r="E328" s="118"/>
    </row>
    <row r="329" spans="3:9" x14ac:dyDescent="0.25">
      <c r="C329" s="2">
        <f>TrialBalance!C190</f>
        <v>0</v>
      </c>
      <c r="E329" s="118">
        <f>-TrialBalance!L190</f>
        <v>0</v>
      </c>
      <c r="F329" s="387" t="s">
        <v>1382</v>
      </c>
      <c r="G329" s="168"/>
      <c r="H329" s="168"/>
      <c r="I329" s="168"/>
    </row>
    <row r="330" spans="3:9" x14ac:dyDescent="0.25">
      <c r="E330" s="118"/>
      <c r="F330" s="387" t="s">
        <v>1383</v>
      </c>
      <c r="G330" s="168"/>
      <c r="H330" s="168"/>
      <c r="I330" s="168"/>
    </row>
    <row r="331" spans="3:9" x14ac:dyDescent="0.25">
      <c r="E331" s="118"/>
      <c r="F331" s="387" t="s">
        <v>1385</v>
      </c>
      <c r="G331" s="168"/>
      <c r="H331" s="168"/>
      <c r="I331" s="168"/>
    </row>
    <row r="332" spans="3:9" x14ac:dyDescent="0.25">
      <c r="E332" s="118"/>
      <c r="F332" s="387" t="s">
        <v>1384</v>
      </c>
      <c r="G332" s="168"/>
      <c r="H332" s="168"/>
      <c r="I332" s="168"/>
    </row>
    <row r="333" spans="3:9" x14ac:dyDescent="0.25">
      <c r="E333" s="118"/>
    </row>
    <row r="334" spans="3:9" x14ac:dyDescent="0.25">
      <c r="C334" s="2">
        <f>TrialBalance!C191</f>
        <v>0</v>
      </c>
      <c r="E334" s="118">
        <f>-TrialBalance!L191</f>
        <v>0</v>
      </c>
      <c r="F334" s="387" t="s">
        <v>1382</v>
      </c>
      <c r="G334" s="168"/>
      <c r="H334" s="168"/>
      <c r="I334" s="168"/>
    </row>
    <row r="335" spans="3:9" x14ac:dyDescent="0.25">
      <c r="E335" s="118"/>
      <c r="F335" s="387" t="s">
        <v>1383</v>
      </c>
      <c r="G335" s="168"/>
      <c r="H335" s="168"/>
      <c r="I335" s="168"/>
    </row>
    <row r="336" spans="3:9" x14ac:dyDescent="0.25">
      <c r="E336" s="118"/>
      <c r="F336" s="387" t="s">
        <v>1385</v>
      </c>
      <c r="G336" s="168"/>
      <c r="H336" s="168"/>
      <c r="I336" s="168"/>
    </row>
    <row r="337" spans="3:9" x14ac:dyDescent="0.25">
      <c r="E337" s="118"/>
      <c r="F337" s="387" t="s">
        <v>1384</v>
      </c>
      <c r="G337" s="168"/>
      <c r="H337" s="168"/>
      <c r="I337" s="168"/>
    </row>
    <row r="338" spans="3:9" x14ac:dyDescent="0.25">
      <c r="E338" s="118"/>
    </row>
    <row r="339" spans="3:9" x14ac:dyDescent="0.25">
      <c r="C339" s="2">
        <f>TrialBalance!C192</f>
        <v>0</v>
      </c>
      <c r="E339" s="118">
        <f>-TrialBalance!L192</f>
        <v>0</v>
      </c>
      <c r="F339" s="387" t="s">
        <v>1382</v>
      </c>
      <c r="G339" s="168"/>
      <c r="H339" s="168"/>
      <c r="I339" s="168"/>
    </row>
    <row r="340" spans="3:9" x14ac:dyDescent="0.25">
      <c r="E340" s="118"/>
      <c r="F340" s="387" t="s">
        <v>1383</v>
      </c>
      <c r="G340" s="168"/>
      <c r="H340" s="168"/>
      <c r="I340" s="168"/>
    </row>
    <row r="341" spans="3:9" x14ac:dyDescent="0.25">
      <c r="E341" s="118"/>
      <c r="F341" s="387" t="s">
        <v>1385</v>
      </c>
      <c r="G341" s="168"/>
      <c r="H341" s="168"/>
      <c r="I341" s="168"/>
    </row>
    <row r="342" spans="3:9" x14ac:dyDescent="0.25">
      <c r="E342" s="118"/>
      <c r="F342" s="387" t="s">
        <v>1384</v>
      </c>
      <c r="G342" s="168"/>
      <c r="H342" s="168"/>
      <c r="I342" s="168"/>
    </row>
    <row r="343" spans="3:9" x14ac:dyDescent="0.25">
      <c r="E343" s="118"/>
    </row>
    <row r="344" spans="3:9" x14ac:dyDescent="0.25">
      <c r="C344" s="2">
        <f>TrialBalance!C193</f>
        <v>0</v>
      </c>
      <c r="E344" s="118">
        <f>-TrialBalance!L193</f>
        <v>0</v>
      </c>
      <c r="F344" s="387" t="s">
        <v>1382</v>
      </c>
      <c r="G344" s="168"/>
      <c r="H344" s="168"/>
      <c r="I344" s="168"/>
    </row>
    <row r="345" spans="3:9" x14ac:dyDescent="0.25">
      <c r="E345" s="118"/>
      <c r="F345" s="387" t="s">
        <v>1383</v>
      </c>
      <c r="G345" s="168"/>
      <c r="H345" s="168"/>
      <c r="I345" s="168"/>
    </row>
    <row r="346" spans="3:9" x14ac:dyDescent="0.25">
      <c r="E346" s="118"/>
      <c r="F346" s="387" t="s">
        <v>1385</v>
      </c>
      <c r="G346" s="168"/>
      <c r="H346" s="168"/>
      <c r="I346" s="168"/>
    </row>
    <row r="347" spans="3:9" x14ac:dyDescent="0.25">
      <c r="E347" s="118"/>
      <c r="F347" s="387" t="s">
        <v>1384</v>
      </c>
      <c r="G347" s="168"/>
      <c r="H347" s="168"/>
      <c r="I347" s="168"/>
    </row>
    <row r="348" spans="3:9" x14ac:dyDescent="0.25">
      <c r="E348" s="118"/>
    </row>
    <row r="349" spans="3:9" x14ac:dyDescent="0.25">
      <c r="C349" s="2">
        <f>TrialBalance!C194</f>
        <v>0</v>
      </c>
      <c r="E349" s="118">
        <f>-TrialBalance!L194</f>
        <v>0</v>
      </c>
      <c r="F349" s="387" t="s">
        <v>1382</v>
      </c>
      <c r="G349" s="168"/>
      <c r="H349" s="168"/>
      <c r="I349" s="168"/>
    </row>
    <row r="350" spans="3:9" x14ac:dyDescent="0.25">
      <c r="E350" s="118"/>
      <c r="F350" s="387" t="s">
        <v>1383</v>
      </c>
      <c r="G350" s="168"/>
      <c r="H350" s="168"/>
      <c r="I350" s="168"/>
    </row>
    <row r="351" spans="3:9" x14ac:dyDescent="0.25">
      <c r="E351" s="118"/>
      <c r="F351" s="387" t="s">
        <v>1385</v>
      </c>
      <c r="G351" s="168"/>
      <c r="H351" s="168"/>
      <c r="I351" s="168"/>
    </row>
    <row r="352" spans="3:9" x14ac:dyDescent="0.25">
      <c r="E352" s="118"/>
      <c r="F352" s="387" t="s">
        <v>1384</v>
      </c>
      <c r="G352" s="168"/>
      <c r="H352" s="168"/>
      <c r="I352" s="168"/>
    </row>
    <row r="353" spans="3:9" x14ac:dyDescent="0.25">
      <c r="E353" s="118"/>
    </row>
    <row r="354" spans="3:9" x14ac:dyDescent="0.25">
      <c r="C354" s="2">
        <f>TrialBalance!C195</f>
        <v>0</v>
      </c>
      <c r="E354" s="118">
        <f>-TrialBalance!L195</f>
        <v>0</v>
      </c>
      <c r="F354" s="387" t="s">
        <v>1382</v>
      </c>
      <c r="G354" s="168"/>
      <c r="H354" s="168"/>
      <c r="I354" s="168"/>
    </row>
    <row r="355" spans="3:9" x14ac:dyDescent="0.25">
      <c r="E355" s="118"/>
      <c r="F355" s="387" t="s">
        <v>1383</v>
      </c>
      <c r="G355" s="168"/>
      <c r="H355" s="168"/>
      <c r="I355" s="168"/>
    </row>
    <row r="356" spans="3:9" x14ac:dyDescent="0.25">
      <c r="E356" s="118"/>
      <c r="F356" s="387" t="s">
        <v>1385</v>
      </c>
      <c r="G356" s="168"/>
      <c r="H356" s="168"/>
      <c r="I356" s="168"/>
    </row>
    <row r="357" spans="3:9" x14ac:dyDescent="0.25">
      <c r="E357" s="118"/>
      <c r="F357" s="387" t="s">
        <v>1384</v>
      </c>
      <c r="G357" s="168"/>
      <c r="H357" s="168"/>
      <c r="I357" s="168"/>
    </row>
    <row r="358" spans="3:9" x14ac:dyDescent="0.25">
      <c r="E358" s="118"/>
    </row>
    <row r="359" spans="3:9" x14ac:dyDescent="0.25">
      <c r="C359" s="2">
        <f>TrialBalance!C196</f>
        <v>0</v>
      </c>
      <c r="E359" s="118">
        <f>-TrialBalance!L196</f>
        <v>0</v>
      </c>
      <c r="F359" s="387" t="s">
        <v>1382</v>
      </c>
      <c r="G359" s="168"/>
      <c r="H359" s="168"/>
      <c r="I359" s="168"/>
    </row>
    <row r="360" spans="3:9" x14ac:dyDescent="0.25">
      <c r="C360"/>
      <c r="D360"/>
      <c r="E360" s="274"/>
      <c r="F360" s="387" t="s">
        <v>1383</v>
      </c>
      <c r="G360" s="168"/>
      <c r="H360" s="168"/>
      <c r="I360" s="168"/>
    </row>
    <row r="361" spans="3:9" x14ac:dyDescent="0.25">
      <c r="C361"/>
      <c r="D361"/>
      <c r="E361" s="274"/>
      <c r="F361" s="387" t="s">
        <v>1385</v>
      </c>
      <c r="G361" s="168"/>
      <c r="H361" s="168"/>
      <c r="I361" s="168"/>
    </row>
    <row r="362" spans="3:9" x14ac:dyDescent="0.25">
      <c r="E362" s="118"/>
      <c r="F362" s="387" t="s">
        <v>1384</v>
      </c>
      <c r="G362" s="168"/>
      <c r="H362" s="168"/>
      <c r="I362" s="168"/>
    </row>
    <row r="363" spans="3:9" x14ac:dyDescent="0.25">
      <c r="E363" s="118"/>
    </row>
    <row r="364" spans="3:9" x14ac:dyDescent="0.25">
      <c r="C364" s="2">
        <f>TrialBalance!C197</f>
        <v>0</v>
      </c>
      <c r="E364" s="118">
        <f>-TrialBalance!L197</f>
        <v>0</v>
      </c>
      <c r="F364" s="387" t="s">
        <v>1382</v>
      </c>
      <c r="G364" s="168"/>
      <c r="H364" s="168"/>
      <c r="I364" s="168"/>
    </row>
    <row r="365" spans="3:9" x14ac:dyDescent="0.25">
      <c r="C365"/>
      <c r="D365"/>
      <c r="E365" s="274"/>
      <c r="F365" s="387" t="s">
        <v>1383</v>
      </c>
      <c r="G365" s="168"/>
      <c r="H365" s="168"/>
      <c r="I365" s="168"/>
    </row>
    <row r="366" spans="3:9" x14ac:dyDescent="0.25">
      <c r="E366" s="118"/>
      <c r="F366" s="387" t="s">
        <v>1385</v>
      </c>
      <c r="G366" s="168"/>
      <c r="H366" s="168"/>
      <c r="I366" s="168"/>
    </row>
    <row r="367" spans="3:9" x14ac:dyDescent="0.25">
      <c r="E367" s="118"/>
      <c r="F367" s="387" t="s">
        <v>1384</v>
      </c>
      <c r="G367" s="168"/>
      <c r="H367" s="168"/>
      <c r="I367" s="168"/>
    </row>
    <row r="368" spans="3:9" x14ac:dyDescent="0.25">
      <c r="E368" s="118"/>
    </row>
    <row r="369" spans="3:9" x14ac:dyDescent="0.25">
      <c r="C369" s="2">
        <f>TrialBalance!C198</f>
        <v>0</v>
      </c>
      <c r="E369" s="118">
        <f>-TrialBalance!L198</f>
        <v>0</v>
      </c>
      <c r="F369" s="387" t="s">
        <v>1382</v>
      </c>
      <c r="G369" s="168"/>
      <c r="H369" s="168"/>
      <c r="I369" s="168"/>
    </row>
    <row r="370" spans="3:9" x14ac:dyDescent="0.25">
      <c r="E370" s="118"/>
      <c r="F370" s="387" t="s">
        <v>1383</v>
      </c>
      <c r="G370" s="168"/>
      <c r="H370" s="168"/>
      <c r="I370" s="168"/>
    </row>
    <row r="371" spans="3:9" x14ac:dyDescent="0.25">
      <c r="E371" s="118"/>
      <c r="F371" s="387" t="s">
        <v>1385</v>
      </c>
      <c r="G371" s="168"/>
      <c r="H371" s="168"/>
      <c r="I371" s="168"/>
    </row>
    <row r="372" spans="3:9" x14ac:dyDescent="0.25">
      <c r="E372" s="118"/>
      <c r="F372" s="387" t="s">
        <v>1384</v>
      </c>
      <c r="G372" s="168"/>
      <c r="H372" s="168"/>
      <c r="I372" s="168"/>
    </row>
    <row r="373" spans="3:9" x14ac:dyDescent="0.25">
      <c r="E373" s="118"/>
    </row>
    <row r="374" spans="3:9" x14ac:dyDescent="0.25">
      <c r="C374" s="2">
        <f>TrialBalance!C199</f>
        <v>0</v>
      </c>
      <c r="E374" s="118">
        <f>-TrialBalance!L199</f>
        <v>0</v>
      </c>
      <c r="F374" s="387" t="s">
        <v>1382</v>
      </c>
      <c r="G374" s="168"/>
      <c r="H374" s="168"/>
      <c r="I374" s="168"/>
    </row>
    <row r="375" spans="3:9" x14ac:dyDescent="0.25">
      <c r="E375" s="118"/>
      <c r="F375" s="387" t="s">
        <v>1383</v>
      </c>
      <c r="G375" s="168"/>
      <c r="H375" s="168"/>
      <c r="I375" s="168"/>
    </row>
    <row r="376" spans="3:9" x14ac:dyDescent="0.25">
      <c r="E376" s="118"/>
      <c r="F376" s="387" t="s">
        <v>1385</v>
      </c>
      <c r="G376" s="168"/>
      <c r="H376" s="168"/>
      <c r="I376" s="168"/>
    </row>
    <row r="377" spans="3:9" x14ac:dyDescent="0.25">
      <c r="E377" s="118"/>
      <c r="F377" s="387" t="s">
        <v>1384</v>
      </c>
      <c r="G377" s="168"/>
      <c r="H377" s="168"/>
      <c r="I377" s="168"/>
    </row>
    <row r="378" spans="3:9" x14ac:dyDescent="0.25">
      <c r="E378" s="118"/>
    </row>
    <row r="379" spans="3:9" x14ac:dyDescent="0.25">
      <c r="C379" s="2">
        <f>TrialBalance!C200</f>
        <v>0</v>
      </c>
      <c r="E379" s="118">
        <f>-TrialBalance!L200</f>
        <v>0</v>
      </c>
      <c r="F379" s="387" t="s">
        <v>1382</v>
      </c>
      <c r="G379" s="168"/>
      <c r="H379" s="168"/>
      <c r="I379" s="168"/>
    </row>
    <row r="380" spans="3:9" x14ac:dyDescent="0.25">
      <c r="E380" s="118"/>
      <c r="F380" s="387" t="s">
        <v>1383</v>
      </c>
      <c r="G380" s="168"/>
      <c r="H380" s="168"/>
      <c r="I380" s="168"/>
    </row>
    <row r="381" spans="3:9" x14ac:dyDescent="0.25">
      <c r="E381" s="118"/>
      <c r="F381" s="387" t="s">
        <v>1385</v>
      </c>
      <c r="G381" s="168"/>
      <c r="H381" s="168"/>
      <c r="I381" s="168"/>
    </row>
    <row r="382" spans="3:9" x14ac:dyDescent="0.25">
      <c r="E382" s="118"/>
      <c r="F382" s="387" t="s">
        <v>1384</v>
      </c>
      <c r="G382" s="168"/>
      <c r="H382" s="168"/>
      <c r="I382" s="168"/>
    </row>
    <row r="384" spans="3:9" x14ac:dyDescent="0.25">
      <c r="C384" s="20" t="s">
        <v>1361</v>
      </c>
    </row>
    <row r="385" spans="3:10" x14ac:dyDescent="0.25">
      <c r="C385" s="20"/>
      <c r="F385" s="28">
        <f>E22</f>
        <v>2026</v>
      </c>
      <c r="G385" s="28">
        <f>E27</f>
        <v>2025</v>
      </c>
    </row>
    <row r="387" spans="3:10" x14ac:dyDescent="0.25">
      <c r="C387" s="2" t="s">
        <v>1362</v>
      </c>
      <c r="E387" s="2" t="s">
        <v>1358</v>
      </c>
      <c r="F387" s="386"/>
      <c r="G387" s="386"/>
    </row>
    <row r="388" spans="3:10" x14ac:dyDescent="0.25">
      <c r="E388" s="2" t="s">
        <v>1363</v>
      </c>
      <c r="F388" s="386"/>
      <c r="G388" s="386"/>
    </row>
    <row r="389" spans="3:10" x14ac:dyDescent="0.25">
      <c r="E389" s="2" t="s">
        <v>1360</v>
      </c>
      <c r="F389" s="386"/>
      <c r="G389" s="386"/>
    </row>
    <row r="391" spans="3:10" x14ac:dyDescent="0.25">
      <c r="C391" s="20" t="s">
        <v>1364</v>
      </c>
    </row>
    <row r="392" spans="3:10" x14ac:dyDescent="0.25">
      <c r="C392" s="2" t="s">
        <v>1414</v>
      </c>
    </row>
    <row r="394" spans="3:10" x14ac:dyDescent="0.25">
      <c r="C394" s="2" t="s">
        <v>1568</v>
      </c>
      <c r="F394" s="386" t="s">
        <v>1569</v>
      </c>
      <c r="G394" s="386"/>
      <c r="H394" s="386"/>
      <c r="I394" s="386"/>
      <c r="J394" s="2" t="s">
        <v>1404</v>
      </c>
    </row>
    <row r="395" spans="3:10" x14ac:dyDescent="0.25">
      <c r="F395" s="386" t="s">
        <v>1570</v>
      </c>
      <c r="G395" s="386"/>
      <c r="H395" s="386"/>
      <c r="I395" s="386"/>
      <c r="J395" s="2" t="s">
        <v>1404</v>
      </c>
    </row>
    <row r="396" spans="3:10" x14ac:dyDescent="0.25">
      <c r="F396" s="386" t="s">
        <v>1571</v>
      </c>
      <c r="G396" s="386"/>
      <c r="H396" s="386"/>
      <c r="I396" s="386"/>
      <c r="J396" s="2" t="s">
        <v>1404</v>
      </c>
    </row>
    <row r="397" spans="3:10" x14ac:dyDescent="0.25">
      <c r="F397" s="386" t="s">
        <v>1572</v>
      </c>
      <c r="G397" s="386"/>
      <c r="H397" s="386"/>
      <c r="I397" s="386"/>
      <c r="J397" s="2" t="s">
        <v>1404</v>
      </c>
    </row>
    <row r="399" spans="3:10" x14ac:dyDescent="0.25">
      <c r="C399" s="2" t="s">
        <v>1362</v>
      </c>
      <c r="E399" s="2" t="s">
        <v>1358</v>
      </c>
      <c r="F399" s="386"/>
      <c r="G399" s="386"/>
    </row>
    <row r="400" spans="3:10" x14ac:dyDescent="0.25">
      <c r="E400" s="2" t="s">
        <v>1363</v>
      </c>
      <c r="F400" s="386"/>
      <c r="G400" s="386"/>
    </row>
    <row r="401" spans="3:13" x14ac:dyDescent="0.25">
      <c r="E401" s="2" t="s">
        <v>1360</v>
      </c>
      <c r="F401" s="386"/>
      <c r="G401" s="386"/>
    </row>
    <row r="403" spans="3:13" ht="19.5" x14ac:dyDescent="0.35">
      <c r="C403" s="164" t="s">
        <v>996</v>
      </c>
    </row>
    <row r="405" spans="3:13" x14ac:dyDescent="0.25">
      <c r="C405" s="20"/>
      <c r="F405" s="28" t="s">
        <v>45</v>
      </c>
      <c r="G405" s="28"/>
    </row>
    <row r="406" spans="3:13" x14ac:dyDescent="0.25">
      <c r="F406" s="28">
        <f>E27</f>
        <v>2025</v>
      </c>
      <c r="G406" s="28"/>
    </row>
    <row r="408" spans="3:13" x14ac:dyDescent="0.25">
      <c r="C408" s="2" t="s">
        <v>902</v>
      </c>
      <c r="F408" s="388"/>
    </row>
    <row r="409" spans="3:13" x14ac:dyDescent="0.25">
      <c r="C409" s="2" t="s">
        <v>903</v>
      </c>
      <c r="F409" s="388"/>
    </row>
    <row r="410" spans="3:13" x14ac:dyDescent="0.25">
      <c r="C410" s="2" t="s">
        <v>904</v>
      </c>
      <c r="F410" s="388"/>
    </row>
    <row r="413" spans="3:13" x14ac:dyDescent="0.25">
      <c r="C413" s="3" t="s">
        <v>245</v>
      </c>
      <c r="F413" s="311">
        <f>F432-F433</f>
        <v>0</v>
      </c>
      <c r="H413" s="17"/>
      <c r="K413" s="6"/>
      <c r="L413" s="6"/>
      <c r="M413" s="8">
        <f>SUM(T416:T438)</f>
        <v>0</v>
      </c>
    </row>
    <row r="414" spans="3:13" ht="4.5" customHeight="1" x14ac:dyDescent="0.25">
      <c r="C414" s="3"/>
      <c r="F414" s="312"/>
      <c r="H414" s="11"/>
      <c r="K414" s="6"/>
      <c r="L414" s="6"/>
      <c r="M414" s="8"/>
    </row>
    <row r="415" spans="3:13" ht="4.5" customHeight="1" x14ac:dyDescent="0.25">
      <c r="C415" s="3"/>
      <c r="F415" s="313"/>
      <c r="H415" s="112"/>
      <c r="I415"/>
      <c r="J415"/>
      <c r="K415" s="6"/>
      <c r="L415" s="6"/>
      <c r="M415" s="8"/>
    </row>
    <row r="416" spans="3:13" x14ac:dyDescent="0.25">
      <c r="C416" s="2" t="s">
        <v>850</v>
      </c>
      <c r="F416" s="314">
        <f>H416</f>
        <v>0</v>
      </c>
      <c r="H416" s="389"/>
    </row>
    <row r="417" spans="3:10" x14ac:dyDescent="0.25">
      <c r="C417" s="2" t="s">
        <v>246</v>
      </c>
      <c r="F417" s="314">
        <f>H417</f>
        <v>0</v>
      </c>
      <c r="H417" s="389"/>
    </row>
    <row r="418" spans="3:10" ht="3.6" customHeight="1" x14ac:dyDescent="0.25">
      <c r="F418" s="315"/>
      <c r="H418" s="389"/>
    </row>
    <row r="419" spans="3:10" ht="3.6" customHeight="1" x14ac:dyDescent="0.25">
      <c r="F419" s="314"/>
      <c r="H419" s="389"/>
    </row>
    <row r="420" spans="3:10" x14ac:dyDescent="0.25">
      <c r="C420" s="2" t="s">
        <v>247</v>
      </c>
      <c r="F420" s="314">
        <f>F416-F417</f>
        <v>0</v>
      </c>
      <c r="H420" s="389"/>
    </row>
    <row r="421" spans="3:10" x14ac:dyDescent="0.25">
      <c r="C421" s="2" t="s">
        <v>248</v>
      </c>
      <c r="F421" s="314">
        <f>SUM(F424:F429)</f>
        <v>0</v>
      </c>
      <c r="H421" s="389"/>
    </row>
    <row r="422" spans="3:10" ht="3.6" customHeight="1" x14ac:dyDescent="0.25">
      <c r="F422" s="314"/>
      <c r="H422" s="389"/>
    </row>
    <row r="423" spans="3:10" ht="3.6" customHeight="1" x14ac:dyDescent="0.25">
      <c r="F423" s="316"/>
      <c r="H423" s="389"/>
    </row>
    <row r="424" spans="3:10" x14ac:dyDescent="0.25">
      <c r="C424" s="2" t="s">
        <v>249</v>
      </c>
      <c r="F424" s="314">
        <f>H424</f>
        <v>0</v>
      </c>
      <c r="H424" s="389"/>
    </row>
    <row r="425" spans="3:10" x14ac:dyDescent="0.25">
      <c r="C425" s="2" t="s">
        <v>250</v>
      </c>
      <c r="F425" s="314">
        <f>H425</f>
        <v>0</v>
      </c>
      <c r="H425" s="389"/>
    </row>
    <row r="426" spans="3:10" x14ac:dyDescent="0.25">
      <c r="C426" s="2" t="s">
        <v>597</v>
      </c>
      <c r="F426" s="314">
        <f>H426</f>
        <v>0</v>
      </c>
      <c r="H426" s="389"/>
    </row>
    <row r="427" spans="3:10" x14ac:dyDescent="0.25">
      <c r="C427" s="2" t="s">
        <v>598</v>
      </c>
      <c r="F427" s="314">
        <f>H427</f>
        <v>0</v>
      </c>
      <c r="H427" s="389"/>
    </row>
    <row r="428" spans="3:10" x14ac:dyDescent="0.25">
      <c r="C428" s="2" t="s">
        <v>599</v>
      </c>
      <c r="F428" s="314">
        <f>H428</f>
        <v>0</v>
      </c>
      <c r="H428" s="389"/>
    </row>
    <row r="429" spans="3:10" ht="3.6" customHeight="1" x14ac:dyDescent="0.25">
      <c r="F429" s="315"/>
      <c r="H429" s="389"/>
    </row>
    <row r="430" spans="3:10" ht="3.6" customHeight="1" x14ac:dyDescent="0.25">
      <c r="F430" s="317"/>
      <c r="H430" s="389"/>
    </row>
    <row r="431" spans="3:10" ht="3.6" customHeight="1" x14ac:dyDescent="0.25">
      <c r="F431" s="314"/>
      <c r="H431" s="389"/>
      <c r="I431"/>
      <c r="J431"/>
    </row>
    <row r="432" spans="3:10" x14ac:dyDescent="0.25">
      <c r="F432" s="314">
        <f>SUM(F420:F421)</f>
        <v>0</v>
      </c>
      <c r="H432" s="389"/>
    </row>
    <row r="433" spans="3:10" x14ac:dyDescent="0.25">
      <c r="C433" s="2" t="s">
        <v>251</v>
      </c>
      <c r="F433" s="314">
        <f>SUM(F436:F438)</f>
        <v>0</v>
      </c>
      <c r="H433" s="389"/>
    </row>
    <row r="434" spans="3:10" ht="3.6" customHeight="1" x14ac:dyDescent="0.25">
      <c r="F434" s="314"/>
      <c r="H434" s="389"/>
    </row>
    <row r="435" spans="3:10" ht="3.6" customHeight="1" x14ac:dyDescent="0.25">
      <c r="F435" s="316"/>
      <c r="H435" s="389"/>
    </row>
    <row r="436" spans="3:10" x14ac:dyDescent="0.25">
      <c r="C436" s="2" t="s">
        <v>834</v>
      </c>
      <c r="F436" s="314">
        <f>H436</f>
        <v>0</v>
      </c>
      <c r="H436" s="389"/>
    </row>
    <row r="437" spans="3:10" x14ac:dyDescent="0.25">
      <c r="C437" s="2" t="s">
        <v>600</v>
      </c>
      <c r="F437" s="314">
        <f>H437</f>
        <v>0</v>
      </c>
      <c r="H437" s="389"/>
    </row>
    <row r="438" spans="3:10" x14ac:dyDescent="0.25">
      <c r="C438" s="2" t="s">
        <v>252</v>
      </c>
      <c r="F438" s="314">
        <f>H438</f>
        <v>0</v>
      </c>
      <c r="H438" s="389"/>
    </row>
    <row r="439" spans="3:10" ht="3.6" customHeight="1" x14ac:dyDescent="0.25">
      <c r="F439" s="315"/>
      <c r="H439" s="389"/>
    </row>
    <row r="440" spans="3:10" ht="3.6" customHeight="1" x14ac:dyDescent="0.25">
      <c r="F440" s="315"/>
      <c r="H440" s="389"/>
    </row>
    <row r="441" spans="3:10" ht="3.6" customHeight="1" x14ac:dyDescent="0.25">
      <c r="F441" s="318"/>
      <c r="H441" s="389"/>
      <c r="I441"/>
      <c r="J441"/>
    </row>
    <row r="442" spans="3:10" x14ac:dyDescent="0.25">
      <c r="F442" s="318"/>
      <c r="H442" s="389"/>
    </row>
    <row r="443" spans="3:10" x14ac:dyDescent="0.25">
      <c r="C443" s="3" t="s">
        <v>253</v>
      </c>
      <c r="F443" s="319">
        <f>SUM(F446:F450)</f>
        <v>0</v>
      </c>
      <c r="H443" s="389"/>
    </row>
    <row r="444" spans="3:10" ht="6.75" customHeight="1" x14ac:dyDescent="0.25">
      <c r="F444" s="318"/>
      <c r="H444" s="389"/>
      <c r="I444"/>
      <c r="J444"/>
    </row>
    <row r="445" spans="3:10" ht="6.75" customHeight="1" x14ac:dyDescent="0.25">
      <c r="F445" s="316"/>
      <c r="H445" s="389"/>
      <c r="I445"/>
      <c r="J445"/>
    </row>
    <row r="446" spans="3:10" x14ac:dyDescent="0.25">
      <c r="C446" s="2" t="s">
        <v>905</v>
      </c>
      <c r="F446" s="314">
        <f t="shared" ref="F446:F450" si="2">H446</f>
        <v>0</v>
      </c>
      <c r="G446" s="17"/>
      <c r="H446" s="389"/>
    </row>
    <row r="447" spans="3:10" x14ac:dyDescent="0.25">
      <c r="C447" s="2" t="s">
        <v>1298</v>
      </c>
      <c r="F447" s="314">
        <f t="shared" si="2"/>
        <v>0</v>
      </c>
      <c r="G447" s="17"/>
      <c r="H447" s="389"/>
    </row>
    <row r="448" spans="3:10" x14ac:dyDescent="0.25">
      <c r="C448" s="2" t="s">
        <v>906</v>
      </c>
      <c r="F448" s="314">
        <f t="shared" si="2"/>
        <v>0</v>
      </c>
      <c r="H448" s="389"/>
    </row>
    <row r="449" spans="3:11" x14ac:dyDescent="0.25">
      <c r="C449" s="2" t="s">
        <v>907</v>
      </c>
      <c r="F449" s="314">
        <f t="shared" si="2"/>
        <v>0</v>
      </c>
      <c r="H449" s="389"/>
      <c r="K449" s="118"/>
    </row>
    <row r="450" spans="3:11" ht="15.75" customHeight="1" x14ac:dyDescent="0.25">
      <c r="C450" s="2" t="s">
        <v>908</v>
      </c>
      <c r="F450" s="314">
        <f t="shared" si="2"/>
        <v>0</v>
      </c>
      <c r="H450" s="389"/>
    </row>
    <row r="451" spans="3:11" ht="3.75" customHeight="1" x14ac:dyDescent="0.25">
      <c r="F451" s="315"/>
      <c r="H451" s="389"/>
    </row>
    <row r="452" spans="3:11" ht="3.75" customHeight="1" x14ac:dyDescent="0.25">
      <c r="F452" s="318"/>
      <c r="H452" s="389"/>
      <c r="I452"/>
      <c r="J452"/>
    </row>
    <row r="453" spans="3:11" x14ac:dyDescent="0.25">
      <c r="F453" s="318"/>
      <c r="H453" s="389"/>
    </row>
    <row r="454" spans="3:11" x14ac:dyDescent="0.25">
      <c r="C454" s="3" t="s">
        <v>129</v>
      </c>
      <c r="F454" s="319">
        <f>SUM(F456:F462)</f>
        <v>0</v>
      </c>
      <c r="H454" s="389"/>
    </row>
    <row r="455" spans="3:11" ht="3.75" customHeight="1" x14ac:dyDescent="0.25">
      <c r="F455" s="318"/>
      <c r="H455" s="389"/>
    </row>
    <row r="456" spans="3:11" ht="4.5" customHeight="1" x14ac:dyDescent="0.25">
      <c r="F456" s="316"/>
      <c r="H456" s="389"/>
    </row>
    <row r="457" spans="3:11" x14ac:dyDescent="0.25">
      <c r="C457" s="2" t="s">
        <v>601</v>
      </c>
      <c r="F457" s="314">
        <f>H457</f>
        <v>0</v>
      </c>
      <c r="H457" s="389"/>
    </row>
    <row r="458" spans="3:11" x14ac:dyDescent="0.25">
      <c r="C458" s="2" t="s">
        <v>1157</v>
      </c>
      <c r="F458" s="314">
        <f t="shared" ref="F458" si="3">H458</f>
        <v>0</v>
      </c>
      <c r="H458" s="389"/>
    </row>
    <row r="459" spans="3:11" x14ac:dyDescent="0.25">
      <c r="C459" s="2" t="s">
        <v>909</v>
      </c>
      <c r="F459" s="314">
        <f>H459</f>
        <v>0</v>
      </c>
      <c r="H459" s="389"/>
    </row>
    <row r="460" spans="3:11" x14ac:dyDescent="0.25">
      <c r="C460" s="2" t="s">
        <v>910</v>
      </c>
      <c r="F460" s="314">
        <f>H460</f>
        <v>0</v>
      </c>
      <c r="H460" s="389"/>
    </row>
    <row r="461" spans="3:11" x14ac:dyDescent="0.25">
      <c r="C461" s="2" t="s">
        <v>1413</v>
      </c>
      <c r="F461" s="314">
        <f>H461</f>
        <v>0</v>
      </c>
      <c r="H461" s="389"/>
    </row>
    <row r="462" spans="3:11" ht="4.5" customHeight="1" x14ac:dyDescent="0.25">
      <c r="F462" s="315"/>
      <c r="H462" s="389"/>
    </row>
    <row r="463" spans="3:11" ht="4.5" customHeight="1" x14ac:dyDescent="0.25">
      <c r="F463" s="320"/>
      <c r="H463" s="389"/>
      <c r="I463"/>
      <c r="J463"/>
    </row>
    <row r="464" spans="3:11" ht="4.5" customHeight="1" x14ac:dyDescent="0.25">
      <c r="F464" s="318"/>
      <c r="H464" s="389"/>
      <c r="I464"/>
      <c r="J464"/>
    </row>
    <row r="465" spans="3:10" x14ac:dyDescent="0.25">
      <c r="C465" s="3" t="s">
        <v>130</v>
      </c>
      <c r="F465" s="318"/>
      <c r="H465" s="389"/>
    </row>
    <row r="466" spans="3:10" x14ac:dyDescent="0.25">
      <c r="C466" s="3" t="s">
        <v>131</v>
      </c>
      <c r="F466" s="319">
        <f>F413+F443+F454</f>
        <v>0</v>
      </c>
      <c r="H466" s="389"/>
      <c r="I466"/>
      <c r="J466"/>
    </row>
    <row r="467" spans="3:10" x14ac:dyDescent="0.25">
      <c r="C467" s="3"/>
      <c r="F467" s="318"/>
      <c r="H467" s="389"/>
      <c r="I467"/>
      <c r="J467"/>
    </row>
    <row r="468" spans="3:10" x14ac:dyDescent="0.25">
      <c r="C468" s="3" t="s">
        <v>185</v>
      </c>
      <c r="F468" s="118"/>
      <c r="H468" s="389"/>
    </row>
    <row r="469" spans="3:10" x14ac:dyDescent="0.25">
      <c r="C469" s="2" t="s">
        <v>186</v>
      </c>
      <c r="F469" s="318">
        <f>H469</f>
        <v>0</v>
      </c>
      <c r="H469" s="389"/>
    </row>
    <row r="470" spans="3:10" x14ac:dyDescent="0.25">
      <c r="F470" s="318"/>
      <c r="H470" s="144"/>
    </row>
    <row r="471" spans="3:10" ht="3.75" customHeight="1" x14ac:dyDescent="0.25">
      <c r="F471" s="321"/>
      <c r="H471" s="144"/>
      <c r="I471"/>
      <c r="J471"/>
    </row>
    <row r="472" spans="3:10" ht="4.5" customHeight="1" x14ac:dyDescent="0.25">
      <c r="F472" s="318"/>
      <c r="I472"/>
      <c r="J472"/>
    </row>
    <row r="473" spans="3:10" ht="16.5" thickBot="1" x14ac:dyDescent="0.3">
      <c r="C473" s="2" t="s">
        <v>187</v>
      </c>
      <c r="F473" s="322">
        <f>SUM(F465:F470)</f>
        <v>0</v>
      </c>
      <c r="I473"/>
      <c r="J473"/>
    </row>
    <row r="474" spans="3:10" ht="16.5" thickTop="1" x14ac:dyDescent="0.25">
      <c r="F474" s="318"/>
      <c r="I474"/>
      <c r="J474"/>
    </row>
    <row r="475" spans="3:10" ht="19.5" x14ac:dyDescent="0.35">
      <c r="C475" s="164" t="s">
        <v>706</v>
      </c>
      <c r="F475" s="144"/>
      <c r="I475"/>
      <c r="J475"/>
    </row>
    <row r="476" spans="3:10" ht="19.5" x14ac:dyDescent="0.35">
      <c r="C476" s="164"/>
      <c r="F476" s="28">
        <f>E22</f>
        <v>2026</v>
      </c>
      <c r="G476" s="28">
        <f>E27</f>
        <v>2025</v>
      </c>
      <c r="I476"/>
      <c r="J476"/>
    </row>
    <row r="477" spans="3:10" ht="19.5" x14ac:dyDescent="0.35">
      <c r="C477" s="164"/>
      <c r="F477" s="144"/>
      <c r="I477"/>
      <c r="J477"/>
    </row>
    <row r="478" spans="3:10" x14ac:dyDescent="0.25">
      <c r="C478" s="2" t="s">
        <v>1337</v>
      </c>
      <c r="F478" s="538">
        <v>0.27</v>
      </c>
      <c r="G478" s="538">
        <v>0.27</v>
      </c>
      <c r="I478"/>
      <c r="J478"/>
    </row>
    <row r="479" spans="3:10" ht="19.5" x14ac:dyDescent="0.35">
      <c r="C479" s="164"/>
      <c r="F479" s="144"/>
      <c r="I479"/>
      <c r="J479"/>
    </row>
    <row r="480" spans="3:10" x14ac:dyDescent="0.25">
      <c r="C480" s="2" t="s">
        <v>914</v>
      </c>
      <c r="F480" s="365" t="s">
        <v>103</v>
      </c>
      <c r="I480"/>
      <c r="J480"/>
    </row>
    <row r="481" spans="1:22" ht="18.75" x14ac:dyDescent="0.3">
      <c r="A481" s="272"/>
      <c r="B481" s="1"/>
      <c r="C481" s="273"/>
      <c r="G481" s="3" t="s">
        <v>800</v>
      </c>
      <c r="I481" s="365" t="s">
        <v>102</v>
      </c>
      <c r="N481" s="365" t="s">
        <v>103</v>
      </c>
      <c r="Q481" s="1"/>
      <c r="S481" s="365" t="s">
        <v>103</v>
      </c>
      <c r="V481" s="1"/>
    </row>
    <row r="482" spans="1:22" x14ac:dyDescent="0.25">
      <c r="A482" s="9"/>
      <c r="B482" s="2"/>
      <c r="C482" s="20"/>
      <c r="Q482" s="2"/>
      <c r="V482" s="2"/>
    </row>
    <row r="483" spans="1:22" x14ac:dyDescent="0.25">
      <c r="A483" s="9"/>
      <c r="B483" s="2"/>
      <c r="C483" s="20"/>
      <c r="F483" s="144"/>
      <c r="H483" s="390" t="s">
        <v>1770</v>
      </c>
      <c r="I483" s="1"/>
      <c r="J483" s="1"/>
      <c r="M483" s="390" t="s">
        <v>1764</v>
      </c>
      <c r="N483" s="1"/>
      <c r="O483" s="1"/>
      <c r="P483" s="2"/>
      <c r="Q483" s="2"/>
      <c r="R483" s="390" t="s">
        <v>801</v>
      </c>
      <c r="S483" s="1"/>
      <c r="T483" s="1"/>
      <c r="U483" s="2"/>
      <c r="V483" s="2"/>
    </row>
    <row r="484" spans="1:22" x14ac:dyDescent="0.25">
      <c r="A484" s="9"/>
      <c r="B484" s="2"/>
      <c r="C484" s="20"/>
      <c r="F484" s="144"/>
      <c r="H484" s="143" t="s">
        <v>796</v>
      </c>
      <c r="I484" s="143" t="s">
        <v>797</v>
      </c>
      <c r="J484" s="143"/>
      <c r="K484" s="143" t="s">
        <v>798</v>
      </c>
      <c r="M484" s="143" t="s">
        <v>796</v>
      </c>
      <c r="N484" s="143" t="s">
        <v>797</v>
      </c>
      <c r="O484" s="143"/>
      <c r="P484" s="143" t="s">
        <v>798</v>
      </c>
      <c r="Q484" s="2"/>
      <c r="R484" s="143" t="s">
        <v>796</v>
      </c>
      <c r="S484" s="143" t="s">
        <v>797</v>
      </c>
      <c r="T484" s="143"/>
      <c r="U484" s="143" t="s">
        <v>798</v>
      </c>
      <c r="V484" s="2"/>
    </row>
    <row r="485" spans="1:22" x14ac:dyDescent="0.25">
      <c r="A485" s="9"/>
      <c r="B485" s="2"/>
      <c r="C485" s="20"/>
      <c r="F485" s="144" t="s">
        <v>799</v>
      </c>
      <c r="H485" s="391">
        <v>0</v>
      </c>
      <c r="I485" s="391">
        <v>95750</v>
      </c>
      <c r="J485" s="391"/>
      <c r="K485" s="392">
        <v>0</v>
      </c>
      <c r="M485" s="391">
        <v>0</v>
      </c>
      <c r="N485" s="391">
        <v>95750</v>
      </c>
      <c r="O485" s="391"/>
      <c r="P485" s="392">
        <v>0</v>
      </c>
      <c r="Q485" s="2"/>
      <c r="R485" s="391"/>
      <c r="S485" s="391"/>
      <c r="T485" s="391"/>
      <c r="U485" s="392"/>
      <c r="V485" s="2"/>
    </row>
    <row r="486" spans="1:22" x14ac:dyDescent="0.25">
      <c r="A486" s="9"/>
      <c r="B486" s="2"/>
      <c r="C486" s="20"/>
      <c r="F486" s="144"/>
      <c r="H486" s="391">
        <v>95750</v>
      </c>
      <c r="I486" s="391">
        <v>365000</v>
      </c>
      <c r="J486" s="391"/>
      <c r="K486" s="392">
        <v>7.0000000000000007E-2</v>
      </c>
      <c r="M486" s="391">
        <v>95750</v>
      </c>
      <c r="N486" s="391">
        <v>365000</v>
      </c>
      <c r="O486" s="391"/>
      <c r="P486" s="392">
        <v>7.0000000000000007E-2</v>
      </c>
      <c r="Q486" s="2"/>
      <c r="R486" s="391"/>
      <c r="S486" s="391"/>
      <c r="T486" s="391"/>
      <c r="U486" s="392"/>
      <c r="V486" s="118"/>
    </row>
    <row r="487" spans="1:22" x14ac:dyDescent="0.25">
      <c r="A487" s="9"/>
      <c r="B487" s="2"/>
      <c r="C487" s="20"/>
      <c r="F487" s="144"/>
      <c r="H487" s="391">
        <v>365000</v>
      </c>
      <c r="I487" s="391">
        <v>550000</v>
      </c>
      <c r="J487" s="391">
        <v>18848</v>
      </c>
      <c r="K487" s="392">
        <v>0.21</v>
      </c>
      <c r="M487" s="391">
        <v>365000</v>
      </c>
      <c r="N487" s="391">
        <v>550000</v>
      </c>
      <c r="O487" s="391">
        <v>18848</v>
      </c>
      <c r="P487" s="392">
        <v>0.21</v>
      </c>
      <c r="Q487" s="2"/>
      <c r="R487" s="391"/>
      <c r="S487" s="391"/>
      <c r="T487" s="391"/>
      <c r="U487" s="392"/>
      <c r="V487" s="17"/>
    </row>
    <row r="488" spans="1:22" x14ac:dyDescent="0.25">
      <c r="A488" s="9"/>
      <c r="B488" s="2"/>
      <c r="C488" s="20"/>
      <c r="F488" s="144"/>
      <c r="H488" s="391">
        <v>550000</v>
      </c>
      <c r="I488" s="391"/>
      <c r="J488" s="391">
        <v>57698</v>
      </c>
      <c r="K488" s="392">
        <v>0.27</v>
      </c>
      <c r="M488" s="391">
        <v>550000</v>
      </c>
      <c r="N488" s="391"/>
      <c r="O488" s="391">
        <v>57698</v>
      </c>
      <c r="P488" s="392">
        <v>0.27</v>
      </c>
      <c r="Q488" s="2"/>
      <c r="R488" s="391"/>
      <c r="S488" s="391"/>
      <c r="T488" s="391"/>
      <c r="U488" s="392"/>
      <c r="V488" s="118"/>
    </row>
    <row r="489" spans="1:22" x14ac:dyDescent="0.25">
      <c r="A489" s="9"/>
      <c r="B489" s="2"/>
      <c r="C489" s="20"/>
      <c r="F489" s="144"/>
      <c r="M489" s="2"/>
      <c r="N489" s="2"/>
      <c r="O489" s="2"/>
      <c r="P489" s="2"/>
      <c r="Q489" s="2"/>
      <c r="R489" s="2"/>
      <c r="S489" s="2"/>
      <c r="T489" s="2"/>
      <c r="U489" s="2"/>
      <c r="V489" s="118"/>
    </row>
    <row r="490" spans="1:22" ht="16.5" thickBot="1" x14ac:dyDescent="0.3">
      <c r="A490" s="9"/>
      <c r="B490" s="2"/>
      <c r="C490" s="20"/>
      <c r="F490" s="144"/>
      <c r="K490" s="275">
        <f>IF(FS!$O3020&gt;Criteria!H488,Criteria!J488+(FS!$O3020-Criteria!H488)*Criteria!K488,IF(FS!$O3020&gt;Criteria!H487,Criteria!J487+(FS!$O3020-Criteria!H487)*Criteria!K487,IF(FS!$O3020&gt;Criteria!H486,(FS!$O3020-Criteria!H486)*Criteria!K486,0)))</f>
        <v>0</v>
      </c>
      <c r="M490" s="2"/>
      <c r="N490" s="2"/>
      <c r="O490" s="2"/>
      <c r="P490" s="275">
        <f>IF(FS!$O3020&gt;Criteria!M488,Criteria!O488+(FS!$O3020-Criteria!M488)*Criteria!P488,IF(FS!$O3020&gt;Criteria!M487,Criteria!O487+(FS!$O3020-Criteria!M487)*Criteria!P487,IF(FS!$O3020&gt;Criteria!M486,(FS!$O3020-Criteria!M486)*Criteria!P486,0)))</f>
        <v>0</v>
      </c>
      <c r="Q490" s="2"/>
      <c r="R490" s="2"/>
      <c r="S490" s="2"/>
      <c r="T490" s="2"/>
      <c r="U490" s="275">
        <f>IF(FS!$O3020&gt;Criteria!R488,Criteria!T488+(FS!$O3020-Criteria!R488)*Criteria!U488,IF(FS!$O3020&gt;Criteria!R487,Criteria!T487+(FS!$O3020-Criteria!R487)*Criteria!U487,IF(FS!$O3020&gt;Criteria!R486,(FS!$O3020-Criteria!R486)*Criteria!U486,0)))</f>
        <v>0</v>
      </c>
      <c r="V490" s="118"/>
    </row>
    <row r="491" spans="1:22" ht="16.5" thickTop="1" x14ac:dyDescent="0.25">
      <c r="G491" s="28">
        <f>E22</f>
        <v>2026</v>
      </c>
      <c r="K491" s="118"/>
      <c r="P491" s="274"/>
    </row>
    <row r="492" spans="1:22" x14ac:dyDescent="0.25">
      <c r="J492" s="17"/>
      <c r="K492" s="118"/>
      <c r="P492" s="34"/>
    </row>
    <row r="493" spans="1:22" x14ac:dyDescent="0.25">
      <c r="C493" s="2" t="s">
        <v>911</v>
      </c>
      <c r="G493" s="386"/>
      <c r="I493" s="118"/>
      <c r="J493" s="118"/>
      <c r="K493" s="118"/>
      <c r="P493" s="34"/>
    </row>
    <row r="494" spans="1:22" x14ac:dyDescent="0.25">
      <c r="C494" s="2" t="s">
        <v>912</v>
      </c>
      <c r="G494" s="386"/>
      <c r="I494" s="118"/>
      <c r="K494" s="118"/>
      <c r="P494" s="34"/>
    </row>
    <row r="495" spans="1:22" x14ac:dyDescent="0.25">
      <c r="I495" s="118"/>
    </row>
    <row r="496" spans="1:22" x14ac:dyDescent="0.25">
      <c r="C496" s="2" t="s">
        <v>826</v>
      </c>
    </row>
    <row r="497" spans="3:8" x14ac:dyDescent="0.25">
      <c r="C497" s="2" t="s">
        <v>828</v>
      </c>
      <c r="G497" s="386">
        <f>ROUND(TARegister!Q15,0)</f>
        <v>0</v>
      </c>
    </row>
    <row r="498" spans="3:8" x14ac:dyDescent="0.25">
      <c r="C498" s="386"/>
      <c r="D498" s="298"/>
      <c r="E498" s="298"/>
      <c r="G498" s="386"/>
    </row>
    <row r="499" spans="3:8" x14ac:dyDescent="0.25">
      <c r="C499" s="386"/>
      <c r="D499" s="298"/>
      <c r="E499" s="298"/>
      <c r="G499" s="386"/>
    </row>
    <row r="500" spans="3:8" x14ac:dyDescent="0.25">
      <c r="C500" s="386"/>
      <c r="D500" s="298"/>
      <c r="E500" s="298"/>
      <c r="G500" s="386"/>
    </row>
    <row r="501" spans="3:8" x14ac:dyDescent="0.25">
      <c r="C501" s="386"/>
      <c r="D501" s="298"/>
      <c r="E501" s="298"/>
      <c r="G501" s="386"/>
    </row>
    <row r="502" spans="3:8" x14ac:dyDescent="0.25">
      <c r="C502" s="2" t="s">
        <v>827</v>
      </c>
    </row>
    <row r="503" spans="3:8" x14ac:dyDescent="0.25">
      <c r="C503" s="2" t="s">
        <v>829</v>
      </c>
      <c r="G503" s="386">
        <f>ROUND(SUM(TARegister!T11:T14),0)</f>
        <v>0</v>
      </c>
    </row>
    <row r="504" spans="3:8" x14ac:dyDescent="0.25">
      <c r="C504" s="2" t="s">
        <v>870</v>
      </c>
      <c r="F504" s="9"/>
      <c r="G504" s="386">
        <f>ROUND(TARegister!T10,0)</f>
        <v>0</v>
      </c>
    </row>
    <row r="505" spans="3:8" x14ac:dyDescent="0.25">
      <c r="C505" s="2" t="s">
        <v>832</v>
      </c>
      <c r="G505" s="386">
        <f>ROUND(TARegister!R15,0)</f>
        <v>0</v>
      </c>
    </row>
    <row r="506" spans="3:8" x14ac:dyDescent="0.25">
      <c r="C506" s="386"/>
      <c r="D506" s="298"/>
      <c r="E506" s="298"/>
      <c r="G506" s="386"/>
    </row>
    <row r="507" spans="3:8" x14ac:dyDescent="0.25">
      <c r="C507" s="386"/>
      <c r="D507" s="298"/>
      <c r="E507" s="298"/>
      <c r="G507" s="386"/>
    </row>
    <row r="509" spans="3:8" x14ac:dyDescent="0.25">
      <c r="G509" s="5" t="s">
        <v>360</v>
      </c>
      <c r="H509" s="5" t="s">
        <v>361</v>
      </c>
    </row>
    <row r="510" spans="3:8" x14ac:dyDescent="0.25">
      <c r="C510" s="2" t="s">
        <v>913</v>
      </c>
      <c r="G510" s="386">
        <f>ROUND(IF(TARegister!S15&gt;0,TARegister!S15,0),0)</f>
        <v>0</v>
      </c>
      <c r="H510" s="386">
        <f>ROUND(IF(TARegister!S15&lt;0,-TARegister!S15,0),0)</f>
        <v>0</v>
      </c>
    </row>
    <row r="512" spans="3:8" x14ac:dyDescent="0.25">
      <c r="C512" s="20" t="s">
        <v>991</v>
      </c>
      <c r="G512" s="5">
        <f>E22</f>
        <v>2026</v>
      </c>
      <c r="H512" s="5">
        <f>E27</f>
        <v>2025</v>
      </c>
    </row>
    <row r="513" spans="3:8" x14ac:dyDescent="0.25">
      <c r="G513" s="5"/>
      <c r="H513" s="5"/>
    </row>
    <row r="514" spans="3:8" x14ac:dyDescent="0.25">
      <c r="C514" s="2" t="s">
        <v>992</v>
      </c>
      <c r="H514" s="386"/>
    </row>
    <row r="515" spans="3:8" x14ac:dyDescent="0.25">
      <c r="C515" s="2" t="s">
        <v>1746</v>
      </c>
    </row>
    <row r="517" spans="3:8" x14ac:dyDescent="0.25">
      <c r="C517" s="2" t="s">
        <v>995</v>
      </c>
      <c r="H517" s="386"/>
    </row>
    <row r="519" spans="3:8" x14ac:dyDescent="0.25">
      <c r="C519" s="2" t="s">
        <v>1747</v>
      </c>
      <c r="G519" s="325">
        <f>FS!V1594</f>
        <v>0</v>
      </c>
    </row>
    <row r="520" spans="3:8" x14ac:dyDescent="0.25">
      <c r="C520" s="2" t="s">
        <v>993</v>
      </c>
      <c r="G520" s="386"/>
    </row>
    <row r="523" spans="3:8" ht="19.5" x14ac:dyDescent="0.35">
      <c r="C523" s="164" t="s">
        <v>997</v>
      </c>
    </row>
    <row r="525" spans="3:8" x14ac:dyDescent="0.25">
      <c r="C525" s="2" t="s">
        <v>1002</v>
      </c>
    </row>
    <row r="526" spans="3:8" x14ac:dyDescent="0.25">
      <c r="F526" s="2" t="s">
        <v>1005</v>
      </c>
    </row>
    <row r="527" spans="3:8" x14ac:dyDescent="0.25">
      <c r="C527" s="2" t="s">
        <v>1000</v>
      </c>
      <c r="E527" s="5" t="s">
        <v>1003</v>
      </c>
      <c r="F527" s="5" t="s">
        <v>1006</v>
      </c>
    </row>
    <row r="528" spans="3:8" x14ac:dyDescent="0.25">
      <c r="C528" s="386"/>
      <c r="E528" s="386"/>
      <c r="F528" s="386"/>
      <c r="G528" s="2">
        <f>IF(COUNTIF(E528:E537,"&gt;0")&gt;0,1,IF(COUNTIF(E528:E537,"&lt;0")&gt;0,1,0))</f>
        <v>0</v>
      </c>
      <c r="H528" s="2">
        <f>IF(COUNTIF(F528:F537,"&gt;0")&gt;0,1,IF(COUNTIF(F528:F537,"&lt;0")&gt;0,1,0))</f>
        <v>0</v>
      </c>
    </row>
    <row r="529" spans="3:6" x14ac:dyDescent="0.25">
      <c r="C529" s="386"/>
      <c r="E529" s="386"/>
      <c r="F529" s="386"/>
    </row>
    <row r="530" spans="3:6" x14ac:dyDescent="0.25">
      <c r="C530" s="386"/>
      <c r="E530" s="386"/>
      <c r="F530" s="386"/>
    </row>
    <row r="531" spans="3:6" x14ac:dyDescent="0.25">
      <c r="C531" s="386"/>
      <c r="E531" s="386"/>
      <c r="F531" s="386"/>
    </row>
    <row r="532" spans="3:6" x14ac:dyDescent="0.25">
      <c r="C532" s="386"/>
      <c r="E532" s="386"/>
      <c r="F532" s="386"/>
    </row>
    <row r="533" spans="3:6" x14ac:dyDescent="0.25">
      <c r="C533" s="386"/>
      <c r="E533" s="386"/>
      <c r="F533" s="386"/>
    </row>
    <row r="534" spans="3:6" x14ac:dyDescent="0.25">
      <c r="C534" s="386"/>
      <c r="E534" s="386"/>
      <c r="F534" s="386"/>
    </row>
    <row r="535" spans="3:6" x14ac:dyDescent="0.25">
      <c r="C535" s="386"/>
      <c r="E535" s="386"/>
      <c r="F535" s="386"/>
    </row>
    <row r="536" spans="3:6" x14ac:dyDescent="0.25">
      <c r="C536" s="386"/>
      <c r="E536" s="386"/>
      <c r="F536" s="386"/>
    </row>
    <row r="537" spans="3:6" x14ac:dyDescent="0.25">
      <c r="C537" s="386"/>
      <c r="E537" s="386"/>
      <c r="F537" s="386"/>
    </row>
  </sheetData>
  <sheetProtection algorithmName="SHA-512" hashValue="8CBSQHgcxJH0uWrPKbJIysomfXoXkL2ktmoPJ1yR4fPAZecxo6pPN64xOdxQv7SctU705NwzpVN4hGmvyAWJTg==" saltValue="Idk89CfSyb8F8mtRnIbFpQ==" spinCount="100000" sheet="1" objects="1" scenarios="1" selectLockedCells="1"/>
  <mergeCells count="11">
    <mergeCell ref="G250:H250"/>
    <mergeCell ref="G253:H253"/>
    <mergeCell ref="A80:J80"/>
    <mergeCell ref="E11:G11"/>
    <mergeCell ref="E9:G9"/>
    <mergeCell ref="E10:G10"/>
    <mergeCell ref="E13:G13"/>
    <mergeCell ref="E14:G14"/>
    <mergeCell ref="C84:F84"/>
    <mergeCell ref="E15:G15"/>
    <mergeCell ref="E16:G16"/>
  </mergeCells>
  <phoneticPr fontId="0" type="noConversion"/>
  <dataValidations count="2">
    <dataValidation type="list" allowBlank="1" showInputMessage="1" showErrorMessage="1" sqref="E24 G50 F135 N481 I481 F480 F86 F88 F90 F125 F95 F99 F102 S481 G302 F108 F110 E122 F92" xr:uid="{00000000-0002-0000-0300-00000D000000}">
      <formula1>$F$25:$G$25</formula1>
    </dataValidation>
    <dataValidation type="list" allowBlank="1" showInputMessage="1" showErrorMessage="1" sqref="E29" xr:uid="{4B992463-D1AB-474C-BC28-FB8CE4C7B1B3}">
      <formula1>$E$30:$G$30</formula1>
    </dataValidation>
  </dataValidations>
  <hyperlinks>
    <hyperlink ref="E3" r:id="rId1" xr:uid="{16A95704-CD2A-4AE6-9F83-9DCD0D1E0E4D}"/>
    <hyperlink ref="E4" r:id="rId2" xr:uid="{E3401419-B55A-46B4-93C9-021ED672D37A}"/>
  </hyperlinks>
  <pageMargins left="0.75" right="0.75" top="1" bottom="1" header="0.5" footer="0.5"/>
  <pageSetup paperSize="9" orientation="portrait" r:id="rId3"/>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439"/>
  <sheetViews>
    <sheetView zoomScale="89" zoomScaleNormal="89" workbookViewId="0">
      <pane xSplit="3" ySplit="3" topLeftCell="D4" activePane="bottomRight" state="frozen"/>
      <selection pane="topRight" activeCell="D1" sqref="D1"/>
      <selection pane="bottomLeft" activeCell="A4" sqref="A4"/>
      <selection pane="bottomRight" activeCell="C359" sqref="C359"/>
    </sheetView>
  </sheetViews>
  <sheetFormatPr defaultRowHeight="12.75" x14ac:dyDescent="0.2"/>
  <cols>
    <col min="1" max="1" width="15.85546875" style="14" bestFit="1" customWidth="1"/>
    <col min="2" max="2" width="8.7109375" bestFit="1" customWidth="1"/>
    <col min="3" max="3" width="37.85546875" style="15" bestFit="1" customWidth="1"/>
    <col min="4" max="4" width="15.28515625" style="169" bestFit="1" customWidth="1"/>
    <col min="5" max="5" width="15.28515625" style="169" customWidth="1"/>
    <col min="6" max="8" width="13.140625" style="16" customWidth="1"/>
    <col min="9" max="9" width="15.85546875" style="16" bestFit="1" customWidth="1"/>
    <col min="10" max="10" width="13.85546875" style="16" bestFit="1" customWidth="1"/>
    <col min="11" max="11" width="13.42578125" style="16" customWidth="1"/>
    <col min="12" max="12" width="15.85546875" style="213" bestFit="1" customWidth="1"/>
    <col min="13" max="13" width="4.85546875" style="84" customWidth="1"/>
    <col min="14" max="14" width="15.7109375" customWidth="1"/>
    <col min="15" max="15" width="4.140625" customWidth="1"/>
    <col min="16" max="16" width="13.85546875" customWidth="1"/>
    <col min="17" max="17" width="13.85546875" style="50" bestFit="1" customWidth="1"/>
    <col min="18" max="18" width="14.28515625" bestFit="1" customWidth="1"/>
    <col min="19" max="20" width="13.140625" bestFit="1" customWidth="1"/>
    <col min="21" max="21" width="13.85546875" bestFit="1" customWidth="1"/>
  </cols>
  <sheetData>
    <row r="1" spans="1:21" x14ac:dyDescent="0.2">
      <c r="A1" s="412"/>
      <c r="B1" s="413"/>
      <c r="C1" s="413"/>
      <c r="D1" s="681" t="str">
        <f>Criteria!E13</f>
        <v>SEAFRONT HOTEL</v>
      </c>
      <c r="E1" s="681"/>
      <c r="F1" s="409" t="str">
        <f>Criteria!E14</f>
        <v>ABC RESTAURANT</v>
      </c>
      <c r="G1" s="409" t="str">
        <f>Criteria!E15</f>
        <v>RENTAL PROPERTIES</v>
      </c>
      <c r="H1" s="409">
        <f>Criteria!E16</f>
        <v>0</v>
      </c>
      <c r="I1" s="414"/>
      <c r="J1" s="415" t="s">
        <v>182</v>
      </c>
      <c r="K1" s="415"/>
      <c r="L1" s="416">
        <f>Criteria!E22</f>
        <v>2026</v>
      </c>
      <c r="M1" s="416"/>
      <c r="N1" s="416">
        <f>Criteria!E27</f>
        <v>2025</v>
      </c>
      <c r="O1" s="413"/>
      <c r="P1" s="683" t="s">
        <v>380</v>
      </c>
      <c r="Q1" s="683"/>
      <c r="S1" s="70"/>
    </row>
    <row r="2" spans="1:21" x14ac:dyDescent="0.2">
      <c r="A2" s="417" t="s">
        <v>1244</v>
      </c>
      <c r="B2" s="413"/>
      <c r="C2" s="413"/>
      <c r="D2" s="682">
        <f>D404-E404</f>
        <v>0</v>
      </c>
      <c r="E2" s="682"/>
      <c r="F2" s="418">
        <f>F404</f>
        <v>0</v>
      </c>
      <c r="G2" s="418">
        <f>G404</f>
        <v>0</v>
      </c>
      <c r="H2" s="418">
        <f>H404</f>
        <v>0</v>
      </c>
      <c r="I2" s="419" t="s">
        <v>483</v>
      </c>
      <c r="J2" s="414">
        <f>J404</f>
        <v>0</v>
      </c>
      <c r="K2" s="420">
        <f>D2-E2+F2+G2+H2</f>
        <v>0</v>
      </c>
      <c r="L2" s="421">
        <f>L404</f>
        <v>0</v>
      </c>
      <c r="M2" s="422"/>
      <c r="N2" s="423">
        <f>N404</f>
        <v>0</v>
      </c>
      <c r="O2" s="413"/>
      <c r="P2" s="416">
        <f>Criteria!E22</f>
        <v>2026</v>
      </c>
      <c r="Q2" s="416">
        <f>Criteria!E27</f>
        <v>2025</v>
      </c>
      <c r="S2" s="71"/>
    </row>
    <row r="3" spans="1:21" x14ac:dyDescent="0.2">
      <c r="A3" s="417" t="s">
        <v>673</v>
      </c>
      <c r="B3" s="424"/>
      <c r="C3" s="424" t="s">
        <v>263</v>
      </c>
      <c r="D3" s="417" t="s">
        <v>264</v>
      </c>
      <c r="E3" s="417" t="s">
        <v>265</v>
      </c>
      <c r="F3" s="417" t="s">
        <v>673</v>
      </c>
      <c r="G3" s="417" t="s">
        <v>673</v>
      </c>
      <c r="H3" s="417" t="s">
        <v>673</v>
      </c>
      <c r="I3" s="425" t="s">
        <v>151</v>
      </c>
      <c r="J3" s="412"/>
      <c r="K3" s="426"/>
      <c r="L3" s="406"/>
      <c r="M3" s="427"/>
      <c r="N3" s="413"/>
      <c r="O3" s="413"/>
      <c r="P3" s="423">
        <f>SUM(L5:L165)</f>
        <v>0</v>
      </c>
      <c r="Q3" s="428">
        <f>SUM(N5:N165)</f>
        <v>0</v>
      </c>
    </row>
    <row r="4" spans="1:21" x14ac:dyDescent="0.2">
      <c r="A4" s="165"/>
      <c r="B4" s="113" t="s">
        <v>266</v>
      </c>
      <c r="C4" s="396" t="s">
        <v>123</v>
      </c>
      <c r="D4" s="212"/>
      <c r="E4" s="211"/>
      <c r="F4" s="59"/>
      <c r="G4" s="59"/>
      <c r="H4" s="59"/>
      <c r="I4" s="59"/>
      <c r="J4" s="46"/>
      <c r="K4" s="47"/>
      <c r="L4" s="211"/>
      <c r="M4" s="67"/>
      <c r="N4" s="54" t="s">
        <v>263</v>
      </c>
      <c r="Q4" s="51"/>
    </row>
    <row r="5" spans="1:21" x14ac:dyDescent="0.2">
      <c r="A5" s="393"/>
      <c r="B5" s="13" t="s">
        <v>267</v>
      </c>
      <c r="C5" s="397" t="s">
        <v>1195</v>
      </c>
      <c r="D5" s="405"/>
      <c r="E5" s="406"/>
      <c r="F5" s="184"/>
      <c r="G5" s="184"/>
      <c r="H5" s="184"/>
      <c r="I5" s="87"/>
      <c r="J5" s="347">
        <f>SUMIF(Journals!D$14:D$920,TrialBalance!P5,Journals!J$14:J$920)+SUMIF(Journals!E$14:E$920,TrialBalance!P5,Journals!J$14:J$920)</f>
        <v>0</v>
      </c>
      <c r="K5" s="408"/>
      <c r="L5" s="410">
        <f t="shared" ref="L5:L10" si="0">ROUND(D5-E5+F5+G5+H5+J5+I5,0)</f>
        <v>0</v>
      </c>
      <c r="M5" s="83"/>
      <c r="N5" s="56">
        <f t="shared" ref="N5:N74" si="1">ROUND(SUM(A5),0)</f>
        <v>0</v>
      </c>
      <c r="P5" s="196" t="str">
        <f t="shared" ref="P5:P41" si="2">CONCATENATE(B5,C5)</f>
        <v>1000/001Sale of goods</v>
      </c>
      <c r="Q5" s="78"/>
      <c r="S5" s="79"/>
      <c r="T5" s="59"/>
      <c r="U5" s="34"/>
    </row>
    <row r="6" spans="1:21" x14ac:dyDescent="0.2">
      <c r="A6" s="393"/>
      <c r="B6" s="113" t="s">
        <v>268</v>
      </c>
      <c r="C6" s="397" t="s">
        <v>1196</v>
      </c>
      <c r="D6" s="405"/>
      <c r="E6" s="406"/>
      <c r="F6" s="184"/>
      <c r="G6" s="184"/>
      <c r="H6" s="184"/>
      <c r="I6" s="87"/>
      <c r="J6" s="347">
        <f>SUMIF(Journals!D$14:D$920,TrialBalance!P6,Journals!J$14:J$920)+SUMIF(Journals!E$14:E$920,TrialBalance!P6,Journals!J$14:J$920)</f>
        <v>0</v>
      </c>
      <c r="K6" s="408"/>
      <c r="L6" s="410">
        <f t="shared" ref="L6:L9" si="3">ROUND(D6-E6+F6+G6+H6+J6+I6,0)</f>
        <v>0</v>
      </c>
      <c r="M6" s="83"/>
      <c r="N6" s="56">
        <f t="shared" ref="N6:N9" si="4">ROUND(SUM(A6),0)</f>
        <v>0</v>
      </c>
      <c r="P6" s="196" t="str">
        <f t="shared" ref="P6:P9" si="5">CONCATENATE(B6,C6)</f>
        <v>1000/002Rendering of services</v>
      </c>
      <c r="Q6" s="78"/>
      <c r="S6" s="79"/>
      <c r="T6" s="59"/>
      <c r="U6" s="34"/>
    </row>
    <row r="7" spans="1:21" x14ac:dyDescent="0.2">
      <c r="A7" s="393"/>
      <c r="B7" s="113" t="s">
        <v>269</v>
      </c>
      <c r="C7" s="397" t="s">
        <v>1197</v>
      </c>
      <c r="D7" s="405"/>
      <c r="E7" s="406"/>
      <c r="F7" s="184"/>
      <c r="G7" s="184"/>
      <c r="H7" s="184"/>
      <c r="I7" s="87"/>
      <c r="J7" s="347">
        <f>SUMIF(Journals!D$14:D$920,TrialBalance!P7,Journals!J$14:J$920)+SUMIF(Journals!E$14:E$920,TrialBalance!P7,Journals!J$14:J$920)</f>
        <v>0</v>
      </c>
      <c r="K7" s="408"/>
      <c r="L7" s="410">
        <f t="shared" si="3"/>
        <v>0</v>
      </c>
      <c r="M7" s="83"/>
      <c r="N7" s="56">
        <f t="shared" si="4"/>
        <v>0</v>
      </c>
      <c r="P7" s="196" t="str">
        <f t="shared" si="5"/>
        <v>1000/003Commissions received</v>
      </c>
      <c r="Q7" s="78"/>
      <c r="S7" s="79"/>
      <c r="T7" s="59"/>
      <c r="U7" s="34"/>
    </row>
    <row r="8" spans="1:21" x14ac:dyDescent="0.2">
      <c r="A8" s="393"/>
      <c r="B8" s="113" t="s">
        <v>1198</v>
      </c>
      <c r="C8" s="398"/>
      <c r="D8" s="405"/>
      <c r="E8" s="406"/>
      <c r="F8" s="184"/>
      <c r="G8" s="184"/>
      <c r="H8" s="184"/>
      <c r="I8" s="87"/>
      <c r="J8" s="347">
        <f>SUMIF(Journals!D$14:D$920,TrialBalance!P8,Journals!J$14:J$920)+SUMIF(Journals!E$14:E$920,TrialBalance!P8,Journals!J$14:J$920)</f>
        <v>0</v>
      </c>
      <c r="K8" s="408"/>
      <c r="L8" s="410">
        <f t="shared" si="3"/>
        <v>0</v>
      </c>
      <c r="M8" s="83"/>
      <c r="N8" s="56">
        <f t="shared" si="4"/>
        <v>0</v>
      </c>
      <c r="P8" s="196" t="str">
        <f t="shared" si="5"/>
        <v>1000/004</v>
      </c>
      <c r="Q8" s="78"/>
      <c r="S8" s="79"/>
      <c r="T8" s="59"/>
      <c r="U8" s="34"/>
    </row>
    <row r="9" spans="1:21" x14ac:dyDescent="0.2">
      <c r="A9" s="393"/>
      <c r="B9" s="113" t="s">
        <v>1199</v>
      </c>
      <c r="C9" s="398"/>
      <c r="D9" s="405"/>
      <c r="E9" s="406"/>
      <c r="F9" s="184"/>
      <c r="G9" s="184"/>
      <c r="H9" s="184"/>
      <c r="I9" s="87"/>
      <c r="J9" s="347">
        <f>SUMIF(Journals!D$14:D$920,TrialBalance!P9,Journals!J$14:J$920)+SUMIF(Journals!E$14:E$920,TrialBalance!P9,Journals!J$14:J$920)</f>
        <v>0</v>
      </c>
      <c r="K9" s="408"/>
      <c r="L9" s="410">
        <f t="shared" si="3"/>
        <v>0</v>
      </c>
      <c r="M9" s="83"/>
      <c r="N9" s="56">
        <f t="shared" si="4"/>
        <v>0</v>
      </c>
      <c r="P9" s="196" t="str">
        <f t="shared" si="5"/>
        <v>1000/005</v>
      </c>
      <c r="Q9" s="78"/>
      <c r="S9" s="79"/>
      <c r="T9" s="59"/>
      <c r="U9" s="34"/>
    </row>
    <row r="10" spans="1:21" x14ac:dyDescent="0.2">
      <c r="A10" s="393"/>
      <c r="B10" s="113" t="s">
        <v>1200</v>
      </c>
      <c r="C10" s="398"/>
      <c r="D10" s="406"/>
      <c r="E10" s="406"/>
      <c r="F10" s="184"/>
      <c r="G10" s="184"/>
      <c r="H10" s="184"/>
      <c r="I10" s="87"/>
      <c r="J10" s="347">
        <f>SUMIF(Journals!D$14:D$920,TrialBalance!P10,Journals!J$14:J$920)+SUMIF(Journals!E$14:E$920,TrialBalance!P10,Journals!J$14:J$920)</f>
        <v>0</v>
      </c>
      <c r="K10" s="408"/>
      <c r="L10" s="410">
        <f t="shared" si="0"/>
        <v>0</v>
      </c>
      <c r="M10" s="83"/>
      <c r="N10" s="56">
        <f t="shared" si="1"/>
        <v>0</v>
      </c>
      <c r="P10" s="196" t="str">
        <f t="shared" si="2"/>
        <v>1000/006</v>
      </c>
      <c r="Q10" s="78"/>
      <c r="S10" s="79"/>
      <c r="T10" s="59"/>
      <c r="U10" s="34"/>
    </row>
    <row r="11" spans="1:21" x14ac:dyDescent="0.2">
      <c r="A11" s="393"/>
      <c r="B11" s="113" t="s">
        <v>1201</v>
      </c>
      <c r="C11" s="395" t="s">
        <v>398</v>
      </c>
      <c r="D11" s="406"/>
      <c r="E11" s="406"/>
      <c r="F11" s="184"/>
      <c r="G11" s="184"/>
      <c r="H11" s="184"/>
      <c r="I11" s="87"/>
      <c r="J11" s="347">
        <f>SUMIF(Journals!D$14:D$920,TrialBalance!P11,Journals!J$14:J$920)+SUMIF(Journals!E$14:E$920,TrialBalance!P11,Journals!J$14:J$920)</f>
        <v>0</v>
      </c>
      <c r="K11" s="408"/>
      <c r="L11" s="410">
        <f>ROUND(D11-E11+F11+G11+H11+J11+I11,0)</f>
        <v>0</v>
      </c>
      <c r="M11" s="83"/>
      <c r="N11" s="56">
        <f t="shared" si="1"/>
        <v>0</v>
      </c>
      <c r="P11" s="196" t="str">
        <f t="shared" si="2"/>
        <v>1000/007Rent received</v>
      </c>
      <c r="Q11" s="78"/>
      <c r="S11" s="79"/>
      <c r="T11" s="59"/>
      <c r="U11" s="34"/>
    </row>
    <row r="12" spans="1:21" x14ac:dyDescent="0.2">
      <c r="A12" s="393"/>
      <c r="B12" s="62" t="s">
        <v>270</v>
      </c>
      <c r="C12" s="396" t="s">
        <v>124</v>
      </c>
      <c r="D12" s="405"/>
      <c r="E12" s="406"/>
      <c r="F12" s="184"/>
      <c r="G12" s="184"/>
      <c r="H12" s="184"/>
      <c r="I12" s="87"/>
      <c r="J12" s="347">
        <f>SUMIF(Journals!D$14:D$920,TrialBalance!P12,Journals!J$14:J$920)+SUMIF(Journals!E$14:E$920,TrialBalance!P12,Journals!J$14:J$920)</f>
        <v>0</v>
      </c>
      <c r="K12" s="408"/>
      <c r="L12" s="410">
        <f t="shared" ref="L12:L76" si="6">ROUND(D12-E12+F12+G12+H12+J12+I12,0)</f>
        <v>0</v>
      </c>
      <c r="M12" s="83"/>
      <c r="N12" s="56">
        <f t="shared" si="1"/>
        <v>0</v>
      </c>
      <c r="P12" s="196" t="str">
        <f t="shared" si="2"/>
        <v>2000/000COST OF SALES</v>
      </c>
      <c r="Q12" s="78"/>
      <c r="S12" s="79"/>
      <c r="T12" s="59"/>
      <c r="U12" s="34"/>
    </row>
    <row r="13" spans="1:21" x14ac:dyDescent="0.2">
      <c r="A13" s="393"/>
      <c r="B13" s="62" t="s">
        <v>271</v>
      </c>
      <c r="C13" s="397" t="s">
        <v>718</v>
      </c>
      <c r="D13" s="405"/>
      <c r="E13" s="406"/>
      <c r="F13" s="184"/>
      <c r="G13" s="184"/>
      <c r="H13" s="184"/>
      <c r="I13" s="87"/>
      <c r="J13" s="347">
        <f>SUMIF(Journals!D$14:D$920,TrialBalance!P13,Journals!J$14:J$920)+SUMIF(Journals!E$14:E$920,TrialBalance!P13,Journals!J$14:J$920)</f>
        <v>0</v>
      </c>
      <c r="K13" s="408"/>
      <c r="L13" s="410">
        <f t="shared" si="6"/>
        <v>0</v>
      </c>
      <c r="M13" s="83"/>
      <c r="N13" s="56">
        <f t="shared" si="1"/>
        <v>0</v>
      </c>
      <c r="P13" s="196" t="str">
        <f t="shared" si="2"/>
        <v>2000/001Opening stock - Raw materials</v>
      </c>
      <c r="Q13" s="78"/>
      <c r="S13" s="79"/>
      <c r="T13" s="59"/>
      <c r="U13" s="34"/>
    </row>
    <row r="14" spans="1:21" x14ac:dyDescent="0.2">
      <c r="A14" s="393"/>
      <c r="B14" s="62" t="s">
        <v>426</v>
      </c>
      <c r="C14" s="394" t="s">
        <v>427</v>
      </c>
      <c r="D14" s="405"/>
      <c r="E14" s="406"/>
      <c r="F14" s="184"/>
      <c r="G14" s="184"/>
      <c r="H14" s="184"/>
      <c r="I14" s="87"/>
      <c r="J14" s="347">
        <f>SUMIF(Journals!D$14:D$920,TrialBalance!P14,Journals!J$14:J$920)+SUMIF(Journals!E$14:E$920,TrialBalance!P14,Journals!J$14:J$920)</f>
        <v>0</v>
      </c>
      <c r="K14" s="408"/>
      <c r="L14" s="410">
        <f t="shared" si="6"/>
        <v>0</v>
      </c>
      <c r="M14" s="83"/>
      <c r="N14" s="56">
        <f t="shared" si="1"/>
        <v>0</v>
      </c>
      <c r="P14" s="196" t="str">
        <f t="shared" si="2"/>
        <v>2000/002Opening stock - WIP</v>
      </c>
      <c r="Q14" s="78"/>
      <c r="S14" s="79"/>
      <c r="T14" s="59"/>
      <c r="U14" s="34"/>
    </row>
    <row r="15" spans="1:21" x14ac:dyDescent="0.2">
      <c r="A15" s="393"/>
      <c r="B15" s="62" t="s">
        <v>428</v>
      </c>
      <c r="C15" s="394" t="s">
        <v>429</v>
      </c>
      <c r="D15" s="405"/>
      <c r="E15" s="406"/>
      <c r="F15" s="184"/>
      <c r="G15" s="184"/>
      <c r="H15" s="184"/>
      <c r="I15" s="87"/>
      <c r="J15" s="347">
        <f>SUMIF(Journals!D$14:D$920,TrialBalance!P15,Journals!J$14:J$920)+SUMIF(Journals!E$14:E$920,TrialBalance!P15,Journals!J$14:J$920)</f>
        <v>0</v>
      </c>
      <c r="K15" s="408"/>
      <c r="L15" s="410">
        <f t="shared" si="6"/>
        <v>0</v>
      </c>
      <c r="M15" s="83"/>
      <c r="N15" s="56">
        <f t="shared" si="1"/>
        <v>0</v>
      </c>
      <c r="P15" s="196" t="str">
        <f t="shared" si="2"/>
        <v>2000/003Opening stock - Finished goods</v>
      </c>
      <c r="Q15" s="78"/>
      <c r="S15" s="79"/>
      <c r="T15" s="59"/>
      <c r="U15" s="34"/>
    </row>
    <row r="16" spans="1:21" x14ac:dyDescent="0.2">
      <c r="A16" s="393"/>
      <c r="B16" s="62" t="s">
        <v>430</v>
      </c>
      <c r="C16" s="394" t="s">
        <v>431</v>
      </c>
      <c r="D16" s="405"/>
      <c r="E16" s="406"/>
      <c r="F16" s="184"/>
      <c r="G16" s="184"/>
      <c r="H16" s="184"/>
      <c r="I16" s="87"/>
      <c r="J16" s="347">
        <f>SUMIF(Journals!D$14:D$920,TrialBalance!P16,Journals!J$14:J$920)+SUMIF(Journals!E$14:E$920,TrialBalance!P16,Journals!J$14:J$920)</f>
        <v>0</v>
      </c>
      <c r="K16" s="408"/>
      <c r="L16" s="410">
        <f t="shared" si="6"/>
        <v>0</v>
      </c>
      <c r="M16" s="83"/>
      <c r="N16" s="56">
        <f t="shared" si="1"/>
        <v>0</v>
      </c>
      <c r="P16" s="196" t="str">
        <f t="shared" si="2"/>
        <v>2000/004Opening stock - Trading stock</v>
      </c>
      <c r="Q16" s="78"/>
      <c r="S16" s="79"/>
      <c r="T16" s="59"/>
      <c r="U16" s="34"/>
    </row>
    <row r="17" spans="1:21" x14ac:dyDescent="0.2">
      <c r="A17" s="393"/>
      <c r="B17" s="13" t="s">
        <v>432</v>
      </c>
      <c r="C17" s="394" t="s">
        <v>301</v>
      </c>
      <c r="D17" s="405"/>
      <c r="E17" s="406"/>
      <c r="F17" s="184"/>
      <c r="G17" s="184"/>
      <c r="H17" s="184"/>
      <c r="I17" s="87"/>
      <c r="J17" s="347">
        <f>SUMIF(Journals!D$14:D$920,TrialBalance!P17,Journals!J$14:J$920)+SUMIF(Journals!E$14:E$920,TrialBalance!P17,Journals!J$14:J$920)</f>
        <v>0</v>
      </c>
      <c r="K17" s="408"/>
      <c r="L17" s="410">
        <f t="shared" si="6"/>
        <v>0</v>
      </c>
      <c r="M17" s="83"/>
      <c r="N17" s="56">
        <f t="shared" si="1"/>
        <v>0</v>
      </c>
      <c r="P17" s="196" t="str">
        <f t="shared" si="2"/>
        <v>2000/010Purchases</v>
      </c>
      <c r="Q17" s="78"/>
      <c r="S17" s="79"/>
      <c r="T17" s="59"/>
      <c r="U17" s="34"/>
    </row>
    <row r="18" spans="1:21" x14ac:dyDescent="0.2">
      <c r="A18" s="393"/>
      <c r="B18" s="13" t="s">
        <v>433</v>
      </c>
      <c r="C18" s="398"/>
      <c r="D18" s="406"/>
      <c r="E18" s="406"/>
      <c r="F18" s="184"/>
      <c r="G18" s="184"/>
      <c r="H18" s="184"/>
      <c r="I18" s="87"/>
      <c r="J18" s="347">
        <f>SUMIF(Journals!D$14:D$920,TrialBalance!P18,Journals!J$14:J$920)+SUMIF(Journals!E$14:E$920,TrialBalance!P18,Journals!J$14:J$920)</f>
        <v>0</v>
      </c>
      <c r="K18" s="408"/>
      <c r="L18" s="410">
        <f t="shared" si="6"/>
        <v>0</v>
      </c>
      <c r="M18" s="83"/>
      <c r="N18" s="56">
        <f t="shared" si="1"/>
        <v>0</v>
      </c>
      <c r="P18" s="196" t="str">
        <f t="shared" si="2"/>
        <v>2000/011</v>
      </c>
      <c r="Q18" s="78"/>
      <c r="R18" s="34"/>
      <c r="S18" s="79"/>
      <c r="T18" s="59"/>
      <c r="U18" s="34"/>
    </row>
    <row r="19" spans="1:21" x14ac:dyDescent="0.2">
      <c r="A19" s="393"/>
      <c r="B19" s="62" t="s">
        <v>434</v>
      </c>
      <c r="C19" s="398"/>
      <c r="D19" s="406"/>
      <c r="E19" s="406"/>
      <c r="F19" s="184"/>
      <c r="G19" s="184"/>
      <c r="H19" s="184"/>
      <c r="I19" s="87"/>
      <c r="J19" s="347">
        <f>SUMIF(Journals!D$14:D$920,TrialBalance!P19,Journals!J$14:J$920)+SUMIF(Journals!E$14:E$920,TrialBalance!P19,Journals!J$14:J$920)</f>
        <v>0</v>
      </c>
      <c r="K19" s="408"/>
      <c r="L19" s="410">
        <f t="shared" si="6"/>
        <v>0</v>
      </c>
      <c r="M19" s="83"/>
      <c r="N19" s="56">
        <f t="shared" si="1"/>
        <v>0</v>
      </c>
      <c r="P19" s="196" t="str">
        <f t="shared" si="2"/>
        <v>2000/012</v>
      </c>
      <c r="Q19" s="78"/>
      <c r="S19" s="79"/>
      <c r="T19" s="59"/>
      <c r="U19" s="34"/>
    </row>
    <row r="20" spans="1:21" x14ac:dyDescent="0.2">
      <c r="A20" s="393"/>
      <c r="B20" s="62" t="s">
        <v>435</v>
      </c>
      <c r="C20" s="398"/>
      <c r="D20" s="406"/>
      <c r="E20" s="406"/>
      <c r="F20" s="184"/>
      <c r="G20" s="184"/>
      <c r="H20" s="184"/>
      <c r="I20" s="87"/>
      <c r="J20" s="347">
        <f>SUMIF(Journals!D$14:D$920,TrialBalance!P20,Journals!J$14:J$920)+SUMIF(Journals!E$14:E$920,TrialBalance!P20,Journals!J$14:J$920)</f>
        <v>0</v>
      </c>
      <c r="K20" s="408"/>
      <c r="L20" s="410">
        <f t="shared" si="6"/>
        <v>0</v>
      </c>
      <c r="M20" s="83"/>
      <c r="N20" s="56">
        <f t="shared" si="1"/>
        <v>0</v>
      </c>
      <c r="P20" s="196" t="str">
        <f t="shared" si="2"/>
        <v>2000/013</v>
      </c>
      <c r="Q20" s="78"/>
      <c r="S20" s="79"/>
      <c r="T20" s="59"/>
      <c r="U20" s="34"/>
    </row>
    <row r="21" spans="1:21" x14ac:dyDescent="0.2">
      <c r="A21" s="393"/>
      <c r="B21" s="62" t="s">
        <v>436</v>
      </c>
      <c r="C21" s="398"/>
      <c r="D21" s="406"/>
      <c r="E21" s="406"/>
      <c r="F21" s="184"/>
      <c r="G21" s="184"/>
      <c r="H21" s="184"/>
      <c r="I21" s="87"/>
      <c r="J21" s="347">
        <f>SUMIF(Journals!D$14:D$920,TrialBalance!P21,Journals!J$14:J$920)+SUMIF(Journals!E$14:E$920,TrialBalance!P21,Journals!J$14:J$920)</f>
        <v>0</v>
      </c>
      <c r="K21" s="408"/>
      <c r="L21" s="410">
        <f t="shared" si="6"/>
        <v>0</v>
      </c>
      <c r="M21" s="83"/>
      <c r="N21" s="56">
        <f t="shared" si="1"/>
        <v>0</v>
      </c>
      <c r="P21" s="196" t="str">
        <f t="shared" si="2"/>
        <v>2000/014</v>
      </c>
      <c r="Q21" s="78"/>
      <c r="S21" s="79"/>
      <c r="T21" s="59"/>
      <c r="U21" s="34"/>
    </row>
    <row r="22" spans="1:21" x14ac:dyDescent="0.2">
      <c r="A22" s="393"/>
      <c r="B22" s="62" t="s">
        <v>437</v>
      </c>
      <c r="C22" s="398"/>
      <c r="D22" s="406"/>
      <c r="E22" s="406"/>
      <c r="F22" s="184"/>
      <c r="G22" s="184"/>
      <c r="H22" s="184"/>
      <c r="I22" s="87"/>
      <c r="J22" s="347">
        <f>SUMIF(Journals!D$14:D$920,TrialBalance!P22,Journals!J$14:J$920)+SUMIF(Journals!E$14:E$920,TrialBalance!P22,Journals!J$14:J$920)</f>
        <v>0</v>
      </c>
      <c r="K22" s="408"/>
      <c r="L22" s="410">
        <f t="shared" si="6"/>
        <v>0</v>
      </c>
      <c r="M22" s="83"/>
      <c r="N22" s="56">
        <f t="shared" si="1"/>
        <v>0</v>
      </c>
      <c r="P22" s="196" t="str">
        <f t="shared" si="2"/>
        <v>2000/015</v>
      </c>
      <c r="Q22" s="78"/>
      <c r="S22" s="79"/>
      <c r="T22" s="59"/>
      <c r="U22" s="34"/>
    </row>
    <row r="23" spans="1:21" x14ac:dyDescent="0.2">
      <c r="A23" s="393"/>
      <c r="B23" s="62" t="s">
        <v>438</v>
      </c>
      <c r="C23" s="394" t="s">
        <v>439</v>
      </c>
      <c r="D23" s="405"/>
      <c r="E23" s="406"/>
      <c r="F23" s="184"/>
      <c r="G23" s="184"/>
      <c r="H23" s="184"/>
      <c r="I23" s="87"/>
      <c r="J23" s="347">
        <f>SUMIF(Journals!D$14:D$920,TrialBalance!P23,Journals!J$14:J$920)+SUMIF(Journals!E$14:E$920,TrialBalance!P23,Journals!J$14:J$920)</f>
        <v>0</v>
      </c>
      <c r="K23" s="408"/>
      <c r="L23" s="410">
        <f t="shared" si="6"/>
        <v>0</v>
      </c>
      <c r="M23" s="83"/>
      <c r="N23" s="56">
        <f t="shared" si="1"/>
        <v>0</v>
      </c>
      <c r="P23" s="196" t="str">
        <f t="shared" si="2"/>
        <v>2000/050Closing stock - Raw materials</v>
      </c>
      <c r="Q23" s="78"/>
      <c r="S23" s="79"/>
      <c r="T23" s="59"/>
      <c r="U23" s="34"/>
    </row>
    <row r="24" spans="1:21" x14ac:dyDescent="0.2">
      <c r="A24" s="393"/>
      <c r="B24" s="62" t="s">
        <v>440</v>
      </c>
      <c r="C24" s="394" t="s">
        <v>441</v>
      </c>
      <c r="D24" s="405"/>
      <c r="E24" s="406"/>
      <c r="F24" s="184"/>
      <c r="G24" s="184"/>
      <c r="H24" s="184"/>
      <c r="I24" s="87"/>
      <c r="J24" s="347">
        <f>SUMIF(Journals!D$14:D$920,TrialBalance!P24,Journals!J$14:J$920)+SUMIF(Journals!E$14:E$920,TrialBalance!P24,Journals!J$14:J$920)</f>
        <v>0</v>
      </c>
      <c r="K24" s="408"/>
      <c r="L24" s="410">
        <f t="shared" si="6"/>
        <v>0</v>
      </c>
      <c r="M24" s="83"/>
      <c r="N24" s="56">
        <f t="shared" si="1"/>
        <v>0</v>
      </c>
      <c r="P24" s="196" t="str">
        <f t="shared" si="2"/>
        <v>2000/051Closing stock - WIP</v>
      </c>
      <c r="Q24" s="78"/>
      <c r="S24" s="79"/>
      <c r="T24" s="59"/>
      <c r="U24" s="34"/>
    </row>
    <row r="25" spans="1:21" x14ac:dyDescent="0.2">
      <c r="A25" s="393"/>
      <c r="B25" s="62" t="s">
        <v>442</v>
      </c>
      <c r="C25" s="394" t="s">
        <v>443</v>
      </c>
      <c r="D25" s="405"/>
      <c r="E25" s="406"/>
      <c r="F25" s="184"/>
      <c r="G25" s="184"/>
      <c r="H25" s="184"/>
      <c r="I25" s="87"/>
      <c r="J25" s="347">
        <f>SUMIF(Journals!D$14:D$920,TrialBalance!P25,Journals!J$14:J$920)+SUMIF(Journals!E$14:E$920,TrialBalance!P25,Journals!J$14:J$920)</f>
        <v>0</v>
      </c>
      <c r="K25" s="408"/>
      <c r="L25" s="410">
        <f t="shared" si="6"/>
        <v>0</v>
      </c>
      <c r="M25" s="83"/>
      <c r="N25" s="56">
        <f t="shared" si="1"/>
        <v>0</v>
      </c>
      <c r="P25" s="196" t="str">
        <f t="shared" si="2"/>
        <v>2000/052Closing stock - Finished goods</v>
      </c>
      <c r="Q25" s="78"/>
      <c r="S25" s="79"/>
      <c r="T25" s="59"/>
      <c r="U25" s="34"/>
    </row>
    <row r="26" spans="1:21" x14ac:dyDescent="0.2">
      <c r="A26" s="393"/>
      <c r="B26" s="62" t="s">
        <v>444</v>
      </c>
      <c r="C26" s="394" t="s">
        <v>445</v>
      </c>
      <c r="D26" s="405"/>
      <c r="E26" s="406"/>
      <c r="F26" s="184"/>
      <c r="G26" s="184"/>
      <c r="H26" s="184"/>
      <c r="I26" s="87"/>
      <c r="J26" s="347">
        <f>SUMIF(Journals!D$14:D$920,TrialBalance!P26,Journals!J$14:J$920)+SUMIF(Journals!E$14:E$920,TrialBalance!P26,Journals!J$14:J$920)</f>
        <v>0</v>
      </c>
      <c r="K26" s="408"/>
      <c r="L26" s="410">
        <f t="shared" si="6"/>
        <v>0</v>
      </c>
      <c r="M26" s="83"/>
      <c r="N26" s="56">
        <f t="shared" si="1"/>
        <v>0</v>
      </c>
      <c r="P26" s="196" t="str">
        <f t="shared" si="2"/>
        <v>2000/053Closing stock - Trading stock</v>
      </c>
      <c r="Q26" s="78"/>
      <c r="S26" s="79"/>
      <c r="T26" s="59"/>
      <c r="U26" s="34"/>
    </row>
    <row r="27" spans="1:21" x14ac:dyDescent="0.2">
      <c r="A27" s="393"/>
      <c r="B27" s="64" t="s">
        <v>351</v>
      </c>
      <c r="C27" s="399" t="s">
        <v>350</v>
      </c>
      <c r="D27" s="406"/>
      <c r="E27" s="406"/>
      <c r="F27" s="184"/>
      <c r="G27" s="184"/>
      <c r="H27" s="184"/>
      <c r="I27" s="87"/>
      <c r="J27" s="347">
        <f>SUMIF(Journals!D$14:D$920,TrialBalance!P27,Journals!J$14:J$920)+SUMIF(Journals!E$14:E$920,TrialBalance!P27,Journals!J$14:J$920)</f>
        <v>0</v>
      </c>
      <c r="K27" s="408"/>
      <c r="L27" s="410">
        <f t="shared" si="6"/>
        <v>0</v>
      </c>
      <c r="M27" s="83"/>
      <c r="N27" s="56">
        <f t="shared" si="1"/>
        <v>0</v>
      </c>
      <c r="P27" s="196" t="str">
        <f t="shared" si="2"/>
        <v>2050/000OTHER OPERATING INCOME</v>
      </c>
      <c r="Q27" s="78"/>
      <c r="S27" s="79"/>
      <c r="T27" s="59"/>
      <c r="U27" s="34"/>
    </row>
    <row r="28" spans="1:21" x14ac:dyDescent="0.2">
      <c r="A28" s="393"/>
      <c r="B28" s="64" t="s">
        <v>352</v>
      </c>
      <c r="C28" s="395" t="str">
        <f>IF(Criteria!H13=0,"Insurance claims",IF(Criteria!H14=0,"Insurance claims",CONCATENATE("Insurance claims - ",Criteria!H13)))</f>
        <v>Insurance claims - Seafront Hotel</v>
      </c>
      <c r="D28" s="406"/>
      <c r="E28" s="406"/>
      <c r="F28" s="184"/>
      <c r="G28" s="184"/>
      <c r="H28" s="184"/>
      <c r="I28" s="87"/>
      <c r="J28" s="347">
        <f>SUMIF(Journals!D$14:D$920,TrialBalance!P28,Journals!J$14:J$920)+SUMIF(Journals!E$14:E$920,TrialBalance!P28,Journals!J$14:J$920)</f>
        <v>0</v>
      </c>
      <c r="K28" s="408"/>
      <c r="L28" s="410">
        <f t="shared" si="6"/>
        <v>0</v>
      </c>
      <c r="M28" s="83"/>
      <c r="N28" s="56">
        <f t="shared" si="1"/>
        <v>0</v>
      </c>
      <c r="P28" s="196" t="str">
        <f t="shared" si="2"/>
        <v>2050/001Insurance claims - Seafront Hotel</v>
      </c>
      <c r="Q28" s="78"/>
      <c r="S28" s="79"/>
      <c r="T28" s="59"/>
      <c r="U28" s="34"/>
    </row>
    <row r="29" spans="1:21" x14ac:dyDescent="0.2">
      <c r="A29" s="393"/>
      <c r="B29" s="64" t="s">
        <v>353</v>
      </c>
      <c r="C29" s="395" t="s">
        <v>1009</v>
      </c>
      <c r="D29" s="406"/>
      <c r="E29" s="406"/>
      <c r="F29" s="184"/>
      <c r="G29" s="184"/>
      <c r="H29" s="184"/>
      <c r="I29" s="87"/>
      <c r="J29" s="347">
        <f>SUMIF(Journals!D$14:D$920,TrialBalance!P29,Journals!J$14:J$920)+SUMIF(Journals!E$14:E$920,TrialBalance!P29,Journals!J$14:J$920)</f>
        <v>0</v>
      </c>
      <c r="K29" s="408"/>
      <c r="L29" s="410">
        <f t="shared" si="6"/>
        <v>0</v>
      </c>
      <c r="M29" s="83"/>
      <c r="N29" s="56">
        <f t="shared" si="1"/>
        <v>0</v>
      </c>
      <c r="P29" s="196" t="str">
        <f t="shared" si="2"/>
        <v>2050/002Government grants received</v>
      </c>
      <c r="Q29" s="78"/>
      <c r="S29" s="79"/>
      <c r="T29" s="59"/>
      <c r="U29" s="34"/>
    </row>
    <row r="30" spans="1:21" x14ac:dyDescent="0.2">
      <c r="A30" s="393"/>
      <c r="B30" s="64" t="s">
        <v>354</v>
      </c>
      <c r="C30" s="398"/>
      <c r="D30" s="406"/>
      <c r="E30" s="406"/>
      <c r="F30" s="184"/>
      <c r="G30" s="184"/>
      <c r="H30" s="184"/>
      <c r="I30" s="87"/>
      <c r="J30" s="347">
        <f>SUMIF(Journals!D$14:D$920,TrialBalance!P30,Journals!J$14:J$920)+SUMIF(Journals!E$14:E$920,TrialBalance!P30,Journals!J$14:J$920)</f>
        <v>0</v>
      </c>
      <c r="K30" s="408"/>
      <c r="L30" s="410">
        <f t="shared" si="6"/>
        <v>0</v>
      </c>
      <c r="M30" s="83"/>
      <c r="N30" s="56">
        <f t="shared" si="1"/>
        <v>0</v>
      </c>
      <c r="P30" s="196" t="str">
        <f t="shared" si="2"/>
        <v>2050/003</v>
      </c>
      <c r="Q30" s="78"/>
      <c r="S30" s="79"/>
      <c r="T30" s="59"/>
      <c r="U30" s="34"/>
    </row>
    <row r="31" spans="1:21" x14ac:dyDescent="0.2">
      <c r="A31" s="393"/>
      <c r="B31" s="64" t="s">
        <v>355</v>
      </c>
      <c r="C31" s="398"/>
      <c r="D31" s="406"/>
      <c r="E31" s="406"/>
      <c r="F31" s="184"/>
      <c r="G31" s="184"/>
      <c r="H31" s="184"/>
      <c r="I31" s="87"/>
      <c r="J31" s="347">
        <f>SUMIF(Journals!D$14:D$920,TrialBalance!P31,Journals!J$14:J$920)+SUMIF(Journals!E$14:E$920,TrialBalance!P31,Journals!J$14:J$920)</f>
        <v>0</v>
      </c>
      <c r="K31" s="408"/>
      <c r="L31" s="410">
        <f t="shared" si="6"/>
        <v>0</v>
      </c>
      <c r="M31" s="83"/>
      <c r="N31" s="56">
        <f t="shared" si="1"/>
        <v>0</v>
      </c>
      <c r="P31" s="196" t="str">
        <f t="shared" si="2"/>
        <v>2050/004</v>
      </c>
      <c r="Q31" s="78"/>
      <c r="S31" s="79"/>
      <c r="T31" s="59"/>
      <c r="U31" s="34"/>
    </row>
    <row r="32" spans="1:21" x14ac:dyDescent="0.2">
      <c r="A32" s="393"/>
      <c r="B32" s="64" t="s">
        <v>356</v>
      </c>
      <c r="C32" s="398"/>
      <c r="D32" s="406"/>
      <c r="E32" s="406"/>
      <c r="F32" s="184"/>
      <c r="G32" s="184"/>
      <c r="H32" s="184"/>
      <c r="I32" s="87"/>
      <c r="J32" s="347">
        <f>SUMIF(Journals!D$14:D$920,TrialBalance!P32,Journals!J$14:J$920)+SUMIF(Journals!E$14:E$920,TrialBalance!P32,Journals!J$14:J$920)</f>
        <v>0</v>
      </c>
      <c r="K32" s="408"/>
      <c r="L32" s="410">
        <f t="shared" si="6"/>
        <v>0</v>
      </c>
      <c r="M32" s="83"/>
      <c r="N32" s="56">
        <f t="shared" si="1"/>
        <v>0</v>
      </c>
      <c r="P32" s="196" t="str">
        <f t="shared" si="2"/>
        <v>2050/005</v>
      </c>
      <c r="Q32" s="78"/>
      <c r="S32" s="79"/>
      <c r="T32" s="59"/>
      <c r="U32" s="34"/>
    </row>
    <row r="33" spans="1:21" x14ac:dyDescent="0.2">
      <c r="A33" s="393"/>
      <c r="B33" s="51" t="s">
        <v>1308</v>
      </c>
      <c r="C33" s="395" t="s">
        <v>1309</v>
      </c>
      <c r="D33" s="406"/>
      <c r="E33" s="406"/>
      <c r="F33" s="184"/>
      <c r="G33" s="184"/>
      <c r="H33" s="184"/>
      <c r="I33" s="87"/>
      <c r="J33" s="347">
        <f>SUMIF(Journals!D$14:D$920,TrialBalance!P33,Journals!J$14:J$920)+SUMIF(Journals!E$14:E$920,TrialBalance!P33,Journals!J$14:J$920)</f>
        <v>0</v>
      </c>
      <c r="K33" s="408"/>
      <c r="L33" s="410">
        <f t="shared" ref="L33" si="7">ROUND(D33-E33+F33+G33+H33+J33+I33,0)</f>
        <v>0</v>
      </c>
      <c r="M33" s="83"/>
      <c r="N33" s="56">
        <f t="shared" ref="N33" si="8">ROUND(SUM(A33),0)</f>
        <v>0</v>
      </c>
      <c r="P33" s="196" t="str">
        <f t="shared" ref="P33" si="9">CONCATENATE(B33,C33)</f>
        <v>2050/006Recoupment of depreciation</v>
      </c>
      <c r="Q33" s="78"/>
      <c r="S33" s="79"/>
      <c r="T33" s="59"/>
      <c r="U33" s="34"/>
    </row>
    <row r="34" spans="1:21" x14ac:dyDescent="0.2">
      <c r="A34" s="393"/>
      <c r="B34" s="51" t="s">
        <v>720</v>
      </c>
      <c r="C34" s="399" t="s">
        <v>719</v>
      </c>
      <c r="D34" s="406"/>
      <c r="E34" s="406"/>
      <c r="F34" s="184"/>
      <c r="G34" s="184"/>
      <c r="H34" s="184"/>
      <c r="I34" s="87"/>
      <c r="J34" s="347">
        <f>SUMIF(Journals!D$14:D$920,TrialBalance!P34,Journals!J$14:J$920)+SUMIF(Journals!E$14:E$920,TrialBalance!P34,Journals!J$14:J$920)</f>
        <v>0</v>
      </c>
      <c r="K34" s="408"/>
      <c r="L34" s="410">
        <f t="shared" si="6"/>
        <v>0</v>
      </c>
      <c r="M34" s="83"/>
      <c r="N34" s="56">
        <f t="shared" si="1"/>
        <v>0</v>
      </c>
      <c r="P34" s="196" t="str">
        <f t="shared" si="2"/>
        <v>2060/000NET (PROFIT)/LOSS OTHER</v>
      </c>
      <c r="Q34" s="78"/>
      <c r="S34" s="79"/>
      <c r="T34" s="59"/>
      <c r="U34" s="34"/>
    </row>
    <row r="35" spans="1:21" x14ac:dyDescent="0.2">
      <c r="A35" s="393"/>
      <c r="B35" s="51" t="s">
        <v>617</v>
      </c>
      <c r="C35" s="400" t="str">
        <f>CONCATENATE("Net (profit)/loss - ",Criteria!H14)</f>
        <v>Net (profit)/loss - ABC Restaurant</v>
      </c>
      <c r="D35" s="406"/>
      <c r="E35" s="406"/>
      <c r="F35" s="184">
        <f>TrialBalanceA!N2</f>
        <v>0</v>
      </c>
      <c r="G35" s="184"/>
      <c r="H35" s="184"/>
      <c r="I35" s="87"/>
      <c r="J35" s="347">
        <f>SUMIF(Journals!D$14:D$920,TrialBalance!P35,Journals!J$14:J$920)+SUMIF(Journals!E$14:E$920,TrialBalance!P35,Journals!J$14:J$920)</f>
        <v>0</v>
      </c>
      <c r="K35" s="408"/>
      <c r="L35" s="410">
        <f t="shared" si="6"/>
        <v>0</v>
      </c>
      <c r="M35" s="83"/>
      <c r="N35" s="56">
        <f t="shared" si="1"/>
        <v>0</v>
      </c>
      <c r="P35" s="196" t="str">
        <f t="shared" si="2"/>
        <v>2060/001Net (profit)/loss - ABC Restaurant</v>
      </c>
      <c r="Q35" s="78"/>
      <c r="S35" s="79"/>
      <c r="T35" s="59"/>
      <c r="U35" s="34"/>
    </row>
    <row r="36" spans="1:21" x14ac:dyDescent="0.2">
      <c r="A36" s="393"/>
      <c r="B36" s="51" t="s">
        <v>618</v>
      </c>
      <c r="C36" s="400" t="str">
        <f>CONCATENATE("Net (profit)/loss - ",Criteria!H15)</f>
        <v>Net (profit)/loss - Rental Properties</v>
      </c>
      <c r="D36" s="406"/>
      <c r="E36" s="406"/>
      <c r="F36" s="184"/>
      <c r="G36" s="184">
        <f>TrialBalanceB!N2</f>
        <v>0</v>
      </c>
      <c r="H36" s="184"/>
      <c r="I36" s="87"/>
      <c r="J36" s="347">
        <f>SUMIF(Journals!D$14:D$920,TrialBalance!P36,Journals!J$14:J$920)+SUMIF(Journals!E$14:E$920,TrialBalance!P36,Journals!J$14:J$920)</f>
        <v>0</v>
      </c>
      <c r="K36" s="408"/>
      <c r="L36" s="410">
        <f t="shared" si="6"/>
        <v>0</v>
      </c>
      <c r="M36" s="83"/>
      <c r="N36" s="56">
        <f t="shared" si="1"/>
        <v>0</v>
      </c>
      <c r="P36" s="196" t="str">
        <f t="shared" si="2"/>
        <v>2060/002Net (profit)/loss - Rental Properties</v>
      </c>
      <c r="Q36" s="78"/>
      <c r="S36" s="79"/>
      <c r="T36" s="59"/>
      <c r="U36" s="34"/>
    </row>
    <row r="37" spans="1:21" x14ac:dyDescent="0.2">
      <c r="A37" s="393"/>
      <c r="B37" s="51" t="s">
        <v>619</v>
      </c>
      <c r="C37" s="400" t="str">
        <f>CONCATENATE("Net (profit)/loss - ",Criteria!H16)</f>
        <v xml:space="preserve">Net (profit)/loss - </v>
      </c>
      <c r="D37" s="406"/>
      <c r="E37" s="406"/>
      <c r="F37" s="184"/>
      <c r="G37" s="184"/>
      <c r="H37" s="184">
        <f>TrialBalanceC!N2</f>
        <v>0</v>
      </c>
      <c r="I37" s="87"/>
      <c r="J37" s="347">
        <f>SUMIF(Journals!D$14:D$920,TrialBalance!P37,Journals!J$14:J$920)+SUMIF(Journals!E$14:E$920,TrialBalance!P37,Journals!J$14:J$920)</f>
        <v>0</v>
      </c>
      <c r="K37" s="408"/>
      <c r="L37" s="410">
        <f t="shared" si="6"/>
        <v>0</v>
      </c>
      <c r="M37" s="83"/>
      <c r="N37" s="56">
        <f t="shared" si="1"/>
        <v>0</v>
      </c>
      <c r="P37" s="196" t="str">
        <f t="shared" si="2"/>
        <v xml:space="preserve">2060/003Net (profit)/loss - </v>
      </c>
      <c r="Q37" s="78"/>
      <c r="S37" s="79"/>
      <c r="T37" s="59"/>
      <c r="U37" s="34"/>
    </row>
    <row r="38" spans="1:21" x14ac:dyDescent="0.2">
      <c r="A38" s="393"/>
      <c r="B38" s="51" t="s">
        <v>620</v>
      </c>
      <c r="C38" s="401"/>
      <c r="D38" s="406"/>
      <c r="E38" s="406"/>
      <c r="F38" s="184"/>
      <c r="G38" s="184"/>
      <c r="H38" s="184"/>
      <c r="I38" s="87"/>
      <c r="J38" s="347">
        <f>SUMIF(Journals!D$14:D$920,TrialBalance!P38,Journals!J$14:J$920)+SUMIF(Journals!E$14:E$920,TrialBalance!P38,Journals!J$14:J$920)</f>
        <v>0</v>
      </c>
      <c r="K38" s="408"/>
      <c r="L38" s="410">
        <f t="shared" si="6"/>
        <v>0</v>
      </c>
      <c r="M38" s="83"/>
      <c r="N38" s="56">
        <f t="shared" si="1"/>
        <v>0</v>
      </c>
      <c r="P38" s="196" t="str">
        <f t="shared" si="2"/>
        <v>2060/004</v>
      </c>
      <c r="Q38" s="78"/>
      <c r="S38" s="79"/>
      <c r="T38" s="59"/>
      <c r="U38" s="34"/>
    </row>
    <row r="39" spans="1:21" x14ac:dyDescent="0.2">
      <c r="A39" s="393"/>
      <c r="B39" s="62" t="s">
        <v>446</v>
      </c>
      <c r="C39" s="396" t="s">
        <v>1239</v>
      </c>
      <c r="D39" s="405"/>
      <c r="E39" s="406"/>
      <c r="F39" s="184"/>
      <c r="G39" s="184"/>
      <c r="H39" s="184"/>
      <c r="I39" s="87"/>
      <c r="J39" s="347">
        <f>SUMIF(Journals!D$14:D$920,TrialBalance!P39,Journals!J$14:J$920)+SUMIF(Journals!E$14:E$920,TrialBalance!P39,Journals!J$14:J$920)</f>
        <v>0</v>
      </c>
      <c r="K39" s="408"/>
      <c r="L39" s="410">
        <f t="shared" si="6"/>
        <v>0</v>
      </c>
      <c r="M39" s="83"/>
      <c r="N39" s="56">
        <f t="shared" si="1"/>
        <v>0</v>
      </c>
      <c r="P39" s="196" t="str">
        <f t="shared" si="2"/>
        <v>2100/000OPERATING EXPENSES</v>
      </c>
      <c r="Q39" s="78"/>
      <c r="S39" s="79"/>
      <c r="T39" s="59"/>
      <c r="U39" s="34"/>
    </row>
    <row r="40" spans="1:21" x14ac:dyDescent="0.2">
      <c r="A40" s="393"/>
      <c r="B40" s="62" t="s">
        <v>447</v>
      </c>
      <c r="C40" s="394" t="s">
        <v>302</v>
      </c>
      <c r="D40" s="405"/>
      <c r="E40" s="406"/>
      <c r="F40" s="184"/>
      <c r="G40" s="184"/>
      <c r="H40" s="184"/>
      <c r="I40" s="87"/>
      <c r="J40" s="347">
        <f>SUMIF(Journals!D$14:D$920,TrialBalance!P40,Journals!J$14:J$920)+SUMIF(Journals!E$14:E$920,TrialBalance!P40,Journals!J$14:J$920)</f>
        <v>0</v>
      </c>
      <c r="K40" s="409" t="s">
        <v>634</v>
      </c>
      <c r="L40" s="410">
        <f t="shared" si="6"/>
        <v>0</v>
      </c>
      <c r="M40" s="83"/>
      <c r="N40" s="56">
        <f t="shared" si="1"/>
        <v>0</v>
      </c>
      <c r="P40" s="196" t="str">
        <f t="shared" si="2"/>
        <v>2100/001Advertising</v>
      </c>
      <c r="Q40" s="78"/>
      <c r="S40" s="79"/>
      <c r="T40" s="59"/>
      <c r="U40" s="34"/>
    </row>
    <row r="41" spans="1:21" x14ac:dyDescent="0.2">
      <c r="A41" s="393"/>
      <c r="B41" s="62" t="s">
        <v>448</v>
      </c>
      <c r="C41" s="397" t="s">
        <v>830</v>
      </c>
      <c r="D41" s="405"/>
      <c r="E41" s="406"/>
      <c r="F41" s="184"/>
      <c r="G41" s="184"/>
      <c r="H41" s="184"/>
      <c r="I41" s="87"/>
      <c r="J41" s="347">
        <f>SUMIF(Journals!D$14:D$920,TrialBalance!P41,Journals!J$14:J$920)+SUMIF(Journals!E$14:E$920,TrialBalance!P41,Journals!J$14:J$920)</f>
        <v>0</v>
      </c>
      <c r="K41" s="408"/>
      <c r="L41" s="410">
        <f t="shared" si="6"/>
        <v>0</v>
      </c>
      <c r="M41" s="83"/>
      <c r="N41" s="56">
        <f t="shared" si="1"/>
        <v>0</v>
      </c>
      <c r="P41" s="196" t="str">
        <f t="shared" si="2"/>
        <v>2100/010Assets less than R7,000</v>
      </c>
      <c r="Q41" s="78"/>
      <c r="S41" s="79"/>
      <c r="T41" s="59"/>
      <c r="U41" s="34"/>
    </row>
    <row r="42" spans="1:21" x14ac:dyDescent="0.2">
      <c r="A42" s="393"/>
      <c r="B42" s="62" t="s">
        <v>449</v>
      </c>
      <c r="C42" s="394" t="s">
        <v>303</v>
      </c>
      <c r="D42" s="405"/>
      <c r="E42" s="406"/>
      <c r="F42" s="184"/>
      <c r="G42" s="184"/>
      <c r="H42" s="184"/>
      <c r="I42" s="87"/>
      <c r="J42" s="347">
        <f>SUMIF(Journals!D$14:D$920,TrialBalance!P42,Journals!J$14:J$920)+SUMIF(Journals!E$14:E$920,TrialBalance!P42,Journals!J$14:J$920)</f>
        <v>0</v>
      </c>
      <c r="K42" s="408"/>
      <c r="L42" s="410">
        <f t="shared" si="6"/>
        <v>0</v>
      </c>
      <c r="M42" s="83"/>
      <c r="N42" s="56">
        <f t="shared" si="1"/>
        <v>0</v>
      </c>
      <c r="P42" s="196" t="str">
        <f t="shared" ref="P42:P74" si="10">CONCATENATE(B42,C42)</f>
        <v>2100/020Consumables</v>
      </c>
      <c r="Q42" s="78"/>
      <c r="S42" s="79"/>
      <c r="T42" s="59"/>
      <c r="U42" s="34"/>
    </row>
    <row r="43" spans="1:21" x14ac:dyDescent="0.2">
      <c r="A43" s="393"/>
      <c r="B43" s="62" t="s">
        <v>450</v>
      </c>
      <c r="C43" s="396" t="s">
        <v>665</v>
      </c>
      <c r="D43" s="405"/>
      <c r="E43" s="406"/>
      <c r="F43" s="184"/>
      <c r="G43" s="184"/>
      <c r="H43" s="184"/>
      <c r="I43" s="87"/>
      <c r="J43" s="347">
        <f>SUMIF(Journals!D$14:D$920,TrialBalance!P43,Journals!J$14:J$920)+SUMIF(Journals!E$14:E$920,TrialBalance!P43,Journals!J$14:J$920)</f>
        <v>0</v>
      </c>
      <c r="K43" s="408"/>
      <c r="L43" s="410">
        <f t="shared" si="6"/>
        <v>0</v>
      </c>
      <c r="M43" s="83"/>
      <c r="N43" s="56">
        <f t="shared" si="1"/>
        <v>0</v>
      </c>
      <c r="P43" s="196" t="str">
        <f t="shared" si="10"/>
        <v>2100/030Depreciation---------------------------------</v>
      </c>
      <c r="Q43" s="78"/>
      <c r="S43" s="79"/>
      <c r="T43" s="59"/>
      <c r="U43" s="34"/>
    </row>
    <row r="44" spans="1:21" x14ac:dyDescent="0.2">
      <c r="A44" s="393"/>
      <c r="B44" s="62" t="s">
        <v>452</v>
      </c>
      <c r="C44" s="397" t="s">
        <v>1366</v>
      </c>
      <c r="D44" s="405"/>
      <c r="E44" s="406"/>
      <c r="F44" s="184"/>
      <c r="G44" s="184"/>
      <c r="H44" s="184"/>
      <c r="I44" s="87">
        <f>FARegister!Z12</f>
        <v>0</v>
      </c>
      <c r="J44" s="347">
        <f>SUMIF(Journals!D$14:D$920,TrialBalance!P44,Journals!J$14:J$920)+SUMIF(Journals!E$14:E$920,TrialBalance!P44,Journals!J$14:J$920)</f>
        <v>0</v>
      </c>
      <c r="K44" s="408"/>
      <c r="L44" s="410">
        <f t="shared" si="6"/>
        <v>0</v>
      </c>
      <c r="M44" s="83"/>
      <c r="N44" s="56">
        <f t="shared" si="1"/>
        <v>0</v>
      </c>
      <c r="P44" s="196" t="str">
        <f t="shared" si="10"/>
        <v>2100/031Depr - Property</v>
      </c>
      <c r="Q44" s="78"/>
      <c r="S44" s="79"/>
      <c r="T44" s="59"/>
      <c r="U44" s="34"/>
    </row>
    <row r="45" spans="1:21" x14ac:dyDescent="0.2">
      <c r="A45" s="393"/>
      <c r="B45" s="62" t="s">
        <v>453</v>
      </c>
      <c r="C45" s="397" t="s">
        <v>926</v>
      </c>
      <c r="D45" s="405"/>
      <c r="E45" s="406"/>
      <c r="F45" s="184"/>
      <c r="G45" s="184"/>
      <c r="H45" s="184"/>
      <c r="I45" s="87">
        <f>FARegister!Z13</f>
        <v>0</v>
      </c>
      <c r="J45" s="347">
        <f>SUMIF(Journals!D$14:D$920,TrialBalance!P45,Journals!J$14:J$920)+SUMIF(Journals!E$14:E$920,TrialBalance!P45,Journals!J$14:J$920)</f>
        <v>0</v>
      </c>
      <c r="K45" s="408"/>
      <c r="L45" s="410">
        <f t="shared" si="6"/>
        <v>0</v>
      </c>
      <c r="M45" s="83"/>
      <c r="N45" s="56">
        <f t="shared" si="1"/>
        <v>0</v>
      </c>
      <c r="P45" s="196" t="str">
        <f t="shared" si="10"/>
        <v>2100/032Depr - Plant and machinery</v>
      </c>
      <c r="Q45" s="78"/>
      <c r="S45" s="79"/>
      <c r="T45" s="59"/>
      <c r="U45" s="34"/>
    </row>
    <row r="46" spans="1:21" x14ac:dyDescent="0.2">
      <c r="A46" s="393"/>
      <c r="B46" s="62" t="s">
        <v>58</v>
      </c>
      <c r="C46" s="394" t="s">
        <v>59</v>
      </c>
      <c r="D46" s="405"/>
      <c r="E46" s="406"/>
      <c r="F46" s="184"/>
      <c r="G46" s="184"/>
      <c r="H46" s="184"/>
      <c r="I46" s="87">
        <f>FARegister!Z14</f>
        <v>0</v>
      </c>
      <c r="J46" s="347">
        <f>SUMIF(Journals!D$14:D$920,TrialBalance!P46,Journals!J$14:J$920)+SUMIF(Journals!E$14:E$920,TrialBalance!P46,Journals!J$14:J$920)</f>
        <v>0</v>
      </c>
      <c r="K46" s="408"/>
      <c r="L46" s="410">
        <f t="shared" si="6"/>
        <v>0</v>
      </c>
      <c r="M46" s="83"/>
      <c r="N46" s="56">
        <f t="shared" si="1"/>
        <v>0</v>
      </c>
      <c r="P46" s="196" t="str">
        <f t="shared" si="10"/>
        <v>2100/033Depr - Motor vehicles</v>
      </c>
      <c r="Q46" s="78"/>
      <c r="S46" s="79"/>
      <c r="T46" s="59"/>
      <c r="U46" s="34"/>
    </row>
    <row r="47" spans="1:21" x14ac:dyDescent="0.2">
      <c r="A47" s="393"/>
      <c r="B47" s="62" t="s">
        <v>61</v>
      </c>
      <c r="C47" s="394" t="s">
        <v>62</v>
      </c>
      <c r="D47" s="405"/>
      <c r="E47" s="406"/>
      <c r="F47" s="184"/>
      <c r="G47" s="184"/>
      <c r="H47" s="184"/>
      <c r="I47" s="87"/>
      <c r="J47" s="347">
        <f>SUMIF(Journals!D$14:D$920,TrialBalance!P47,Journals!J$14:J$920)+SUMIF(Journals!E$14:E$920,TrialBalance!P47,Journals!J$14:J$920)</f>
        <v>0</v>
      </c>
      <c r="K47" s="408"/>
      <c r="L47" s="410">
        <f t="shared" si="6"/>
        <v>0</v>
      </c>
      <c r="M47" s="83"/>
      <c r="N47" s="56">
        <f t="shared" si="1"/>
        <v>0</v>
      </c>
      <c r="P47" s="196" t="str">
        <f t="shared" si="10"/>
        <v>2100/040Discounts allowed</v>
      </c>
      <c r="Q47" s="78"/>
      <c r="S47" s="79"/>
      <c r="T47" s="59"/>
      <c r="U47" s="34"/>
    </row>
    <row r="48" spans="1:21" x14ac:dyDescent="0.2">
      <c r="A48" s="393"/>
      <c r="B48" s="62" t="s">
        <v>63</v>
      </c>
      <c r="C48" s="397" t="s">
        <v>871</v>
      </c>
      <c r="D48" s="405"/>
      <c r="E48" s="406"/>
      <c r="F48" s="184"/>
      <c r="G48" s="184"/>
      <c r="H48" s="184"/>
      <c r="I48" s="87"/>
      <c r="J48" s="347">
        <f>SUMIF(Journals!D$14:D$920,TrialBalance!P48,Journals!J$14:J$920)+SUMIF(Journals!E$14:E$920,TrialBalance!P48,Journals!J$14:J$920)</f>
        <v>0</v>
      </c>
      <c r="K48" s="408"/>
      <c r="L48" s="410">
        <f t="shared" si="6"/>
        <v>0</v>
      </c>
      <c r="M48" s="83"/>
      <c r="N48" s="56">
        <f t="shared" si="1"/>
        <v>0</v>
      </c>
      <c r="P48" s="196" t="str">
        <f t="shared" si="10"/>
        <v>2100/050Electricity and water</v>
      </c>
      <c r="Q48" s="78"/>
      <c r="S48" s="79"/>
      <c r="T48" s="59"/>
      <c r="U48" s="34"/>
    </row>
    <row r="49" spans="1:21" x14ac:dyDescent="0.2">
      <c r="A49" s="393"/>
      <c r="B49" s="62" t="s">
        <v>64</v>
      </c>
      <c r="C49" s="394" t="s">
        <v>69</v>
      </c>
      <c r="D49" s="405"/>
      <c r="E49" s="406"/>
      <c r="F49" s="184"/>
      <c r="G49" s="184"/>
      <c r="H49" s="184"/>
      <c r="I49" s="87"/>
      <c r="J49" s="347">
        <f>SUMIF(Journals!D$14:D$920,TrialBalance!P49,Journals!J$14:J$920)+SUMIF(Journals!E$14:E$920,TrialBalance!P49,Journals!J$14:J$920)</f>
        <v>0</v>
      </c>
      <c r="K49" s="408"/>
      <c r="L49" s="410">
        <f t="shared" si="6"/>
        <v>0</v>
      </c>
      <c r="M49" s="83"/>
      <c r="N49" s="56">
        <f t="shared" si="1"/>
        <v>0</v>
      </c>
      <c r="P49" s="196" t="str">
        <f t="shared" si="10"/>
        <v>2100/055Equipment lease</v>
      </c>
      <c r="Q49" s="78"/>
      <c r="S49" s="79"/>
      <c r="T49" s="59"/>
      <c r="U49" s="34"/>
    </row>
    <row r="50" spans="1:21" x14ac:dyDescent="0.2">
      <c r="A50" s="393"/>
      <c r="B50" s="62" t="s">
        <v>70</v>
      </c>
      <c r="C50" s="394" t="s">
        <v>305</v>
      </c>
      <c r="D50" s="405"/>
      <c r="E50" s="406"/>
      <c r="F50" s="184"/>
      <c r="G50" s="184"/>
      <c r="H50" s="184"/>
      <c r="I50" s="87"/>
      <c r="J50" s="347">
        <f>SUMIF(Journals!D$14:D$920,TrialBalance!P50,Journals!J$14:J$920)+SUMIF(Journals!E$14:E$920,TrialBalance!P50,Journals!J$14:J$920)</f>
        <v>0</v>
      </c>
      <c r="K50" s="409" t="s">
        <v>634</v>
      </c>
      <c r="L50" s="410">
        <f t="shared" si="6"/>
        <v>0</v>
      </c>
      <c r="M50" s="83"/>
      <c r="N50" s="56">
        <f t="shared" si="1"/>
        <v>0</v>
      </c>
      <c r="P50" s="196" t="str">
        <f t="shared" si="10"/>
        <v>2100/060Insurance</v>
      </c>
      <c r="Q50" s="78"/>
      <c r="S50" s="59"/>
      <c r="T50" s="59"/>
      <c r="U50" s="34"/>
    </row>
    <row r="51" spans="1:21" x14ac:dyDescent="0.2">
      <c r="A51" s="393"/>
      <c r="B51" s="62" t="s">
        <v>484</v>
      </c>
      <c r="C51" s="394" t="s">
        <v>190</v>
      </c>
      <c r="D51" s="405"/>
      <c r="E51" s="406"/>
      <c r="F51" s="184"/>
      <c r="G51" s="184"/>
      <c r="H51" s="184"/>
      <c r="I51" s="87"/>
      <c r="J51" s="347">
        <f>SUMIF(Journals!D$14:D$920,TrialBalance!P51,Journals!J$14:J$920)+SUMIF(Journals!E$14:E$920,TrialBalance!P51,Journals!J$14:J$920)</f>
        <v>0</v>
      </c>
      <c r="K51" s="408"/>
      <c r="L51" s="410">
        <f t="shared" si="6"/>
        <v>0</v>
      </c>
      <c r="M51" s="83"/>
      <c r="N51" s="56">
        <f t="shared" si="1"/>
        <v>0</v>
      </c>
      <c r="P51" s="196" t="str">
        <f t="shared" si="10"/>
        <v>2100/071Levies - SDL</v>
      </c>
      <c r="Q51" s="78"/>
      <c r="S51" s="79"/>
      <c r="T51" s="59"/>
      <c r="U51" s="34"/>
    </row>
    <row r="52" spans="1:21" x14ac:dyDescent="0.2">
      <c r="A52" s="393"/>
      <c r="B52" s="62" t="s">
        <v>191</v>
      </c>
      <c r="C52" s="394" t="s">
        <v>192</v>
      </c>
      <c r="D52" s="405"/>
      <c r="E52" s="406"/>
      <c r="F52" s="184"/>
      <c r="G52" s="184"/>
      <c r="H52" s="184"/>
      <c r="I52" s="87"/>
      <c r="J52" s="347">
        <f>SUMIF(Journals!D$14:D$920,TrialBalance!P52,Journals!J$14:J$920)+SUMIF(Journals!E$14:E$920,TrialBalance!P52,Journals!J$14:J$920)</f>
        <v>0</v>
      </c>
      <c r="K52" s="408"/>
      <c r="L52" s="410">
        <f t="shared" si="6"/>
        <v>0</v>
      </c>
      <c r="M52" s="83"/>
      <c r="N52" s="56">
        <f t="shared" si="1"/>
        <v>0</v>
      </c>
      <c r="P52" s="196" t="str">
        <f t="shared" si="10"/>
        <v>2100/072Levies - other</v>
      </c>
      <c r="Q52" s="78"/>
      <c r="S52" s="79"/>
      <c r="T52" s="59"/>
      <c r="U52" s="34"/>
    </row>
    <row r="53" spans="1:21" x14ac:dyDescent="0.2">
      <c r="A53" s="393"/>
      <c r="B53" s="62" t="s">
        <v>193</v>
      </c>
      <c r="C53" s="401" t="s">
        <v>387</v>
      </c>
      <c r="D53" s="406"/>
      <c r="E53" s="406"/>
      <c r="F53" s="184"/>
      <c r="G53" s="184"/>
      <c r="H53" s="184"/>
      <c r="I53" s="87"/>
      <c r="J53" s="347">
        <f>SUMIF(Journals!D$14:D$920,TrialBalance!P53,Journals!J$14:J$920)+SUMIF(Journals!E$14:E$920,TrialBalance!P53,Journals!J$14:J$920)</f>
        <v>0</v>
      </c>
      <c r="K53" s="408"/>
      <c r="L53" s="410">
        <f t="shared" si="6"/>
        <v>0</v>
      </c>
      <c r="M53" s="83"/>
      <c r="N53" s="56">
        <f t="shared" si="1"/>
        <v>0</v>
      </c>
      <c r="P53" s="196" t="str">
        <f t="shared" si="10"/>
        <v>2100/080Trade licenses</v>
      </c>
      <c r="Q53" s="78"/>
      <c r="S53" s="79"/>
      <c r="T53" s="59"/>
      <c r="U53" s="34"/>
    </row>
    <row r="54" spans="1:21" x14ac:dyDescent="0.2">
      <c r="A54" s="393"/>
      <c r="B54" s="62" t="s">
        <v>194</v>
      </c>
      <c r="C54" s="396" t="s">
        <v>195</v>
      </c>
      <c r="D54" s="405"/>
      <c r="E54" s="406"/>
      <c r="F54" s="184"/>
      <c r="G54" s="184"/>
      <c r="H54" s="184"/>
      <c r="I54" s="87"/>
      <c r="J54" s="347">
        <f>SUMIF(Journals!D$14:D$920,TrialBalance!P54,Journals!J$14:J$920)+SUMIF(Journals!E$14:E$920,TrialBalance!P54,Journals!J$14:J$920)</f>
        <v>0</v>
      </c>
      <c r="K54" s="408"/>
      <c r="L54" s="410">
        <f t="shared" si="6"/>
        <v>0</v>
      </c>
      <c r="M54" s="83"/>
      <c r="N54" s="56">
        <f t="shared" si="1"/>
        <v>0</v>
      </c>
      <c r="P54" s="196" t="str">
        <f t="shared" si="10"/>
        <v>2100/090Motor vehicle expenses------------------</v>
      </c>
      <c r="Q54" s="78"/>
      <c r="S54" s="79"/>
      <c r="T54" s="59"/>
      <c r="U54" s="34"/>
    </row>
    <row r="55" spans="1:21" x14ac:dyDescent="0.2">
      <c r="A55" s="393"/>
      <c r="B55" s="62" t="s">
        <v>196</v>
      </c>
      <c r="C55" s="394" t="s">
        <v>197</v>
      </c>
      <c r="D55" s="405"/>
      <c r="E55" s="406"/>
      <c r="F55" s="184"/>
      <c r="G55" s="184"/>
      <c r="H55" s="184"/>
      <c r="I55" s="87"/>
      <c r="J55" s="347">
        <f>SUMIF(Journals!D$14:D$920,TrialBalance!P55,Journals!J$14:J$920)+SUMIF(Journals!E$14:E$920,TrialBalance!P55,Journals!J$14:J$920)</f>
        <v>0</v>
      </c>
      <c r="K55" s="408"/>
      <c r="L55" s="410">
        <f t="shared" si="6"/>
        <v>0</v>
      </c>
      <c r="M55" s="83"/>
      <c r="N55" s="56">
        <f t="shared" si="1"/>
        <v>0</v>
      </c>
      <c r="P55" s="196" t="str">
        <f t="shared" si="10"/>
        <v>2100/091Motor vehicle expenses - Petrol and oil</v>
      </c>
      <c r="Q55" s="78"/>
      <c r="S55" s="79"/>
      <c r="T55" s="59"/>
      <c r="U55" s="34"/>
    </row>
    <row r="56" spans="1:21" x14ac:dyDescent="0.2">
      <c r="A56" s="393"/>
      <c r="B56" s="62" t="s">
        <v>198</v>
      </c>
      <c r="C56" s="394" t="s">
        <v>199</v>
      </c>
      <c r="D56" s="405"/>
      <c r="E56" s="406"/>
      <c r="F56" s="184"/>
      <c r="G56" s="184"/>
      <c r="H56" s="184"/>
      <c r="I56" s="87"/>
      <c r="J56" s="347">
        <f>SUMIF(Journals!D$14:D$920,TrialBalance!P56,Journals!J$14:J$920)+SUMIF(Journals!E$14:E$920,TrialBalance!P56,Journals!J$14:J$920)</f>
        <v>0</v>
      </c>
      <c r="K56" s="408"/>
      <c r="L56" s="410">
        <f t="shared" si="6"/>
        <v>0</v>
      </c>
      <c r="M56" s="83"/>
      <c r="N56" s="56">
        <f t="shared" si="1"/>
        <v>0</v>
      </c>
      <c r="P56" s="196" t="str">
        <f t="shared" si="10"/>
        <v>2100/092Motor vehicle expenses - R&amp;M</v>
      </c>
      <c r="Q56" s="78"/>
      <c r="S56" s="79"/>
      <c r="T56" s="59"/>
      <c r="U56" s="34"/>
    </row>
    <row r="57" spans="1:21" x14ac:dyDescent="0.2">
      <c r="A57" s="393"/>
      <c r="B57" s="62" t="s">
        <v>200</v>
      </c>
      <c r="C57" s="394" t="s">
        <v>201</v>
      </c>
      <c r="D57" s="405"/>
      <c r="E57" s="406"/>
      <c r="F57" s="184"/>
      <c r="G57" s="184"/>
      <c r="H57" s="184"/>
      <c r="I57" s="87"/>
      <c r="J57" s="347">
        <f>SUMIF(Journals!D$14:D$920,TrialBalance!P57,Journals!J$14:J$920)+SUMIF(Journals!E$14:E$920,TrialBalance!P57,Journals!J$14:J$920)</f>
        <v>0</v>
      </c>
      <c r="K57" s="408"/>
      <c r="L57" s="410">
        <f t="shared" si="6"/>
        <v>0</v>
      </c>
      <c r="M57" s="83"/>
      <c r="N57" s="56">
        <f t="shared" si="1"/>
        <v>0</v>
      </c>
      <c r="P57" s="196" t="str">
        <f t="shared" si="10"/>
        <v>2100/093Motor vehicle expenses - Insurance</v>
      </c>
      <c r="Q57" s="78"/>
      <c r="S57" s="79"/>
      <c r="T57" s="59"/>
      <c r="U57" s="34"/>
    </row>
    <row r="58" spans="1:21" x14ac:dyDescent="0.2">
      <c r="A58" s="393"/>
      <c r="B58" s="62" t="s">
        <v>202</v>
      </c>
      <c r="C58" s="395" t="s">
        <v>927</v>
      </c>
      <c r="D58" s="405"/>
      <c r="E58" s="406"/>
      <c r="F58" s="184"/>
      <c r="G58" s="184"/>
      <c r="H58" s="184"/>
      <c r="I58" s="87"/>
      <c r="J58" s="347">
        <f>SUMIF(Journals!D$14:D$920,TrialBalance!P58,Journals!J$14:J$920)+SUMIF(Journals!E$14:E$920,TrialBalance!P58,Journals!J$14:J$920)</f>
        <v>0</v>
      </c>
      <c r="K58" s="408"/>
      <c r="L58" s="410">
        <f t="shared" si="6"/>
        <v>0</v>
      </c>
      <c r="M58" s="83"/>
      <c r="N58" s="56">
        <f t="shared" si="1"/>
        <v>0</v>
      </c>
      <c r="P58" s="196" t="str">
        <f t="shared" si="10"/>
        <v>2100/094Motor vehicle expenses - Licenses</v>
      </c>
      <c r="Q58" s="78"/>
      <c r="S58" s="79"/>
      <c r="T58" s="59"/>
      <c r="U58" s="34"/>
    </row>
    <row r="59" spans="1:21" x14ac:dyDescent="0.2">
      <c r="A59" s="393"/>
      <c r="B59" s="62" t="s">
        <v>203</v>
      </c>
      <c r="C59" s="397" t="s">
        <v>928</v>
      </c>
      <c r="D59" s="405"/>
      <c r="E59" s="406"/>
      <c r="F59" s="184"/>
      <c r="G59" s="184"/>
      <c r="H59" s="184"/>
      <c r="I59" s="87"/>
      <c r="J59" s="347">
        <f>SUMIF(Journals!D$14:D$920,TrialBalance!P59,Journals!J$14:J$920)+SUMIF(Journals!E$14:E$920,TrialBalance!P59,Journals!J$14:J$920)</f>
        <v>0</v>
      </c>
      <c r="K59" s="408"/>
      <c r="L59" s="410">
        <f t="shared" si="6"/>
        <v>0</v>
      </c>
      <c r="M59" s="83"/>
      <c r="N59" s="56">
        <f t="shared" si="1"/>
        <v>0</v>
      </c>
      <c r="P59" s="196" t="str">
        <f t="shared" si="10"/>
        <v>2100/095Motor vehicle expenses - General</v>
      </c>
      <c r="Q59" s="78"/>
      <c r="S59" s="79"/>
      <c r="T59" s="59"/>
      <c r="U59" s="34"/>
    </row>
    <row r="60" spans="1:21" x14ac:dyDescent="0.2">
      <c r="A60" s="393"/>
      <c r="B60" s="62" t="s">
        <v>204</v>
      </c>
      <c r="C60" s="396" t="s">
        <v>666</v>
      </c>
      <c r="D60" s="405"/>
      <c r="E60" s="406"/>
      <c r="F60" s="184"/>
      <c r="G60" s="184"/>
      <c r="H60" s="184"/>
      <c r="I60" s="87"/>
      <c r="J60" s="347">
        <f>SUMIF(Journals!D$14:D$920,TrialBalance!P60,Journals!J$14:J$920)+SUMIF(Journals!E$14:E$920,TrialBalance!P60,Journals!J$14:J$920)</f>
        <v>0</v>
      </c>
      <c r="K60" s="408"/>
      <c r="L60" s="410">
        <f t="shared" si="6"/>
        <v>0</v>
      </c>
      <c r="M60" s="83"/>
      <c r="N60" s="56">
        <f t="shared" si="1"/>
        <v>0</v>
      </c>
      <c r="P60" s="196" t="str">
        <f t="shared" si="10"/>
        <v>2100/100Rent paid-------------------------------------</v>
      </c>
      <c r="Q60" s="78"/>
      <c r="S60" s="79"/>
      <c r="T60" s="59"/>
      <c r="U60" s="34"/>
    </row>
    <row r="61" spans="1:21" x14ac:dyDescent="0.2">
      <c r="A61" s="393"/>
      <c r="B61" s="62" t="s">
        <v>206</v>
      </c>
      <c r="C61" s="398" t="s">
        <v>1153</v>
      </c>
      <c r="D61" s="405"/>
      <c r="E61" s="406"/>
      <c r="F61" s="184"/>
      <c r="G61" s="184"/>
      <c r="H61" s="184"/>
      <c r="I61" s="87"/>
      <c r="J61" s="347">
        <f>SUMIF(Journals!D$14:D$920,TrialBalance!P61,Journals!J$14:J$920)+SUMIF(Journals!E$14:E$920,TrialBalance!P61,Journals!J$14:J$920)</f>
        <v>0</v>
      </c>
      <c r="K61" s="408"/>
      <c r="L61" s="410">
        <f t="shared" si="6"/>
        <v>0</v>
      </c>
      <c r="M61" s="83"/>
      <c r="N61" s="56">
        <f t="shared" si="1"/>
        <v>0</v>
      </c>
      <c r="P61" s="196" t="str">
        <f t="shared" si="10"/>
        <v>2100/101Premises</v>
      </c>
      <c r="Q61" s="78"/>
      <c r="S61" s="79"/>
      <c r="T61" s="59"/>
      <c r="U61" s="34"/>
    </row>
    <row r="62" spans="1:21" x14ac:dyDescent="0.2">
      <c r="A62" s="393"/>
      <c r="B62" s="62" t="s">
        <v>207</v>
      </c>
      <c r="C62" s="398"/>
      <c r="D62" s="405"/>
      <c r="E62" s="406"/>
      <c r="F62" s="184"/>
      <c r="G62" s="184"/>
      <c r="H62" s="184"/>
      <c r="I62" s="87"/>
      <c r="J62" s="347">
        <f>SUMIF(Journals!D$14:D$920,TrialBalance!P62,Journals!J$14:J$920)+SUMIF(Journals!E$14:E$920,TrialBalance!P62,Journals!J$14:J$920)</f>
        <v>0</v>
      </c>
      <c r="K62" s="408"/>
      <c r="L62" s="410">
        <f t="shared" si="6"/>
        <v>0</v>
      </c>
      <c r="M62" s="83"/>
      <c r="N62" s="56">
        <f t="shared" si="1"/>
        <v>0</v>
      </c>
      <c r="P62" s="196" t="str">
        <f t="shared" si="10"/>
        <v>2100/102</v>
      </c>
      <c r="Q62" s="78"/>
      <c r="S62" s="79"/>
      <c r="T62" s="59"/>
      <c r="U62" s="34"/>
    </row>
    <row r="63" spans="1:21" x14ac:dyDescent="0.2">
      <c r="A63" s="393"/>
      <c r="B63" s="62" t="s">
        <v>208</v>
      </c>
      <c r="C63" s="402"/>
      <c r="D63" s="405"/>
      <c r="E63" s="406"/>
      <c r="F63" s="184"/>
      <c r="G63" s="184"/>
      <c r="H63" s="184"/>
      <c r="I63" s="87"/>
      <c r="J63" s="347">
        <f>SUMIF(Journals!D$14:D$920,TrialBalance!P63,Journals!J$14:J$920)+SUMIF(Journals!E$14:E$920,TrialBalance!P63,Journals!J$14:J$920)</f>
        <v>0</v>
      </c>
      <c r="K63" s="408"/>
      <c r="L63" s="410">
        <f t="shared" si="6"/>
        <v>0</v>
      </c>
      <c r="M63" s="83"/>
      <c r="N63" s="56">
        <f t="shared" si="1"/>
        <v>0</v>
      </c>
      <c r="P63" s="196" t="str">
        <f t="shared" si="10"/>
        <v>2100/103</v>
      </c>
      <c r="Q63" s="78"/>
      <c r="S63" s="79"/>
      <c r="T63" s="59"/>
      <c r="U63" s="34"/>
    </row>
    <row r="64" spans="1:21" x14ac:dyDescent="0.2">
      <c r="A64" s="393"/>
      <c r="B64" s="62" t="s">
        <v>209</v>
      </c>
      <c r="C64" s="394" t="s">
        <v>77</v>
      </c>
      <c r="D64" s="405"/>
      <c r="E64" s="406"/>
      <c r="F64" s="184"/>
      <c r="G64" s="184"/>
      <c r="H64" s="184"/>
      <c r="I64" s="87"/>
      <c r="J64" s="347">
        <f>SUMIF(Journals!D$14:D$920,TrialBalance!P64,Journals!J$14:J$920)+SUMIF(Journals!E$14:E$920,TrialBalance!P64,Journals!J$14:J$920)</f>
        <v>0</v>
      </c>
      <c r="K64" s="408"/>
      <c r="L64" s="410">
        <f t="shared" si="6"/>
        <v>0</v>
      </c>
      <c r="M64" s="83"/>
      <c r="N64" s="56">
        <f t="shared" si="1"/>
        <v>0</v>
      </c>
      <c r="P64" s="196" t="str">
        <f t="shared" si="10"/>
        <v>2100/110Repairs and maintenance</v>
      </c>
      <c r="Q64" s="78"/>
      <c r="S64" s="79"/>
      <c r="T64" s="59"/>
      <c r="U64" s="34"/>
    </row>
    <row r="65" spans="1:21" x14ac:dyDescent="0.2">
      <c r="A65" s="393"/>
      <c r="B65" s="113" t="s">
        <v>1755</v>
      </c>
      <c r="C65" s="397" t="s">
        <v>1756</v>
      </c>
      <c r="D65" s="405"/>
      <c r="E65" s="406"/>
      <c r="F65" s="184"/>
      <c r="G65" s="184"/>
      <c r="H65" s="184"/>
      <c r="I65" s="87"/>
      <c r="J65" s="347">
        <f>SUMIF(Journals!D$14:D$920,TrialBalance!P65,Journals!J$14:J$920)+SUMIF(Journals!E$14:E$920,TrialBalance!P65,Journals!J$14:J$920)</f>
        <v>0</v>
      </c>
      <c r="K65" s="408"/>
      <c r="L65" s="410">
        <f t="shared" ref="L65" si="11">ROUND(D65-E65+F65+G65+H65+J65+I65,0)</f>
        <v>0</v>
      </c>
      <c r="M65" s="83"/>
      <c r="N65" s="56">
        <f t="shared" ref="N65" si="12">ROUND(SUM(A65),0)</f>
        <v>0</v>
      </c>
      <c r="P65" s="196" t="str">
        <f t="shared" ref="P65" si="13">CONCATENATE(B65,C65)</f>
        <v>2100/115Research and development cost</v>
      </c>
      <c r="Q65" s="78"/>
      <c r="S65" s="79"/>
      <c r="T65" s="59"/>
      <c r="U65" s="34"/>
    </row>
    <row r="66" spans="1:21" x14ac:dyDescent="0.2">
      <c r="A66" s="393"/>
      <c r="B66" s="62" t="s">
        <v>78</v>
      </c>
      <c r="C66" s="394" t="s">
        <v>79</v>
      </c>
      <c r="D66" s="405"/>
      <c r="E66" s="406"/>
      <c r="F66" s="184"/>
      <c r="G66" s="184"/>
      <c r="H66" s="184"/>
      <c r="I66" s="87"/>
      <c r="J66" s="347">
        <f>SUMIF(Journals!D$14:D$920,TrialBalance!P66,Journals!J$14:J$920)+SUMIF(Journals!E$14:E$920,TrialBalance!P66,Journals!J$14:J$920)</f>
        <v>0</v>
      </c>
      <c r="K66" s="408"/>
      <c r="L66" s="410">
        <f t="shared" si="6"/>
        <v>0</v>
      </c>
      <c r="M66" s="83"/>
      <c r="N66" s="56">
        <f t="shared" si="1"/>
        <v>0</v>
      </c>
      <c r="P66" s="196" t="str">
        <f t="shared" si="10"/>
        <v>2100/120Salaries</v>
      </c>
      <c r="Q66" s="78"/>
      <c r="S66" s="79"/>
      <c r="T66" s="59"/>
      <c r="U66" s="34"/>
    </row>
    <row r="67" spans="1:21" x14ac:dyDescent="0.2">
      <c r="A67" s="393"/>
      <c r="B67" s="62" t="s">
        <v>80</v>
      </c>
      <c r="C67" s="394" t="s">
        <v>81</v>
      </c>
      <c r="D67" s="405"/>
      <c r="E67" s="406"/>
      <c r="F67" s="184"/>
      <c r="G67" s="184"/>
      <c r="H67" s="184"/>
      <c r="I67" s="87"/>
      <c r="J67" s="347">
        <f>SUMIF(Journals!D$14:D$920,TrialBalance!P67,Journals!J$14:J$920)+SUMIF(Journals!E$14:E$920,TrialBalance!P67,Journals!J$14:J$920)</f>
        <v>0</v>
      </c>
      <c r="K67" s="408"/>
      <c r="L67" s="410">
        <f t="shared" si="6"/>
        <v>0</v>
      </c>
      <c r="M67" s="83"/>
      <c r="N67" s="56">
        <f t="shared" si="1"/>
        <v>0</v>
      </c>
      <c r="P67" s="196" t="str">
        <f t="shared" si="10"/>
        <v>2100/121UIF - Employer</v>
      </c>
      <c r="Q67" s="78"/>
      <c r="S67" s="79"/>
      <c r="T67" s="59"/>
      <c r="U67" s="34"/>
    </row>
    <row r="68" spans="1:21" x14ac:dyDescent="0.2">
      <c r="A68" s="393"/>
      <c r="B68" s="62" t="s">
        <v>82</v>
      </c>
      <c r="C68" s="394" t="s">
        <v>83</v>
      </c>
      <c r="D68" s="405"/>
      <c r="E68" s="406"/>
      <c r="F68" s="184"/>
      <c r="G68" s="184"/>
      <c r="H68" s="184"/>
      <c r="I68" s="87"/>
      <c r="J68" s="347">
        <f>SUMIF(Journals!D$14:D$920,TrialBalance!P68,Journals!J$14:J$920)+SUMIF(Journals!E$14:E$920,TrialBalance!P68,Journals!J$14:J$920)</f>
        <v>0</v>
      </c>
      <c r="K68" s="408"/>
      <c r="L68" s="410">
        <f t="shared" si="6"/>
        <v>0</v>
      </c>
      <c r="M68" s="83"/>
      <c r="N68" s="56">
        <f t="shared" si="1"/>
        <v>0</v>
      </c>
      <c r="P68" s="196" t="str">
        <f t="shared" si="10"/>
        <v>2100/122Casual wages</v>
      </c>
      <c r="Q68" s="78"/>
      <c r="S68" s="79"/>
      <c r="T68" s="59"/>
      <c r="U68" s="34"/>
    </row>
    <row r="69" spans="1:21" x14ac:dyDescent="0.2">
      <c r="A69" s="393"/>
      <c r="B69" s="62" t="s">
        <v>84</v>
      </c>
      <c r="C69" s="394" t="s">
        <v>85</v>
      </c>
      <c r="D69" s="405"/>
      <c r="E69" s="406"/>
      <c r="F69" s="184"/>
      <c r="G69" s="184"/>
      <c r="H69" s="184"/>
      <c r="I69" s="87"/>
      <c r="J69" s="347">
        <f>SUMIF(Journals!D$14:D$920,TrialBalance!P69,Journals!J$14:J$920)+SUMIF(Journals!E$14:E$920,TrialBalance!P69,Journals!J$14:J$920)</f>
        <v>0</v>
      </c>
      <c r="K69" s="408"/>
      <c r="L69" s="410">
        <f t="shared" si="6"/>
        <v>0</v>
      </c>
      <c r="M69" s="83"/>
      <c r="N69" s="56">
        <f t="shared" si="1"/>
        <v>0</v>
      </c>
      <c r="P69" s="196" t="str">
        <f t="shared" si="10"/>
        <v>2100/130Telephone</v>
      </c>
      <c r="Q69" s="78"/>
      <c r="S69" s="79"/>
      <c r="T69" s="59"/>
      <c r="U69" s="34"/>
    </row>
    <row r="70" spans="1:21" x14ac:dyDescent="0.2">
      <c r="A70" s="393"/>
      <c r="B70" s="62" t="s">
        <v>86</v>
      </c>
      <c r="C70" s="394" t="s">
        <v>519</v>
      </c>
      <c r="D70" s="405"/>
      <c r="E70" s="406"/>
      <c r="F70" s="184"/>
      <c r="G70" s="184"/>
      <c r="H70" s="184"/>
      <c r="I70" s="87"/>
      <c r="J70" s="347">
        <f>SUMIF(Journals!D$14:D$920,TrialBalance!P70,Journals!J$14:J$920)+SUMIF(Journals!E$14:E$920,TrialBalance!P70,Journals!J$14:J$920)</f>
        <v>0</v>
      </c>
      <c r="K70" s="408"/>
      <c r="L70" s="410">
        <f t="shared" si="6"/>
        <v>0</v>
      </c>
      <c r="M70" s="83"/>
      <c r="N70" s="56">
        <f t="shared" si="1"/>
        <v>0</v>
      </c>
      <c r="P70" s="196" t="str">
        <f t="shared" si="10"/>
        <v>2100/135Postage and courier</v>
      </c>
      <c r="Q70" s="78"/>
      <c r="S70" s="79"/>
      <c r="T70" s="59"/>
      <c r="U70" s="34"/>
    </row>
    <row r="71" spans="1:21" x14ac:dyDescent="0.2">
      <c r="A71" s="393"/>
      <c r="B71" s="62" t="s">
        <v>87</v>
      </c>
      <c r="C71" s="394" t="s">
        <v>287</v>
      </c>
      <c r="D71" s="405"/>
      <c r="E71" s="406"/>
      <c r="F71" s="184"/>
      <c r="G71" s="184"/>
      <c r="H71" s="184"/>
      <c r="I71" s="87"/>
      <c r="J71" s="347">
        <f>SUMIF(Journals!D$14:D$920,TrialBalance!P71,Journals!J$14:J$920)+SUMIF(Journals!E$14:E$920,TrialBalance!P71,Journals!J$14:J$920)</f>
        <v>0</v>
      </c>
      <c r="K71" s="408"/>
      <c r="L71" s="410">
        <f t="shared" si="6"/>
        <v>0</v>
      </c>
      <c r="M71" s="83"/>
      <c r="N71" s="56">
        <f t="shared" si="1"/>
        <v>0</v>
      </c>
      <c r="P71" s="196" t="str">
        <f t="shared" si="10"/>
        <v>2100/140Training</v>
      </c>
      <c r="Q71" s="78"/>
      <c r="S71" s="79"/>
      <c r="T71" s="59"/>
      <c r="U71" s="34"/>
    </row>
    <row r="72" spans="1:21" x14ac:dyDescent="0.2">
      <c r="A72" s="393"/>
      <c r="B72" s="62" t="s">
        <v>88</v>
      </c>
      <c r="C72" s="395" t="s">
        <v>976</v>
      </c>
      <c r="D72" s="406"/>
      <c r="E72" s="406"/>
      <c r="F72" s="184"/>
      <c r="G72" s="184"/>
      <c r="H72" s="184"/>
      <c r="I72" s="87"/>
      <c r="J72" s="347">
        <f>SUMIF(Journals!D$14:D$920,TrialBalance!P72,Journals!J$14:J$920)+SUMIF(Journals!E$14:E$920,TrialBalance!P72,Journals!J$14:J$920)</f>
        <v>0</v>
      </c>
      <c r="K72" s="408"/>
      <c r="L72" s="410">
        <f t="shared" si="6"/>
        <v>0</v>
      </c>
      <c r="M72" s="83"/>
      <c r="N72" s="56">
        <f t="shared" si="1"/>
        <v>0</v>
      </c>
      <c r="P72" s="196" t="str">
        <f t="shared" si="10"/>
        <v>2100/150Traveling and accommodation</v>
      </c>
      <c r="Q72" s="78"/>
      <c r="S72" s="79"/>
      <c r="T72" s="59"/>
      <c r="U72" s="34"/>
    </row>
    <row r="73" spans="1:21" x14ac:dyDescent="0.2">
      <c r="A73" s="393"/>
      <c r="B73" s="113" t="s">
        <v>674</v>
      </c>
      <c r="C73" s="398"/>
      <c r="D73" s="406"/>
      <c r="E73" s="406"/>
      <c r="F73" s="184"/>
      <c r="G73" s="184"/>
      <c r="H73" s="184"/>
      <c r="I73" s="87"/>
      <c r="J73" s="347">
        <f>SUMIF(Journals!D$14:D$920,TrialBalance!P73,Journals!J$14:J$920)+SUMIF(Journals!E$14:E$920,TrialBalance!P73,Journals!J$14:J$920)</f>
        <v>0</v>
      </c>
      <c r="K73" s="408"/>
      <c r="L73" s="410">
        <f t="shared" si="6"/>
        <v>0</v>
      </c>
      <c r="M73" s="83"/>
      <c r="N73" s="56">
        <f t="shared" si="1"/>
        <v>0</v>
      </c>
      <c r="P73" s="196" t="str">
        <f t="shared" si="10"/>
        <v>2150/001</v>
      </c>
      <c r="Q73" s="78"/>
      <c r="S73" s="79"/>
      <c r="T73" s="59"/>
      <c r="U73" s="34"/>
    </row>
    <row r="74" spans="1:21" x14ac:dyDescent="0.2">
      <c r="A74" s="393"/>
      <c r="B74" s="113" t="s">
        <v>675</v>
      </c>
      <c r="C74" s="398"/>
      <c r="D74" s="406"/>
      <c r="E74" s="406"/>
      <c r="F74" s="184"/>
      <c r="G74" s="184"/>
      <c r="H74" s="184"/>
      <c r="I74" s="87"/>
      <c r="J74" s="347">
        <f>SUMIF(Journals!D$14:D$920,TrialBalance!P74,Journals!J$14:J$920)+SUMIF(Journals!E$14:E$920,TrialBalance!P74,Journals!J$14:J$920)</f>
        <v>0</v>
      </c>
      <c r="K74" s="408"/>
      <c r="L74" s="410">
        <f t="shared" si="6"/>
        <v>0</v>
      </c>
      <c r="M74" s="83"/>
      <c r="N74" s="56">
        <f t="shared" si="1"/>
        <v>0</v>
      </c>
      <c r="P74" s="196" t="str">
        <f t="shared" si="10"/>
        <v>2150/002</v>
      </c>
      <c r="Q74" s="78"/>
      <c r="S74" s="79"/>
      <c r="T74" s="59"/>
      <c r="U74" s="34"/>
    </row>
    <row r="75" spans="1:21" x14ac:dyDescent="0.2">
      <c r="A75" s="393"/>
      <c r="B75" s="113" t="s">
        <v>676</v>
      </c>
      <c r="C75" s="398"/>
      <c r="D75" s="406"/>
      <c r="E75" s="406"/>
      <c r="F75" s="184"/>
      <c r="G75" s="184"/>
      <c r="H75" s="184"/>
      <c r="I75" s="87"/>
      <c r="J75" s="347">
        <f>SUMIF(Journals!D$14:D$920,TrialBalance!P75,Journals!J$14:J$920)+SUMIF(Journals!E$14:E$920,TrialBalance!P75,Journals!J$14:J$920)</f>
        <v>0</v>
      </c>
      <c r="K75" s="408"/>
      <c r="L75" s="410">
        <f t="shared" si="6"/>
        <v>0</v>
      </c>
      <c r="M75" s="83"/>
      <c r="N75" s="56">
        <f t="shared" ref="N75:N140" si="14">ROUND(SUM(A75),0)</f>
        <v>0</v>
      </c>
      <c r="P75" s="196" t="str">
        <f t="shared" ref="P75:P109" si="15">CONCATENATE(B75,C75)</f>
        <v>2150/003</v>
      </c>
      <c r="Q75" s="78"/>
      <c r="S75" s="79"/>
      <c r="T75" s="59"/>
      <c r="U75" s="34"/>
    </row>
    <row r="76" spans="1:21" x14ac:dyDescent="0.2">
      <c r="A76" s="393"/>
      <c r="B76" s="113" t="s">
        <v>677</v>
      </c>
      <c r="C76" s="398"/>
      <c r="D76" s="406"/>
      <c r="E76" s="406"/>
      <c r="F76" s="184"/>
      <c r="G76" s="184"/>
      <c r="H76" s="184"/>
      <c r="I76" s="87"/>
      <c r="J76" s="347">
        <f>SUMIF(Journals!D$14:D$920,TrialBalance!P76,Journals!J$14:J$920)+SUMIF(Journals!E$14:E$920,TrialBalance!P76,Journals!J$14:J$920)</f>
        <v>0</v>
      </c>
      <c r="K76" s="408"/>
      <c r="L76" s="410">
        <f t="shared" si="6"/>
        <v>0</v>
      </c>
      <c r="M76" s="83"/>
      <c r="N76" s="56">
        <f t="shared" si="14"/>
        <v>0</v>
      </c>
      <c r="P76" s="196" t="str">
        <f t="shared" si="15"/>
        <v>2150/004</v>
      </c>
      <c r="Q76" s="78"/>
      <c r="S76" s="79"/>
      <c r="T76" s="59"/>
      <c r="U76" s="34"/>
    </row>
    <row r="77" spans="1:21" x14ac:dyDescent="0.2">
      <c r="A77" s="393"/>
      <c r="B77" s="113" t="s">
        <v>678</v>
      </c>
      <c r="C77" s="398"/>
      <c r="D77" s="406"/>
      <c r="E77" s="406"/>
      <c r="F77" s="184"/>
      <c r="G77" s="184"/>
      <c r="H77" s="184"/>
      <c r="I77" s="87"/>
      <c r="J77" s="347">
        <f>SUMIF(Journals!D$14:D$920,TrialBalance!P77,Journals!J$14:J$920)+SUMIF(Journals!E$14:E$920,TrialBalance!P77,Journals!J$14:J$920)</f>
        <v>0</v>
      </c>
      <c r="K77" s="408"/>
      <c r="L77" s="410">
        <f t="shared" ref="L77:L137" si="16">ROUND(D77-E77+F77+G77+H77+J77+I77,0)</f>
        <v>0</v>
      </c>
      <c r="M77" s="83"/>
      <c r="N77" s="56">
        <f t="shared" si="14"/>
        <v>0</v>
      </c>
      <c r="P77" s="196" t="str">
        <f t="shared" si="15"/>
        <v>2150/005</v>
      </c>
      <c r="Q77" s="78"/>
      <c r="S77" s="79"/>
      <c r="T77" s="59"/>
      <c r="U77" s="34"/>
    </row>
    <row r="78" spans="1:21" x14ac:dyDescent="0.2">
      <c r="A78" s="393"/>
      <c r="B78" s="113" t="s">
        <v>679</v>
      </c>
      <c r="C78" s="398"/>
      <c r="D78" s="406"/>
      <c r="E78" s="406"/>
      <c r="F78" s="184"/>
      <c r="G78" s="184"/>
      <c r="H78" s="184"/>
      <c r="I78" s="87"/>
      <c r="J78" s="347">
        <f>SUMIF(Journals!D$14:D$920,TrialBalance!P78,Journals!J$14:J$920)+SUMIF(Journals!E$14:E$920,TrialBalance!P78,Journals!J$14:J$920)</f>
        <v>0</v>
      </c>
      <c r="K78" s="408"/>
      <c r="L78" s="410">
        <f t="shared" si="16"/>
        <v>0</v>
      </c>
      <c r="M78" s="83"/>
      <c r="N78" s="56">
        <f t="shared" si="14"/>
        <v>0</v>
      </c>
      <c r="P78" s="196" t="str">
        <f t="shared" si="15"/>
        <v>2150/006</v>
      </c>
      <c r="Q78" s="78"/>
      <c r="S78" s="79"/>
      <c r="T78" s="59"/>
      <c r="U78" s="34"/>
    </row>
    <row r="79" spans="1:21" x14ac:dyDescent="0.2">
      <c r="A79" s="393"/>
      <c r="B79" s="113" t="s">
        <v>680</v>
      </c>
      <c r="C79" s="398"/>
      <c r="D79" s="406"/>
      <c r="E79" s="406"/>
      <c r="F79" s="184"/>
      <c r="G79" s="184"/>
      <c r="H79" s="184"/>
      <c r="I79" s="87"/>
      <c r="J79" s="347">
        <f>SUMIF(Journals!D$14:D$920,TrialBalance!P79,Journals!J$14:J$920)+SUMIF(Journals!E$14:E$920,TrialBalance!P79,Journals!J$14:J$920)</f>
        <v>0</v>
      </c>
      <c r="K79" s="408"/>
      <c r="L79" s="410">
        <f t="shared" si="16"/>
        <v>0</v>
      </c>
      <c r="M79" s="83"/>
      <c r="N79" s="56">
        <f t="shared" si="14"/>
        <v>0</v>
      </c>
      <c r="P79" s="196" t="str">
        <f t="shared" si="15"/>
        <v>2150/007</v>
      </c>
      <c r="Q79" s="78"/>
      <c r="S79" s="79"/>
      <c r="T79" s="59"/>
      <c r="U79" s="34"/>
    </row>
    <row r="80" spans="1:21" x14ac:dyDescent="0.2">
      <c r="A80" s="393"/>
      <c r="B80" s="113" t="s">
        <v>681</v>
      </c>
      <c r="C80" s="398"/>
      <c r="D80" s="406"/>
      <c r="E80" s="406"/>
      <c r="F80" s="184"/>
      <c r="G80" s="184"/>
      <c r="H80" s="184"/>
      <c r="I80" s="87"/>
      <c r="J80" s="347">
        <f>SUMIF(Journals!D$14:D$920,TrialBalance!P80,Journals!J$14:J$920)+SUMIF(Journals!E$14:E$920,TrialBalance!P80,Journals!J$14:J$920)</f>
        <v>0</v>
      </c>
      <c r="K80" s="408"/>
      <c r="L80" s="410">
        <f t="shared" si="16"/>
        <v>0</v>
      </c>
      <c r="M80" s="83"/>
      <c r="N80" s="56">
        <f t="shared" si="14"/>
        <v>0</v>
      </c>
      <c r="P80" s="196" t="str">
        <f t="shared" si="15"/>
        <v>2150/008</v>
      </c>
      <c r="Q80" s="78"/>
      <c r="S80" s="79"/>
      <c r="T80" s="59"/>
      <c r="U80" s="34"/>
    </row>
    <row r="81" spans="1:21" x14ac:dyDescent="0.2">
      <c r="A81" s="393"/>
      <c r="B81" s="113" t="s">
        <v>682</v>
      </c>
      <c r="C81" s="398"/>
      <c r="D81" s="406"/>
      <c r="E81" s="406"/>
      <c r="F81" s="184"/>
      <c r="G81" s="184"/>
      <c r="H81" s="184"/>
      <c r="I81" s="87"/>
      <c r="J81" s="347">
        <f>SUMIF(Journals!D$14:D$920,TrialBalance!P81,Journals!J$14:J$920)+SUMIF(Journals!E$14:E$920,TrialBalance!P81,Journals!J$14:J$920)</f>
        <v>0</v>
      </c>
      <c r="K81" s="408"/>
      <c r="L81" s="410">
        <f t="shared" si="16"/>
        <v>0</v>
      </c>
      <c r="M81" s="83"/>
      <c r="N81" s="56">
        <f t="shared" si="14"/>
        <v>0</v>
      </c>
      <c r="P81" s="196" t="str">
        <f t="shared" si="15"/>
        <v>2150/009</v>
      </c>
      <c r="Q81" s="78"/>
      <c r="S81" s="79"/>
      <c r="T81" s="59"/>
      <c r="U81" s="34"/>
    </row>
    <row r="82" spans="1:21" x14ac:dyDescent="0.2">
      <c r="A82" s="393"/>
      <c r="B82" s="113" t="s">
        <v>683</v>
      </c>
      <c r="C82" s="398"/>
      <c r="D82" s="406"/>
      <c r="E82" s="406"/>
      <c r="F82" s="184"/>
      <c r="G82" s="184"/>
      <c r="H82" s="184"/>
      <c r="I82" s="87"/>
      <c r="J82" s="347">
        <f>SUMIF(Journals!D$14:D$920,TrialBalance!P82,Journals!J$14:J$920)+SUMIF(Journals!E$14:E$920,TrialBalance!P82,Journals!J$14:J$920)</f>
        <v>0</v>
      </c>
      <c r="K82" s="408"/>
      <c r="L82" s="410">
        <f t="shared" si="16"/>
        <v>0</v>
      </c>
      <c r="M82" s="83"/>
      <c r="N82" s="56">
        <f t="shared" si="14"/>
        <v>0</v>
      </c>
      <c r="P82" s="196" t="str">
        <f t="shared" si="15"/>
        <v>2150/010</v>
      </c>
      <c r="Q82" s="78"/>
      <c r="S82" s="79"/>
      <c r="T82" s="59"/>
      <c r="U82" s="34"/>
    </row>
    <row r="83" spans="1:21" x14ac:dyDescent="0.2">
      <c r="A83" s="393"/>
      <c r="B83" s="62" t="s">
        <v>20</v>
      </c>
      <c r="C83" s="396" t="s">
        <v>125</v>
      </c>
      <c r="D83" s="405"/>
      <c r="E83" s="406"/>
      <c r="F83" s="184"/>
      <c r="G83" s="184"/>
      <c r="H83" s="184"/>
      <c r="I83" s="87"/>
      <c r="J83" s="347">
        <f>SUMIF(Journals!D$14:D$920,TrialBalance!P83,Journals!J$14:J$920)+SUMIF(Journals!E$14:E$920,TrialBalance!P83,Journals!J$14:J$920)</f>
        <v>0</v>
      </c>
      <c r="K83" s="408"/>
      <c r="L83" s="410">
        <f t="shared" si="16"/>
        <v>0</v>
      </c>
      <c r="M83" s="83"/>
      <c r="N83" s="56">
        <f t="shared" si="14"/>
        <v>0</v>
      </c>
      <c r="P83" s="196" t="str">
        <f t="shared" si="15"/>
        <v>2500/000OTHER INCOME</v>
      </c>
      <c r="Q83" s="78"/>
      <c r="S83" s="79"/>
      <c r="T83" s="59"/>
      <c r="U83" s="34"/>
    </row>
    <row r="84" spans="1:21" x14ac:dyDescent="0.2">
      <c r="A84" s="393"/>
      <c r="B84" s="62" t="s">
        <v>397</v>
      </c>
      <c r="C84" s="395" t="s">
        <v>929</v>
      </c>
      <c r="D84" s="406"/>
      <c r="E84" s="406"/>
      <c r="F84" s="184"/>
      <c r="G84" s="184"/>
      <c r="H84" s="184"/>
      <c r="I84" s="87"/>
      <c r="J84" s="347">
        <f>SUMIF(Journals!D$14:D$920,TrialBalance!P84,Journals!J$14:J$920)+SUMIF(Journals!E$14:E$920,TrialBalance!P84,Journals!J$14:J$920)</f>
        <v>0</v>
      </c>
      <c r="K84" s="408"/>
      <c r="L84" s="410">
        <f t="shared" si="16"/>
        <v>0</v>
      </c>
      <c r="M84" s="83"/>
      <c r="N84" s="56">
        <f t="shared" si="14"/>
        <v>0</v>
      </c>
      <c r="P84" s="196" t="str">
        <f t="shared" si="15"/>
        <v>2710/000Rent received (not main income)</v>
      </c>
      <c r="Q84" s="78"/>
      <c r="S84" s="79"/>
      <c r="T84" s="59"/>
      <c r="U84" s="34"/>
    </row>
    <row r="85" spans="1:21" x14ac:dyDescent="0.2">
      <c r="A85" s="393"/>
      <c r="B85" s="62" t="s">
        <v>89</v>
      </c>
      <c r="C85" s="396" t="s">
        <v>930</v>
      </c>
      <c r="D85" s="405"/>
      <c r="E85" s="406"/>
      <c r="F85" s="184"/>
      <c r="G85" s="184"/>
      <c r="H85" s="184"/>
      <c r="I85" s="87"/>
      <c r="J85" s="347">
        <f>SUMIF(Journals!D$14:D$920,TrialBalance!P85,Journals!J$14:J$920)+SUMIF(Journals!E$14:E$920,TrialBalance!P85,Journals!J$14:J$920)</f>
        <v>0</v>
      </c>
      <c r="K85" s="408"/>
      <c r="L85" s="410">
        <f t="shared" si="16"/>
        <v>0</v>
      </c>
      <c r="M85" s="83"/>
      <c r="N85" s="56">
        <f t="shared" si="14"/>
        <v>0</v>
      </c>
      <c r="P85" s="196" t="str">
        <f t="shared" si="15"/>
        <v>2750/000Interest received--------------------------</v>
      </c>
      <c r="Q85" s="78"/>
      <c r="S85" s="79"/>
      <c r="T85" s="59"/>
      <c r="U85" s="34"/>
    </row>
    <row r="86" spans="1:21" x14ac:dyDescent="0.2">
      <c r="A86" s="393"/>
      <c r="B86" s="62" t="s">
        <v>90</v>
      </c>
      <c r="C86" s="398"/>
      <c r="D86" s="406"/>
      <c r="E86" s="406"/>
      <c r="F86" s="184"/>
      <c r="G86" s="184"/>
      <c r="H86" s="184"/>
      <c r="I86" s="87"/>
      <c r="J86" s="347">
        <f>SUMIF(Journals!D$14:D$920,TrialBalance!P86,Journals!J$14:J$920)+SUMIF(Journals!E$14:E$920,TrialBalance!P86,Journals!J$14:J$920)</f>
        <v>0</v>
      </c>
      <c r="K86" s="408"/>
      <c r="L86" s="410">
        <f t="shared" si="16"/>
        <v>0</v>
      </c>
      <c r="M86" s="83"/>
      <c r="N86" s="56">
        <f t="shared" si="14"/>
        <v>0</v>
      </c>
      <c r="P86" s="196" t="str">
        <f t="shared" si="15"/>
        <v>2750/001</v>
      </c>
      <c r="Q86" s="78"/>
      <c r="S86" s="79"/>
      <c r="T86" s="59"/>
      <c r="U86" s="34"/>
    </row>
    <row r="87" spans="1:21" x14ac:dyDescent="0.2">
      <c r="A87" s="393"/>
      <c r="B87" s="62" t="s">
        <v>91</v>
      </c>
      <c r="C87" s="398"/>
      <c r="D87" s="406"/>
      <c r="E87" s="406"/>
      <c r="F87" s="184"/>
      <c r="G87" s="184"/>
      <c r="H87" s="184"/>
      <c r="I87" s="87"/>
      <c r="J87" s="347">
        <f>SUMIF(Journals!D$14:D$920,TrialBalance!P87,Journals!J$14:J$920)+SUMIF(Journals!E$14:E$920,TrialBalance!P87,Journals!J$14:J$920)</f>
        <v>0</v>
      </c>
      <c r="K87" s="408"/>
      <c r="L87" s="410">
        <f t="shared" si="16"/>
        <v>0</v>
      </c>
      <c r="M87" s="83"/>
      <c r="N87" s="56">
        <f t="shared" si="14"/>
        <v>0</v>
      </c>
      <c r="P87" s="196" t="str">
        <f t="shared" si="15"/>
        <v>2750/002</v>
      </c>
      <c r="Q87" s="78"/>
      <c r="S87" s="79"/>
      <c r="T87" s="59"/>
      <c r="U87" s="34"/>
    </row>
    <row r="88" spans="1:21" x14ac:dyDescent="0.2">
      <c r="A88" s="393"/>
      <c r="B88" s="62" t="s">
        <v>92</v>
      </c>
      <c r="C88" s="398"/>
      <c r="D88" s="405"/>
      <c r="E88" s="406"/>
      <c r="F88" s="184"/>
      <c r="G88" s="184"/>
      <c r="H88" s="184"/>
      <c r="I88" s="87"/>
      <c r="J88" s="347">
        <f>SUMIF(Journals!D$14:D$920,TrialBalance!P88,Journals!J$14:J$920)+SUMIF(Journals!E$14:E$920,TrialBalance!P88,Journals!J$14:J$920)</f>
        <v>0</v>
      </c>
      <c r="K88" s="408"/>
      <c r="L88" s="410">
        <f t="shared" si="16"/>
        <v>0</v>
      </c>
      <c r="M88" s="83"/>
      <c r="N88" s="56">
        <f t="shared" si="14"/>
        <v>0</v>
      </c>
      <c r="P88" s="196" t="str">
        <f t="shared" si="15"/>
        <v>2750/003</v>
      </c>
      <c r="Q88" s="78"/>
      <c r="S88" s="79"/>
      <c r="T88" s="59"/>
      <c r="U88" s="34"/>
    </row>
    <row r="89" spans="1:21" x14ac:dyDescent="0.2">
      <c r="A89" s="393"/>
      <c r="B89" s="62" t="s">
        <v>93</v>
      </c>
      <c r="C89" s="398"/>
      <c r="D89" s="405"/>
      <c r="E89" s="406"/>
      <c r="F89" s="184"/>
      <c r="G89" s="184"/>
      <c r="H89" s="184"/>
      <c r="I89" s="87"/>
      <c r="J89" s="347">
        <f>SUMIF(Journals!D$14:D$920,TrialBalance!P89,Journals!J$14:J$920)+SUMIF(Journals!E$14:E$920,TrialBalance!P89,Journals!J$14:J$920)</f>
        <v>0</v>
      </c>
      <c r="K89" s="408"/>
      <c r="L89" s="410">
        <f t="shared" si="16"/>
        <v>0</v>
      </c>
      <c r="M89" s="83"/>
      <c r="N89" s="56">
        <f t="shared" si="14"/>
        <v>0</v>
      </c>
      <c r="P89" s="196" t="str">
        <f t="shared" si="15"/>
        <v>2750/004</v>
      </c>
      <c r="Q89" s="78"/>
      <c r="S89" s="79"/>
      <c r="T89" s="59"/>
      <c r="U89" s="34"/>
    </row>
    <row r="90" spans="1:21" x14ac:dyDescent="0.2">
      <c r="A90" s="393"/>
      <c r="B90" s="62" t="s">
        <v>210</v>
      </c>
      <c r="C90" s="396" t="s">
        <v>667</v>
      </c>
      <c r="D90" s="405"/>
      <c r="E90" s="406"/>
      <c r="F90" s="184"/>
      <c r="G90" s="184"/>
      <c r="H90" s="184"/>
      <c r="I90" s="87"/>
      <c r="J90" s="347">
        <f>SUMIF(Journals!D$14:D$920,TrialBalance!P90,Journals!J$14:J$920)+SUMIF(Journals!E$14:E$920,TrialBalance!P90,Journals!J$14:J$920)</f>
        <v>0</v>
      </c>
      <c r="K90" s="408"/>
      <c r="L90" s="410">
        <f t="shared" si="16"/>
        <v>0</v>
      </c>
      <c r="M90" s="83"/>
      <c r="N90" s="56">
        <f t="shared" si="14"/>
        <v>0</v>
      </c>
      <c r="P90" s="196" t="str">
        <f t="shared" si="15"/>
        <v>2800/000Dividends received------------------------</v>
      </c>
      <c r="Q90" s="78"/>
      <c r="S90" s="79"/>
      <c r="T90" s="59"/>
      <c r="U90" s="34"/>
    </row>
    <row r="91" spans="1:21" x14ac:dyDescent="0.2">
      <c r="A91" s="393"/>
      <c r="B91" s="62" t="s">
        <v>327</v>
      </c>
      <c r="C91" s="397" t="s">
        <v>856</v>
      </c>
      <c r="D91" s="405"/>
      <c r="E91" s="406"/>
      <c r="F91" s="184"/>
      <c r="G91" s="184"/>
      <c r="H91" s="184"/>
      <c r="I91" s="87"/>
      <c r="J91" s="347">
        <f>SUMIF(Journals!D$14:D$920,TrialBalance!P91,Journals!J$14:J$920)+SUMIF(Journals!E$14:E$920,TrialBalance!P91,Journals!J$14:J$920)</f>
        <v>0</v>
      </c>
      <c r="K91" s="408"/>
      <c r="L91" s="410">
        <f t="shared" si="16"/>
        <v>0</v>
      </c>
      <c r="M91" s="83"/>
      <c r="N91" s="56">
        <f t="shared" si="14"/>
        <v>0</v>
      </c>
      <c r="P91" s="196" t="str">
        <f t="shared" si="15"/>
        <v>2800/001Div.'s received - SA sources</v>
      </c>
      <c r="Q91" s="78"/>
      <c r="S91" s="79"/>
      <c r="T91" s="59"/>
      <c r="U91" s="34"/>
    </row>
    <row r="92" spans="1:21" x14ac:dyDescent="0.2">
      <c r="A92" s="393"/>
      <c r="B92" s="62" t="s">
        <v>220</v>
      </c>
      <c r="C92" s="397" t="s">
        <v>1205</v>
      </c>
      <c r="D92" s="405"/>
      <c r="E92" s="406"/>
      <c r="F92" s="184"/>
      <c r="G92" s="184"/>
      <c r="H92" s="184"/>
      <c r="I92" s="87"/>
      <c r="J92" s="347">
        <f>SUMIF(Journals!D$14:D$920,TrialBalance!P92,Journals!J$14:J$920)+SUMIF(Journals!E$14:E$920,TrialBalance!P92,Journals!J$14:J$920)</f>
        <v>0</v>
      </c>
      <c r="K92" s="408"/>
      <c r="L92" s="410">
        <f t="shared" ref="L92" si="17">ROUND(D92-E92+F92+G92+H92+J92+I92,0)</f>
        <v>0</v>
      </c>
      <c r="M92" s="83"/>
      <c r="N92" s="56">
        <f t="shared" ref="N92" si="18">ROUND(SUM(A92),0)</f>
        <v>0</v>
      </c>
      <c r="P92" s="196" t="str">
        <f t="shared" ref="P92" si="19">CONCATENATE(B92,C92)</f>
        <v>2800/002Div.'s received - Associates</v>
      </c>
      <c r="Q92" s="78"/>
      <c r="S92" s="79"/>
      <c r="T92" s="59"/>
      <c r="U92" s="34"/>
    </row>
    <row r="93" spans="1:21" x14ac:dyDescent="0.2">
      <c r="A93" s="393"/>
      <c r="B93" s="113" t="s">
        <v>1204</v>
      </c>
      <c r="C93" s="397" t="s">
        <v>857</v>
      </c>
      <c r="D93" s="405"/>
      <c r="E93" s="406"/>
      <c r="F93" s="184"/>
      <c r="G93" s="184"/>
      <c r="H93" s="184"/>
      <c r="I93" s="87"/>
      <c r="J93" s="347">
        <f>SUMIF(Journals!D$14:D$920,TrialBalance!P93,Journals!J$14:J$920)+SUMIF(Journals!E$14:E$920,TrialBalance!P93,Journals!J$14:J$920)</f>
        <v>0</v>
      </c>
      <c r="K93" s="408"/>
      <c r="L93" s="410">
        <f t="shared" si="16"/>
        <v>0</v>
      </c>
      <c r="M93" s="83"/>
      <c r="N93" s="56">
        <f t="shared" si="14"/>
        <v>0</v>
      </c>
      <c r="P93" s="196" t="str">
        <f t="shared" si="15"/>
        <v>2800/003Div.'s received - Foreign div.'s</v>
      </c>
      <c r="Q93" s="78"/>
      <c r="S93" s="79"/>
      <c r="T93" s="59"/>
      <c r="U93" s="34"/>
    </row>
    <row r="94" spans="1:21" x14ac:dyDescent="0.2">
      <c r="A94" s="393"/>
      <c r="B94" s="62" t="s">
        <v>221</v>
      </c>
      <c r="C94" s="397" t="s">
        <v>721</v>
      </c>
      <c r="D94" s="405"/>
      <c r="E94" s="406"/>
      <c r="F94" s="184"/>
      <c r="G94" s="184"/>
      <c r="H94" s="184"/>
      <c r="I94" s="87"/>
      <c r="J94" s="347">
        <f>SUMIF(Journals!D$14:D$920,TrialBalance!P94,Journals!J$14:J$920)+SUMIF(Journals!E$14:E$920,TrialBalance!P94,Journals!J$14:J$920)</f>
        <v>0</v>
      </c>
      <c r="K94" s="408"/>
      <c r="L94" s="410">
        <f t="shared" si="16"/>
        <v>0</v>
      </c>
      <c r="M94" s="83"/>
      <c r="N94" s="56">
        <f t="shared" si="14"/>
        <v>0</v>
      </c>
      <c r="P94" s="196" t="str">
        <f t="shared" si="15"/>
        <v>2810/000(Profit)/Loss on sale of fixed assets</v>
      </c>
      <c r="Q94" s="78"/>
      <c r="S94" s="79"/>
      <c r="T94" s="59"/>
      <c r="U94" s="34"/>
    </row>
    <row r="95" spans="1:21" x14ac:dyDescent="0.2">
      <c r="A95" s="393"/>
      <c r="B95" s="62" t="s">
        <v>222</v>
      </c>
      <c r="C95" s="394" t="s">
        <v>223</v>
      </c>
      <c r="D95" s="405"/>
      <c r="E95" s="406"/>
      <c r="F95" s="184"/>
      <c r="G95" s="184"/>
      <c r="H95" s="184"/>
      <c r="I95" s="87"/>
      <c r="J95" s="347">
        <f>SUMIF(Journals!D$14:D$920,TrialBalance!P95,Journals!J$14:J$920)+SUMIF(Journals!E$14:E$920,TrialBalance!P95,Journals!J$14:J$920)</f>
        <v>0</v>
      </c>
      <c r="K95" s="408"/>
      <c r="L95" s="410">
        <f t="shared" si="16"/>
        <v>0</v>
      </c>
      <c r="M95" s="83"/>
      <c r="N95" s="56">
        <f t="shared" si="14"/>
        <v>0</v>
      </c>
      <c r="P95" s="196" t="str">
        <f t="shared" si="15"/>
        <v>2820/000Bad debts recovered</v>
      </c>
      <c r="Q95" s="78"/>
      <c r="S95" s="79"/>
      <c r="T95" s="59"/>
      <c r="U95" s="34"/>
    </row>
    <row r="96" spans="1:21" x14ac:dyDescent="0.2">
      <c r="A96" s="393"/>
      <c r="B96" s="62" t="s">
        <v>224</v>
      </c>
      <c r="C96" s="394" t="s">
        <v>225</v>
      </c>
      <c r="D96" s="405"/>
      <c r="E96" s="406"/>
      <c r="F96" s="184"/>
      <c r="G96" s="184"/>
      <c r="H96" s="184"/>
      <c r="I96" s="87"/>
      <c r="J96" s="347">
        <f>SUMIF(Journals!D$14:D$920,TrialBalance!P96,Journals!J$14:J$920)+SUMIF(Journals!E$14:E$920,TrialBalance!P96,Journals!J$14:J$920)</f>
        <v>0</v>
      </c>
      <c r="K96" s="408"/>
      <c r="L96" s="410">
        <f t="shared" si="16"/>
        <v>0</v>
      </c>
      <c r="M96" s="83"/>
      <c r="N96" s="56">
        <f t="shared" si="14"/>
        <v>0</v>
      </c>
      <c r="P96" s="196" t="str">
        <f t="shared" si="15"/>
        <v>2830/000Other income</v>
      </c>
      <c r="Q96" s="78"/>
      <c r="S96" s="59"/>
      <c r="T96" s="59"/>
      <c r="U96" s="34"/>
    </row>
    <row r="97" spans="1:21" x14ac:dyDescent="0.2">
      <c r="A97" s="393"/>
      <c r="B97" s="113" t="s">
        <v>1310</v>
      </c>
      <c r="C97" s="397" t="s">
        <v>1311</v>
      </c>
      <c r="D97" s="405"/>
      <c r="E97" s="406"/>
      <c r="F97" s="184"/>
      <c r="G97" s="184"/>
      <c r="H97" s="184"/>
      <c r="I97" s="87"/>
      <c r="J97" s="347">
        <f>SUMIF(Journals!D$14:D$920,TrialBalance!P97,Journals!J$14:J$920)+SUMIF(Journals!E$14:E$920,TrialBalance!P97,Journals!J$14:J$920)</f>
        <v>0</v>
      </c>
      <c r="K97" s="408"/>
      <c r="L97" s="410">
        <f t="shared" ref="L97" si="20">ROUND(D97-E97+F97+G97+H97+J97+I97,0)</f>
        <v>0</v>
      </c>
      <c r="M97" s="83"/>
      <c r="N97" s="56">
        <f t="shared" ref="N97" si="21">ROUND(SUM(A97),0)</f>
        <v>0</v>
      </c>
      <c r="P97" s="196" t="str">
        <f t="shared" ref="P97" si="22">CONCATENATE(B97,C97)</f>
        <v>2840/000Revaluation of investment property</v>
      </c>
      <c r="Q97" s="78"/>
      <c r="S97" s="59"/>
      <c r="T97" s="59"/>
      <c r="U97" s="34"/>
    </row>
    <row r="98" spans="1:21" x14ac:dyDescent="0.2">
      <c r="A98" s="393"/>
      <c r="B98" s="62" t="s">
        <v>226</v>
      </c>
      <c r="C98" s="396" t="s">
        <v>1192</v>
      </c>
      <c r="D98" s="405"/>
      <c r="E98" s="406"/>
      <c r="F98" s="184"/>
      <c r="G98" s="184"/>
      <c r="H98" s="184"/>
      <c r="I98" s="87"/>
      <c r="J98" s="347">
        <f>SUMIF(Journals!D$14:D$920,TrialBalance!P98,Journals!J$14:J$920)+SUMIF(Journals!E$14:E$920,TrialBalance!P98,Journals!J$14:J$920)</f>
        <v>0</v>
      </c>
      <c r="K98" s="408"/>
      <c r="L98" s="410">
        <f t="shared" si="16"/>
        <v>0</v>
      </c>
      <c r="M98" s="83"/>
      <c r="N98" s="56">
        <f t="shared" si="14"/>
        <v>0</v>
      </c>
      <c r="P98" s="196" t="str">
        <f t="shared" si="15"/>
        <v>3000/000ADMINISTRATIVE EXPENSES</v>
      </c>
      <c r="Q98" s="78"/>
      <c r="S98" s="79"/>
      <c r="T98" s="59"/>
      <c r="U98" s="34"/>
    </row>
    <row r="99" spans="1:21" x14ac:dyDescent="0.2">
      <c r="A99" s="393"/>
      <c r="B99" s="62" t="s">
        <v>227</v>
      </c>
      <c r="C99" s="394" t="s">
        <v>228</v>
      </c>
      <c r="D99" s="405"/>
      <c r="E99" s="406"/>
      <c r="F99" s="184"/>
      <c r="G99" s="184"/>
      <c r="H99" s="184"/>
      <c r="I99" s="87"/>
      <c r="J99" s="347">
        <f>SUMIF(Journals!D$14:D$920,TrialBalance!P99,Journals!J$14:J$920)+SUMIF(Journals!E$14:E$920,TrialBalance!P99,Journals!J$14:J$920)</f>
        <v>0</v>
      </c>
      <c r="K99" s="408"/>
      <c r="L99" s="410">
        <f t="shared" si="16"/>
        <v>0</v>
      </c>
      <c r="M99" s="83"/>
      <c r="N99" s="56">
        <f t="shared" si="14"/>
        <v>0</v>
      </c>
      <c r="P99" s="196" t="str">
        <f t="shared" si="15"/>
        <v>3000/011Audit fees for current year</v>
      </c>
      <c r="Q99" s="78"/>
      <c r="S99" s="59"/>
      <c r="T99" s="59"/>
      <c r="U99" s="34"/>
    </row>
    <row r="100" spans="1:21" x14ac:dyDescent="0.2">
      <c r="A100" s="393"/>
      <c r="B100" s="62" t="s">
        <v>229</v>
      </c>
      <c r="C100" s="401" t="s">
        <v>386</v>
      </c>
      <c r="D100" s="406"/>
      <c r="E100" s="406"/>
      <c r="F100" s="184"/>
      <c r="G100" s="184"/>
      <c r="H100" s="184"/>
      <c r="I100" s="87"/>
      <c r="J100" s="347">
        <f>SUMIF(Journals!D$14:D$920,TrialBalance!P100,Journals!J$14:J$920)+SUMIF(Journals!E$14:E$920,TrialBalance!P100,Journals!J$14:J$920)</f>
        <v>0</v>
      </c>
      <c r="K100" s="408"/>
      <c r="L100" s="410">
        <f t="shared" si="16"/>
        <v>0</v>
      </c>
      <c r="M100" s="83"/>
      <c r="N100" s="56">
        <f t="shared" si="14"/>
        <v>0</v>
      </c>
      <c r="P100" s="196" t="str">
        <f t="shared" si="15"/>
        <v>3000/012Under provision previous year</v>
      </c>
      <c r="Q100" s="78"/>
      <c r="S100" s="79"/>
      <c r="T100" s="59"/>
      <c r="U100" s="34"/>
    </row>
    <row r="101" spans="1:21" x14ac:dyDescent="0.2">
      <c r="A101" s="393"/>
      <c r="B101" s="62" t="s">
        <v>230</v>
      </c>
      <c r="C101" s="394" t="s">
        <v>231</v>
      </c>
      <c r="D101" s="405"/>
      <c r="E101" s="406"/>
      <c r="F101" s="184"/>
      <c r="G101" s="184"/>
      <c r="H101" s="184"/>
      <c r="I101" s="87"/>
      <c r="J101" s="347">
        <f>SUMIF(Journals!D$14:D$920,TrialBalance!P101,Journals!J$14:J$920)+SUMIF(Journals!E$14:E$920,TrialBalance!P101,Journals!J$14:J$920)</f>
        <v>0</v>
      </c>
      <c r="K101" s="408"/>
      <c r="L101" s="410">
        <f t="shared" si="16"/>
        <v>0</v>
      </c>
      <c r="M101" s="83"/>
      <c r="N101" s="56">
        <f t="shared" si="14"/>
        <v>0</v>
      </c>
      <c r="P101" s="196" t="str">
        <f t="shared" si="15"/>
        <v>3000/013Overprovision previous year</v>
      </c>
      <c r="Q101" s="78"/>
      <c r="S101" s="79"/>
      <c r="T101" s="59"/>
      <c r="U101" s="34"/>
    </row>
    <row r="102" spans="1:21" x14ac:dyDescent="0.2">
      <c r="A102" s="393"/>
      <c r="B102" s="62" t="s">
        <v>232</v>
      </c>
      <c r="C102" s="394" t="s">
        <v>233</v>
      </c>
      <c r="D102" s="405"/>
      <c r="E102" s="406"/>
      <c r="F102" s="184"/>
      <c r="G102" s="184"/>
      <c r="H102" s="184"/>
      <c r="I102" s="87"/>
      <c r="J102" s="347">
        <f>SUMIF(Journals!D$14:D$920,TrialBalance!P102,Journals!J$14:J$920)+SUMIF(Journals!E$14:E$920,TrialBalance!P102,Journals!J$14:J$920)</f>
        <v>0</v>
      </c>
      <c r="K102" s="408"/>
      <c r="L102" s="410">
        <f t="shared" si="16"/>
        <v>0</v>
      </c>
      <c r="M102" s="83"/>
      <c r="N102" s="56">
        <f t="shared" si="14"/>
        <v>0</v>
      </c>
      <c r="P102" s="196" t="str">
        <f t="shared" si="15"/>
        <v>3000/014Accounting fees</v>
      </c>
      <c r="Q102" s="78"/>
      <c r="S102" s="79"/>
      <c r="T102" s="59"/>
      <c r="U102" s="34"/>
    </row>
    <row r="103" spans="1:21" x14ac:dyDescent="0.2">
      <c r="A103" s="393"/>
      <c r="B103" s="62" t="s">
        <v>234</v>
      </c>
      <c r="C103" s="394" t="s">
        <v>235</v>
      </c>
      <c r="D103" s="405"/>
      <c r="E103" s="406"/>
      <c r="F103" s="184"/>
      <c r="G103" s="184"/>
      <c r="H103" s="184"/>
      <c r="I103" s="87"/>
      <c r="J103" s="347">
        <f>SUMIF(Journals!D$14:D$920,TrialBalance!P103,Journals!J$14:J$920)+SUMIF(Journals!E$14:E$920,TrialBalance!P103,Journals!J$14:J$920)</f>
        <v>0</v>
      </c>
      <c r="K103" s="408"/>
      <c r="L103" s="410">
        <f>ROUND(D103-E103+F103+G103+H103+J103+I103,0)</f>
        <v>0</v>
      </c>
      <c r="M103" s="83"/>
      <c r="N103" s="56">
        <f t="shared" si="14"/>
        <v>0</v>
      </c>
      <c r="P103" s="196" t="str">
        <f t="shared" si="15"/>
        <v>3000/020Bank charges</v>
      </c>
      <c r="Q103" s="78"/>
      <c r="S103" s="79"/>
      <c r="T103" s="59"/>
      <c r="U103" s="34"/>
    </row>
    <row r="104" spans="1:21" x14ac:dyDescent="0.2">
      <c r="A104" s="393"/>
      <c r="B104" s="62" t="s">
        <v>236</v>
      </c>
      <c r="C104" s="394" t="s">
        <v>237</v>
      </c>
      <c r="D104" s="405"/>
      <c r="E104" s="406"/>
      <c r="F104" s="184"/>
      <c r="G104" s="184"/>
      <c r="H104" s="184"/>
      <c r="I104" s="87"/>
      <c r="J104" s="347">
        <f>SUMIF(Journals!D$14:D$920,TrialBalance!P104,Journals!J$14:J$920)+SUMIF(Journals!E$14:E$920,TrialBalance!P104,Journals!J$14:J$920)</f>
        <v>0</v>
      </c>
      <c r="K104" s="408"/>
      <c r="L104" s="410">
        <f t="shared" si="16"/>
        <v>0</v>
      </c>
      <c r="M104" s="83"/>
      <c r="N104" s="56">
        <f t="shared" si="14"/>
        <v>0</v>
      </c>
      <c r="P104" s="196" t="str">
        <f t="shared" si="15"/>
        <v>3000/030Bad debts</v>
      </c>
      <c r="Q104" s="78"/>
      <c r="S104" s="79"/>
      <c r="T104" s="59"/>
      <c r="U104" s="34"/>
    </row>
    <row r="105" spans="1:21" x14ac:dyDescent="0.2">
      <c r="A105" s="393"/>
      <c r="B105" s="62" t="s">
        <v>238</v>
      </c>
      <c r="C105" s="394" t="s">
        <v>291</v>
      </c>
      <c r="D105" s="405"/>
      <c r="E105" s="406"/>
      <c r="F105" s="184"/>
      <c r="G105" s="184"/>
      <c r="H105" s="184"/>
      <c r="I105" s="87"/>
      <c r="J105" s="347">
        <f>SUMIF(Journals!D$14:D$920,TrialBalance!P105,Journals!J$14:J$920)+SUMIF(Journals!E$14:E$920,TrialBalance!P105,Journals!J$14:J$920)</f>
        <v>0</v>
      </c>
      <c r="K105" s="408"/>
      <c r="L105" s="410">
        <f t="shared" si="16"/>
        <v>0</v>
      </c>
      <c r="M105" s="83"/>
      <c r="N105" s="56">
        <f t="shared" si="14"/>
        <v>0</v>
      </c>
      <c r="P105" s="196" t="str">
        <f t="shared" si="15"/>
        <v>3000/040Cleaning</v>
      </c>
      <c r="Q105" s="78"/>
      <c r="S105" s="79"/>
      <c r="T105" s="59"/>
      <c r="U105" s="34"/>
    </row>
    <row r="106" spans="1:21" x14ac:dyDescent="0.2">
      <c r="A106" s="393"/>
      <c r="B106" s="62" t="s">
        <v>239</v>
      </c>
      <c r="C106" s="394" t="s">
        <v>240</v>
      </c>
      <c r="D106" s="405"/>
      <c r="E106" s="406"/>
      <c r="F106" s="184"/>
      <c r="G106" s="184"/>
      <c r="H106" s="184"/>
      <c r="I106" s="87"/>
      <c r="J106" s="347">
        <f>SUMIF(Journals!D$14:D$920,TrialBalance!P106,Journals!J$14:J$920)+SUMIF(Journals!E$14:E$920,TrialBalance!P106,Journals!J$14:J$920)</f>
        <v>0</v>
      </c>
      <c r="K106" s="408"/>
      <c r="L106" s="410">
        <f t="shared" si="16"/>
        <v>0</v>
      </c>
      <c r="M106" s="83"/>
      <c r="N106" s="56">
        <f t="shared" si="14"/>
        <v>0</v>
      </c>
      <c r="P106" s="196" t="str">
        <f t="shared" si="15"/>
        <v>3000/050Computer expenses</v>
      </c>
      <c r="Q106" s="78"/>
      <c r="S106" s="79"/>
      <c r="T106" s="59"/>
      <c r="U106" s="34"/>
    </row>
    <row r="107" spans="1:21" x14ac:dyDescent="0.2">
      <c r="A107" s="393"/>
      <c r="B107" s="113" t="s">
        <v>780</v>
      </c>
      <c r="C107" s="397" t="s">
        <v>873</v>
      </c>
      <c r="D107" s="405"/>
      <c r="E107" s="406"/>
      <c r="F107" s="184"/>
      <c r="G107" s="184"/>
      <c r="H107" s="184"/>
      <c r="I107" s="87"/>
      <c r="J107" s="347">
        <f>SUMIF(Journals!D$14:D$920,TrialBalance!P107,Journals!J$14:J$920)+SUMIF(Journals!E$14:E$920,TrialBalance!P107,Journals!J$14:J$920)</f>
        <v>0</v>
      </c>
      <c r="K107" s="408"/>
      <c r="L107" s="410">
        <f t="shared" ref="L107" si="23">ROUND(D107-E107+F107+G107+H107+J107+I107,0)</f>
        <v>0</v>
      </c>
      <c r="M107" s="83"/>
      <c r="N107" s="56">
        <f t="shared" si="14"/>
        <v>0</v>
      </c>
      <c r="P107" s="196" t="str">
        <f t="shared" si="15"/>
        <v>3000/055Consulting and professional fees</v>
      </c>
      <c r="Q107" s="78"/>
      <c r="S107" s="79"/>
      <c r="T107" s="59"/>
      <c r="U107" s="34"/>
    </row>
    <row r="108" spans="1:21" x14ac:dyDescent="0.2">
      <c r="A108" s="393"/>
      <c r="B108" s="113" t="s">
        <v>1758</v>
      </c>
      <c r="C108" s="397" t="s">
        <v>1759</v>
      </c>
      <c r="D108" s="405"/>
      <c r="E108" s="406"/>
      <c r="F108" s="184"/>
      <c r="G108" s="184"/>
      <c r="H108" s="184"/>
      <c r="I108" s="87"/>
      <c r="J108" s="347">
        <f>SUMIF(Journals!D$14:D$920,TrialBalance!P108,Journals!J$14:J$920)+SUMIF(Journals!E$14:E$920,TrialBalance!P108,Journals!J$14:J$920)</f>
        <v>0</v>
      </c>
      <c r="K108" s="408"/>
      <c r="L108" s="410">
        <f t="shared" ref="L108" si="24">ROUND(D108-E108+F108+G108+H108+J108+I108,0)</f>
        <v>0</v>
      </c>
      <c r="M108" s="83"/>
      <c r="N108" s="56">
        <f t="shared" ref="N108" si="25">ROUND(SUM(A108),0)</f>
        <v>0</v>
      </c>
      <c r="P108" s="196" t="str">
        <f t="shared" ref="P108" si="26">CONCATENATE(B108,C108)</f>
        <v>3000/058Defined contribution plan expense</v>
      </c>
      <c r="Q108" s="78"/>
      <c r="S108" s="79"/>
      <c r="T108" s="59"/>
      <c r="U108" s="34"/>
    </row>
    <row r="109" spans="1:21" x14ac:dyDescent="0.2">
      <c r="A109" s="393"/>
      <c r="B109" s="62" t="s">
        <v>241</v>
      </c>
      <c r="C109" s="396" t="s">
        <v>665</v>
      </c>
      <c r="D109" s="405"/>
      <c r="E109" s="406"/>
      <c r="F109" s="184"/>
      <c r="G109" s="184"/>
      <c r="H109" s="184"/>
      <c r="I109" s="87"/>
      <c r="J109" s="347">
        <f>SUMIF(Journals!D$14:D$920,TrialBalance!P109,Journals!J$14:J$920)+SUMIF(Journals!E$14:E$920,TrialBalance!P109,Journals!J$14:J$920)</f>
        <v>0</v>
      </c>
      <c r="K109" s="408"/>
      <c r="L109" s="410">
        <f t="shared" si="16"/>
        <v>0</v>
      </c>
      <c r="M109" s="83"/>
      <c r="N109" s="56">
        <f t="shared" si="14"/>
        <v>0</v>
      </c>
      <c r="P109" s="196" t="str">
        <f t="shared" si="15"/>
        <v>3000/060Depreciation---------------------------------</v>
      </c>
      <c r="Q109" s="78"/>
      <c r="S109" s="79"/>
      <c r="T109" s="59"/>
      <c r="U109" s="34"/>
    </row>
    <row r="110" spans="1:21" x14ac:dyDescent="0.2">
      <c r="A110" s="393"/>
      <c r="B110" s="113" t="s">
        <v>242</v>
      </c>
      <c r="C110" s="395" t="s">
        <v>60</v>
      </c>
      <c r="D110" s="406"/>
      <c r="E110" s="406"/>
      <c r="F110" s="184"/>
      <c r="G110" s="184"/>
      <c r="H110" s="184"/>
      <c r="I110" s="87">
        <f>FARegister!Z15</f>
        <v>0</v>
      </c>
      <c r="J110" s="347">
        <f>SUMIF(Journals!D$14:D$920,TrialBalance!P110,Journals!J$14:J$920)+SUMIF(Journals!E$14:E$920,TrialBalance!P110,Journals!J$14:J$920)</f>
        <v>0</v>
      </c>
      <c r="K110" s="408"/>
      <c r="L110" s="410">
        <f t="shared" si="16"/>
        <v>0</v>
      </c>
      <c r="M110" s="83"/>
      <c r="N110" s="56">
        <f t="shared" si="14"/>
        <v>0</v>
      </c>
      <c r="P110" s="196" t="str">
        <f t="shared" ref="P110:P140" si="27">CONCATENATE(B110,C110)</f>
        <v>3000/061Depr - Electronic equipment</v>
      </c>
      <c r="Q110" s="78"/>
      <c r="S110" s="79"/>
      <c r="T110" s="59"/>
      <c r="U110" s="34"/>
    </row>
    <row r="111" spans="1:21" x14ac:dyDescent="0.2">
      <c r="A111" s="393"/>
      <c r="B111" s="113" t="s">
        <v>399</v>
      </c>
      <c r="C111" s="397" t="s">
        <v>934</v>
      </c>
      <c r="D111" s="405"/>
      <c r="E111" s="406"/>
      <c r="F111" s="184"/>
      <c r="G111" s="184"/>
      <c r="H111" s="184"/>
      <c r="I111" s="87">
        <f>FARegister!Z16</f>
        <v>0</v>
      </c>
      <c r="J111" s="347">
        <f>SUMIF(Journals!D$14:D$920,TrialBalance!P111,Journals!J$14:J$920)+SUMIF(Journals!E$14:E$920,TrialBalance!P111,Journals!J$14:J$920)</f>
        <v>0</v>
      </c>
      <c r="K111" s="408"/>
      <c r="L111" s="410">
        <f t="shared" si="16"/>
        <v>0</v>
      </c>
      <c r="M111" s="83"/>
      <c r="N111" s="56">
        <f t="shared" si="14"/>
        <v>0</v>
      </c>
      <c r="P111" s="196" t="str">
        <f t="shared" si="27"/>
        <v>3000/063Depr - Furniture and fittings</v>
      </c>
      <c r="Q111" s="78"/>
      <c r="S111" s="79"/>
      <c r="T111" s="59"/>
      <c r="U111" s="34"/>
    </row>
    <row r="112" spans="1:21" x14ac:dyDescent="0.2">
      <c r="A112" s="393"/>
      <c r="B112" s="62" t="s">
        <v>400</v>
      </c>
      <c r="C112" s="396" t="s">
        <v>668</v>
      </c>
      <c r="D112" s="405"/>
      <c r="E112" s="406"/>
      <c r="F112" s="184"/>
      <c r="G112" s="184"/>
      <c r="H112" s="184"/>
      <c r="I112" s="87"/>
      <c r="J112" s="347">
        <f>SUMIF(Journals!D$14:D$920,TrialBalance!P112,Journals!J$14:J$920)+SUMIF(Journals!E$14:E$920,TrialBalance!P112,Journals!J$14:J$920)</f>
        <v>0</v>
      </c>
      <c r="K112" s="408"/>
      <c r="L112" s="410">
        <f t="shared" si="16"/>
        <v>0</v>
      </c>
      <c r="M112" s="83"/>
      <c r="N112" s="56">
        <f t="shared" si="14"/>
        <v>0</v>
      </c>
      <c r="P112" s="196" t="str">
        <f t="shared" si="27"/>
        <v>3000/070Directors' remuneration-----------------</v>
      </c>
      <c r="Q112" s="78"/>
      <c r="S112" s="79"/>
      <c r="T112" s="59"/>
      <c r="U112" s="34"/>
    </row>
    <row r="113" spans="1:21" x14ac:dyDescent="0.2">
      <c r="A113" s="393"/>
      <c r="B113" s="62" t="s">
        <v>401</v>
      </c>
      <c r="C113" s="398" t="str">
        <f>Criteria!E41</f>
        <v>A Director</v>
      </c>
      <c r="D113" s="406"/>
      <c r="E113" s="406"/>
      <c r="F113" s="184"/>
      <c r="G113" s="184"/>
      <c r="H113" s="184"/>
      <c r="I113" s="87"/>
      <c r="J113" s="347">
        <f>SUMIF(Journals!D$14:D$920,TrialBalance!P113,Journals!J$14:J$920)+SUMIF(Journals!E$14:E$920,TrialBalance!P113,Journals!J$14:J$920)</f>
        <v>0</v>
      </c>
      <c r="K113" s="408"/>
      <c r="L113" s="410">
        <f t="shared" si="16"/>
        <v>0</v>
      </c>
      <c r="M113" s="83"/>
      <c r="N113" s="56">
        <f t="shared" si="14"/>
        <v>0</v>
      </c>
      <c r="P113" s="196" t="str">
        <f t="shared" si="27"/>
        <v>3000/071A Director</v>
      </c>
      <c r="Q113" s="78"/>
      <c r="S113" s="79"/>
      <c r="T113" s="59"/>
      <c r="U113" s="34"/>
    </row>
    <row r="114" spans="1:21" x14ac:dyDescent="0.2">
      <c r="A114" s="393"/>
      <c r="B114" s="62" t="s">
        <v>402</v>
      </c>
      <c r="C114" s="398" t="str">
        <f>Criteria!E42</f>
        <v>B Director</v>
      </c>
      <c r="D114" s="406"/>
      <c r="E114" s="406"/>
      <c r="F114" s="184"/>
      <c r="G114" s="184"/>
      <c r="H114" s="184"/>
      <c r="I114" s="87"/>
      <c r="J114" s="347">
        <f>SUMIF(Journals!D$14:D$920,TrialBalance!P114,Journals!J$14:J$920)+SUMIF(Journals!E$14:E$920,TrialBalance!P114,Journals!J$14:J$920)</f>
        <v>0</v>
      </c>
      <c r="K114" s="408"/>
      <c r="L114" s="410">
        <f t="shared" si="16"/>
        <v>0</v>
      </c>
      <c r="M114" s="83"/>
      <c r="N114" s="56">
        <f t="shared" si="14"/>
        <v>0</v>
      </c>
      <c r="P114" s="196" t="str">
        <f t="shared" si="27"/>
        <v>3000/072B Director</v>
      </c>
      <c r="Q114" s="78"/>
      <c r="S114" s="79"/>
      <c r="T114" s="59"/>
      <c r="U114" s="34"/>
    </row>
    <row r="115" spans="1:21" x14ac:dyDescent="0.2">
      <c r="A115" s="393"/>
      <c r="B115" s="62" t="s">
        <v>403</v>
      </c>
      <c r="C115" s="398">
        <f>Criteria!E43</f>
        <v>0</v>
      </c>
      <c r="D115" s="406"/>
      <c r="E115" s="406"/>
      <c r="F115" s="184"/>
      <c r="G115" s="184"/>
      <c r="H115" s="184"/>
      <c r="I115" s="87"/>
      <c r="J115" s="347">
        <f>SUMIF(Journals!D$14:D$920,TrialBalance!P115,Journals!J$14:J$920)+SUMIF(Journals!E$14:E$920,TrialBalance!P115,Journals!J$14:J$920)</f>
        <v>0</v>
      </c>
      <c r="K115" s="408"/>
      <c r="L115" s="410">
        <f t="shared" si="16"/>
        <v>0</v>
      </c>
      <c r="M115" s="83"/>
      <c r="N115" s="56">
        <f t="shared" si="14"/>
        <v>0</v>
      </c>
      <c r="P115" s="196" t="str">
        <f t="shared" si="27"/>
        <v>3000/0730</v>
      </c>
      <c r="Q115" s="78"/>
      <c r="S115" s="79"/>
      <c r="T115" s="59"/>
      <c r="U115" s="34"/>
    </row>
    <row r="116" spans="1:21" x14ac:dyDescent="0.2">
      <c r="A116" s="393"/>
      <c r="B116" s="62" t="s">
        <v>404</v>
      </c>
      <c r="C116" s="398">
        <f>Criteria!E44</f>
        <v>0</v>
      </c>
      <c r="D116" s="406"/>
      <c r="E116" s="406"/>
      <c r="F116" s="184"/>
      <c r="G116" s="184"/>
      <c r="H116" s="184"/>
      <c r="I116" s="87"/>
      <c r="J116" s="347">
        <f>SUMIF(Journals!D$14:D$920,TrialBalance!P116,Journals!J$14:J$920)+SUMIF(Journals!E$14:E$920,TrialBalance!P116,Journals!J$14:J$920)</f>
        <v>0</v>
      </c>
      <c r="K116" s="408"/>
      <c r="L116" s="410">
        <f t="shared" si="16"/>
        <v>0</v>
      </c>
      <c r="M116" s="83"/>
      <c r="N116" s="56">
        <f t="shared" si="14"/>
        <v>0</v>
      </c>
      <c r="P116" s="196" t="str">
        <f t="shared" si="27"/>
        <v>3000/0740</v>
      </c>
      <c r="Q116" s="78"/>
      <c r="S116" s="79"/>
      <c r="T116" s="59"/>
      <c r="U116" s="34"/>
    </row>
    <row r="117" spans="1:21" x14ac:dyDescent="0.2">
      <c r="A117" s="393"/>
      <c r="B117" s="62" t="s">
        <v>405</v>
      </c>
      <c r="C117" s="398">
        <f>Criteria!E45</f>
        <v>0</v>
      </c>
      <c r="D117" s="406"/>
      <c r="E117" s="406"/>
      <c r="F117" s="184"/>
      <c r="G117" s="184"/>
      <c r="H117" s="184"/>
      <c r="I117" s="87"/>
      <c r="J117" s="347">
        <f>SUMIF(Journals!D$14:D$920,TrialBalance!P117,Journals!J$14:J$920)+SUMIF(Journals!E$14:E$920,TrialBalance!P117,Journals!J$14:J$920)</f>
        <v>0</v>
      </c>
      <c r="K117" s="408"/>
      <c r="L117" s="410">
        <f t="shared" si="16"/>
        <v>0</v>
      </c>
      <c r="M117" s="83"/>
      <c r="N117" s="56">
        <f t="shared" si="14"/>
        <v>0</v>
      </c>
      <c r="P117" s="196" t="str">
        <f t="shared" si="27"/>
        <v>3000/0750</v>
      </c>
      <c r="Q117" s="78"/>
      <c r="S117" s="79"/>
      <c r="T117" s="59"/>
      <c r="U117" s="34"/>
    </row>
    <row r="118" spans="1:21" x14ac:dyDescent="0.2">
      <c r="A118" s="393"/>
      <c r="B118" s="62" t="s">
        <v>406</v>
      </c>
      <c r="C118" s="394" t="s">
        <v>292</v>
      </c>
      <c r="D118" s="405"/>
      <c r="E118" s="406"/>
      <c r="F118" s="184"/>
      <c r="G118" s="184"/>
      <c r="H118" s="184"/>
      <c r="I118" s="87"/>
      <c r="J118" s="347">
        <f>SUMIF(Journals!D$14:D$920,TrialBalance!P118,Journals!J$14:J$920)+SUMIF(Journals!E$14:E$920,TrialBalance!P118,Journals!J$14:J$920)</f>
        <v>0</v>
      </c>
      <c r="K118" s="408"/>
      <c r="L118" s="410">
        <f t="shared" si="16"/>
        <v>0</v>
      </c>
      <c r="M118" s="83"/>
      <c r="N118" s="56">
        <f t="shared" si="14"/>
        <v>0</v>
      </c>
      <c r="P118" s="196" t="str">
        <f t="shared" si="27"/>
        <v>3000/080Donations</v>
      </c>
      <c r="Q118" s="78"/>
      <c r="S118" s="79"/>
      <c r="T118" s="59"/>
      <c r="U118" s="34"/>
    </row>
    <row r="119" spans="1:21" x14ac:dyDescent="0.2">
      <c r="A119" s="393"/>
      <c r="B119" s="62" t="s">
        <v>407</v>
      </c>
      <c r="C119" s="394" t="s">
        <v>408</v>
      </c>
      <c r="D119" s="405"/>
      <c r="E119" s="406"/>
      <c r="F119" s="184"/>
      <c r="G119" s="184"/>
      <c r="H119" s="184"/>
      <c r="I119" s="87"/>
      <c r="J119" s="347">
        <f>SUMIF(Journals!D$14:D$920,TrialBalance!P119,Journals!J$14:J$920)+SUMIF(Journals!E$14:E$920,TrialBalance!P119,Journals!J$14:J$920)</f>
        <v>0</v>
      </c>
      <c r="K119" s="408"/>
      <c r="L119" s="410">
        <f t="shared" si="16"/>
        <v>0</v>
      </c>
      <c r="M119" s="83"/>
      <c r="N119" s="56">
        <f t="shared" si="14"/>
        <v>0</v>
      </c>
      <c r="P119" s="196" t="str">
        <f t="shared" si="27"/>
        <v>3000/090Entertainment expenses</v>
      </c>
      <c r="Q119" s="78"/>
      <c r="S119" s="79"/>
      <c r="T119" s="59"/>
      <c r="U119" s="34"/>
    </row>
    <row r="120" spans="1:21" x14ac:dyDescent="0.2">
      <c r="A120" s="393"/>
      <c r="B120" s="64" t="s">
        <v>71</v>
      </c>
      <c r="C120" s="401" t="s">
        <v>357</v>
      </c>
      <c r="D120" s="406"/>
      <c r="E120" s="406"/>
      <c r="F120" s="184"/>
      <c r="G120" s="184"/>
      <c r="H120" s="184"/>
      <c r="I120" s="87"/>
      <c r="J120" s="347">
        <f>SUMIF(Journals!D$14:D$920,TrialBalance!P120,Journals!J$14:J$920)+SUMIF(Journals!E$14:E$920,TrialBalance!P120,Journals!J$14:J$920)</f>
        <v>0</v>
      </c>
      <c r="K120" s="408"/>
      <c r="L120" s="410">
        <f t="shared" si="16"/>
        <v>0</v>
      </c>
      <c r="M120" s="83"/>
      <c r="N120" s="56">
        <f t="shared" si="14"/>
        <v>0</v>
      </c>
      <c r="P120" s="196" t="str">
        <f t="shared" si="27"/>
        <v>3000/095Fines</v>
      </c>
      <c r="Q120" s="78"/>
      <c r="S120" s="79"/>
      <c r="T120" s="59"/>
      <c r="U120" s="34"/>
    </row>
    <row r="121" spans="1:21" x14ac:dyDescent="0.2">
      <c r="A121" s="393"/>
      <c r="B121" s="62" t="s">
        <v>409</v>
      </c>
      <c r="C121" s="394" t="s">
        <v>410</v>
      </c>
      <c r="D121" s="405"/>
      <c r="E121" s="406"/>
      <c r="F121" s="184"/>
      <c r="G121" s="184"/>
      <c r="H121" s="184"/>
      <c r="I121" s="87"/>
      <c r="J121" s="347">
        <f>SUMIF(Journals!D$14:D$920,TrialBalance!P121,Journals!J$14:J$920)+SUMIF(Journals!E$14:E$920,TrialBalance!P121,Journals!J$14:J$920)</f>
        <v>0</v>
      </c>
      <c r="K121" s="408"/>
      <c r="L121" s="410">
        <f t="shared" si="16"/>
        <v>0</v>
      </c>
      <c r="M121" s="83"/>
      <c r="N121" s="56">
        <f t="shared" si="14"/>
        <v>0</v>
      </c>
      <c r="P121" s="196" t="str">
        <f t="shared" si="27"/>
        <v>3000/100General expenses</v>
      </c>
      <c r="Q121" s="78"/>
      <c r="S121" s="79"/>
      <c r="T121" s="59"/>
      <c r="U121" s="34"/>
    </row>
    <row r="122" spans="1:21" x14ac:dyDescent="0.2">
      <c r="A122" s="393"/>
      <c r="B122" s="62" t="s">
        <v>328</v>
      </c>
      <c r="C122" s="395" t="s">
        <v>931</v>
      </c>
      <c r="D122" s="406"/>
      <c r="E122" s="406"/>
      <c r="F122" s="184"/>
      <c r="G122" s="184"/>
      <c r="H122" s="184"/>
      <c r="I122" s="87"/>
      <c r="J122" s="347">
        <f>SUMIF(Journals!D$14:D$920,TrialBalance!P122,Journals!J$14:J$920)+SUMIF(Journals!E$14:E$920,TrialBalance!P122,Journals!J$14:J$920)</f>
        <v>0</v>
      </c>
      <c r="K122" s="408"/>
      <c r="L122" s="410">
        <f t="shared" si="16"/>
        <v>0</v>
      </c>
      <c r="M122" s="83"/>
      <c r="N122" s="56">
        <f t="shared" si="14"/>
        <v>0</v>
      </c>
      <c r="P122" s="196" t="str">
        <f t="shared" si="27"/>
        <v>3000/110Legal expenses - tax deductible</v>
      </c>
      <c r="Q122" s="78"/>
      <c r="S122" s="79"/>
      <c r="T122" s="59"/>
      <c r="U122" s="34"/>
    </row>
    <row r="123" spans="1:21" x14ac:dyDescent="0.2">
      <c r="A123" s="393"/>
      <c r="B123" s="62" t="s">
        <v>485</v>
      </c>
      <c r="C123" s="395" t="s">
        <v>932</v>
      </c>
      <c r="D123" s="406"/>
      <c r="E123" s="406"/>
      <c r="F123" s="184"/>
      <c r="G123" s="184"/>
      <c r="H123" s="184"/>
      <c r="I123" s="87"/>
      <c r="J123" s="347">
        <f>SUMIF(Journals!D$14:D$920,TrialBalance!P123,Journals!J$14:J$920)+SUMIF(Journals!E$14:E$920,TrialBalance!P123,Journals!J$14:J$920)</f>
        <v>0</v>
      </c>
      <c r="K123" s="408"/>
      <c r="L123" s="410">
        <f t="shared" si="16"/>
        <v>0</v>
      </c>
      <c r="M123" s="83"/>
      <c r="N123" s="56">
        <f t="shared" si="14"/>
        <v>0</v>
      </c>
      <c r="P123" s="196" t="str">
        <f t="shared" si="27"/>
        <v>3000/111Legal expenses - non deductible</v>
      </c>
      <c r="Q123" s="78"/>
      <c r="S123" s="79"/>
      <c r="T123" s="59"/>
      <c r="U123" s="34"/>
    </row>
    <row r="124" spans="1:21" x14ac:dyDescent="0.2">
      <c r="A124" s="393"/>
      <c r="B124" s="62" t="s">
        <v>329</v>
      </c>
      <c r="C124" s="394" t="s">
        <v>330</v>
      </c>
      <c r="D124" s="405"/>
      <c r="E124" s="406"/>
      <c r="F124" s="184"/>
      <c r="G124" s="184"/>
      <c r="H124" s="184"/>
      <c r="I124" s="87"/>
      <c r="J124" s="347">
        <f>SUMIF(Journals!D$14:D$920,TrialBalance!P124,Journals!J$14:J$920)+SUMIF(Journals!E$14:E$920,TrialBalance!P124,Journals!J$14:J$920)</f>
        <v>0</v>
      </c>
      <c r="K124" s="408"/>
      <c r="L124" s="410">
        <f t="shared" si="16"/>
        <v>0</v>
      </c>
      <c r="M124" s="83"/>
      <c r="N124" s="56">
        <f t="shared" si="14"/>
        <v>0</v>
      </c>
      <c r="P124" s="196" t="str">
        <f t="shared" si="27"/>
        <v>3000/120Printing and stationary</v>
      </c>
      <c r="Q124" s="78"/>
      <c r="S124" s="79"/>
      <c r="T124" s="59"/>
      <c r="U124" s="34"/>
    </row>
    <row r="125" spans="1:21" x14ac:dyDescent="0.2">
      <c r="A125" s="393"/>
      <c r="B125" s="62" t="s">
        <v>331</v>
      </c>
      <c r="C125" s="394" t="s">
        <v>293</v>
      </c>
      <c r="D125" s="405"/>
      <c r="E125" s="406"/>
      <c r="F125" s="184"/>
      <c r="G125" s="184"/>
      <c r="H125" s="184"/>
      <c r="I125" s="87"/>
      <c r="J125" s="347">
        <f>SUMIF(Journals!D$14:D$920,TrialBalance!P125,Journals!J$14:J$920)+SUMIF(Journals!E$14:E$920,TrialBalance!P125,Journals!J$14:J$920)</f>
        <v>0</v>
      </c>
      <c r="K125" s="408"/>
      <c r="L125" s="410">
        <f t="shared" si="16"/>
        <v>0</v>
      </c>
      <c r="M125" s="83"/>
      <c r="N125" s="56">
        <f t="shared" si="14"/>
        <v>0</v>
      </c>
      <c r="P125" s="196" t="str">
        <f t="shared" si="27"/>
        <v>3000/130Refreshments</v>
      </c>
      <c r="Q125" s="78"/>
      <c r="S125" s="79"/>
      <c r="T125" s="59"/>
      <c r="U125" s="34"/>
    </row>
    <row r="126" spans="1:21" x14ac:dyDescent="0.2">
      <c r="A126" s="393"/>
      <c r="B126" s="62" t="s">
        <v>332</v>
      </c>
      <c r="C126" s="394" t="s">
        <v>79</v>
      </c>
      <c r="D126" s="405"/>
      <c r="E126" s="406"/>
      <c r="F126" s="184"/>
      <c r="G126" s="184"/>
      <c r="H126" s="184"/>
      <c r="I126" s="87"/>
      <c r="J126" s="347">
        <f>SUMIF(Journals!D$14:D$920,TrialBalance!P126,Journals!J$14:J$920)+SUMIF(Journals!E$14:E$920,TrialBalance!P126,Journals!J$14:J$920)</f>
        <v>0</v>
      </c>
      <c r="K126" s="408"/>
      <c r="L126" s="410">
        <f t="shared" si="16"/>
        <v>0</v>
      </c>
      <c r="M126" s="83"/>
      <c r="N126" s="56">
        <f t="shared" si="14"/>
        <v>0</v>
      </c>
      <c r="P126" s="196" t="str">
        <f t="shared" si="27"/>
        <v>3000/140Salaries</v>
      </c>
      <c r="Q126" s="78"/>
      <c r="S126" s="79"/>
      <c r="T126" s="59"/>
      <c r="U126" s="34"/>
    </row>
    <row r="127" spans="1:21" x14ac:dyDescent="0.2">
      <c r="A127" s="393"/>
      <c r="B127" s="113" t="s">
        <v>333</v>
      </c>
      <c r="C127" s="394" t="s">
        <v>83</v>
      </c>
      <c r="D127" s="405"/>
      <c r="E127" s="406"/>
      <c r="F127" s="184"/>
      <c r="G127" s="184"/>
      <c r="H127" s="184"/>
      <c r="I127" s="87"/>
      <c r="J127" s="347">
        <f>SUMIF(Journals!D$14:D$920,TrialBalance!P127,Journals!J$14:J$920)+SUMIF(Journals!E$14:E$920,TrialBalance!P127,Journals!J$14:J$920)</f>
        <v>0</v>
      </c>
      <c r="K127" s="408"/>
      <c r="L127" s="410">
        <f t="shared" si="16"/>
        <v>0</v>
      </c>
      <c r="M127" s="83"/>
      <c r="N127" s="56">
        <f t="shared" si="14"/>
        <v>0</v>
      </c>
      <c r="P127" s="196" t="str">
        <f t="shared" si="27"/>
        <v>3000/141Casual wages</v>
      </c>
      <c r="Q127" s="78"/>
      <c r="S127" s="79"/>
      <c r="T127" s="59"/>
      <c r="U127" s="34"/>
    </row>
    <row r="128" spans="1:21" x14ac:dyDescent="0.2">
      <c r="A128" s="393"/>
      <c r="B128" s="62" t="s">
        <v>334</v>
      </c>
      <c r="C128" s="394" t="s">
        <v>294</v>
      </c>
      <c r="D128" s="405"/>
      <c r="E128" s="406"/>
      <c r="F128" s="184"/>
      <c r="G128" s="184"/>
      <c r="H128" s="184"/>
      <c r="I128" s="87"/>
      <c r="J128" s="347">
        <f>SUMIF(Journals!D$14:D$920,TrialBalance!P128,Journals!J$14:J$920)+SUMIF(Journals!E$14:E$920,TrialBalance!P128,Journals!J$14:J$920)</f>
        <v>0</v>
      </c>
      <c r="K128" s="408"/>
      <c r="L128" s="410">
        <f t="shared" si="16"/>
        <v>0</v>
      </c>
      <c r="M128" s="83"/>
      <c r="N128" s="56">
        <f t="shared" si="14"/>
        <v>0</v>
      </c>
      <c r="P128" s="196" t="str">
        <f t="shared" si="27"/>
        <v>3000/150Security</v>
      </c>
      <c r="Q128" s="78"/>
      <c r="S128" s="79"/>
      <c r="T128" s="59"/>
      <c r="U128" s="34"/>
    </row>
    <row r="129" spans="1:21" x14ac:dyDescent="0.2">
      <c r="A129" s="393"/>
      <c r="B129" s="62" t="s">
        <v>335</v>
      </c>
      <c r="C129" s="397" t="s">
        <v>875</v>
      </c>
      <c r="D129" s="405"/>
      <c r="E129" s="406"/>
      <c r="F129" s="184"/>
      <c r="G129" s="184"/>
      <c r="H129" s="184"/>
      <c r="I129" s="87"/>
      <c r="J129" s="347">
        <f>SUMIF(Journals!D$14:D$920,TrialBalance!P129,Journals!J$14:J$920)+SUMIF(Journals!E$14:E$920,TrialBalance!P129,Journals!J$14:J$920)</f>
        <v>0</v>
      </c>
      <c r="K129" s="408"/>
      <c r="L129" s="410">
        <f t="shared" si="16"/>
        <v>0</v>
      </c>
      <c r="M129" s="83"/>
      <c r="N129" s="56">
        <f t="shared" si="14"/>
        <v>0</v>
      </c>
      <c r="P129" s="196" t="str">
        <f t="shared" si="27"/>
        <v>3000/160Subscriptions and membership fees</v>
      </c>
      <c r="Q129" s="78"/>
      <c r="S129" s="79"/>
      <c r="T129" s="59"/>
      <c r="U129" s="34"/>
    </row>
    <row r="130" spans="1:21" x14ac:dyDescent="0.2">
      <c r="A130" s="393"/>
      <c r="B130" s="62" t="s">
        <v>362</v>
      </c>
      <c r="C130" s="397" t="s">
        <v>933</v>
      </c>
      <c r="D130" s="405"/>
      <c r="E130" s="406"/>
      <c r="F130" s="184"/>
      <c r="G130" s="184"/>
      <c r="H130" s="184"/>
      <c r="I130" s="87"/>
      <c r="J130" s="347">
        <f>SUMIF(Journals!D$14:D$920,TrialBalance!P130,Journals!J$14:J$920)+SUMIF(Journals!E$14:E$920,TrialBalance!P130,Journals!J$14:J$920)</f>
        <v>0</v>
      </c>
      <c r="K130" s="408"/>
      <c r="L130" s="410">
        <f t="shared" si="16"/>
        <v>0</v>
      </c>
      <c r="M130" s="83"/>
      <c r="N130" s="56">
        <f t="shared" si="14"/>
        <v>0</v>
      </c>
      <c r="P130" s="196" t="str">
        <f t="shared" si="27"/>
        <v>3000/170Penalties and interest - SARS</v>
      </c>
      <c r="Q130" s="78"/>
      <c r="S130" s="79"/>
      <c r="T130" s="59"/>
      <c r="U130" s="34"/>
    </row>
    <row r="131" spans="1:21" x14ac:dyDescent="0.2">
      <c r="A131" s="393"/>
      <c r="B131" s="62" t="s">
        <v>306</v>
      </c>
      <c r="C131" s="398"/>
      <c r="D131" s="406"/>
      <c r="E131" s="406"/>
      <c r="F131" s="184"/>
      <c r="G131" s="184"/>
      <c r="H131" s="184"/>
      <c r="I131" s="87"/>
      <c r="J131" s="347">
        <f>SUMIF(Journals!D$14:D$920,TrialBalance!P131,Journals!J$14:J$920)+SUMIF(Journals!E$14:E$920,TrialBalance!P131,Journals!J$14:J$920)</f>
        <v>0</v>
      </c>
      <c r="K131" s="408"/>
      <c r="L131" s="410">
        <f t="shared" si="16"/>
        <v>0</v>
      </c>
      <c r="M131" s="83"/>
      <c r="N131" s="56">
        <f t="shared" si="14"/>
        <v>0</v>
      </c>
      <c r="P131" s="196" t="str">
        <f t="shared" si="27"/>
        <v>3000/180</v>
      </c>
      <c r="Q131" s="78"/>
      <c r="S131" s="79"/>
      <c r="T131" s="59"/>
      <c r="U131" s="34"/>
    </row>
    <row r="132" spans="1:21" x14ac:dyDescent="0.2">
      <c r="A132" s="393"/>
      <c r="B132" s="62" t="s">
        <v>307</v>
      </c>
      <c r="C132" s="398"/>
      <c r="D132" s="406"/>
      <c r="E132" s="406"/>
      <c r="F132" s="184"/>
      <c r="G132" s="184"/>
      <c r="H132" s="184"/>
      <c r="I132" s="87"/>
      <c r="J132" s="347">
        <f>SUMIF(Journals!D$14:D$920,TrialBalance!P132,Journals!J$14:J$920)+SUMIF(Journals!E$14:E$920,TrialBalance!P132,Journals!J$14:J$920)</f>
        <v>0</v>
      </c>
      <c r="K132" s="408"/>
      <c r="L132" s="410">
        <f t="shared" si="16"/>
        <v>0</v>
      </c>
      <c r="M132" s="83"/>
      <c r="N132" s="56">
        <f t="shared" si="14"/>
        <v>0</v>
      </c>
      <c r="P132" s="196" t="str">
        <f t="shared" si="27"/>
        <v>3000/190</v>
      </c>
      <c r="Q132" s="78"/>
      <c r="S132" s="79"/>
      <c r="T132" s="59"/>
      <c r="U132" s="34"/>
    </row>
    <row r="133" spans="1:21" x14ac:dyDescent="0.2">
      <c r="A133" s="393"/>
      <c r="B133" s="62" t="s">
        <v>308</v>
      </c>
      <c r="C133" s="398"/>
      <c r="D133" s="406"/>
      <c r="E133" s="406"/>
      <c r="F133" s="184"/>
      <c r="G133" s="184"/>
      <c r="H133" s="184"/>
      <c r="I133" s="87"/>
      <c r="J133" s="347">
        <f>SUMIF(Journals!D$14:D$920,TrialBalance!P133,Journals!J$14:J$920)+SUMIF(Journals!E$14:E$920,TrialBalance!P133,Journals!J$14:J$920)</f>
        <v>0</v>
      </c>
      <c r="K133" s="408"/>
      <c r="L133" s="410">
        <f t="shared" si="16"/>
        <v>0</v>
      </c>
      <c r="M133" s="83"/>
      <c r="N133" s="56">
        <f t="shared" si="14"/>
        <v>0</v>
      </c>
      <c r="P133" s="196" t="str">
        <f t="shared" si="27"/>
        <v>3000/200</v>
      </c>
      <c r="Q133" s="78"/>
      <c r="S133" s="79"/>
      <c r="T133" s="59"/>
      <c r="U133" s="34"/>
    </row>
    <row r="134" spans="1:21" x14ac:dyDescent="0.2">
      <c r="A134" s="393"/>
      <c r="B134" s="62" t="s">
        <v>309</v>
      </c>
      <c r="C134" s="398"/>
      <c r="D134" s="406"/>
      <c r="E134" s="406"/>
      <c r="F134" s="184"/>
      <c r="G134" s="184"/>
      <c r="H134" s="184"/>
      <c r="I134" s="87"/>
      <c r="J134" s="347">
        <f>SUMIF(Journals!D$14:D$920,TrialBalance!P134,Journals!J$14:J$920)+SUMIF(Journals!E$14:E$920,TrialBalance!P134,Journals!J$14:J$920)</f>
        <v>0</v>
      </c>
      <c r="K134" s="408"/>
      <c r="L134" s="410">
        <f t="shared" si="16"/>
        <v>0</v>
      </c>
      <c r="M134" s="83"/>
      <c r="N134" s="56">
        <f t="shared" si="14"/>
        <v>0</v>
      </c>
      <c r="P134" s="196" t="str">
        <f t="shared" si="27"/>
        <v>3000/210</v>
      </c>
      <c r="Q134" s="78"/>
      <c r="S134" s="79"/>
      <c r="T134" s="59"/>
      <c r="U134" s="34"/>
    </row>
    <row r="135" spans="1:21" x14ac:dyDescent="0.2">
      <c r="A135" s="393"/>
      <c r="B135" s="62" t="s">
        <v>310</v>
      </c>
      <c r="C135" s="398"/>
      <c r="D135" s="406"/>
      <c r="E135" s="406"/>
      <c r="F135" s="184"/>
      <c r="G135" s="184"/>
      <c r="H135" s="184"/>
      <c r="I135" s="87"/>
      <c r="J135" s="347">
        <f>SUMIF(Journals!D$14:D$920,TrialBalance!P135,Journals!J$14:J$920)+SUMIF(Journals!E$14:E$920,TrialBalance!P135,Journals!J$14:J$920)</f>
        <v>0</v>
      </c>
      <c r="K135" s="408"/>
      <c r="L135" s="410">
        <f t="shared" si="16"/>
        <v>0</v>
      </c>
      <c r="M135" s="83"/>
      <c r="N135" s="56">
        <f t="shared" si="14"/>
        <v>0</v>
      </c>
      <c r="P135" s="196" t="str">
        <f t="shared" si="27"/>
        <v>3000/220</v>
      </c>
      <c r="Q135" s="78"/>
      <c r="S135" s="79"/>
      <c r="T135" s="59"/>
      <c r="U135" s="34"/>
    </row>
    <row r="136" spans="1:21" x14ac:dyDescent="0.2">
      <c r="A136" s="393"/>
      <c r="B136" s="113" t="s">
        <v>573</v>
      </c>
      <c r="C136" s="398"/>
      <c r="D136" s="406"/>
      <c r="E136" s="406"/>
      <c r="F136" s="184"/>
      <c r="G136" s="184"/>
      <c r="H136" s="184"/>
      <c r="I136" s="87"/>
      <c r="J136" s="347">
        <f>SUMIF(Journals!D$14:D$920,TrialBalance!P136,Journals!J$14:J$920)+SUMIF(Journals!E$14:E$920,TrialBalance!P136,Journals!J$14:J$920)</f>
        <v>0</v>
      </c>
      <c r="K136" s="408"/>
      <c r="L136" s="410">
        <f t="shared" si="16"/>
        <v>0</v>
      </c>
      <c r="M136" s="83"/>
      <c r="N136" s="56">
        <f t="shared" si="14"/>
        <v>0</v>
      </c>
      <c r="P136" s="196" t="str">
        <f t="shared" si="27"/>
        <v>3000/230</v>
      </c>
      <c r="Q136" s="78"/>
      <c r="S136" s="79"/>
      <c r="T136" s="59"/>
      <c r="U136" s="34"/>
    </row>
    <row r="137" spans="1:21" x14ac:dyDescent="0.2">
      <c r="A137" s="393"/>
      <c r="B137" s="113" t="s">
        <v>574</v>
      </c>
      <c r="C137" s="398"/>
      <c r="D137" s="406"/>
      <c r="E137" s="406"/>
      <c r="F137" s="184"/>
      <c r="G137" s="184"/>
      <c r="H137" s="184"/>
      <c r="I137" s="87"/>
      <c r="J137" s="347">
        <f>SUMIF(Journals!D$14:D$920,TrialBalance!P137,Journals!J$14:J$920)+SUMIF(Journals!E$14:E$920,TrialBalance!P137,Journals!J$14:J$920)</f>
        <v>0</v>
      </c>
      <c r="K137" s="408"/>
      <c r="L137" s="410">
        <f t="shared" si="16"/>
        <v>0</v>
      </c>
      <c r="M137" s="83"/>
      <c r="N137" s="56">
        <f t="shared" si="14"/>
        <v>0</v>
      </c>
      <c r="P137" s="196" t="str">
        <f t="shared" si="27"/>
        <v>3000/240</v>
      </c>
      <c r="Q137" s="78"/>
      <c r="S137" s="79"/>
      <c r="T137" s="59"/>
      <c r="U137" s="34"/>
    </row>
    <row r="138" spans="1:21" x14ac:dyDescent="0.2">
      <c r="A138" s="393"/>
      <c r="B138" s="113" t="s">
        <v>575</v>
      </c>
      <c r="C138" s="398"/>
      <c r="D138" s="406"/>
      <c r="E138" s="406"/>
      <c r="F138" s="184"/>
      <c r="G138" s="184"/>
      <c r="H138" s="184"/>
      <c r="I138" s="87"/>
      <c r="J138" s="347">
        <f>SUMIF(Journals!D$14:D$920,TrialBalance!P138,Journals!J$14:J$920)+SUMIF(Journals!E$14:E$920,TrialBalance!P138,Journals!J$14:J$920)</f>
        <v>0</v>
      </c>
      <c r="K138" s="408"/>
      <c r="L138" s="410">
        <f t="shared" ref="L138:L206" si="28">ROUND(D138-E138+F138+G138+H138+J138+I138,0)</f>
        <v>0</v>
      </c>
      <c r="M138" s="83"/>
      <c r="N138" s="56">
        <f t="shared" si="14"/>
        <v>0</v>
      </c>
      <c r="P138" s="196" t="str">
        <f t="shared" si="27"/>
        <v>3000/250</v>
      </c>
      <c r="Q138" s="78"/>
      <c r="S138" s="79"/>
      <c r="T138" s="59"/>
      <c r="U138" s="34"/>
    </row>
    <row r="139" spans="1:21" x14ac:dyDescent="0.2">
      <c r="A139" s="393"/>
      <c r="B139" s="113" t="s">
        <v>576</v>
      </c>
      <c r="C139" s="398"/>
      <c r="D139" s="406"/>
      <c r="E139" s="406"/>
      <c r="F139" s="184"/>
      <c r="G139" s="184"/>
      <c r="H139" s="184"/>
      <c r="I139" s="87"/>
      <c r="J139" s="347">
        <f>SUMIF(Journals!D$14:D$920,TrialBalance!P139,Journals!J$14:J$920)+SUMIF(Journals!E$14:E$920,TrialBalance!P139,Journals!J$14:J$920)</f>
        <v>0</v>
      </c>
      <c r="K139" s="408"/>
      <c r="L139" s="410">
        <f t="shared" si="28"/>
        <v>0</v>
      </c>
      <c r="M139" s="83"/>
      <c r="N139" s="56">
        <f t="shared" si="14"/>
        <v>0</v>
      </c>
      <c r="P139" s="196" t="str">
        <f t="shared" si="27"/>
        <v>3000/260</v>
      </c>
      <c r="Q139" s="78"/>
      <c r="S139" s="79"/>
      <c r="T139" s="59"/>
      <c r="U139" s="34"/>
    </row>
    <row r="140" spans="1:21" x14ac:dyDescent="0.2">
      <c r="A140" s="393"/>
      <c r="B140" s="113" t="s">
        <v>577</v>
      </c>
      <c r="C140" s="395" t="s">
        <v>1255</v>
      </c>
      <c r="D140" s="406"/>
      <c r="E140" s="406"/>
      <c r="F140" s="184"/>
      <c r="G140" s="184"/>
      <c r="H140" s="184"/>
      <c r="I140" s="87"/>
      <c r="J140" s="347">
        <f>SUMIF(Journals!D$14:D$920,TrialBalance!P140,Journals!J$14:J$920)+SUMIF(Journals!E$14:E$920,TrialBalance!P140,Journals!J$14:J$920)</f>
        <v>0</v>
      </c>
      <c r="K140" s="408"/>
      <c r="L140" s="410">
        <f t="shared" si="28"/>
        <v>0</v>
      </c>
      <c r="M140" s="83"/>
      <c r="N140" s="56">
        <f t="shared" si="14"/>
        <v>0</v>
      </c>
      <c r="P140" s="196" t="str">
        <f t="shared" si="27"/>
        <v>3000/270Amortisation of prepaid lease agreement</v>
      </c>
      <c r="Q140" s="78"/>
      <c r="S140" s="79"/>
      <c r="T140" s="59"/>
      <c r="U140" s="34"/>
    </row>
    <row r="141" spans="1:21" x14ac:dyDescent="0.2">
      <c r="A141" s="393"/>
      <c r="B141" s="113" t="s">
        <v>1257</v>
      </c>
      <c r="C141" s="397" t="s">
        <v>1258</v>
      </c>
      <c r="D141" s="406"/>
      <c r="E141" s="406"/>
      <c r="F141" s="184"/>
      <c r="G141" s="184"/>
      <c r="H141" s="184"/>
      <c r="I141" s="87"/>
      <c r="J141" s="347">
        <f>SUMIF(Journals!D$14:D$920,TrialBalance!P141,Journals!J$14:J$920)+SUMIF(Journals!E$14:E$920,TrialBalance!P141,Journals!J$14:J$920)</f>
        <v>0</v>
      </c>
      <c r="K141" s="408"/>
      <c r="L141" s="410">
        <f t="shared" ref="L141" si="29">ROUND(D141-E141+F141+G141+H141+J141+I141,0)</f>
        <v>0</v>
      </c>
      <c r="M141" s="83"/>
      <c r="N141" s="56">
        <f t="shared" ref="N141" si="30">ROUND(SUM(A141),0)</f>
        <v>0</v>
      </c>
      <c r="P141" s="196" t="str">
        <f t="shared" ref="P141" si="31">CONCATENATE(B141,C141)</f>
        <v>3000/280Amortisation of goodwill</v>
      </c>
      <c r="Q141" s="78"/>
      <c r="S141" s="79"/>
      <c r="T141" s="59"/>
      <c r="U141" s="34"/>
    </row>
    <row r="142" spans="1:21" x14ac:dyDescent="0.2">
      <c r="A142" s="393"/>
      <c r="B142" s="62" t="s">
        <v>336</v>
      </c>
      <c r="C142" s="396" t="s">
        <v>126</v>
      </c>
      <c r="D142" s="405"/>
      <c r="E142" s="406"/>
      <c r="F142" s="184"/>
      <c r="G142" s="184"/>
      <c r="H142" s="184"/>
      <c r="I142" s="87"/>
      <c r="J142" s="347">
        <f>SUMIF(Journals!D$14:D$920,TrialBalance!P142,Journals!J$14:J$920)+SUMIF(Journals!E$14:E$920,TrialBalance!P142,Journals!J$14:J$920)</f>
        <v>0</v>
      </c>
      <c r="K142" s="408"/>
      <c r="L142" s="410">
        <f t="shared" si="28"/>
        <v>0</v>
      </c>
      <c r="M142" s="83"/>
      <c r="N142" s="56">
        <f t="shared" ref="N142:N206" si="32">ROUND(SUM(A142),0)</f>
        <v>0</v>
      </c>
      <c r="P142" s="196" t="str">
        <f t="shared" ref="P142:P165" si="33">CONCATENATE(B142,C142)</f>
        <v>4700/000FINANCE COSTS</v>
      </c>
      <c r="Q142" s="78"/>
      <c r="S142" s="79"/>
      <c r="T142" s="59"/>
      <c r="U142" s="34"/>
    </row>
    <row r="143" spans="1:21" x14ac:dyDescent="0.2">
      <c r="A143" s="393"/>
      <c r="B143" s="62" t="s">
        <v>337</v>
      </c>
      <c r="C143" s="396" t="s">
        <v>669</v>
      </c>
      <c r="D143" s="405"/>
      <c r="E143" s="406"/>
      <c r="F143" s="184"/>
      <c r="G143" s="184"/>
      <c r="H143" s="184"/>
      <c r="I143" s="87"/>
      <c r="J143" s="347">
        <f>SUMIF(Journals!D$14:D$920,TrialBalance!P143,Journals!J$14:J$920)+SUMIF(Journals!E$14:E$920,TrialBalance!P143,Journals!J$14:J$920)</f>
        <v>0</v>
      </c>
      <c r="K143" s="408"/>
      <c r="L143" s="410">
        <f t="shared" si="28"/>
        <v>0</v>
      </c>
      <c r="M143" s="83"/>
      <c r="N143" s="56">
        <f t="shared" si="32"/>
        <v>0</v>
      </c>
      <c r="P143" s="196" t="str">
        <f t="shared" si="33"/>
        <v>4700/010Interest paid--------------------------------</v>
      </c>
      <c r="Q143" s="78"/>
      <c r="S143" s="79"/>
      <c r="T143" s="59"/>
      <c r="U143" s="34"/>
    </row>
    <row r="144" spans="1:21" x14ac:dyDescent="0.2">
      <c r="A144" s="393"/>
      <c r="B144" s="62" t="s">
        <v>339</v>
      </c>
      <c r="C144" s="398"/>
      <c r="D144" s="405"/>
      <c r="E144" s="406"/>
      <c r="F144" s="184"/>
      <c r="G144" s="184"/>
      <c r="H144" s="184"/>
      <c r="I144" s="87"/>
      <c r="J144" s="347">
        <f>SUMIF(Journals!D$14:D$920,TrialBalance!P144,Journals!J$14:J$920)+SUMIF(Journals!E$14:E$920,TrialBalance!P144,Journals!J$14:J$920)</f>
        <v>0</v>
      </c>
      <c r="K144" s="408"/>
      <c r="L144" s="410">
        <f t="shared" si="28"/>
        <v>0</v>
      </c>
      <c r="M144" s="83"/>
      <c r="N144" s="56">
        <f t="shared" si="32"/>
        <v>0</v>
      </c>
      <c r="P144" s="196" t="str">
        <f t="shared" si="33"/>
        <v>4700/011</v>
      </c>
      <c r="Q144" s="78"/>
      <c r="S144" s="79"/>
      <c r="T144" s="59"/>
      <c r="U144" s="34"/>
    </row>
    <row r="145" spans="1:21" x14ac:dyDescent="0.2">
      <c r="A145" s="393"/>
      <c r="B145" s="62" t="s">
        <v>340</v>
      </c>
      <c r="C145" s="398"/>
      <c r="D145" s="406"/>
      <c r="E145" s="406"/>
      <c r="F145" s="184"/>
      <c r="G145" s="184"/>
      <c r="H145" s="184"/>
      <c r="I145" s="87"/>
      <c r="J145" s="347">
        <f>SUMIF(Journals!D$14:D$920,TrialBalance!P145,Journals!J$14:J$920)+SUMIF(Journals!E$14:E$920,TrialBalance!P145,Journals!J$14:J$920)</f>
        <v>0</v>
      </c>
      <c r="K145" s="408"/>
      <c r="L145" s="410">
        <f t="shared" si="28"/>
        <v>0</v>
      </c>
      <c r="M145" s="83"/>
      <c r="N145" s="56">
        <f t="shared" si="32"/>
        <v>0</v>
      </c>
      <c r="P145" s="196" t="str">
        <f t="shared" si="33"/>
        <v>4700/012</v>
      </c>
      <c r="Q145" s="78"/>
      <c r="S145" s="79"/>
      <c r="T145" s="59"/>
      <c r="U145" s="34"/>
    </row>
    <row r="146" spans="1:21" x14ac:dyDescent="0.2">
      <c r="A146" s="393"/>
      <c r="B146" s="62" t="s">
        <v>341</v>
      </c>
      <c r="C146" s="398"/>
      <c r="D146" s="406"/>
      <c r="E146" s="406"/>
      <c r="F146" s="184"/>
      <c r="G146" s="184"/>
      <c r="H146" s="184"/>
      <c r="I146" s="87"/>
      <c r="J146" s="347">
        <f>SUMIF(Journals!D$14:D$920,TrialBalance!P146,Journals!J$14:J$920)+SUMIF(Journals!E$14:E$920,TrialBalance!P146,Journals!J$14:J$920)</f>
        <v>0</v>
      </c>
      <c r="K146" s="408"/>
      <c r="L146" s="410">
        <f t="shared" si="28"/>
        <v>0</v>
      </c>
      <c r="M146" s="83"/>
      <c r="N146" s="56">
        <f t="shared" si="32"/>
        <v>0</v>
      </c>
      <c r="P146" s="196" t="str">
        <f t="shared" si="33"/>
        <v>4700/013</v>
      </c>
      <c r="Q146" s="78"/>
      <c r="S146" s="79"/>
      <c r="T146" s="59"/>
      <c r="U146" s="34"/>
    </row>
    <row r="147" spans="1:21" x14ac:dyDescent="0.2">
      <c r="A147" s="393"/>
      <c r="B147" s="62" t="s">
        <v>342</v>
      </c>
      <c r="C147" s="398"/>
      <c r="D147" s="406"/>
      <c r="E147" s="406"/>
      <c r="F147" s="184"/>
      <c r="G147" s="184"/>
      <c r="H147" s="184"/>
      <c r="I147" s="87"/>
      <c r="J147" s="347">
        <f>SUMIF(Journals!D$14:D$920,TrialBalance!P147,Journals!J$14:J$920)+SUMIF(Journals!E$14:E$920,TrialBalance!P147,Journals!J$14:J$920)</f>
        <v>0</v>
      </c>
      <c r="K147" s="408"/>
      <c r="L147" s="410">
        <f t="shared" ref="L147:L149" si="34">ROUND(D147-E147+F147+G147+H147+J147+I147,0)</f>
        <v>0</v>
      </c>
      <c r="M147" s="83"/>
      <c r="N147" s="56">
        <f t="shared" si="32"/>
        <v>0</v>
      </c>
      <c r="P147" s="196" t="str">
        <f t="shared" si="33"/>
        <v>4700/014</v>
      </c>
      <c r="Q147" s="78"/>
      <c r="S147" s="79"/>
      <c r="T147" s="59"/>
      <c r="U147" s="34"/>
    </row>
    <row r="148" spans="1:21" x14ac:dyDescent="0.2">
      <c r="A148" s="393"/>
      <c r="B148" s="62" t="s">
        <v>549</v>
      </c>
      <c r="C148" s="398"/>
      <c r="D148" s="406"/>
      <c r="E148" s="406"/>
      <c r="F148" s="184"/>
      <c r="G148" s="184"/>
      <c r="H148" s="184"/>
      <c r="I148" s="87"/>
      <c r="J148" s="347">
        <f>SUMIF(Journals!D$14:D$920,TrialBalance!P148,Journals!J$14:J$920)+SUMIF(Journals!E$14:E$920,TrialBalance!P148,Journals!J$14:J$920)</f>
        <v>0</v>
      </c>
      <c r="K148" s="408"/>
      <c r="L148" s="410">
        <f t="shared" si="34"/>
        <v>0</v>
      </c>
      <c r="M148" s="83"/>
      <c r="N148" s="56">
        <f t="shared" si="32"/>
        <v>0</v>
      </c>
      <c r="P148" s="196" t="str">
        <f t="shared" si="33"/>
        <v>4700/015</v>
      </c>
      <c r="Q148" s="78"/>
      <c r="S148" s="79"/>
      <c r="T148" s="59"/>
      <c r="U148" s="34"/>
    </row>
    <row r="149" spans="1:21" x14ac:dyDescent="0.2">
      <c r="A149" s="393"/>
      <c r="B149" s="62" t="s">
        <v>559</v>
      </c>
      <c r="C149" s="398"/>
      <c r="D149" s="406"/>
      <c r="E149" s="406"/>
      <c r="F149" s="184"/>
      <c r="G149" s="184"/>
      <c r="H149" s="184"/>
      <c r="I149" s="87"/>
      <c r="J149" s="347">
        <f>SUMIF(Journals!D$14:D$920,TrialBalance!P149,Journals!J$14:J$920)+SUMIF(Journals!E$14:E$920,TrialBalance!P149,Journals!J$14:J$920)</f>
        <v>0</v>
      </c>
      <c r="K149" s="408"/>
      <c r="L149" s="410">
        <f t="shared" si="34"/>
        <v>0</v>
      </c>
      <c r="M149" s="83"/>
      <c r="N149" s="56">
        <f t="shared" si="32"/>
        <v>0</v>
      </c>
      <c r="P149" s="196" t="str">
        <f t="shared" si="33"/>
        <v>4700/016</v>
      </c>
      <c r="Q149" s="78"/>
      <c r="S149" s="79"/>
      <c r="T149" s="59"/>
      <c r="U149" s="34"/>
    </row>
    <row r="150" spans="1:21" x14ac:dyDescent="0.2">
      <c r="A150" s="393"/>
      <c r="B150" s="113" t="s">
        <v>621</v>
      </c>
      <c r="C150" s="398"/>
      <c r="D150" s="406"/>
      <c r="E150" s="406"/>
      <c r="F150" s="184"/>
      <c r="G150" s="184"/>
      <c r="H150" s="184"/>
      <c r="I150" s="87"/>
      <c r="J150" s="347">
        <f>SUMIF(Journals!D$14:D$920,TrialBalance!P150,Journals!J$14:J$920)+SUMIF(Journals!E$14:E$920,TrialBalance!P150,Journals!J$14:J$920)</f>
        <v>0</v>
      </c>
      <c r="K150" s="408"/>
      <c r="L150" s="410">
        <f t="shared" si="28"/>
        <v>0</v>
      </c>
      <c r="M150" s="83"/>
      <c r="N150" s="56">
        <f t="shared" si="32"/>
        <v>0</v>
      </c>
      <c r="P150" s="196" t="str">
        <f t="shared" si="33"/>
        <v>4700/017</v>
      </c>
      <c r="Q150" s="78"/>
      <c r="S150" s="79"/>
      <c r="T150" s="59"/>
      <c r="U150" s="34"/>
    </row>
    <row r="151" spans="1:21" x14ac:dyDescent="0.2">
      <c r="A151" s="393"/>
      <c r="B151" s="113" t="s">
        <v>712</v>
      </c>
      <c r="C151" s="398"/>
      <c r="D151" s="406"/>
      <c r="E151" s="406"/>
      <c r="F151" s="184"/>
      <c r="G151" s="184"/>
      <c r="H151" s="184"/>
      <c r="I151" s="87"/>
      <c r="J151" s="347">
        <f>SUMIF(Journals!D$14:D$920,TrialBalance!P151,Journals!J$14:J$920)+SUMIF(Journals!E$14:E$920,TrialBalance!P151,Journals!J$14:J$920)</f>
        <v>0</v>
      </c>
      <c r="K151" s="408"/>
      <c r="L151" s="410">
        <f t="shared" si="28"/>
        <v>0</v>
      </c>
      <c r="M151" s="83"/>
      <c r="N151" s="56">
        <f t="shared" si="32"/>
        <v>0</v>
      </c>
      <c r="P151" s="196" t="str">
        <f t="shared" si="33"/>
        <v>4700/018</v>
      </c>
      <c r="Q151" s="78"/>
      <c r="S151" s="79"/>
      <c r="T151" s="59"/>
      <c r="U151" s="34"/>
    </row>
    <row r="152" spans="1:21" x14ac:dyDescent="0.2">
      <c r="A152" s="393"/>
      <c r="B152" s="113" t="s">
        <v>713</v>
      </c>
      <c r="C152" s="398"/>
      <c r="D152" s="406"/>
      <c r="E152" s="406"/>
      <c r="F152" s="184"/>
      <c r="G152" s="184"/>
      <c r="H152" s="184"/>
      <c r="I152" s="87"/>
      <c r="J152" s="347">
        <f>SUMIF(Journals!D$14:D$920,TrialBalance!P152,Journals!J$14:J$920)+SUMIF(Journals!E$14:E$920,TrialBalance!P152,Journals!J$14:J$920)</f>
        <v>0</v>
      </c>
      <c r="K152" s="408"/>
      <c r="L152" s="410">
        <f t="shared" si="28"/>
        <v>0</v>
      </c>
      <c r="M152" s="83"/>
      <c r="N152" s="56">
        <f t="shared" si="32"/>
        <v>0</v>
      </c>
      <c r="P152" s="196" t="str">
        <f t="shared" si="33"/>
        <v>4700/019</v>
      </c>
      <c r="Q152" s="78"/>
      <c r="S152" s="79"/>
      <c r="T152" s="59"/>
      <c r="U152" s="34"/>
    </row>
    <row r="153" spans="1:21" x14ac:dyDescent="0.2">
      <c r="A153" s="393"/>
      <c r="B153" s="113" t="s">
        <v>343</v>
      </c>
      <c r="C153" s="398"/>
      <c r="D153" s="405"/>
      <c r="E153" s="406"/>
      <c r="F153" s="184"/>
      <c r="G153" s="184"/>
      <c r="H153" s="184"/>
      <c r="I153" s="87"/>
      <c r="J153" s="347">
        <f>SUMIF(Journals!D$14:D$920,TrialBalance!P153,Journals!J$14:J$920)+SUMIF(Journals!E$14:E$920,TrialBalance!P153,Journals!J$14:J$920)</f>
        <v>0</v>
      </c>
      <c r="K153" s="408"/>
      <c r="L153" s="410">
        <f t="shared" si="28"/>
        <v>0</v>
      </c>
      <c r="M153" s="83"/>
      <c r="N153" s="56">
        <f t="shared" si="32"/>
        <v>0</v>
      </c>
      <c r="P153" s="196" t="str">
        <f t="shared" si="33"/>
        <v>4700/020</v>
      </c>
      <c r="Q153" s="78"/>
      <c r="S153" s="79"/>
      <c r="T153" s="59"/>
      <c r="U153" s="34"/>
    </row>
    <row r="154" spans="1:21" x14ac:dyDescent="0.2">
      <c r="A154" s="393"/>
      <c r="B154" s="113" t="s">
        <v>714</v>
      </c>
      <c r="C154" s="394" t="str">
        <f>IF(Criteria!H13=0,"Finance leases",IF(Criteria!H14=0,"Finance leases",CONCATENATE("Finance leases - ",Criteria!H13)))</f>
        <v>Finance leases - Seafront Hotel</v>
      </c>
      <c r="D154" s="405"/>
      <c r="E154" s="406"/>
      <c r="F154" s="184"/>
      <c r="G154" s="184"/>
      <c r="H154" s="184"/>
      <c r="I154" s="87"/>
      <c r="J154" s="347">
        <f>SUMIF(Journals!D$14:D$920,TrialBalance!P154,Journals!J$14:J$920)+SUMIF(Journals!E$14:E$920,TrialBalance!P154,Journals!J$14:J$920)</f>
        <v>0</v>
      </c>
      <c r="K154" s="408"/>
      <c r="L154" s="410">
        <f t="shared" si="28"/>
        <v>0</v>
      </c>
      <c r="M154" s="83"/>
      <c r="N154" s="56">
        <f t="shared" si="32"/>
        <v>0</v>
      </c>
      <c r="P154" s="196" t="str">
        <f t="shared" si="33"/>
        <v>4700/021Finance leases - Seafront Hotel</v>
      </c>
      <c r="Q154" s="78"/>
      <c r="S154" s="79"/>
      <c r="T154" s="59"/>
      <c r="U154" s="34"/>
    </row>
    <row r="155" spans="1:21" x14ac:dyDescent="0.2">
      <c r="A155" s="393"/>
      <c r="B155" s="62" t="s">
        <v>486</v>
      </c>
      <c r="C155" s="396" t="s">
        <v>381</v>
      </c>
      <c r="D155" s="406"/>
      <c r="E155" s="406"/>
      <c r="F155" s="184"/>
      <c r="G155" s="184"/>
      <c r="H155" s="184"/>
      <c r="I155" s="87"/>
      <c r="J155" s="347">
        <f>SUMIF(Journals!D$14:D$920,TrialBalance!P155,Journals!J$14:J$920)+SUMIF(Journals!E$14:E$920,TrialBalance!P155,Journals!J$14:J$920)</f>
        <v>0</v>
      </c>
      <c r="K155" s="408"/>
      <c r="L155" s="410">
        <f t="shared" si="28"/>
        <v>0</v>
      </c>
      <c r="M155" s="83"/>
      <c r="N155" s="56">
        <f t="shared" si="32"/>
        <v>0</v>
      </c>
      <c r="P155" s="196" t="str">
        <f t="shared" si="33"/>
        <v>4750/000OTHER</v>
      </c>
      <c r="Q155" s="78"/>
      <c r="S155" s="79"/>
      <c r="T155" s="59"/>
      <c r="U155" s="34"/>
    </row>
    <row r="156" spans="1:21" x14ac:dyDescent="0.2">
      <c r="A156" s="393"/>
      <c r="B156" s="62" t="s">
        <v>487</v>
      </c>
      <c r="C156" s="395" t="s">
        <v>1256</v>
      </c>
      <c r="D156" s="405"/>
      <c r="E156" s="406"/>
      <c r="F156" s="184"/>
      <c r="G156" s="184"/>
      <c r="H156" s="184"/>
      <c r="I156" s="87"/>
      <c r="J156" s="347">
        <f>SUMIF(Journals!D$14:D$920,TrialBalance!P156,Journals!J$14:J$920)+SUMIF(Journals!E$14:E$920,TrialBalance!P156,Journals!J$14:J$920)</f>
        <v>0</v>
      </c>
      <c r="K156" s="408"/>
      <c r="L156" s="410">
        <f t="shared" si="28"/>
        <v>0</v>
      </c>
      <c r="M156" s="83"/>
      <c r="N156" s="56">
        <f t="shared" si="32"/>
        <v>0</v>
      </c>
      <c r="P156" s="196" t="str">
        <f t="shared" si="33"/>
        <v>4750/010Impairment losses</v>
      </c>
      <c r="Q156" s="78"/>
      <c r="S156" s="79"/>
      <c r="T156" s="59"/>
      <c r="U156" s="34"/>
    </row>
    <row r="157" spans="1:21" x14ac:dyDescent="0.2">
      <c r="A157" s="393"/>
      <c r="B157" s="62" t="s">
        <v>344</v>
      </c>
      <c r="C157" s="396" t="s">
        <v>345</v>
      </c>
      <c r="D157" s="405"/>
      <c r="E157" s="406"/>
      <c r="F157" s="184"/>
      <c r="G157" s="184"/>
      <c r="H157" s="184"/>
      <c r="I157" s="87"/>
      <c r="J157" s="347">
        <f>SUMIF(Journals!D$14:D$920,TrialBalance!P157,Journals!J$14:J$920)+SUMIF(Journals!E$14:E$920,TrialBalance!P157,Journals!J$14:J$920)</f>
        <v>0</v>
      </c>
      <c r="K157" s="408"/>
      <c r="L157" s="410">
        <f t="shared" si="28"/>
        <v>0</v>
      </c>
      <c r="M157" s="83"/>
      <c r="N157" s="56">
        <f t="shared" si="32"/>
        <v>0</v>
      </c>
      <c r="P157" s="196" t="str">
        <f t="shared" si="33"/>
        <v>4800/000NORMAL TAXATION</v>
      </c>
      <c r="Q157" s="78"/>
      <c r="S157" s="79"/>
      <c r="T157" s="59"/>
      <c r="U157" s="34"/>
    </row>
    <row r="158" spans="1:21" x14ac:dyDescent="0.2">
      <c r="A158" s="393"/>
      <c r="B158" s="62" t="s">
        <v>346</v>
      </c>
      <c r="C158" s="394" t="s">
        <v>347</v>
      </c>
      <c r="D158" s="405"/>
      <c r="E158" s="406"/>
      <c r="F158" s="184"/>
      <c r="G158" s="184"/>
      <c r="H158" s="184"/>
      <c r="I158" s="87"/>
      <c r="J158" s="347">
        <f>SUMIF(Journals!D$14:D$920,TrialBalance!P158,Journals!J$14:J$920)+SUMIF(Journals!E$14:E$920,TrialBalance!P158,Journals!J$14:J$920)</f>
        <v>0</v>
      </c>
      <c r="K158" s="408"/>
      <c r="L158" s="410">
        <f t="shared" si="28"/>
        <v>0</v>
      </c>
      <c r="M158" s="83"/>
      <c r="N158" s="56">
        <f t="shared" si="32"/>
        <v>0</v>
      </c>
      <c r="P158" s="196" t="str">
        <f t="shared" si="33"/>
        <v>4800/001Tax provided this year</v>
      </c>
      <c r="Q158" s="78"/>
      <c r="S158" s="79"/>
      <c r="T158" s="59"/>
      <c r="U158" s="34"/>
    </row>
    <row r="159" spans="1:21" x14ac:dyDescent="0.2">
      <c r="A159" s="393"/>
      <c r="B159" s="62" t="s">
        <v>348</v>
      </c>
      <c r="C159" s="394" t="s">
        <v>349</v>
      </c>
      <c r="D159" s="405"/>
      <c r="E159" s="406"/>
      <c r="F159" s="184"/>
      <c r="G159" s="184"/>
      <c r="H159" s="184"/>
      <c r="I159" s="87"/>
      <c r="J159" s="347">
        <f>SUMIF(Journals!D$14:D$920,TrialBalance!P159,Journals!J$14:J$920)+SUMIF(Journals!E$14:E$920,TrialBalance!P159,Journals!J$14:J$920)</f>
        <v>0</v>
      </c>
      <c r="K159" s="408"/>
      <c r="L159" s="410">
        <f t="shared" si="28"/>
        <v>0</v>
      </c>
      <c r="M159" s="83"/>
      <c r="N159" s="56">
        <f t="shared" si="32"/>
        <v>0</v>
      </c>
      <c r="P159" s="196" t="str">
        <f t="shared" si="33"/>
        <v>4800/002Tax adjustment previous year</v>
      </c>
      <c r="Q159" s="78"/>
      <c r="S159" s="79"/>
      <c r="T159" s="59"/>
      <c r="U159" s="34"/>
    </row>
    <row r="160" spans="1:21" x14ac:dyDescent="0.2">
      <c r="A160" s="393"/>
      <c r="B160" s="62" t="s">
        <v>211</v>
      </c>
      <c r="C160" s="396" t="s">
        <v>212</v>
      </c>
      <c r="D160" s="405"/>
      <c r="E160" s="406"/>
      <c r="F160" s="184"/>
      <c r="G160" s="184"/>
      <c r="H160" s="184"/>
      <c r="I160" s="87"/>
      <c r="J160" s="347">
        <f>SUMIF(Journals!D$14:D$920,TrialBalance!P160,Journals!J$14:J$920)+SUMIF(Journals!E$14:E$920,TrialBalance!P160,Journals!J$14:J$920)</f>
        <v>0</v>
      </c>
      <c r="K160" s="408"/>
      <c r="L160" s="410">
        <f t="shared" si="28"/>
        <v>0</v>
      </c>
      <c r="M160" s="83"/>
      <c r="N160" s="56">
        <f t="shared" si="32"/>
        <v>0</v>
      </c>
      <c r="P160" s="196" t="str">
        <f t="shared" si="33"/>
        <v>4820/000DEFERRED TAX</v>
      </c>
      <c r="Q160" s="78"/>
      <c r="S160" s="79"/>
      <c r="T160" s="59"/>
      <c r="U160" s="34"/>
    </row>
    <row r="161" spans="1:21" x14ac:dyDescent="0.2">
      <c r="A161" s="393"/>
      <c r="B161" s="62" t="s">
        <v>213</v>
      </c>
      <c r="C161" s="394" t="s">
        <v>214</v>
      </c>
      <c r="D161" s="405"/>
      <c r="E161" s="406"/>
      <c r="F161" s="184"/>
      <c r="G161" s="184"/>
      <c r="H161" s="184"/>
      <c r="I161" s="87"/>
      <c r="J161" s="347">
        <f>SUMIF(Journals!D$14:D$920,TrialBalance!P161,Journals!J$14:J$920)+SUMIF(Journals!E$14:E$920,TrialBalance!P161,Journals!J$14:J$920)</f>
        <v>0</v>
      </c>
      <c r="K161" s="408"/>
      <c r="L161" s="410">
        <f t="shared" si="28"/>
        <v>0</v>
      </c>
      <c r="M161" s="83"/>
      <c r="N161" s="56">
        <f t="shared" si="32"/>
        <v>0</v>
      </c>
      <c r="P161" s="196" t="str">
        <f t="shared" si="33"/>
        <v>4820/001Deferred tax this year</v>
      </c>
      <c r="Q161" s="78"/>
      <c r="S161" s="79"/>
      <c r="T161" s="59"/>
      <c r="U161" s="34"/>
    </row>
    <row r="162" spans="1:21" x14ac:dyDescent="0.2">
      <c r="A162" s="393"/>
      <c r="B162" s="113" t="s">
        <v>215</v>
      </c>
      <c r="C162" s="397" t="s">
        <v>1344</v>
      </c>
      <c r="D162" s="405"/>
      <c r="E162" s="406"/>
      <c r="F162" s="184"/>
      <c r="G162" s="184"/>
      <c r="H162" s="184"/>
      <c r="I162" s="87"/>
      <c r="J162" s="347">
        <f>SUMIF(Journals!D$14:D$920,TrialBalance!P162,Journals!J$14:J$920)+SUMIF(Journals!E$14:E$920,TrialBalance!P162,Journals!J$14:J$920)</f>
        <v>0</v>
      </c>
      <c r="K162" s="408"/>
      <c r="L162" s="410">
        <f t="shared" ref="L162" si="35">ROUND(D162-E162+F162+G162+H162+J162+I162,0)</f>
        <v>0</v>
      </c>
      <c r="M162" s="83"/>
      <c r="N162" s="56">
        <f t="shared" ref="N162" si="36">ROUND(SUM(A162),0)</f>
        <v>0</v>
      </c>
      <c r="P162" s="196" t="str">
        <f t="shared" ref="P162" si="37">CONCATENATE(B162,C162)</f>
        <v>4820/002Deferred tax adjustment on income tax rate change</v>
      </c>
      <c r="Q162" s="78"/>
      <c r="S162" s="79"/>
      <c r="T162" s="59"/>
      <c r="U162" s="34"/>
    </row>
    <row r="163" spans="1:21" x14ac:dyDescent="0.2">
      <c r="A163" s="393"/>
      <c r="B163" s="113" t="s">
        <v>1345</v>
      </c>
      <c r="C163" s="394" t="s">
        <v>216</v>
      </c>
      <c r="D163" s="405"/>
      <c r="E163" s="406"/>
      <c r="F163" s="184"/>
      <c r="G163" s="184"/>
      <c r="H163" s="184"/>
      <c r="I163" s="87"/>
      <c r="J163" s="347">
        <f>SUMIF(Journals!D$14:D$920,TrialBalance!P163,Journals!J$14:J$920)+SUMIF(Journals!E$14:E$920,TrialBalance!P163,Journals!J$14:J$920)</f>
        <v>0</v>
      </c>
      <c r="K163" s="408"/>
      <c r="L163" s="410">
        <f t="shared" si="28"/>
        <v>0</v>
      </c>
      <c r="M163" s="83"/>
      <c r="N163" s="56">
        <f t="shared" si="32"/>
        <v>0</v>
      </c>
      <c r="P163" s="196" t="str">
        <f t="shared" si="33"/>
        <v>4820/003Deferred tax adjustment previous year</v>
      </c>
      <c r="Q163" s="78"/>
      <c r="S163" s="79"/>
      <c r="T163" s="59"/>
      <c r="U163" s="34"/>
    </row>
    <row r="164" spans="1:21" x14ac:dyDescent="0.2">
      <c r="A164" s="393"/>
      <c r="B164" s="62" t="s">
        <v>217</v>
      </c>
      <c r="C164" s="397" t="s">
        <v>525</v>
      </c>
      <c r="D164" s="405"/>
      <c r="E164" s="406"/>
      <c r="F164" s="184"/>
      <c r="G164" s="184"/>
      <c r="H164" s="184"/>
      <c r="I164" s="87"/>
      <c r="J164" s="347">
        <f>SUMIF(Journals!D$14:D$920,TrialBalance!P164,Journals!J$14:J$920)+SUMIF(Journals!E$14:E$920,TrialBalance!P164,Journals!J$14:J$920)</f>
        <v>0</v>
      </c>
      <c r="K164" s="408"/>
      <c r="L164" s="410">
        <f t="shared" si="28"/>
        <v>0</v>
      </c>
      <c r="M164" s="83"/>
      <c r="N164" s="56">
        <f t="shared" si="32"/>
        <v>0</v>
      </c>
      <c r="P164" s="196" t="str">
        <f t="shared" si="33"/>
        <v>4850/000Dividends declared</v>
      </c>
      <c r="Q164" s="78"/>
      <c r="S164" s="79"/>
      <c r="T164" s="59"/>
      <c r="U164" s="34"/>
    </row>
    <row r="165" spans="1:21" x14ac:dyDescent="0.2">
      <c r="A165" s="393"/>
      <c r="B165" s="62" t="s">
        <v>218</v>
      </c>
      <c r="C165" s="394" t="s">
        <v>244</v>
      </c>
      <c r="D165" s="405"/>
      <c r="E165" s="406"/>
      <c r="F165" s="184"/>
      <c r="G165" s="184"/>
      <c r="H165" s="184"/>
      <c r="I165" s="87"/>
      <c r="J165" s="347">
        <f>SUMIF(Journals!D$14:D$920,TrialBalance!P165,Journals!J$14:J$920)+SUMIF(Journals!E$14:E$920,TrialBalance!P165,Journals!J$14:J$920)</f>
        <v>0</v>
      </c>
      <c r="K165" s="408"/>
      <c r="L165" s="410">
        <f t="shared" si="28"/>
        <v>0</v>
      </c>
      <c r="M165" s="83"/>
      <c r="N165" s="56">
        <f t="shared" si="32"/>
        <v>0</v>
      </c>
      <c r="P165" s="196" t="str">
        <f t="shared" si="33"/>
        <v>4860/000Dividends paid</v>
      </c>
      <c r="Q165" s="78"/>
      <c r="S165" s="79"/>
      <c r="T165" s="59"/>
      <c r="U165" s="34"/>
    </row>
    <row r="166" spans="1:21" x14ac:dyDescent="0.2">
      <c r="A166" s="393"/>
      <c r="B166" s="62" t="s">
        <v>263</v>
      </c>
      <c r="C166" s="394"/>
      <c r="D166" s="405"/>
      <c r="E166" s="405"/>
      <c r="F166" s="185"/>
      <c r="G166" s="185"/>
      <c r="H166" s="185"/>
      <c r="I166" s="87"/>
      <c r="J166" s="347"/>
      <c r="K166" s="408"/>
      <c r="L166" s="410">
        <f t="shared" si="28"/>
        <v>0</v>
      </c>
      <c r="M166" s="83"/>
      <c r="N166" s="56">
        <f t="shared" si="32"/>
        <v>0</v>
      </c>
      <c r="P166" s="196">
        <v>0</v>
      </c>
      <c r="Q166" s="78"/>
      <c r="S166" s="79"/>
      <c r="T166" s="59"/>
      <c r="U166" s="34"/>
    </row>
    <row r="167" spans="1:21" x14ac:dyDescent="0.2">
      <c r="A167" s="393"/>
      <c r="B167" s="62" t="s">
        <v>263</v>
      </c>
      <c r="C167" s="394" t="s">
        <v>263</v>
      </c>
      <c r="D167" s="405"/>
      <c r="E167" s="406"/>
      <c r="F167" s="184"/>
      <c r="G167" s="184"/>
      <c r="H167" s="184"/>
      <c r="I167" s="88"/>
      <c r="J167" s="347"/>
      <c r="K167" s="408"/>
      <c r="L167" s="410">
        <f t="shared" si="28"/>
        <v>0</v>
      </c>
      <c r="M167" s="83"/>
      <c r="N167" s="56">
        <f t="shared" si="32"/>
        <v>0</v>
      </c>
      <c r="P167" s="196">
        <v>0</v>
      </c>
      <c r="Q167" s="78"/>
      <c r="S167" s="79"/>
      <c r="T167" s="79"/>
      <c r="U167" s="34"/>
    </row>
    <row r="168" spans="1:21" x14ac:dyDescent="0.2">
      <c r="A168" s="393"/>
      <c r="B168" s="62" t="s">
        <v>263</v>
      </c>
      <c r="C168" s="394"/>
      <c r="D168" s="406"/>
      <c r="E168" s="406"/>
      <c r="F168" s="184"/>
      <c r="G168" s="184"/>
      <c r="H168" s="184"/>
      <c r="I168" s="87"/>
      <c r="J168" s="347"/>
      <c r="K168" s="408"/>
      <c r="L168" s="410">
        <f t="shared" si="28"/>
        <v>0</v>
      </c>
      <c r="M168" s="83"/>
      <c r="N168" s="56">
        <f t="shared" si="32"/>
        <v>0</v>
      </c>
      <c r="P168" s="196">
        <v>0</v>
      </c>
      <c r="Q168" s="78"/>
      <c r="S168" s="79"/>
      <c r="T168" s="59"/>
      <c r="U168" s="34"/>
    </row>
    <row r="169" spans="1:21" x14ac:dyDescent="0.2">
      <c r="A169" s="393"/>
      <c r="B169" s="62" t="s">
        <v>539</v>
      </c>
      <c r="C169" s="396" t="s">
        <v>529</v>
      </c>
      <c r="D169" s="406"/>
      <c r="E169" s="406"/>
      <c r="F169" s="184"/>
      <c r="G169" s="184"/>
      <c r="H169" s="184"/>
      <c r="I169" s="87"/>
      <c r="J169" s="347">
        <f>SUMIF(Journals!D$14:D$920,TrialBalance!P169,Journals!J$14:J$920)+SUMIF(Journals!E$14:E$920,TrialBalance!P169,Journals!J$14:J$920)</f>
        <v>0</v>
      </c>
      <c r="K169" s="408"/>
      <c r="L169" s="410">
        <f t="shared" si="28"/>
        <v>0</v>
      </c>
      <c r="M169" s="83"/>
      <c r="N169" s="56">
        <f t="shared" si="32"/>
        <v>0</v>
      </c>
      <c r="P169" s="196" t="str">
        <f t="shared" ref="P169:P200" si="38">CONCATENATE(B169,C169)</f>
        <v>5100/000SHARE CAPITAL</v>
      </c>
      <c r="Q169" s="78"/>
      <c r="S169" s="79"/>
      <c r="T169" s="59"/>
      <c r="U169" s="34"/>
    </row>
    <row r="170" spans="1:21" x14ac:dyDescent="0.2">
      <c r="A170" s="393"/>
      <c r="B170" s="62" t="s">
        <v>540</v>
      </c>
      <c r="C170" s="397" t="s">
        <v>936</v>
      </c>
      <c r="D170" s="406"/>
      <c r="E170" s="406"/>
      <c r="F170" s="184"/>
      <c r="G170" s="184"/>
      <c r="H170" s="184"/>
      <c r="I170" s="87">
        <f>SUM(N170:N171)</f>
        <v>0</v>
      </c>
      <c r="J170" s="347">
        <f>SUMIF(Journals!D$14:D$920,TrialBalance!P170,Journals!J$14:J$920)+SUMIF(Journals!E$14:E$920,TrialBalance!P170,Journals!J$14:J$920)</f>
        <v>0</v>
      </c>
      <c r="K170" s="408"/>
      <c r="L170" s="410">
        <f t="shared" si="28"/>
        <v>0</v>
      </c>
      <c r="M170" s="83"/>
      <c r="N170" s="56">
        <f t="shared" si="32"/>
        <v>0</v>
      </c>
      <c r="P170" s="196" t="str">
        <f t="shared" si="38"/>
        <v>5100/001Share capital - balance b/fwd</v>
      </c>
      <c r="Q170" s="78"/>
      <c r="R170" s="34"/>
      <c r="S170" s="79"/>
      <c r="T170" s="59"/>
      <c r="U170" s="34"/>
    </row>
    <row r="171" spans="1:21" x14ac:dyDescent="0.2">
      <c r="A171" s="393"/>
      <c r="B171" s="62" t="s">
        <v>541</v>
      </c>
      <c r="C171" s="397" t="s">
        <v>937</v>
      </c>
      <c r="D171" s="406"/>
      <c r="E171" s="406"/>
      <c r="F171" s="184">
        <f>TrialBalanceA!I171</f>
        <v>0</v>
      </c>
      <c r="G171" s="184">
        <f>TrialBalanceB!I171</f>
        <v>0</v>
      </c>
      <c r="H171" s="184">
        <f>TrialBalanceC!I171</f>
        <v>0</v>
      </c>
      <c r="I171" s="87"/>
      <c r="J171" s="347">
        <f>SUMIF(Journals!D$14:D$920,TrialBalance!P171,Journals!J$14:J$920)+SUMIF(Journals!E$14:E$920,TrialBalance!P171,Journals!J$14:J$920)</f>
        <v>0</v>
      </c>
      <c r="K171" s="408"/>
      <c r="L171" s="410">
        <f t="shared" si="28"/>
        <v>0</v>
      </c>
      <c r="M171" s="83"/>
      <c r="N171" s="56">
        <f t="shared" si="32"/>
        <v>0</v>
      </c>
      <c r="P171" s="196" t="str">
        <f t="shared" si="38"/>
        <v>5100/002Share capital - additions</v>
      </c>
      <c r="Q171" s="78"/>
      <c r="S171" s="79"/>
      <c r="T171" s="59"/>
      <c r="U171" s="34"/>
    </row>
    <row r="172" spans="1:21" x14ac:dyDescent="0.2">
      <c r="A172" s="393"/>
      <c r="B172" s="104" t="s">
        <v>542</v>
      </c>
      <c r="C172" s="396" t="s">
        <v>534</v>
      </c>
      <c r="D172" s="406"/>
      <c r="E172" s="406"/>
      <c r="F172" s="184"/>
      <c r="G172" s="184"/>
      <c r="H172" s="184"/>
      <c r="I172" s="87"/>
      <c r="J172" s="347">
        <f>SUMIF(Journals!D$14:D$920,TrialBalance!P172,Journals!J$14:J$920)+SUMIF(Journals!E$14:E$920,TrialBalance!P172,Journals!J$14:J$920)</f>
        <v>0</v>
      </c>
      <c r="K172" s="408"/>
      <c r="L172" s="410">
        <f t="shared" si="28"/>
        <v>0</v>
      </c>
      <c r="M172" s="83"/>
      <c r="N172" s="56">
        <f t="shared" si="32"/>
        <v>0</v>
      </c>
      <c r="P172" s="196" t="str">
        <f t="shared" si="38"/>
        <v>5110/000SHARE PREMIUM</v>
      </c>
      <c r="Q172" s="78"/>
      <c r="S172" s="79"/>
      <c r="T172" s="59"/>
      <c r="U172" s="34"/>
    </row>
    <row r="173" spans="1:21" x14ac:dyDescent="0.2">
      <c r="A173" s="393"/>
      <c r="B173" s="104" t="s">
        <v>543</v>
      </c>
      <c r="C173" s="397" t="s">
        <v>938</v>
      </c>
      <c r="D173" s="406"/>
      <c r="E173" s="406"/>
      <c r="F173" s="184"/>
      <c r="G173" s="184"/>
      <c r="H173" s="184"/>
      <c r="I173" s="87">
        <f>SUM(N173:N175)</f>
        <v>0</v>
      </c>
      <c r="J173" s="347">
        <f>SUMIF(Journals!D$14:D$920,TrialBalance!P173,Journals!J$14:J$920)+SUMIF(Journals!E$14:E$920,TrialBalance!P173,Journals!J$14:J$920)</f>
        <v>0</v>
      </c>
      <c r="K173" s="408"/>
      <c r="L173" s="410">
        <f t="shared" si="28"/>
        <v>0</v>
      </c>
      <c r="M173" s="83"/>
      <c r="N173" s="56">
        <f t="shared" si="32"/>
        <v>0</v>
      </c>
      <c r="P173" s="196" t="str">
        <f t="shared" si="38"/>
        <v>5110/001Share premium - balance b/fwd</v>
      </c>
      <c r="Q173" s="78"/>
      <c r="S173" s="79"/>
      <c r="T173" s="59"/>
      <c r="U173" s="34"/>
    </row>
    <row r="174" spans="1:21" x14ac:dyDescent="0.2">
      <c r="A174" s="393"/>
      <c r="B174" s="104" t="s">
        <v>544</v>
      </c>
      <c r="C174" s="397" t="s">
        <v>939</v>
      </c>
      <c r="D174" s="406"/>
      <c r="E174" s="406"/>
      <c r="F174" s="184">
        <f>TrialBalanceA!I174</f>
        <v>0</v>
      </c>
      <c r="G174" s="184">
        <f>TrialBalanceB!I174</f>
        <v>0</v>
      </c>
      <c r="H174" s="184">
        <f>TrialBalanceC!I174</f>
        <v>0</v>
      </c>
      <c r="I174" s="87"/>
      <c r="J174" s="347">
        <f>SUMIF(Journals!D$14:D$920,TrialBalance!P174,Journals!J$14:J$920)+SUMIF(Journals!E$14:E$920,TrialBalance!P174,Journals!J$14:J$920)</f>
        <v>0</v>
      </c>
      <c r="K174" s="408"/>
      <c r="L174" s="410">
        <f t="shared" si="28"/>
        <v>0</v>
      </c>
      <c r="M174" s="83"/>
      <c r="N174" s="56">
        <f t="shared" si="32"/>
        <v>0</v>
      </c>
      <c r="P174" s="196" t="str">
        <f t="shared" si="38"/>
        <v>5110/002Share premium - additions</v>
      </c>
      <c r="Q174" s="78"/>
      <c r="S174" s="79"/>
      <c r="T174" s="59"/>
      <c r="U174" s="34"/>
    </row>
    <row r="175" spans="1:21" x14ac:dyDescent="0.2">
      <c r="A175" s="393"/>
      <c r="B175" s="104" t="s">
        <v>545</v>
      </c>
      <c r="C175" s="403" t="s">
        <v>546</v>
      </c>
      <c r="D175" s="405"/>
      <c r="E175" s="406"/>
      <c r="F175" s="184">
        <f>TrialBalanceA!I175</f>
        <v>0</v>
      </c>
      <c r="G175" s="184">
        <f>TrialBalanceB!I175</f>
        <v>0</v>
      </c>
      <c r="H175" s="184">
        <f>TrialBalanceC!I175</f>
        <v>0</v>
      </c>
      <c r="I175" s="87"/>
      <c r="J175" s="347">
        <f>SUMIF(Journals!D$14:D$920,TrialBalance!P175,Journals!J$14:J$920)+SUMIF(Journals!E$14:E$920,TrialBalance!P175,Journals!J$14:J$920)</f>
        <v>0</v>
      </c>
      <c r="K175" s="408"/>
      <c r="L175" s="410">
        <f t="shared" si="28"/>
        <v>0</v>
      </c>
      <c r="M175" s="83"/>
      <c r="N175" s="56">
        <f t="shared" si="32"/>
        <v>0</v>
      </c>
      <c r="P175" s="196" t="str">
        <f t="shared" si="38"/>
        <v>5110/003Share premium - transfer</v>
      </c>
      <c r="Q175" s="78"/>
      <c r="S175" s="79"/>
      <c r="T175" s="59"/>
      <c r="U175" s="34"/>
    </row>
    <row r="176" spans="1:21" x14ac:dyDescent="0.2">
      <c r="A176" s="393"/>
      <c r="B176" s="62" t="s">
        <v>496</v>
      </c>
      <c r="C176" s="396" t="s">
        <v>1213</v>
      </c>
      <c r="D176" s="405"/>
      <c r="E176" s="406"/>
      <c r="F176" s="184"/>
      <c r="G176" s="184"/>
      <c r="H176" s="184"/>
      <c r="I176" s="87"/>
      <c r="J176" s="347">
        <f>SUMIF(Journals!D$14:D$920,TrialBalance!P176,Journals!J$14:J$920)+SUMIF(Journals!E$14:E$920,TrialBalance!P176,Journals!J$14:J$920)</f>
        <v>0</v>
      </c>
      <c r="K176" s="408"/>
      <c r="L176" s="410">
        <f t="shared" si="28"/>
        <v>0</v>
      </c>
      <c r="M176" s="83"/>
      <c r="N176" s="56">
        <f t="shared" si="32"/>
        <v>0</v>
      </c>
      <c r="P176" s="196" t="str">
        <f t="shared" si="38"/>
        <v>5120/000REVALUATION RESERVE</v>
      </c>
      <c r="Q176" s="78"/>
      <c r="S176" s="79"/>
      <c r="T176" s="59"/>
      <c r="U176" s="34"/>
    </row>
    <row r="177" spans="1:21" x14ac:dyDescent="0.2">
      <c r="A177" s="393"/>
      <c r="B177" s="62" t="s">
        <v>497</v>
      </c>
      <c r="C177" s="397" t="s">
        <v>1214</v>
      </c>
      <c r="D177" s="405"/>
      <c r="E177" s="406"/>
      <c r="F177" s="184"/>
      <c r="G177" s="184"/>
      <c r="H177" s="184"/>
      <c r="I177" s="87">
        <f>SUM(N177:N179)</f>
        <v>0</v>
      </c>
      <c r="J177" s="347">
        <f>SUMIF(Journals!D$14:D$920,TrialBalance!P177,Journals!J$14:J$920)+SUMIF(Journals!E$14:E$920,TrialBalance!P177,Journals!J$14:J$920)</f>
        <v>0</v>
      </c>
      <c r="K177" s="408"/>
      <c r="L177" s="410">
        <f t="shared" si="28"/>
        <v>0</v>
      </c>
      <c r="M177" s="83"/>
      <c r="N177" s="56">
        <f t="shared" si="32"/>
        <v>0</v>
      </c>
      <c r="P177" s="196" t="str">
        <f t="shared" si="38"/>
        <v>5120/001Revaluation reserve - balance b/fwd</v>
      </c>
      <c r="Q177" s="78"/>
      <c r="S177" s="79"/>
      <c r="T177" s="59"/>
      <c r="U177" s="34"/>
    </row>
    <row r="178" spans="1:21" x14ac:dyDescent="0.2">
      <c r="A178" s="393"/>
      <c r="B178" s="62" t="s">
        <v>498</v>
      </c>
      <c r="C178" s="397" t="s">
        <v>1215</v>
      </c>
      <c r="D178" s="405"/>
      <c r="E178" s="406"/>
      <c r="F178" s="184">
        <f>TrialBalanceA!I178</f>
        <v>0</v>
      </c>
      <c r="G178" s="184">
        <f>TrialBalanceB!I178</f>
        <v>0</v>
      </c>
      <c r="H178" s="184">
        <f>TrialBalanceC!I178</f>
        <v>0</v>
      </c>
      <c r="I178" s="87"/>
      <c r="J178" s="347">
        <f>SUMIF(Journals!D$14:D$920,TrialBalance!P178,Journals!J$14:J$920)+SUMIF(Journals!E$14:E$920,TrialBalance!P178,Journals!J$14:J$920)</f>
        <v>0</v>
      </c>
      <c r="K178" s="408"/>
      <c r="L178" s="410">
        <f t="shared" si="28"/>
        <v>0</v>
      </c>
      <c r="M178" s="83"/>
      <c r="N178" s="56">
        <f t="shared" si="32"/>
        <v>0</v>
      </c>
      <c r="P178" s="196" t="str">
        <f t="shared" si="38"/>
        <v>5120/002Revaluation reserve - additions</v>
      </c>
      <c r="Q178" s="78"/>
      <c r="S178" s="79"/>
      <c r="T178" s="59"/>
      <c r="U178" s="34"/>
    </row>
    <row r="179" spans="1:21" x14ac:dyDescent="0.2">
      <c r="A179" s="393"/>
      <c r="B179" s="62" t="s">
        <v>499</v>
      </c>
      <c r="C179" s="397" t="s">
        <v>1216</v>
      </c>
      <c r="D179" s="405"/>
      <c r="E179" s="406"/>
      <c r="F179" s="184">
        <f>TrialBalanceA!I179</f>
        <v>0</v>
      </c>
      <c r="G179" s="184">
        <f>TrialBalanceB!I179</f>
        <v>0</v>
      </c>
      <c r="H179" s="184">
        <f>TrialBalanceC!I179</f>
        <v>0</v>
      </c>
      <c r="I179" s="87"/>
      <c r="J179" s="347">
        <f>SUMIF(Journals!D$14:D$920,TrialBalance!P179,Journals!J$14:J$920)+SUMIF(Journals!E$14:E$920,TrialBalance!P179,Journals!J$14:J$920)</f>
        <v>0</v>
      </c>
      <c r="K179" s="408"/>
      <c r="L179" s="410">
        <f t="shared" si="28"/>
        <v>0</v>
      </c>
      <c r="M179" s="83"/>
      <c r="N179" s="56">
        <f t="shared" si="32"/>
        <v>0</v>
      </c>
      <c r="P179" s="196" t="str">
        <f t="shared" si="38"/>
        <v>5120/003Revaluation reserve - transfer</v>
      </c>
      <c r="Q179" s="78"/>
      <c r="S179" s="79"/>
      <c r="T179" s="59"/>
      <c r="U179" s="34"/>
    </row>
    <row r="180" spans="1:21" x14ac:dyDescent="0.2">
      <c r="A180" s="393"/>
      <c r="B180" s="62" t="s">
        <v>101</v>
      </c>
      <c r="C180" s="396" t="s">
        <v>283</v>
      </c>
      <c r="D180" s="405"/>
      <c r="E180" s="406"/>
      <c r="F180" s="184"/>
      <c r="G180" s="184"/>
      <c r="H180" s="184"/>
      <c r="I180" s="87"/>
      <c r="J180" s="347">
        <f>SUMIF(Journals!D$14:D$920,TrialBalance!P180,Journals!J$14:J$920)+SUMIF(Journals!E$14:E$920,TrialBalance!P180,Journals!J$14:J$920)</f>
        <v>0</v>
      </c>
      <c r="K180" s="408"/>
      <c r="L180" s="410">
        <f t="shared" si="28"/>
        <v>0</v>
      </c>
      <c r="M180" s="83"/>
      <c r="N180" s="56">
        <f t="shared" si="32"/>
        <v>0</v>
      </c>
      <c r="P180" s="196" t="str">
        <f t="shared" si="38"/>
        <v>5130/000OTHER RESERVES</v>
      </c>
      <c r="Q180" s="78"/>
      <c r="S180" s="79"/>
      <c r="T180" s="59"/>
      <c r="U180" s="34"/>
    </row>
    <row r="181" spans="1:21" x14ac:dyDescent="0.2">
      <c r="A181" s="393"/>
      <c r="B181" s="62" t="s">
        <v>284</v>
      </c>
      <c r="C181" s="397" t="s">
        <v>940</v>
      </c>
      <c r="D181" s="405"/>
      <c r="E181" s="406"/>
      <c r="F181" s="184"/>
      <c r="G181" s="184"/>
      <c r="H181" s="184"/>
      <c r="I181" s="87">
        <f>SUM(N181:N183)</f>
        <v>0</v>
      </c>
      <c r="J181" s="347">
        <f>SUMIF(Journals!D$14:D$920,TrialBalance!P181,Journals!J$14:J$920)+SUMIF(Journals!E$14:E$920,TrialBalance!P181,Journals!J$14:J$920)</f>
        <v>0</v>
      </c>
      <c r="K181" s="408"/>
      <c r="L181" s="410">
        <f t="shared" si="28"/>
        <v>0</v>
      </c>
      <c r="M181" s="83"/>
      <c r="N181" s="56">
        <f t="shared" si="32"/>
        <v>0</v>
      </c>
      <c r="P181" s="196" t="str">
        <f t="shared" si="38"/>
        <v>5130/001Other reserves - balance b/fwd</v>
      </c>
      <c r="Q181" s="78"/>
      <c r="S181" s="79"/>
      <c r="T181" s="59"/>
      <c r="U181" s="34"/>
    </row>
    <row r="182" spans="1:21" x14ac:dyDescent="0.2">
      <c r="A182" s="393"/>
      <c r="B182" s="62" t="s">
        <v>285</v>
      </c>
      <c r="C182" s="397" t="s">
        <v>941</v>
      </c>
      <c r="D182" s="405"/>
      <c r="E182" s="406"/>
      <c r="F182" s="184">
        <f>TrialBalanceA!I182</f>
        <v>0</v>
      </c>
      <c r="G182" s="184">
        <f>TrialBalanceB!I182</f>
        <v>0</v>
      </c>
      <c r="H182" s="184">
        <f>TrialBalanceC!I182</f>
        <v>0</v>
      </c>
      <c r="I182" s="87"/>
      <c r="J182" s="347">
        <f>SUMIF(Journals!D$14:D$920,TrialBalance!P182,Journals!J$14:J$920)+SUMIF(Journals!E$14:E$920,TrialBalance!P182,Journals!J$14:J$920)</f>
        <v>0</v>
      </c>
      <c r="K182" s="408"/>
      <c r="L182" s="410">
        <f t="shared" si="28"/>
        <v>0</v>
      </c>
      <c r="M182" s="83"/>
      <c r="N182" s="56">
        <f t="shared" si="32"/>
        <v>0</v>
      </c>
      <c r="P182" s="196" t="str">
        <f t="shared" si="38"/>
        <v>5130/002Other reserves - additions</v>
      </c>
      <c r="Q182" s="78"/>
      <c r="S182" s="79"/>
      <c r="T182" s="59"/>
      <c r="U182" s="34"/>
    </row>
    <row r="183" spans="1:21" x14ac:dyDescent="0.2">
      <c r="A183" s="393"/>
      <c r="B183" s="62" t="s">
        <v>358</v>
      </c>
      <c r="C183" s="394" t="s">
        <v>423</v>
      </c>
      <c r="D183" s="405"/>
      <c r="E183" s="406"/>
      <c r="F183" s="184">
        <f>TrialBalanceA!I183</f>
        <v>0</v>
      </c>
      <c r="G183" s="184">
        <f>TrialBalanceB!I183</f>
        <v>0</v>
      </c>
      <c r="H183" s="184">
        <f>TrialBalanceC!I183</f>
        <v>0</v>
      </c>
      <c r="I183" s="87"/>
      <c r="J183" s="347">
        <f>SUMIF(Journals!D$14:D$920,TrialBalance!P183,Journals!J$14:J$920)+SUMIF(Journals!E$14:E$920,TrialBalance!P183,Journals!J$14:J$920)</f>
        <v>0</v>
      </c>
      <c r="K183" s="408"/>
      <c r="L183" s="410">
        <f t="shared" si="28"/>
        <v>0</v>
      </c>
      <c r="M183" s="83"/>
      <c r="N183" s="56">
        <f t="shared" si="32"/>
        <v>0</v>
      </c>
      <c r="P183" s="196" t="str">
        <f t="shared" si="38"/>
        <v>5130/003Other reserves - transfer</v>
      </c>
      <c r="Q183" s="78"/>
      <c r="S183" s="79"/>
      <c r="T183" s="59"/>
      <c r="U183" s="34"/>
    </row>
    <row r="184" spans="1:21" x14ac:dyDescent="0.2">
      <c r="A184" s="393"/>
      <c r="B184" s="62" t="s">
        <v>424</v>
      </c>
      <c r="C184" s="396" t="s">
        <v>942</v>
      </c>
      <c r="D184" s="406"/>
      <c r="E184" s="406"/>
      <c r="F184" s="184"/>
      <c r="G184" s="184"/>
      <c r="H184" s="184"/>
      <c r="I184" s="87">
        <f>N184+SUM(N5:N165)</f>
        <v>0</v>
      </c>
      <c r="J184" s="347">
        <f>SUMIF(Journals!D$14:D$920,TrialBalance!P184,Journals!J$14:J$920)+SUMIF(Journals!E$14:E$920,TrialBalance!P184,Journals!J$14:J$920)</f>
        <v>0</v>
      </c>
      <c r="K184" s="408"/>
      <c r="L184" s="410">
        <f t="shared" si="28"/>
        <v>0</v>
      </c>
      <c r="M184" s="83"/>
      <c r="N184" s="56">
        <f t="shared" si="32"/>
        <v>0</v>
      </c>
      <c r="P184" s="196" t="str">
        <f t="shared" si="38"/>
        <v>5200/000(Retained income) / Accumulated loss</v>
      </c>
      <c r="Q184" s="80"/>
      <c r="R184" s="34"/>
      <c r="S184" s="79"/>
      <c r="T184" s="59"/>
      <c r="U184" s="34"/>
    </row>
    <row r="185" spans="1:21" x14ac:dyDescent="0.2">
      <c r="A185" s="393"/>
      <c r="B185" s="62" t="s">
        <v>143</v>
      </c>
      <c r="C185" s="396" t="s">
        <v>144</v>
      </c>
      <c r="D185" s="406"/>
      <c r="E185" s="406"/>
      <c r="F185" s="184"/>
      <c r="G185" s="184"/>
      <c r="H185" s="184"/>
      <c r="I185" s="87"/>
      <c r="J185" s="347">
        <f>SUMIF(Journals!D$14:D$920,TrialBalance!P185,Journals!J$14:J$920)+SUMIF(Journals!E$14:E$920,TrialBalance!P185,Journals!J$14:J$920)</f>
        <v>0</v>
      </c>
      <c r="K185" s="409" t="s">
        <v>634</v>
      </c>
      <c r="L185" s="410">
        <f t="shared" si="28"/>
        <v>0</v>
      </c>
      <c r="M185" s="83"/>
      <c r="N185" s="56">
        <f t="shared" si="32"/>
        <v>0</v>
      </c>
      <c r="P185" s="196" t="str">
        <f t="shared" si="38"/>
        <v>5500/000LONG TERM  INTEREST LIABILITIES</v>
      </c>
      <c r="Q185" s="78"/>
      <c r="R185" s="34"/>
      <c r="S185" s="79"/>
      <c r="T185" s="59"/>
      <c r="U185" s="34"/>
    </row>
    <row r="186" spans="1:21" x14ac:dyDescent="0.2">
      <c r="A186" s="393"/>
      <c r="B186" s="62" t="s">
        <v>145</v>
      </c>
      <c r="C186" s="398"/>
      <c r="D186" s="406"/>
      <c r="E186" s="406"/>
      <c r="F186" s="184">
        <f>TrialBalanceA!I186-TrialBalanceA!K186</f>
        <v>0</v>
      </c>
      <c r="G186" s="184">
        <f>TrialBalanceB!I186-TrialBalanceB!K186</f>
        <v>0</v>
      </c>
      <c r="H186" s="184">
        <f>TrialBalanceC!I186-TrialBalanceC!K186</f>
        <v>0</v>
      </c>
      <c r="I186" s="87">
        <f>N186</f>
        <v>0</v>
      </c>
      <c r="J186" s="347">
        <f>SUMIF(Journals!D$14:D$920,TrialBalance!P186,Journals!J$14:J$920)+SUMIF(Journals!E$14:E$920,TrialBalance!P186,Journals!J$14:J$920)</f>
        <v>0</v>
      </c>
      <c r="K186" s="409"/>
      <c r="L186" s="410">
        <f t="shared" si="28"/>
        <v>0</v>
      </c>
      <c r="M186" s="83"/>
      <c r="N186" s="56">
        <f t="shared" si="32"/>
        <v>0</v>
      </c>
      <c r="P186" s="196" t="str">
        <f t="shared" si="38"/>
        <v>5500/001</v>
      </c>
      <c r="Q186" s="78"/>
      <c r="R186" s="34"/>
      <c r="S186" s="79"/>
      <c r="T186" s="59"/>
      <c r="U186" s="34"/>
    </row>
    <row r="187" spans="1:21" x14ac:dyDescent="0.2">
      <c r="A187" s="393"/>
      <c r="B187" s="62" t="s">
        <v>146</v>
      </c>
      <c r="C187" s="404"/>
      <c r="D187" s="406"/>
      <c r="E187" s="406"/>
      <c r="F187" s="184">
        <f>TrialBalanceA!I187-TrialBalanceA!K187</f>
        <v>0</v>
      </c>
      <c r="G187" s="184">
        <f>TrialBalanceB!I187-TrialBalanceB!K187</f>
        <v>0</v>
      </c>
      <c r="H187" s="184">
        <f>TrialBalanceC!I187-TrialBalanceC!K187</f>
        <v>0</v>
      </c>
      <c r="I187" s="87">
        <f>N187</f>
        <v>0</v>
      </c>
      <c r="J187" s="347">
        <f>SUMIF(Journals!D$14:D$920,TrialBalance!P187,Journals!J$14:J$920)+SUMIF(Journals!E$14:E$920,TrialBalance!P187,Journals!J$14:J$920)</f>
        <v>0</v>
      </c>
      <c r="K187" s="408"/>
      <c r="L187" s="410">
        <f t="shared" si="28"/>
        <v>0</v>
      </c>
      <c r="M187" s="83"/>
      <c r="N187" s="56">
        <f t="shared" si="32"/>
        <v>0</v>
      </c>
      <c r="P187" s="196" t="str">
        <f t="shared" si="38"/>
        <v>5500/002</v>
      </c>
      <c r="Q187" s="78"/>
      <c r="R187" s="34"/>
      <c r="S187" s="79"/>
      <c r="T187" s="59"/>
      <c r="U187" s="34"/>
    </row>
    <row r="188" spans="1:21" x14ac:dyDescent="0.2">
      <c r="A188" s="393"/>
      <c r="B188" s="62" t="s">
        <v>147</v>
      </c>
      <c r="C188" s="404"/>
      <c r="D188" s="405"/>
      <c r="E188" s="405"/>
      <c r="F188" s="184">
        <f>TrialBalanceA!I188-TrialBalanceA!K188</f>
        <v>0</v>
      </c>
      <c r="G188" s="184">
        <f>TrialBalanceB!I188-TrialBalanceB!K188</f>
        <v>0</v>
      </c>
      <c r="H188" s="184">
        <f>TrialBalanceC!I188-TrialBalanceC!K188</f>
        <v>0</v>
      </c>
      <c r="I188" s="87">
        <f>N188</f>
        <v>0</v>
      </c>
      <c r="J188" s="347">
        <f>SUMIF(Journals!D$14:D$920,TrialBalance!P188,Journals!J$14:J$920)+SUMIF(Journals!E$14:E$920,TrialBalance!P188,Journals!J$14:J$920)</f>
        <v>0</v>
      </c>
      <c r="K188" s="408"/>
      <c r="L188" s="410">
        <f t="shared" si="28"/>
        <v>0</v>
      </c>
      <c r="M188" s="83"/>
      <c r="N188" s="56">
        <f t="shared" si="32"/>
        <v>0</v>
      </c>
      <c r="P188" s="196" t="str">
        <f t="shared" si="38"/>
        <v>5500/003</v>
      </c>
      <c r="Q188" s="78"/>
      <c r="R188" s="34"/>
      <c r="S188" s="79"/>
      <c r="T188" s="59"/>
      <c r="U188" s="34"/>
    </row>
    <row r="189" spans="1:21" x14ac:dyDescent="0.2">
      <c r="A189" s="393"/>
      <c r="B189" s="62" t="s">
        <v>148</v>
      </c>
      <c r="C189" s="404"/>
      <c r="D189" s="405"/>
      <c r="E189" s="405"/>
      <c r="F189" s="184">
        <f>TrialBalanceA!I189-TrialBalanceA!K189</f>
        <v>0</v>
      </c>
      <c r="G189" s="184">
        <f>TrialBalanceB!I189-TrialBalanceB!K189</f>
        <v>0</v>
      </c>
      <c r="H189" s="184">
        <f>TrialBalanceC!I189-TrialBalanceC!K189</f>
        <v>0</v>
      </c>
      <c r="I189" s="87">
        <f>N189</f>
        <v>0</v>
      </c>
      <c r="J189" s="347">
        <f>SUMIF(Journals!D$14:D$920,TrialBalance!P189,Journals!J$14:J$920)+SUMIF(Journals!E$14:E$920,TrialBalance!P189,Journals!J$14:J$920)</f>
        <v>0</v>
      </c>
      <c r="K189" s="408"/>
      <c r="L189" s="410">
        <f t="shared" si="28"/>
        <v>0</v>
      </c>
      <c r="M189" s="83"/>
      <c r="N189" s="56">
        <f t="shared" si="32"/>
        <v>0</v>
      </c>
      <c r="P189" s="196" t="str">
        <f t="shared" si="38"/>
        <v>5500/004</v>
      </c>
      <c r="Q189" s="78"/>
      <c r="R189" s="34"/>
      <c r="S189" s="79"/>
      <c r="T189" s="59"/>
      <c r="U189" s="34"/>
    </row>
    <row r="190" spans="1:21" x14ac:dyDescent="0.2">
      <c r="A190" s="393"/>
      <c r="B190" s="62" t="s">
        <v>149</v>
      </c>
      <c r="C190" s="404"/>
      <c r="D190" s="405"/>
      <c r="E190" s="405"/>
      <c r="F190" s="184">
        <f>TrialBalanceA!I190-TrialBalanceA!K190</f>
        <v>0</v>
      </c>
      <c r="G190" s="184">
        <f>TrialBalanceB!I190-TrialBalanceB!K190</f>
        <v>0</v>
      </c>
      <c r="H190" s="184">
        <f>TrialBalanceC!I190-TrialBalanceC!K190</f>
        <v>0</v>
      </c>
      <c r="I190" s="87">
        <f>N190</f>
        <v>0</v>
      </c>
      <c r="J190" s="347">
        <f>SUMIF(Journals!D$14:D$920,TrialBalance!P190,Journals!J$14:J$920)+SUMIF(Journals!E$14:E$920,TrialBalance!P190,Journals!J$14:J$920)</f>
        <v>0</v>
      </c>
      <c r="K190" s="408"/>
      <c r="L190" s="410">
        <f t="shared" si="28"/>
        <v>0</v>
      </c>
      <c r="M190" s="83"/>
      <c r="N190" s="56">
        <f t="shared" si="32"/>
        <v>0</v>
      </c>
      <c r="P190" s="196" t="str">
        <f t="shared" si="38"/>
        <v>5500/005</v>
      </c>
      <c r="Q190" s="78"/>
      <c r="R190" s="34"/>
      <c r="S190" s="79"/>
      <c r="T190" s="59"/>
      <c r="U190" s="34"/>
    </row>
    <row r="191" spans="1:21" x14ac:dyDescent="0.2">
      <c r="A191" s="393"/>
      <c r="B191" s="113" t="s">
        <v>654</v>
      </c>
      <c r="C191" s="404"/>
      <c r="D191" s="405"/>
      <c r="E191" s="405"/>
      <c r="F191" s="184">
        <f>TrialBalanceA!I191-TrialBalanceA!K191</f>
        <v>0</v>
      </c>
      <c r="G191" s="184">
        <f>TrialBalanceB!I191-TrialBalanceB!K191</f>
        <v>0</v>
      </c>
      <c r="H191" s="184">
        <f>TrialBalanceC!I191-TrialBalanceC!K191</f>
        <v>0</v>
      </c>
      <c r="I191" s="87">
        <f t="shared" ref="I191:I202" si="39">N191</f>
        <v>0</v>
      </c>
      <c r="J191" s="347">
        <f>SUMIF(Journals!D$14:D$920,TrialBalance!P191,Journals!J$14:J$920)+SUMIF(Journals!E$14:E$920,TrialBalance!P191,Journals!J$14:J$920)</f>
        <v>0</v>
      </c>
      <c r="K191" s="408"/>
      <c r="L191" s="410">
        <f t="shared" si="28"/>
        <v>0</v>
      </c>
      <c r="M191" s="83"/>
      <c r="N191" s="56">
        <f t="shared" si="32"/>
        <v>0</v>
      </c>
      <c r="P191" s="196" t="str">
        <f t="shared" si="38"/>
        <v>5500/006</v>
      </c>
      <c r="Q191" s="78"/>
      <c r="R191" s="34"/>
      <c r="S191" s="79"/>
      <c r="T191" s="59"/>
      <c r="U191" s="34"/>
    </row>
    <row r="192" spans="1:21" x14ac:dyDescent="0.2">
      <c r="A192" s="393"/>
      <c r="B192" s="113" t="s">
        <v>655</v>
      </c>
      <c r="C192" s="404"/>
      <c r="D192" s="405"/>
      <c r="E192" s="405"/>
      <c r="F192" s="184">
        <f>TrialBalanceA!I192-TrialBalanceA!K192</f>
        <v>0</v>
      </c>
      <c r="G192" s="184">
        <f>TrialBalanceB!I192-TrialBalanceB!K192</f>
        <v>0</v>
      </c>
      <c r="H192" s="184">
        <f>TrialBalanceC!I192-TrialBalanceC!K192</f>
        <v>0</v>
      </c>
      <c r="I192" s="87">
        <f t="shared" si="39"/>
        <v>0</v>
      </c>
      <c r="J192" s="347">
        <f>SUMIF(Journals!D$14:D$920,TrialBalance!P192,Journals!J$14:J$920)+SUMIF(Journals!E$14:E$920,TrialBalance!P192,Journals!J$14:J$920)</f>
        <v>0</v>
      </c>
      <c r="K192" s="408"/>
      <c r="L192" s="410">
        <f t="shared" si="28"/>
        <v>0</v>
      </c>
      <c r="M192" s="83"/>
      <c r="N192" s="56">
        <f t="shared" si="32"/>
        <v>0</v>
      </c>
      <c r="P192" s="196" t="str">
        <f t="shared" si="38"/>
        <v>5500/007</v>
      </c>
      <c r="Q192" s="78"/>
      <c r="R192" s="34"/>
      <c r="S192" s="79"/>
      <c r="T192" s="59"/>
      <c r="U192" s="34"/>
    </row>
    <row r="193" spans="1:21" x14ac:dyDescent="0.2">
      <c r="A193" s="393"/>
      <c r="B193" s="113" t="s">
        <v>656</v>
      </c>
      <c r="C193" s="404"/>
      <c r="D193" s="405"/>
      <c r="E193" s="405"/>
      <c r="F193" s="184">
        <f>TrialBalanceA!I193-TrialBalanceA!K193</f>
        <v>0</v>
      </c>
      <c r="G193" s="184">
        <f>TrialBalanceB!I193-TrialBalanceB!K193</f>
        <v>0</v>
      </c>
      <c r="H193" s="184">
        <f>TrialBalanceC!I193-TrialBalanceC!K193</f>
        <v>0</v>
      </c>
      <c r="I193" s="87">
        <f t="shared" si="39"/>
        <v>0</v>
      </c>
      <c r="J193" s="347">
        <f>SUMIF(Journals!D$14:D$920,TrialBalance!P193,Journals!J$14:J$920)+SUMIF(Journals!E$14:E$920,TrialBalance!P193,Journals!J$14:J$920)</f>
        <v>0</v>
      </c>
      <c r="K193" s="408"/>
      <c r="L193" s="410">
        <f t="shared" si="28"/>
        <v>0</v>
      </c>
      <c r="M193" s="83"/>
      <c r="N193" s="56">
        <f t="shared" si="32"/>
        <v>0</v>
      </c>
      <c r="P193" s="196" t="str">
        <f t="shared" si="38"/>
        <v>5500/008</v>
      </c>
      <c r="Q193" s="78"/>
      <c r="R193" s="34"/>
      <c r="S193" s="79"/>
      <c r="T193" s="59"/>
      <c r="U193" s="34"/>
    </row>
    <row r="194" spans="1:21" x14ac:dyDescent="0.2">
      <c r="A194" s="393"/>
      <c r="B194" s="113" t="s">
        <v>657</v>
      </c>
      <c r="C194" s="404"/>
      <c r="D194" s="405"/>
      <c r="E194" s="405"/>
      <c r="F194" s="184">
        <f>TrialBalanceA!I194-TrialBalanceA!K194</f>
        <v>0</v>
      </c>
      <c r="G194" s="184">
        <f>TrialBalanceB!I194-TrialBalanceB!K194</f>
        <v>0</v>
      </c>
      <c r="H194" s="184">
        <f>TrialBalanceC!I194-TrialBalanceC!K194</f>
        <v>0</v>
      </c>
      <c r="I194" s="87">
        <f t="shared" si="39"/>
        <v>0</v>
      </c>
      <c r="J194" s="347">
        <f>SUMIF(Journals!D$14:D$920,TrialBalance!P194,Journals!J$14:J$920)+SUMIF(Journals!E$14:E$920,TrialBalance!P194,Journals!J$14:J$920)</f>
        <v>0</v>
      </c>
      <c r="K194" s="408"/>
      <c r="L194" s="410">
        <f t="shared" si="28"/>
        <v>0</v>
      </c>
      <c r="M194" s="83"/>
      <c r="N194" s="56">
        <f t="shared" si="32"/>
        <v>0</v>
      </c>
      <c r="P194" s="196" t="str">
        <f t="shared" si="38"/>
        <v>5500/009</v>
      </c>
      <c r="Q194" s="78"/>
      <c r="R194" s="34"/>
      <c r="S194" s="79"/>
      <c r="T194" s="59"/>
      <c r="U194" s="34"/>
    </row>
    <row r="195" spans="1:21" x14ac:dyDescent="0.2">
      <c r="A195" s="393"/>
      <c r="B195" s="113" t="s">
        <v>658</v>
      </c>
      <c r="C195" s="404"/>
      <c r="D195" s="405"/>
      <c r="E195" s="405"/>
      <c r="F195" s="184">
        <f>TrialBalanceA!I195-TrialBalanceA!K195</f>
        <v>0</v>
      </c>
      <c r="G195" s="184">
        <f>TrialBalanceB!I195-TrialBalanceB!K195</f>
        <v>0</v>
      </c>
      <c r="H195" s="184">
        <f>TrialBalanceC!I195-TrialBalanceC!K195</f>
        <v>0</v>
      </c>
      <c r="I195" s="87">
        <f t="shared" si="39"/>
        <v>0</v>
      </c>
      <c r="J195" s="347">
        <f>SUMIF(Journals!D$14:D$920,TrialBalance!P195,Journals!J$14:J$920)+SUMIF(Journals!E$14:E$920,TrialBalance!P195,Journals!J$14:J$920)</f>
        <v>0</v>
      </c>
      <c r="K195" s="408"/>
      <c r="L195" s="410">
        <f t="shared" si="28"/>
        <v>0</v>
      </c>
      <c r="M195" s="83"/>
      <c r="N195" s="56">
        <f t="shared" si="32"/>
        <v>0</v>
      </c>
      <c r="P195" s="196" t="str">
        <f t="shared" si="38"/>
        <v>5500/010</v>
      </c>
      <c r="Q195" s="78"/>
      <c r="R195" s="34"/>
      <c r="S195" s="79"/>
      <c r="T195" s="59"/>
      <c r="U195" s="34"/>
    </row>
    <row r="196" spans="1:21" x14ac:dyDescent="0.2">
      <c r="A196" s="393"/>
      <c r="B196" s="113" t="s">
        <v>659</v>
      </c>
      <c r="C196" s="404"/>
      <c r="D196" s="405"/>
      <c r="E196" s="405"/>
      <c r="F196" s="184">
        <f>TrialBalanceA!I196-TrialBalanceA!K196</f>
        <v>0</v>
      </c>
      <c r="G196" s="184">
        <f>TrialBalanceB!I196-TrialBalanceB!K196</f>
        <v>0</v>
      </c>
      <c r="H196" s="184">
        <f>TrialBalanceC!I196-TrialBalanceC!K196</f>
        <v>0</v>
      </c>
      <c r="I196" s="87">
        <f t="shared" ref="I196:I200" si="40">N196</f>
        <v>0</v>
      </c>
      <c r="J196" s="347">
        <f>SUMIF(Journals!D$14:D$920,TrialBalance!P196,Journals!J$14:J$920)+SUMIF(Journals!E$14:E$920,TrialBalance!P196,Journals!J$14:J$920)</f>
        <v>0</v>
      </c>
      <c r="K196" s="408"/>
      <c r="L196" s="410">
        <f t="shared" si="28"/>
        <v>0</v>
      </c>
      <c r="M196" s="83"/>
      <c r="N196" s="56">
        <f t="shared" si="32"/>
        <v>0</v>
      </c>
      <c r="P196" s="196" t="str">
        <f t="shared" si="38"/>
        <v>5500/011</v>
      </c>
      <c r="Q196" s="78"/>
      <c r="R196" s="34"/>
      <c r="S196" s="79"/>
      <c r="T196" s="59"/>
      <c r="U196" s="34"/>
    </row>
    <row r="197" spans="1:21" x14ac:dyDescent="0.2">
      <c r="A197" s="393"/>
      <c r="B197" s="113" t="s">
        <v>660</v>
      </c>
      <c r="C197" s="404"/>
      <c r="D197" s="405"/>
      <c r="E197" s="405"/>
      <c r="F197" s="184">
        <f>TrialBalanceA!I197-TrialBalanceA!K197</f>
        <v>0</v>
      </c>
      <c r="G197" s="184">
        <f>TrialBalanceB!I197-TrialBalanceB!K197</f>
        <v>0</v>
      </c>
      <c r="H197" s="184">
        <f>TrialBalanceC!I197-TrialBalanceC!K197</f>
        <v>0</v>
      </c>
      <c r="I197" s="87">
        <f t="shared" ref="I197:I198" si="41">N197</f>
        <v>0</v>
      </c>
      <c r="J197" s="347">
        <f>SUMIF(Journals!D$14:D$920,TrialBalance!P197,Journals!J$14:J$920)+SUMIF(Journals!E$14:E$920,TrialBalance!P197,Journals!J$14:J$920)</f>
        <v>0</v>
      </c>
      <c r="K197" s="408"/>
      <c r="L197" s="410">
        <f t="shared" ref="L197:L198" si="42">ROUND(D197-E197+F197+G197+H197+J197+I197,0)</f>
        <v>0</v>
      </c>
      <c r="M197" s="83"/>
      <c r="N197" s="56">
        <f t="shared" si="32"/>
        <v>0</v>
      </c>
      <c r="P197" s="196" t="str">
        <f t="shared" si="38"/>
        <v>5500/012</v>
      </c>
      <c r="Q197" s="78"/>
      <c r="R197" s="34"/>
      <c r="S197" s="79"/>
      <c r="T197" s="59"/>
      <c r="U197" s="34"/>
    </row>
    <row r="198" spans="1:21" x14ac:dyDescent="0.2">
      <c r="A198" s="393"/>
      <c r="B198" s="113" t="s">
        <v>661</v>
      </c>
      <c r="C198" s="404"/>
      <c r="D198" s="405"/>
      <c r="E198" s="405"/>
      <c r="F198" s="184">
        <f>TrialBalanceA!I198-TrialBalanceA!K198</f>
        <v>0</v>
      </c>
      <c r="G198" s="184">
        <f>TrialBalanceB!I198-TrialBalanceB!K198</f>
        <v>0</v>
      </c>
      <c r="H198" s="184">
        <f>TrialBalanceC!I198-TrialBalanceC!K198</f>
        <v>0</v>
      </c>
      <c r="I198" s="87">
        <f t="shared" si="41"/>
        <v>0</v>
      </c>
      <c r="J198" s="347">
        <f>SUMIF(Journals!D$14:D$920,TrialBalance!P198,Journals!J$14:J$920)+SUMIF(Journals!E$14:E$920,TrialBalance!P198,Journals!J$14:J$920)</f>
        <v>0</v>
      </c>
      <c r="K198" s="408"/>
      <c r="L198" s="410">
        <f t="shared" si="42"/>
        <v>0</v>
      </c>
      <c r="M198" s="83"/>
      <c r="N198" s="56">
        <f t="shared" si="32"/>
        <v>0</v>
      </c>
      <c r="P198" s="196" t="str">
        <f t="shared" si="38"/>
        <v>5500/013</v>
      </c>
      <c r="Q198" s="78"/>
      <c r="R198" s="34"/>
      <c r="S198" s="79"/>
      <c r="T198" s="59"/>
      <c r="U198" s="34"/>
    </row>
    <row r="199" spans="1:21" x14ac:dyDescent="0.2">
      <c r="A199" s="393"/>
      <c r="B199" s="113" t="s">
        <v>715</v>
      </c>
      <c r="C199" s="404"/>
      <c r="D199" s="405"/>
      <c r="E199" s="405"/>
      <c r="F199" s="184">
        <f>TrialBalanceA!I199-TrialBalanceA!K199</f>
        <v>0</v>
      </c>
      <c r="G199" s="184">
        <f>TrialBalanceB!I199-TrialBalanceB!K199</f>
        <v>0</v>
      </c>
      <c r="H199" s="184">
        <f>TrialBalanceC!I199-TrialBalanceC!K199</f>
        <v>0</v>
      </c>
      <c r="I199" s="87">
        <f t="shared" si="40"/>
        <v>0</v>
      </c>
      <c r="J199" s="347">
        <f>SUMIF(Journals!D$14:D$920,TrialBalance!P199,Journals!J$14:J$920)+SUMIF(Journals!E$14:E$920,TrialBalance!P199,Journals!J$14:J$920)</f>
        <v>0</v>
      </c>
      <c r="K199" s="408"/>
      <c r="L199" s="410">
        <f t="shared" si="28"/>
        <v>0</v>
      </c>
      <c r="M199" s="83"/>
      <c r="N199" s="56">
        <f t="shared" si="32"/>
        <v>0</v>
      </c>
      <c r="P199" s="196" t="str">
        <f t="shared" si="38"/>
        <v>5500/014</v>
      </c>
      <c r="Q199" s="78"/>
      <c r="R199" s="34"/>
      <c r="S199" s="79"/>
      <c r="T199" s="59"/>
      <c r="U199" s="34"/>
    </row>
    <row r="200" spans="1:21" x14ac:dyDescent="0.2">
      <c r="A200" s="393"/>
      <c r="B200" s="113" t="s">
        <v>716</v>
      </c>
      <c r="C200" s="404"/>
      <c r="D200" s="405"/>
      <c r="E200" s="405"/>
      <c r="F200" s="184">
        <f>TrialBalanceA!I200-TrialBalanceA!K200</f>
        <v>0</v>
      </c>
      <c r="G200" s="184">
        <f>TrialBalanceB!I200-TrialBalanceB!K200</f>
        <v>0</v>
      </c>
      <c r="H200" s="184">
        <f>TrialBalanceC!I200-TrialBalanceC!K200</f>
        <v>0</v>
      </c>
      <c r="I200" s="87">
        <f t="shared" si="40"/>
        <v>0</v>
      </c>
      <c r="J200" s="347">
        <f>SUMIF(Journals!D$14:D$920,TrialBalance!P200,Journals!J$14:J$920)+SUMIF(Journals!E$14:E$920,TrialBalance!P200,Journals!J$14:J$920)</f>
        <v>0</v>
      </c>
      <c r="K200" s="408"/>
      <c r="L200" s="410">
        <f t="shared" si="28"/>
        <v>0</v>
      </c>
      <c r="M200" s="83"/>
      <c r="N200" s="56">
        <f t="shared" si="32"/>
        <v>0</v>
      </c>
      <c r="P200" s="196" t="str">
        <f t="shared" si="38"/>
        <v>5500/015</v>
      </c>
      <c r="Q200" s="78"/>
      <c r="R200" s="34"/>
      <c r="S200" s="79"/>
      <c r="T200" s="59"/>
      <c r="U200" s="34"/>
    </row>
    <row r="201" spans="1:21" x14ac:dyDescent="0.2">
      <c r="A201" s="393"/>
      <c r="B201" s="62" t="s">
        <v>150</v>
      </c>
      <c r="C201" s="394" t="s">
        <v>288</v>
      </c>
      <c r="D201" s="405"/>
      <c r="E201" s="406"/>
      <c r="F201" s="184"/>
      <c r="G201" s="184"/>
      <c r="H201" s="184"/>
      <c r="I201" s="87">
        <f t="shared" si="39"/>
        <v>0</v>
      </c>
      <c r="J201" s="347">
        <f>SUMIF(Journals!D$14:D$920,TrialBalance!P201,Journals!J$14:J$920)+SUMIF(Journals!E$14:E$920,TrialBalance!P201,Journals!J$14:J$920)</f>
        <v>0</v>
      </c>
      <c r="K201" s="408"/>
      <c r="L201" s="410">
        <f t="shared" si="28"/>
        <v>0</v>
      </c>
      <c r="M201" s="83"/>
      <c r="N201" s="56">
        <f t="shared" si="32"/>
        <v>0</v>
      </c>
      <c r="P201" s="196" t="str">
        <f t="shared" ref="P201:P236" si="43">CONCATENATE(B201,C201)</f>
        <v>5520/000Short term portion of long term loans</v>
      </c>
      <c r="Q201" s="78"/>
      <c r="R201" s="34"/>
      <c r="S201" s="79"/>
      <c r="T201" s="59"/>
      <c r="U201" s="34"/>
    </row>
    <row r="202" spans="1:21" x14ac:dyDescent="0.2">
      <c r="A202" s="393"/>
      <c r="B202" s="62" t="s">
        <v>152</v>
      </c>
      <c r="C202" s="396" t="s">
        <v>153</v>
      </c>
      <c r="D202" s="405"/>
      <c r="E202" s="406"/>
      <c r="F202" s="184"/>
      <c r="G202" s="184"/>
      <c r="H202" s="184"/>
      <c r="I202" s="87">
        <f t="shared" si="39"/>
        <v>0</v>
      </c>
      <c r="J202" s="347">
        <f>SUMIF(Journals!D$14:D$920,TrialBalance!P202,Journals!J$14:J$920)+SUMIF(Journals!E$14:E$920,TrialBalance!P202,Journals!J$14:J$920)</f>
        <v>0</v>
      </c>
      <c r="K202" s="409" t="s">
        <v>634</v>
      </c>
      <c r="L202" s="410">
        <f t="shared" si="28"/>
        <v>0</v>
      </c>
      <c r="M202" s="83"/>
      <c r="N202" s="56">
        <f t="shared" si="32"/>
        <v>0</v>
      </c>
      <c r="P202" s="196" t="str">
        <f t="shared" si="43"/>
        <v>5550/000LONG TERM INTEREST FREE LOANS</v>
      </c>
      <c r="Q202" s="78"/>
      <c r="R202" s="34"/>
      <c r="S202" s="79"/>
      <c r="T202" s="59"/>
      <c r="U202" s="34"/>
    </row>
    <row r="203" spans="1:21" x14ac:dyDescent="0.2">
      <c r="A203" s="393"/>
      <c r="B203" s="62" t="s">
        <v>154</v>
      </c>
      <c r="C203" s="404"/>
      <c r="D203" s="406"/>
      <c r="E203" s="406"/>
      <c r="F203" s="184">
        <f>TrialBalanceA!I203-TrialBalanceA!K203</f>
        <v>0</v>
      </c>
      <c r="G203" s="184">
        <f>TrialBalanceB!I203-TrialBalanceB!K203</f>
        <v>0</v>
      </c>
      <c r="H203" s="184">
        <f>TrialBalanceC!I203-TrialBalanceC!K203</f>
        <v>0</v>
      </c>
      <c r="I203" s="87">
        <f t="shared" ref="I203:I216" si="44">N203</f>
        <v>0</v>
      </c>
      <c r="J203" s="347">
        <f>SUMIF(Journals!D$14:D$920,TrialBalance!P203,Journals!J$14:J$920)+SUMIF(Journals!E$14:E$920,TrialBalance!P203,Journals!J$14:J$920)</f>
        <v>0</v>
      </c>
      <c r="K203" s="409"/>
      <c r="L203" s="410">
        <f t="shared" si="28"/>
        <v>0</v>
      </c>
      <c r="M203" s="83"/>
      <c r="N203" s="56">
        <f t="shared" si="32"/>
        <v>0</v>
      </c>
      <c r="P203" s="196" t="str">
        <f t="shared" si="43"/>
        <v>5550/001</v>
      </c>
      <c r="Q203" s="80"/>
      <c r="R203" s="34"/>
      <c r="S203" s="79"/>
      <c r="T203" s="59"/>
      <c r="U203" s="34"/>
    </row>
    <row r="204" spans="1:21" x14ac:dyDescent="0.2">
      <c r="A204" s="393"/>
      <c r="B204" s="62" t="s">
        <v>155</v>
      </c>
      <c r="C204" s="404"/>
      <c r="D204" s="406"/>
      <c r="E204" s="406"/>
      <c r="F204" s="184">
        <f>TrialBalanceA!I204-TrialBalanceA!K204</f>
        <v>0</v>
      </c>
      <c r="G204" s="184">
        <f>TrialBalanceB!I204-TrialBalanceB!K204</f>
        <v>0</v>
      </c>
      <c r="H204" s="184">
        <f>TrialBalanceC!I204-TrialBalanceC!K204</f>
        <v>0</v>
      </c>
      <c r="I204" s="87">
        <f t="shared" si="44"/>
        <v>0</v>
      </c>
      <c r="J204" s="347">
        <f>SUMIF(Journals!D$14:D$920,TrialBalance!P204,Journals!J$14:J$920)+SUMIF(Journals!E$14:E$920,TrialBalance!P204,Journals!J$14:J$920)</f>
        <v>0</v>
      </c>
      <c r="K204" s="409"/>
      <c r="L204" s="410">
        <f t="shared" si="28"/>
        <v>0</v>
      </c>
      <c r="M204" s="83"/>
      <c r="N204" s="56">
        <f t="shared" si="32"/>
        <v>0</v>
      </c>
      <c r="P204" s="196" t="str">
        <f t="shared" si="43"/>
        <v>5550/002</v>
      </c>
      <c r="Q204" s="80"/>
      <c r="R204" s="34"/>
      <c r="S204" s="79"/>
      <c r="T204" s="59"/>
      <c r="U204" s="34"/>
    </row>
    <row r="205" spans="1:21" x14ac:dyDescent="0.2">
      <c r="A205" s="393"/>
      <c r="B205" s="62" t="s">
        <v>156</v>
      </c>
      <c r="C205" s="404"/>
      <c r="D205" s="405"/>
      <c r="E205" s="406"/>
      <c r="F205" s="184">
        <f>TrialBalanceA!I205-TrialBalanceA!K205</f>
        <v>0</v>
      </c>
      <c r="G205" s="184">
        <f>TrialBalanceB!I205-TrialBalanceB!K205</f>
        <v>0</v>
      </c>
      <c r="H205" s="184">
        <f>TrialBalanceC!I205-TrialBalanceC!K205</f>
        <v>0</v>
      </c>
      <c r="I205" s="87">
        <f t="shared" si="44"/>
        <v>0</v>
      </c>
      <c r="J205" s="347">
        <f>SUMIF(Journals!D$14:D$920,TrialBalance!P205,Journals!J$14:J$920)+SUMIF(Journals!E$14:E$920,TrialBalance!P205,Journals!J$14:J$920)</f>
        <v>0</v>
      </c>
      <c r="K205" s="408"/>
      <c r="L205" s="410">
        <f t="shared" si="28"/>
        <v>0</v>
      </c>
      <c r="M205" s="83"/>
      <c r="N205" s="56">
        <f t="shared" si="32"/>
        <v>0</v>
      </c>
      <c r="P205" s="196" t="str">
        <f t="shared" si="43"/>
        <v>5550/003</v>
      </c>
      <c r="Q205" s="80"/>
      <c r="R205" s="34"/>
      <c r="S205" s="79"/>
      <c r="T205" s="59"/>
      <c r="U205" s="34"/>
    </row>
    <row r="206" spans="1:21" x14ac:dyDescent="0.2">
      <c r="A206" s="393"/>
      <c r="B206" s="62" t="s">
        <v>157</v>
      </c>
      <c r="C206" s="404"/>
      <c r="D206" s="405"/>
      <c r="E206" s="406"/>
      <c r="F206" s="184">
        <f>TrialBalanceA!I206-TrialBalanceA!K206</f>
        <v>0</v>
      </c>
      <c r="G206" s="184">
        <f>TrialBalanceB!I206-TrialBalanceB!K206</f>
        <v>0</v>
      </c>
      <c r="H206" s="184">
        <f>TrialBalanceC!I206-TrialBalanceC!K206</f>
        <v>0</v>
      </c>
      <c r="I206" s="87">
        <f t="shared" si="44"/>
        <v>0</v>
      </c>
      <c r="J206" s="347">
        <f>SUMIF(Journals!D$14:D$920,TrialBalance!P206,Journals!J$14:J$920)+SUMIF(Journals!E$14:E$920,TrialBalance!P206,Journals!J$14:J$920)</f>
        <v>0</v>
      </c>
      <c r="K206" s="408"/>
      <c r="L206" s="410">
        <f t="shared" si="28"/>
        <v>0</v>
      </c>
      <c r="M206" s="83"/>
      <c r="N206" s="56">
        <f t="shared" si="32"/>
        <v>0</v>
      </c>
      <c r="P206" s="196" t="str">
        <f t="shared" si="43"/>
        <v>5550/004</v>
      </c>
      <c r="Q206" s="78"/>
      <c r="R206" s="34"/>
      <c r="S206" s="79"/>
      <c r="T206" s="59"/>
      <c r="U206" s="34"/>
    </row>
    <row r="207" spans="1:21" x14ac:dyDescent="0.2">
      <c r="A207" s="393"/>
      <c r="B207" s="62" t="s">
        <v>158</v>
      </c>
      <c r="C207" s="404"/>
      <c r="D207" s="405"/>
      <c r="E207" s="406"/>
      <c r="F207" s="184">
        <f>TrialBalanceA!I207-TrialBalanceA!K207</f>
        <v>0</v>
      </c>
      <c r="G207" s="184">
        <f>TrialBalanceB!I207-TrialBalanceB!K207</f>
        <v>0</v>
      </c>
      <c r="H207" s="184">
        <f>TrialBalanceC!I207-TrialBalanceC!K207</f>
        <v>0</v>
      </c>
      <c r="I207" s="87">
        <f t="shared" si="44"/>
        <v>0</v>
      </c>
      <c r="J207" s="347">
        <f>SUMIF(Journals!D$14:D$920,TrialBalance!P207,Journals!J$14:J$920)+SUMIF(Journals!E$14:E$920,TrialBalance!P207,Journals!J$14:J$920)</f>
        <v>0</v>
      </c>
      <c r="K207" s="408"/>
      <c r="L207" s="410">
        <f t="shared" ref="L207:L278" si="45">ROUND(D207-E207+F207+G207+H207+J207+I207,0)</f>
        <v>0</v>
      </c>
      <c r="M207" s="83"/>
      <c r="N207" s="56">
        <f t="shared" ref="N207:N282" si="46">ROUND(SUM(A207),0)</f>
        <v>0</v>
      </c>
      <c r="P207" s="196" t="str">
        <f t="shared" si="43"/>
        <v>5550/005</v>
      </c>
      <c r="Q207" s="78"/>
      <c r="R207" s="34"/>
      <c r="S207" s="79"/>
      <c r="T207" s="59"/>
      <c r="U207" s="34"/>
    </row>
    <row r="208" spans="1:21" x14ac:dyDescent="0.2">
      <c r="A208" s="393"/>
      <c r="B208" s="113" t="s">
        <v>684</v>
      </c>
      <c r="C208" s="404"/>
      <c r="D208" s="405"/>
      <c r="E208" s="406"/>
      <c r="F208" s="184">
        <f>TrialBalanceA!I208-TrialBalanceA!K208</f>
        <v>0</v>
      </c>
      <c r="G208" s="184">
        <f>TrialBalanceB!I208-TrialBalanceB!K208</f>
        <v>0</v>
      </c>
      <c r="H208" s="184">
        <f>TrialBalanceC!I208-TrialBalanceC!K208</f>
        <v>0</v>
      </c>
      <c r="I208" s="87">
        <f t="shared" ref="I208:I211" si="47">N208</f>
        <v>0</v>
      </c>
      <c r="J208" s="347">
        <f>SUMIF(Journals!D$14:D$920,TrialBalance!P208,Journals!J$14:J$920)+SUMIF(Journals!E$14:E$920,TrialBalance!P208,Journals!J$14:J$920)</f>
        <v>0</v>
      </c>
      <c r="K208" s="408"/>
      <c r="L208" s="410">
        <f t="shared" si="45"/>
        <v>0</v>
      </c>
      <c r="M208" s="83"/>
      <c r="N208" s="56">
        <f t="shared" si="46"/>
        <v>0</v>
      </c>
      <c r="P208" s="196" t="str">
        <f t="shared" si="43"/>
        <v>5550/006</v>
      </c>
      <c r="Q208" s="78"/>
      <c r="R208" s="34"/>
      <c r="S208" s="79"/>
      <c r="T208" s="59"/>
      <c r="U208" s="34"/>
    </row>
    <row r="209" spans="1:21" x14ac:dyDescent="0.2">
      <c r="A209" s="393"/>
      <c r="B209" s="113" t="s">
        <v>685</v>
      </c>
      <c r="C209" s="404"/>
      <c r="D209" s="405"/>
      <c r="E209" s="406"/>
      <c r="F209" s="184">
        <f>TrialBalanceA!I209-TrialBalanceA!K209</f>
        <v>0</v>
      </c>
      <c r="G209" s="184">
        <f>TrialBalanceB!I209-TrialBalanceB!K209</f>
        <v>0</v>
      </c>
      <c r="H209" s="184">
        <f>TrialBalanceC!I209-TrialBalanceC!K209</f>
        <v>0</v>
      </c>
      <c r="I209" s="87">
        <f t="shared" si="47"/>
        <v>0</v>
      </c>
      <c r="J209" s="347">
        <f>SUMIF(Journals!D$14:D$920,TrialBalance!P209,Journals!J$14:J$920)+SUMIF(Journals!E$14:E$920,TrialBalance!P209,Journals!J$14:J$920)</f>
        <v>0</v>
      </c>
      <c r="K209" s="408"/>
      <c r="L209" s="410">
        <f t="shared" si="45"/>
        <v>0</v>
      </c>
      <c r="M209" s="83"/>
      <c r="N209" s="56">
        <f t="shared" si="46"/>
        <v>0</v>
      </c>
      <c r="P209" s="196" t="str">
        <f t="shared" si="43"/>
        <v>5550/007</v>
      </c>
      <c r="Q209" s="78"/>
      <c r="R209" s="34"/>
      <c r="S209" s="79"/>
      <c r="T209" s="59"/>
      <c r="U209" s="34"/>
    </row>
    <row r="210" spans="1:21" x14ac:dyDescent="0.2">
      <c r="A210" s="393"/>
      <c r="B210" s="113" t="s">
        <v>686</v>
      </c>
      <c r="C210" s="404"/>
      <c r="D210" s="405"/>
      <c r="E210" s="406"/>
      <c r="F210" s="184">
        <f>TrialBalanceA!I210-TrialBalanceA!K210</f>
        <v>0</v>
      </c>
      <c r="G210" s="184">
        <f>TrialBalanceB!I210-TrialBalanceB!K210</f>
        <v>0</v>
      </c>
      <c r="H210" s="184">
        <f>TrialBalanceC!I210-TrialBalanceC!K210</f>
        <v>0</v>
      </c>
      <c r="I210" s="87">
        <f t="shared" si="47"/>
        <v>0</v>
      </c>
      <c r="J210" s="347">
        <f>SUMIF(Journals!D$14:D$920,TrialBalance!P210,Journals!J$14:J$920)+SUMIF(Journals!E$14:E$920,TrialBalance!P210,Journals!J$14:J$920)</f>
        <v>0</v>
      </c>
      <c r="K210" s="408"/>
      <c r="L210" s="410">
        <f t="shared" si="45"/>
        <v>0</v>
      </c>
      <c r="M210" s="83"/>
      <c r="N210" s="56">
        <f t="shared" si="46"/>
        <v>0</v>
      </c>
      <c r="P210" s="196" t="str">
        <f t="shared" si="43"/>
        <v>5550/008</v>
      </c>
      <c r="Q210" s="78"/>
      <c r="R210" s="34"/>
      <c r="S210" s="79"/>
      <c r="T210" s="59"/>
      <c r="U210" s="34"/>
    </row>
    <row r="211" spans="1:21" x14ac:dyDescent="0.2">
      <c r="A211" s="393"/>
      <c r="B211" s="113" t="s">
        <v>687</v>
      </c>
      <c r="C211" s="404"/>
      <c r="D211" s="405"/>
      <c r="E211" s="406"/>
      <c r="F211" s="184">
        <f>TrialBalanceA!I211-TrialBalanceA!K211</f>
        <v>0</v>
      </c>
      <c r="G211" s="184">
        <f>TrialBalanceB!I211-TrialBalanceB!K211</f>
        <v>0</v>
      </c>
      <c r="H211" s="184">
        <f>TrialBalanceC!I211-TrialBalanceC!K211</f>
        <v>0</v>
      </c>
      <c r="I211" s="87">
        <f t="shared" si="47"/>
        <v>0</v>
      </c>
      <c r="J211" s="347">
        <f>SUMIF(Journals!D$14:D$920,TrialBalance!P211,Journals!J$14:J$920)+SUMIF(Journals!E$14:E$920,TrialBalance!P211,Journals!J$14:J$920)</f>
        <v>0</v>
      </c>
      <c r="K211" s="408"/>
      <c r="L211" s="410">
        <f t="shared" si="45"/>
        <v>0</v>
      </c>
      <c r="M211" s="83"/>
      <c r="N211" s="56">
        <f t="shared" si="46"/>
        <v>0</v>
      </c>
      <c r="P211" s="196" t="str">
        <f t="shared" si="43"/>
        <v>5550/009</v>
      </c>
      <c r="Q211" s="78"/>
      <c r="R211" s="34"/>
      <c r="S211" s="79"/>
      <c r="T211" s="59"/>
      <c r="U211" s="34"/>
    </row>
    <row r="212" spans="1:21" x14ac:dyDescent="0.2">
      <c r="A212" s="393"/>
      <c r="B212" s="113" t="s">
        <v>709</v>
      </c>
      <c r="C212" s="404"/>
      <c r="D212" s="406"/>
      <c r="E212" s="406"/>
      <c r="F212" s="184">
        <f>TrialBalanceA!I212-TrialBalanceA!K212</f>
        <v>0</v>
      </c>
      <c r="G212" s="184">
        <f>TrialBalanceB!I212-TrialBalanceB!K212</f>
        <v>0</v>
      </c>
      <c r="H212" s="184">
        <f>TrialBalanceC!I212-TrialBalanceC!K212</f>
        <v>0</v>
      </c>
      <c r="I212" s="87">
        <f t="shared" si="44"/>
        <v>0</v>
      </c>
      <c r="J212" s="347">
        <f>SUMIF(Journals!D$14:D$920,TrialBalance!P212,Journals!J$14:J$920)+SUMIF(Journals!E$14:E$920,TrialBalance!P212,Journals!J$14:J$920)</f>
        <v>0</v>
      </c>
      <c r="K212" s="408"/>
      <c r="L212" s="410">
        <f>ROUND(D212-E212+F212+G212+H212+J212+I212,0)</f>
        <v>0</v>
      </c>
      <c r="M212" s="83"/>
      <c r="N212" s="56">
        <f t="shared" si="46"/>
        <v>0</v>
      </c>
      <c r="P212" s="196" t="str">
        <f t="shared" si="43"/>
        <v>5550/010</v>
      </c>
      <c r="Q212" s="78"/>
      <c r="R212" s="34"/>
      <c r="S212" s="79"/>
      <c r="T212" s="59">
        <f>L205+L216</f>
        <v>0</v>
      </c>
      <c r="U212" s="34"/>
    </row>
    <row r="213" spans="1:21" x14ac:dyDescent="0.2">
      <c r="A213" s="393"/>
      <c r="B213" s="113" t="s">
        <v>722</v>
      </c>
      <c r="C213" s="404"/>
      <c r="D213" s="406"/>
      <c r="E213" s="406"/>
      <c r="F213" s="184">
        <f>TrialBalanceA!I213-TrialBalanceA!K213</f>
        <v>0</v>
      </c>
      <c r="G213" s="184">
        <f>TrialBalanceB!I213-TrialBalanceB!K213</f>
        <v>0</v>
      </c>
      <c r="H213" s="184">
        <f>TrialBalanceC!I213-TrialBalanceC!K213</f>
        <v>0</v>
      </c>
      <c r="I213" s="87">
        <f t="shared" si="44"/>
        <v>0</v>
      </c>
      <c r="J213" s="347">
        <f>SUMIF(Journals!D$14:D$920,TrialBalance!P213,Journals!J$14:J$920)+SUMIF(Journals!E$14:E$920,TrialBalance!P213,Journals!J$14:J$920)</f>
        <v>0</v>
      </c>
      <c r="K213" s="408"/>
      <c r="L213" s="410">
        <f>ROUND(D213-E213+F213+G213+H213+J213+I213,0)</f>
        <v>0</v>
      </c>
      <c r="M213" s="83"/>
      <c r="N213" s="56">
        <f t="shared" si="46"/>
        <v>0</v>
      </c>
      <c r="P213" s="196" t="str">
        <f t="shared" si="43"/>
        <v>5550/011</v>
      </c>
      <c r="Q213" s="78"/>
      <c r="R213" s="34"/>
      <c r="S213" s="79"/>
      <c r="T213" s="59"/>
      <c r="U213" s="34"/>
    </row>
    <row r="214" spans="1:21" x14ac:dyDescent="0.2">
      <c r="A214" s="393"/>
      <c r="B214" s="113" t="s">
        <v>723</v>
      </c>
      <c r="C214" s="404"/>
      <c r="D214" s="406"/>
      <c r="E214" s="406"/>
      <c r="F214" s="184">
        <f>TrialBalanceA!I214-TrialBalanceA!K214</f>
        <v>0</v>
      </c>
      <c r="G214" s="184">
        <f>TrialBalanceB!I214-TrialBalanceB!K214</f>
        <v>0</v>
      </c>
      <c r="H214" s="184">
        <f>TrialBalanceC!I214-TrialBalanceC!K214</f>
        <v>0</v>
      </c>
      <c r="I214" s="87">
        <f t="shared" si="44"/>
        <v>0</v>
      </c>
      <c r="J214" s="347">
        <f>SUMIF(Journals!D$14:D$920,TrialBalance!P214,Journals!J$14:J$920)+SUMIF(Journals!E$14:E$920,TrialBalance!P214,Journals!J$14:J$920)</f>
        <v>0</v>
      </c>
      <c r="K214" s="408"/>
      <c r="L214" s="410">
        <f t="shared" si="45"/>
        <v>0</v>
      </c>
      <c r="M214" s="83"/>
      <c r="N214" s="56">
        <f t="shared" si="46"/>
        <v>0</v>
      </c>
      <c r="P214" s="196" t="str">
        <f t="shared" si="43"/>
        <v>5550/012</v>
      </c>
      <c r="Q214" s="78"/>
      <c r="R214" s="34"/>
      <c r="S214" s="79"/>
      <c r="T214" s="59"/>
      <c r="U214" s="34"/>
    </row>
    <row r="215" spans="1:21" x14ac:dyDescent="0.2">
      <c r="A215" s="393"/>
      <c r="B215" s="113" t="s">
        <v>724</v>
      </c>
      <c r="C215" s="404"/>
      <c r="D215" s="406"/>
      <c r="E215" s="406"/>
      <c r="F215" s="184">
        <f>TrialBalanceA!I215-TrialBalanceA!K215</f>
        <v>0</v>
      </c>
      <c r="G215" s="184">
        <f>TrialBalanceB!I215-TrialBalanceB!K215</f>
        <v>0</v>
      </c>
      <c r="H215" s="184">
        <f>TrialBalanceC!I215-TrialBalanceC!K215</f>
        <v>0</v>
      </c>
      <c r="I215" s="87">
        <f t="shared" si="44"/>
        <v>0</v>
      </c>
      <c r="J215" s="347">
        <f>SUMIF(Journals!D$14:D$920,TrialBalance!P215,Journals!J$14:J$920)+SUMIF(Journals!E$14:E$920,TrialBalance!P215,Journals!J$14:J$920)</f>
        <v>0</v>
      </c>
      <c r="K215" s="408"/>
      <c r="L215" s="410">
        <f t="shared" si="45"/>
        <v>0</v>
      </c>
      <c r="M215" s="83"/>
      <c r="N215" s="56">
        <f t="shared" si="46"/>
        <v>0</v>
      </c>
      <c r="P215" s="196" t="str">
        <f t="shared" si="43"/>
        <v>5550/013</v>
      </c>
      <c r="Q215" s="78"/>
      <c r="R215" s="34"/>
      <c r="S215" s="79"/>
      <c r="T215" s="59"/>
      <c r="U215" s="34"/>
    </row>
    <row r="216" spans="1:21" x14ac:dyDescent="0.2">
      <c r="A216" s="393"/>
      <c r="B216" s="113" t="s">
        <v>725</v>
      </c>
      <c r="C216" s="404"/>
      <c r="D216" s="406"/>
      <c r="E216" s="406"/>
      <c r="F216" s="184">
        <f>TrialBalanceA!I216-TrialBalanceA!K216</f>
        <v>0</v>
      </c>
      <c r="G216" s="184">
        <f>TrialBalanceB!I216-TrialBalanceB!K216</f>
        <v>0</v>
      </c>
      <c r="H216" s="184">
        <f>TrialBalanceC!I216-TrialBalanceC!K216</f>
        <v>0</v>
      </c>
      <c r="I216" s="87">
        <f t="shared" si="44"/>
        <v>0</v>
      </c>
      <c r="J216" s="347">
        <f>SUMIF(Journals!D$14:D$920,TrialBalance!P216,Journals!J$14:J$920)+SUMIF(Journals!E$14:E$920,TrialBalance!P216,Journals!J$14:J$920)</f>
        <v>0</v>
      </c>
      <c r="K216" s="408"/>
      <c r="L216" s="410">
        <f t="shared" si="45"/>
        <v>0</v>
      </c>
      <c r="M216" s="83"/>
      <c r="N216" s="56">
        <f t="shared" si="46"/>
        <v>0</v>
      </c>
      <c r="P216" s="196" t="str">
        <f t="shared" si="43"/>
        <v>5550/014</v>
      </c>
      <c r="Q216" s="78"/>
      <c r="R216" s="34"/>
      <c r="S216" s="79"/>
      <c r="T216" s="59"/>
      <c r="U216" s="34"/>
    </row>
    <row r="217" spans="1:21" x14ac:dyDescent="0.2">
      <c r="A217" s="393"/>
      <c r="B217" s="113" t="s">
        <v>726</v>
      </c>
      <c r="C217" s="404"/>
      <c r="D217" s="406"/>
      <c r="E217" s="406"/>
      <c r="F217" s="184">
        <f>TrialBalanceA!I217-TrialBalanceA!K217</f>
        <v>0</v>
      </c>
      <c r="G217" s="184">
        <f>TrialBalanceB!I217-TrialBalanceB!K217</f>
        <v>0</v>
      </c>
      <c r="H217" s="184">
        <f>TrialBalanceC!I217-TrialBalanceC!K217</f>
        <v>0</v>
      </c>
      <c r="I217" s="87">
        <f>N217</f>
        <v>0</v>
      </c>
      <c r="J217" s="347">
        <f>SUMIF(Journals!D$14:D$920,TrialBalance!P217,Journals!J$14:J$920)+SUMIF(Journals!E$14:E$920,TrialBalance!P217,Journals!J$14:J$920)</f>
        <v>0</v>
      </c>
      <c r="K217" s="408"/>
      <c r="L217" s="410">
        <f t="shared" si="45"/>
        <v>0</v>
      </c>
      <c r="M217" s="83"/>
      <c r="N217" s="56">
        <f t="shared" si="46"/>
        <v>0</v>
      </c>
      <c r="P217" s="196" t="str">
        <f t="shared" si="43"/>
        <v>5550/015</v>
      </c>
      <c r="Q217" s="78"/>
      <c r="R217" s="34"/>
      <c r="S217" s="79"/>
      <c r="T217" s="59"/>
      <c r="U217" s="34"/>
    </row>
    <row r="218" spans="1:21" x14ac:dyDescent="0.2">
      <c r="A218" s="393"/>
      <c r="B218" s="113" t="s">
        <v>727</v>
      </c>
      <c r="C218" s="404"/>
      <c r="D218" s="406"/>
      <c r="E218" s="406"/>
      <c r="F218" s="184">
        <f>TrialBalanceA!I218-TrialBalanceA!K218</f>
        <v>0</v>
      </c>
      <c r="G218" s="184">
        <f>TrialBalanceB!I218-TrialBalanceB!K218</f>
        <v>0</v>
      </c>
      <c r="H218" s="184">
        <f>TrialBalanceC!I218-TrialBalanceC!K218</f>
        <v>0</v>
      </c>
      <c r="I218" s="87">
        <f>N218</f>
        <v>0</v>
      </c>
      <c r="J218" s="347">
        <f>SUMIF(Journals!D$14:D$920,TrialBalance!P218,Journals!J$14:J$920)+SUMIF(Journals!E$14:E$920,TrialBalance!P218,Journals!J$14:J$920)</f>
        <v>0</v>
      </c>
      <c r="K218" s="408"/>
      <c r="L218" s="410">
        <f t="shared" si="45"/>
        <v>0</v>
      </c>
      <c r="M218" s="83"/>
      <c r="N218" s="56">
        <f t="shared" si="46"/>
        <v>0</v>
      </c>
      <c r="P218" s="196" t="str">
        <f t="shared" si="43"/>
        <v>5550/016</v>
      </c>
      <c r="Q218" s="78"/>
      <c r="R218" s="34"/>
      <c r="S218" s="79"/>
      <c r="T218" s="59"/>
      <c r="U218" s="34"/>
    </row>
    <row r="219" spans="1:21" x14ac:dyDescent="0.2">
      <c r="A219" s="393"/>
      <c r="B219" s="113" t="s">
        <v>728</v>
      </c>
      <c r="C219" s="404"/>
      <c r="D219" s="406"/>
      <c r="E219" s="406"/>
      <c r="F219" s="184">
        <f>TrialBalanceA!I219-TrialBalanceA!K219</f>
        <v>0</v>
      </c>
      <c r="G219" s="184">
        <f>TrialBalanceB!I219-TrialBalanceB!K219</f>
        <v>0</v>
      </c>
      <c r="H219" s="184">
        <f>TrialBalanceC!I219-TrialBalanceC!K219</f>
        <v>0</v>
      </c>
      <c r="I219" s="87">
        <f>N219</f>
        <v>0</v>
      </c>
      <c r="J219" s="347">
        <f>SUMIF(Journals!D$14:D$920,TrialBalance!P219,Journals!J$14:J$920)+SUMIF(Journals!E$14:E$920,TrialBalance!P219,Journals!J$14:J$920)</f>
        <v>0</v>
      </c>
      <c r="K219" s="408"/>
      <c r="L219" s="410">
        <f t="shared" si="45"/>
        <v>0</v>
      </c>
      <c r="M219" s="83"/>
      <c r="N219" s="56">
        <f t="shared" si="46"/>
        <v>0</v>
      </c>
      <c r="P219" s="196" t="str">
        <f t="shared" si="43"/>
        <v>5550/017</v>
      </c>
      <c r="Q219" s="78"/>
      <c r="R219" s="34"/>
      <c r="S219" s="79"/>
      <c r="T219" s="59"/>
      <c r="U219" s="34"/>
    </row>
    <row r="220" spans="1:21" x14ac:dyDescent="0.2">
      <c r="A220" s="393"/>
      <c r="B220" s="62" t="s">
        <v>159</v>
      </c>
      <c r="C220" s="396" t="s">
        <v>212</v>
      </c>
      <c r="D220" s="405"/>
      <c r="E220" s="406"/>
      <c r="F220" s="184"/>
      <c r="G220" s="184"/>
      <c r="H220" s="184"/>
      <c r="I220" s="87"/>
      <c r="J220" s="347">
        <f>SUMIF(Journals!D$14:D$920,TrialBalance!P220,Journals!J$14:J$920)+SUMIF(Journals!E$14:E$920,TrialBalance!P220,Journals!J$14:J$920)</f>
        <v>0</v>
      </c>
      <c r="K220" s="409" t="s">
        <v>634</v>
      </c>
      <c r="L220" s="410">
        <f t="shared" si="45"/>
        <v>0</v>
      </c>
      <c r="M220" s="83"/>
      <c r="N220" s="56">
        <f t="shared" si="46"/>
        <v>0</v>
      </c>
      <c r="P220" s="196" t="str">
        <f t="shared" si="43"/>
        <v>5700/000DEFERRED TAX</v>
      </c>
      <c r="Q220" s="78"/>
      <c r="R220" s="34"/>
      <c r="S220" s="79"/>
      <c r="T220" s="59"/>
      <c r="U220" s="34"/>
    </row>
    <row r="221" spans="1:21" x14ac:dyDescent="0.2">
      <c r="A221" s="393"/>
      <c r="B221" s="62" t="s">
        <v>160</v>
      </c>
      <c r="C221" s="397" t="s">
        <v>569</v>
      </c>
      <c r="D221" s="405"/>
      <c r="E221" s="406"/>
      <c r="F221" s="184"/>
      <c r="G221" s="184"/>
      <c r="H221" s="184"/>
      <c r="I221" s="87">
        <f>N221+N223+N225+N227</f>
        <v>0</v>
      </c>
      <c r="J221" s="347">
        <f>SUMIF(Journals!D$14:D$920,TrialBalance!P221,Journals!J$14:J$920)+SUMIF(Journals!E$14:E$920,TrialBalance!P221,Journals!J$14:J$920)</f>
        <v>0</v>
      </c>
      <c r="K221" s="408"/>
      <c r="L221" s="410">
        <f t="shared" si="45"/>
        <v>0</v>
      </c>
      <c r="M221" s="83"/>
      <c r="N221" s="56">
        <f t="shared" si="46"/>
        <v>0</v>
      </c>
      <c r="P221" s="196" t="str">
        <f t="shared" si="43"/>
        <v>5700/010Deferred tax balance  depreciation b/fwd</v>
      </c>
      <c r="Q221" s="78"/>
      <c r="R221" s="34"/>
      <c r="S221" s="79"/>
      <c r="T221" s="59"/>
      <c r="U221" s="34"/>
    </row>
    <row r="222" spans="1:21" x14ac:dyDescent="0.2">
      <c r="A222" s="393"/>
      <c r="B222" s="113" t="s">
        <v>688</v>
      </c>
      <c r="C222" s="397" t="s">
        <v>570</v>
      </c>
      <c r="D222" s="405"/>
      <c r="E222" s="406"/>
      <c r="F222" s="184"/>
      <c r="G222" s="184"/>
      <c r="H222" s="184"/>
      <c r="I222" s="87">
        <f>N222+N224+N226+N228</f>
        <v>0</v>
      </c>
      <c r="J222" s="347">
        <f>SUMIF(Journals!D$14:D$920,TrialBalance!P222,Journals!J$14:J$920)+SUMIF(Journals!E$14:E$920,TrialBalance!P222,Journals!J$14:J$920)</f>
        <v>0</v>
      </c>
      <c r="K222" s="408"/>
      <c r="L222" s="410">
        <f t="shared" si="45"/>
        <v>0</v>
      </c>
      <c r="M222" s="83"/>
      <c r="N222" s="56">
        <f t="shared" si="46"/>
        <v>0</v>
      </c>
      <c r="P222" s="196" t="str">
        <f t="shared" si="43"/>
        <v>5700/020Deferred tax balance  tax loss b/fwd</v>
      </c>
      <c r="Q222" s="78"/>
      <c r="R222" s="34"/>
      <c r="S222" s="79"/>
      <c r="T222" s="59"/>
      <c r="U222" s="34"/>
    </row>
    <row r="223" spans="1:21" x14ac:dyDescent="0.2">
      <c r="A223" s="393"/>
      <c r="B223" s="113" t="s">
        <v>1340</v>
      </c>
      <c r="C223" s="397" t="s">
        <v>1341</v>
      </c>
      <c r="D223" s="405"/>
      <c r="E223" s="406"/>
      <c r="F223" s="184">
        <f>TrialBalanceA!I223</f>
        <v>0</v>
      </c>
      <c r="G223" s="184">
        <f>TrialBalanceB!I223</f>
        <v>0</v>
      </c>
      <c r="H223" s="184">
        <f>TrialBalanceC!I223</f>
        <v>0</v>
      </c>
      <c r="I223" s="87"/>
      <c r="J223" s="347">
        <f>SUMIF(Journals!D$14:D$920,TrialBalance!P223,Journals!J$14:J$920)+SUMIF(Journals!E$14:E$920,TrialBalance!P223,Journals!J$14:J$920)</f>
        <v>0</v>
      </c>
      <c r="K223" s="408"/>
      <c r="L223" s="410">
        <f t="shared" ref="L223:L224" si="48">ROUND(D223-E223+F223+G223+H223+J223+I223,0)</f>
        <v>0</v>
      </c>
      <c r="M223" s="83"/>
      <c r="N223" s="56">
        <f t="shared" ref="N223:N224" si="49">ROUND(SUM(A223),0)</f>
        <v>0</v>
      </c>
      <c r="P223" s="196" t="str">
        <f t="shared" ref="P223:P224" si="50">CONCATENATE(B223,C223)</f>
        <v>5700/021Opening balance depreciation tax rate change</v>
      </c>
      <c r="Q223" s="78"/>
      <c r="R223" s="34"/>
      <c r="S223" s="79"/>
      <c r="T223" s="59"/>
      <c r="U223" s="34"/>
    </row>
    <row r="224" spans="1:21" x14ac:dyDescent="0.2">
      <c r="A224" s="393"/>
      <c r="B224" s="113" t="s">
        <v>1342</v>
      </c>
      <c r="C224" s="397" t="s">
        <v>1343</v>
      </c>
      <c r="D224" s="405"/>
      <c r="E224" s="406"/>
      <c r="F224" s="184">
        <f>TrialBalanceA!I224</f>
        <v>0</v>
      </c>
      <c r="G224" s="184">
        <f>TrialBalanceB!I224</f>
        <v>0</v>
      </c>
      <c r="H224" s="184">
        <f>TrialBalanceC!I224</f>
        <v>0</v>
      </c>
      <c r="I224" s="87"/>
      <c r="J224" s="347">
        <f>SUMIF(Journals!D$14:D$920,TrialBalance!P224,Journals!J$14:J$920)+SUMIF(Journals!E$14:E$920,TrialBalance!P224,Journals!J$14:J$920)</f>
        <v>0</v>
      </c>
      <c r="K224" s="408"/>
      <c r="L224" s="410">
        <f t="shared" si="48"/>
        <v>0</v>
      </c>
      <c r="M224" s="83"/>
      <c r="N224" s="56">
        <f t="shared" si="49"/>
        <v>0</v>
      </c>
      <c r="P224" s="196" t="str">
        <f t="shared" si="50"/>
        <v>5700/022Opening balance tax loss tax rate change</v>
      </c>
      <c r="Q224" s="78"/>
      <c r="R224" s="34"/>
      <c r="S224" s="79"/>
      <c r="T224" s="59"/>
      <c r="U224" s="34"/>
    </row>
    <row r="225" spans="1:21" x14ac:dyDescent="0.2">
      <c r="A225" s="393"/>
      <c r="B225" s="113" t="s">
        <v>689</v>
      </c>
      <c r="C225" s="394" t="s">
        <v>161</v>
      </c>
      <c r="D225" s="405"/>
      <c r="E225" s="406"/>
      <c r="F225" s="184">
        <f>TrialBalanceA!I225</f>
        <v>0</v>
      </c>
      <c r="G225" s="184">
        <f>TrialBalanceB!I225</f>
        <v>0</v>
      </c>
      <c r="H225" s="184">
        <f>TrialBalanceC!I225</f>
        <v>0</v>
      </c>
      <c r="I225" s="87"/>
      <c r="J225" s="347">
        <f>SUMIF(Journals!D$14:D$920,TrialBalance!P225,Journals!J$14:J$920)+SUMIF(Journals!E$14:E$920,TrialBalance!P225,Journals!J$14:J$920)</f>
        <v>0</v>
      </c>
      <c r="K225" s="408"/>
      <c r="L225" s="410">
        <f t="shared" si="45"/>
        <v>0</v>
      </c>
      <c r="M225" s="83"/>
      <c r="N225" s="56">
        <f t="shared" si="46"/>
        <v>0</v>
      </c>
      <c r="P225" s="196" t="str">
        <f t="shared" si="43"/>
        <v>5700/030Deferred tax on depreciation for year</v>
      </c>
      <c r="Q225" s="78"/>
      <c r="R225" s="34"/>
      <c r="S225" s="79"/>
      <c r="T225" s="59"/>
      <c r="U225" s="34"/>
    </row>
    <row r="226" spans="1:21" x14ac:dyDescent="0.2">
      <c r="A226" s="393"/>
      <c r="B226" s="113" t="s">
        <v>690</v>
      </c>
      <c r="C226" s="394" t="s">
        <v>162</v>
      </c>
      <c r="D226" s="405"/>
      <c r="E226" s="406"/>
      <c r="F226" s="184">
        <f>TrialBalanceA!I226</f>
        <v>0</v>
      </c>
      <c r="G226" s="184">
        <f>TrialBalanceB!I226</f>
        <v>0</v>
      </c>
      <c r="H226" s="184">
        <f>TrialBalanceC!I226</f>
        <v>0</v>
      </c>
      <c r="I226" s="87"/>
      <c r="J226" s="347">
        <f>SUMIF(Journals!D$14:D$920,TrialBalance!P226,Journals!J$14:J$920)+SUMIF(Journals!E$14:E$920,TrialBalance!P226,Journals!J$14:J$920)</f>
        <v>0</v>
      </c>
      <c r="K226" s="408"/>
      <c r="L226" s="410">
        <f t="shared" si="45"/>
        <v>0</v>
      </c>
      <c r="M226" s="83"/>
      <c r="N226" s="56">
        <f t="shared" si="46"/>
        <v>0</v>
      </c>
      <c r="P226" s="196" t="str">
        <f t="shared" si="43"/>
        <v>5700/040Deferred tax on tax loss for year</v>
      </c>
      <c r="Q226" s="78"/>
      <c r="R226" s="34"/>
      <c r="S226" s="79"/>
      <c r="T226" s="59"/>
      <c r="U226" s="34"/>
    </row>
    <row r="227" spans="1:21" x14ac:dyDescent="0.2">
      <c r="A227" s="393"/>
      <c r="B227" s="113" t="s">
        <v>691</v>
      </c>
      <c r="C227" s="397" t="s">
        <v>670</v>
      </c>
      <c r="D227" s="405"/>
      <c r="E227" s="406"/>
      <c r="F227" s="184">
        <f>TrialBalanceA!I227</f>
        <v>0</v>
      </c>
      <c r="G227" s="184">
        <f>TrialBalanceB!I227</f>
        <v>0</v>
      </c>
      <c r="H227" s="184">
        <f>TrialBalanceC!I227</f>
        <v>0</v>
      </c>
      <c r="I227" s="87"/>
      <c r="J227" s="347">
        <f>SUMIF(Journals!D$14:D$920,TrialBalance!P227,Journals!J$14:J$920)+SUMIF(Journals!E$14:E$920,TrialBalance!P227,Journals!J$14:J$920)</f>
        <v>0</v>
      </c>
      <c r="K227" s="408"/>
      <c r="L227" s="410">
        <f t="shared" si="45"/>
        <v>0</v>
      </c>
      <c r="M227" s="83"/>
      <c r="N227" s="56">
        <f t="shared" si="46"/>
        <v>0</v>
      </c>
      <c r="P227" s="196" t="str">
        <f t="shared" si="43"/>
        <v>5700/050Def tax adj  depreciation previous year</v>
      </c>
      <c r="Q227" s="78"/>
      <c r="R227" s="34"/>
      <c r="S227" s="79"/>
      <c r="T227" s="59"/>
      <c r="U227" s="34"/>
    </row>
    <row r="228" spans="1:21" x14ac:dyDescent="0.2">
      <c r="A228" s="393"/>
      <c r="B228" s="113" t="s">
        <v>692</v>
      </c>
      <c r="C228" s="397" t="s">
        <v>671</v>
      </c>
      <c r="D228" s="405"/>
      <c r="E228" s="406"/>
      <c r="F228" s="184">
        <f>TrialBalanceA!I228</f>
        <v>0</v>
      </c>
      <c r="G228" s="184">
        <f>TrialBalanceB!I228</f>
        <v>0</v>
      </c>
      <c r="H228" s="184">
        <f>TrialBalanceC!I228</f>
        <v>0</v>
      </c>
      <c r="I228" s="87"/>
      <c r="J228" s="347">
        <f>SUMIF(Journals!D$14:D$920,TrialBalance!P228,Journals!J$14:J$920)+SUMIF(Journals!E$14:E$920,TrialBalance!P228,Journals!J$14:J$920)</f>
        <v>0</v>
      </c>
      <c r="K228" s="408"/>
      <c r="L228" s="410">
        <f t="shared" si="45"/>
        <v>0</v>
      </c>
      <c r="M228" s="83"/>
      <c r="N228" s="56">
        <f t="shared" si="46"/>
        <v>0</v>
      </c>
      <c r="P228" s="196" t="str">
        <f t="shared" si="43"/>
        <v>5700/060Def tax adj tax loss previous year</v>
      </c>
      <c r="Q228" s="78"/>
      <c r="R228" s="34"/>
      <c r="S228" s="79"/>
      <c r="T228" s="59"/>
      <c r="U228" s="34"/>
    </row>
    <row r="229" spans="1:21" x14ac:dyDescent="0.2">
      <c r="A229" s="393"/>
      <c r="B229" s="62" t="s">
        <v>163</v>
      </c>
      <c r="C229" s="396" t="s">
        <v>1367</v>
      </c>
      <c r="D229" s="405"/>
      <c r="E229" s="406"/>
      <c r="F229" s="184"/>
      <c r="G229" s="184"/>
      <c r="H229" s="184"/>
      <c r="I229" s="87"/>
      <c r="J229" s="347">
        <f>SUMIF(Journals!D$14:D$920,TrialBalance!P229,Journals!J$14:J$920)+SUMIF(Journals!E$14:E$920,TrialBalance!P229,Journals!J$14:J$920)</f>
        <v>0</v>
      </c>
      <c r="K229" s="409" t="s">
        <v>634</v>
      </c>
      <c r="L229" s="410">
        <f t="shared" si="45"/>
        <v>0</v>
      </c>
      <c r="M229" s="83"/>
      <c r="N229" s="56">
        <f t="shared" si="46"/>
        <v>0</v>
      </c>
      <c r="P229" s="196" t="str">
        <f t="shared" si="43"/>
        <v>6100/000PROPERTY - COST</v>
      </c>
      <c r="Q229" s="78"/>
      <c r="R229" s="34"/>
      <c r="S229" s="79"/>
      <c r="T229" s="59"/>
      <c r="U229" s="34"/>
    </row>
    <row r="230" spans="1:21" x14ac:dyDescent="0.2">
      <c r="A230" s="393"/>
      <c r="B230" s="62" t="s">
        <v>164</v>
      </c>
      <c r="C230" s="397" t="s">
        <v>1368</v>
      </c>
      <c r="D230" s="405"/>
      <c r="E230" s="406"/>
      <c r="F230" s="184"/>
      <c r="G230" s="184"/>
      <c r="H230" s="184"/>
      <c r="I230" s="87">
        <f>SUM(N230:N234)</f>
        <v>0</v>
      </c>
      <c r="J230" s="347">
        <f>SUMIF(Journals!D$14:D$920,TrialBalance!P230,Journals!J$14:J$920)+SUMIF(Journals!E$14:E$920,TrialBalance!P230,Journals!J$14:J$920)</f>
        <v>0</v>
      </c>
      <c r="K230" s="408"/>
      <c r="L230" s="410">
        <f t="shared" si="45"/>
        <v>0</v>
      </c>
      <c r="M230" s="83"/>
      <c r="N230" s="56">
        <f t="shared" si="46"/>
        <v>0</v>
      </c>
      <c r="P230" s="196" t="str">
        <f t="shared" si="43"/>
        <v>6100/001Property - cost b/fwd</v>
      </c>
      <c r="Q230" s="78"/>
      <c r="R230" s="34"/>
      <c r="S230" s="79"/>
      <c r="T230" s="59"/>
      <c r="U230" s="34"/>
    </row>
    <row r="231" spans="1:21" x14ac:dyDescent="0.2">
      <c r="A231" s="393"/>
      <c r="B231" s="62" t="s">
        <v>165</v>
      </c>
      <c r="C231" s="397" t="s">
        <v>1369</v>
      </c>
      <c r="D231" s="405"/>
      <c r="E231" s="405"/>
      <c r="F231" s="184">
        <f>TrialBalanceA!I231</f>
        <v>0</v>
      </c>
      <c r="G231" s="184">
        <f>TrialBalanceB!I231</f>
        <v>0</v>
      </c>
      <c r="H231" s="184">
        <f>TrialBalanceC!I231</f>
        <v>0</v>
      </c>
      <c r="I231" s="87"/>
      <c r="J231" s="347">
        <f>SUMIF(Journals!D$14:D$920,TrialBalance!P231,Journals!J$14:J$920)+SUMIF(Journals!E$14:E$920,TrialBalance!P231,Journals!J$14:J$920)</f>
        <v>0</v>
      </c>
      <c r="K231" s="408"/>
      <c r="L231" s="410">
        <f t="shared" si="45"/>
        <v>0</v>
      </c>
      <c r="M231" s="83"/>
      <c r="N231" s="56">
        <f t="shared" si="46"/>
        <v>0</v>
      </c>
      <c r="P231" s="196" t="str">
        <f t="shared" si="43"/>
        <v>6100/002Property - additions</v>
      </c>
      <c r="Q231" s="78"/>
      <c r="R231" s="34"/>
      <c r="S231" s="79"/>
      <c r="T231" s="59"/>
      <c r="U231" s="34"/>
    </row>
    <row r="232" spans="1:21" x14ac:dyDescent="0.2">
      <c r="A232" s="393"/>
      <c r="B232" s="62" t="s">
        <v>166</v>
      </c>
      <c r="C232" s="397" t="s">
        <v>1370</v>
      </c>
      <c r="D232" s="405"/>
      <c r="E232" s="406"/>
      <c r="F232" s="184">
        <f>TrialBalanceA!I232</f>
        <v>0</v>
      </c>
      <c r="G232" s="184">
        <f>TrialBalanceB!I232</f>
        <v>0</v>
      </c>
      <c r="H232" s="184">
        <f>TrialBalanceC!I232</f>
        <v>0</v>
      </c>
      <c r="I232" s="87"/>
      <c r="J232" s="347">
        <f>SUMIF(Journals!D$14:D$920,TrialBalance!P232,Journals!J$14:J$920)+SUMIF(Journals!E$14:E$920,TrialBalance!P232,Journals!J$14:J$920)</f>
        <v>0</v>
      </c>
      <c r="K232" s="408"/>
      <c r="L232" s="410">
        <f t="shared" si="45"/>
        <v>0</v>
      </c>
      <c r="M232" s="83"/>
      <c r="N232" s="56">
        <f t="shared" si="46"/>
        <v>0</v>
      </c>
      <c r="P232" s="196" t="str">
        <f t="shared" si="43"/>
        <v>6100/003Property - cost of sales</v>
      </c>
      <c r="Q232" s="78"/>
      <c r="R232" s="34"/>
      <c r="S232" s="79"/>
      <c r="T232" s="59"/>
      <c r="U232" s="34"/>
    </row>
    <row r="233" spans="1:21" x14ac:dyDescent="0.2">
      <c r="A233" s="393"/>
      <c r="B233" s="113" t="s">
        <v>1238</v>
      </c>
      <c r="C233" s="397" t="s">
        <v>1371</v>
      </c>
      <c r="D233" s="405"/>
      <c r="E233" s="406"/>
      <c r="F233" s="184">
        <f>TrialBalanceA!I233</f>
        <v>0</v>
      </c>
      <c r="G233" s="184">
        <f>TrialBalanceB!I233</f>
        <v>0</v>
      </c>
      <c r="H233" s="184">
        <f>TrialBalanceC!I233</f>
        <v>0</v>
      </c>
      <c r="I233" s="87"/>
      <c r="J233" s="347">
        <f>SUMIF(Journals!D$14:D$920,TrialBalance!P233,Journals!J$14:J$920)+SUMIF(Journals!E$14:E$920,TrialBalance!P233,Journals!J$14:J$920)</f>
        <v>0</v>
      </c>
      <c r="K233" s="408"/>
      <c r="L233" s="410">
        <f t="shared" ref="L233" si="51">ROUND(D233-E233+F233+G233+H233+J233+I233,0)</f>
        <v>0</v>
      </c>
      <c r="M233" s="83"/>
      <c r="N233" s="56">
        <f t="shared" ref="N233" si="52">ROUND(SUM(A233),0)</f>
        <v>0</v>
      </c>
      <c r="P233" s="196" t="str">
        <f t="shared" ref="P233" si="53">CONCATENATE(B233,C233)</f>
        <v>6100/004Property - transfer to investment property</v>
      </c>
      <c r="Q233" s="78"/>
      <c r="R233" s="34"/>
      <c r="S233" s="79"/>
      <c r="T233" s="59"/>
      <c r="U233" s="34"/>
    </row>
    <row r="234" spans="1:21" x14ac:dyDescent="0.2">
      <c r="A234" s="393"/>
      <c r="B234" s="113" t="s">
        <v>1316</v>
      </c>
      <c r="C234" s="397" t="s">
        <v>1372</v>
      </c>
      <c r="D234" s="405"/>
      <c r="E234" s="406"/>
      <c r="F234" s="184">
        <f>TrialBalanceA!I234</f>
        <v>0</v>
      </c>
      <c r="G234" s="184">
        <f>TrialBalanceB!I234</f>
        <v>0</v>
      </c>
      <c r="H234" s="184">
        <f>TrialBalanceC!I234</f>
        <v>0</v>
      </c>
      <c r="I234" s="87"/>
      <c r="J234" s="347">
        <f>SUMIF(Journals!D$14:D$920,TrialBalance!P234,Journals!J$14:J$920)+SUMIF(Journals!E$14:E$920,TrialBalance!P234,Journals!J$14:J$920)</f>
        <v>0</v>
      </c>
      <c r="K234" s="408"/>
      <c r="L234" s="410">
        <f t="shared" ref="L234" si="54">ROUND(D234-E234+F234+G234+H234+J234+I234,0)</f>
        <v>0</v>
      </c>
      <c r="M234" s="83"/>
      <c r="N234" s="56">
        <f t="shared" ref="N234" si="55">ROUND(SUM(A234),0)</f>
        <v>0</v>
      </c>
      <c r="P234" s="196" t="str">
        <f t="shared" ref="P234" si="56">CONCATENATE(B234,C234)</f>
        <v>6100/005Property - transfer from investment property</v>
      </c>
      <c r="Q234" s="78"/>
      <c r="R234" s="34"/>
      <c r="S234" s="79"/>
      <c r="T234" s="59"/>
      <c r="U234" s="34"/>
    </row>
    <row r="235" spans="1:21" x14ac:dyDescent="0.2">
      <c r="A235" s="393"/>
      <c r="B235" s="62" t="s">
        <v>311</v>
      </c>
      <c r="C235" s="396" t="s">
        <v>1373</v>
      </c>
      <c r="D235" s="405"/>
      <c r="E235" s="406"/>
      <c r="F235" s="184"/>
      <c r="G235" s="184"/>
      <c r="H235" s="184"/>
      <c r="I235" s="87"/>
      <c r="J235" s="347">
        <f>SUMIF(Journals!D$14:D$920,TrialBalance!P235,Journals!J$14:J$920)+SUMIF(Journals!E$14:E$920,TrialBalance!P235,Journals!J$14:J$920)</f>
        <v>0</v>
      </c>
      <c r="K235" s="408"/>
      <c r="L235" s="410">
        <f t="shared" si="45"/>
        <v>0</v>
      </c>
      <c r="M235" s="83"/>
      <c r="N235" s="56">
        <f t="shared" si="46"/>
        <v>0</v>
      </c>
      <c r="P235" s="196" t="str">
        <f t="shared" si="43"/>
        <v>6100/020PROPERTY - ACC DEPR</v>
      </c>
      <c r="Q235" s="78"/>
      <c r="R235" s="34"/>
      <c r="S235" s="79"/>
      <c r="T235" s="59"/>
      <c r="U235" s="34"/>
    </row>
    <row r="236" spans="1:21" x14ac:dyDescent="0.2">
      <c r="A236" s="393"/>
      <c r="B236" s="62" t="s">
        <v>312</v>
      </c>
      <c r="C236" s="397" t="s">
        <v>1374</v>
      </c>
      <c r="D236" s="405"/>
      <c r="E236" s="406"/>
      <c r="F236" s="184"/>
      <c r="G236" s="184"/>
      <c r="H236" s="184"/>
      <c r="I236" s="87">
        <f>SUM(N236:N239)</f>
        <v>0</v>
      </c>
      <c r="J236" s="347">
        <f>SUMIF(Journals!D$14:D$920,TrialBalance!P236,Journals!J$14:J$920)+SUMIF(Journals!E$14:E$920,TrialBalance!P236,Journals!J$14:J$920)</f>
        <v>0</v>
      </c>
      <c r="K236" s="408"/>
      <c r="L236" s="410">
        <f t="shared" si="45"/>
        <v>0</v>
      </c>
      <c r="M236" s="83"/>
      <c r="N236" s="56">
        <f t="shared" si="46"/>
        <v>0</v>
      </c>
      <c r="P236" s="196" t="str">
        <f t="shared" si="43"/>
        <v>6100/021Property - acc depr b/fwd</v>
      </c>
      <c r="Q236" s="78"/>
      <c r="R236" s="34"/>
      <c r="S236" s="79"/>
      <c r="T236" s="59"/>
      <c r="U236" s="34"/>
    </row>
    <row r="237" spans="1:21" x14ac:dyDescent="0.2">
      <c r="A237" s="393"/>
      <c r="B237" s="62" t="s">
        <v>313</v>
      </c>
      <c r="C237" s="397" t="s">
        <v>1375</v>
      </c>
      <c r="D237" s="405"/>
      <c r="E237" s="406"/>
      <c r="F237" s="184">
        <f>TrialBalanceA!I237</f>
        <v>0</v>
      </c>
      <c r="G237" s="184">
        <f>TrialBalanceB!I237</f>
        <v>0</v>
      </c>
      <c r="H237" s="184">
        <f>TrialBalanceC!I237</f>
        <v>0</v>
      </c>
      <c r="I237" s="87">
        <f>-FARegister!Z12</f>
        <v>0</v>
      </c>
      <c r="J237" s="347">
        <f>SUMIF(Journals!D$14:D$920,TrialBalance!P237,Journals!J$14:J$920)+SUMIF(Journals!E$14:E$920,TrialBalance!P237,Journals!J$14:J$920)</f>
        <v>0</v>
      </c>
      <c r="K237" s="408"/>
      <c r="L237" s="410">
        <f t="shared" si="45"/>
        <v>0</v>
      </c>
      <c r="M237" s="83"/>
      <c r="N237" s="56">
        <f t="shared" si="46"/>
        <v>0</v>
      </c>
      <c r="P237" s="196" t="str">
        <f t="shared" ref="P237:P276" si="57">CONCATENATE(B237,C237)</f>
        <v>6100/022Property - depr this year</v>
      </c>
      <c r="Q237" s="78"/>
      <c r="R237" s="34"/>
      <c r="S237" s="79"/>
      <c r="T237" s="59"/>
      <c r="U237" s="34"/>
    </row>
    <row r="238" spans="1:21" x14ac:dyDescent="0.2">
      <c r="A238" s="393"/>
      <c r="B238" s="62" t="s">
        <v>315</v>
      </c>
      <c r="C238" s="397" t="s">
        <v>1376</v>
      </c>
      <c r="D238" s="405"/>
      <c r="E238" s="406"/>
      <c r="F238" s="184">
        <f>TrialBalanceA!I238</f>
        <v>0</v>
      </c>
      <c r="G238" s="184">
        <f>TrialBalanceB!I238</f>
        <v>0</v>
      </c>
      <c r="H238" s="184">
        <f>TrialBalanceC!I238</f>
        <v>0</v>
      </c>
      <c r="I238" s="87"/>
      <c r="J238" s="347">
        <f>SUMIF(Journals!D$14:D$920,TrialBalance!P238,Journals!J$14:J$920)+SUMIF(Journals!E$14:E$920,TrialBalance!P238,Journals!J$14:J$920)</f>
        <v>0</v>
      </c>
      <c r="K238" s="408"/>
      <c r="L238" s="410">
        <f t="shared" si="45"/>
        <v>0</v>
      </c>
      <c r="M238" s="83"/>
      <c r="N238" s="56">
        <f t="shared" si="46"/>
        <v>0</v>
      </c>
      <c r="P238" s="196" t="str">
        <f t="shared" si="57"/>
        <v>6100/023Property - acc depr on sales</v>
      </c>
      <c r="Q238" s="78"/>
      <c r="R238" s="34"/>
      <c r="S238" s="79"/>
      <c r="T238" s="59"/>
      <c r="U238" s="34"/>
    </row>
    <row r="239" spans="1:21" x14ac:dyDescent="0.2">
      <c r="A239" s="393"/>
      <c r="B239" s="113" t="s">
        <v>1307</v>
      </c>
      <c r="C239" s="397" t="s">
        <v>1377</v>
      </c>
      <c r="D239" s="405"/>
      <c r="E239" s="406"/>
      <c r="F239" s="184">
        <f>TrialBalanceA!I239</f>
        <v>0</v>
      </c>
      <c r="G239" s="184">
        <f>TrialBalanceB!I239</f>
        <v>0</v>
      </c>
      <c r="H239" s="184">
        <f>TrialBalanceC!I239</f>
        <v>0</v>
      </c>
      <c r="I239" s="87"/>
      <c r="J239" s="347">
        <f>SUMIF(Journals!D$14:D$920,TrialBalance!P239,Journals!J$14:J$920)+SUMIF(Journals!E$14:E$920,TrialBalance!P239,Journals!J$14:J$920)</f>
        <v>0</v>
      </c>
      <c r="K239" s="408"/>
      <c r="L239" s="410">
        <f t="shared" ref="L239" si="58">ROUND(D239-E239+F239+G239+H239+J239+I239,0)</f>
        <v>0</v>
      </c>
      <c r="M239" s="83"/>
      <c r="N239" s="56">
        <f t="shared" ref="N239" si="59">ROUND(SUM(A239),0)</f>
        <v>0</v>
      </c>
      <c r="P239" s="196" t="str">
        <f t="shared" ref="P239" si="60">CONCATENATE(B239,C239)</f>
        <v>6100/024Property - recoupment of depr</v>
      </c>
      <c r="Q239" s="78"/>
      <c r="R239" s="34"/>
      <c r="S239" s="79"/>
      <c r="T239" s="59"/>
      <c r="U239" s="34"/>
    </row>
    <row r="240" spans="1:21" x14ac:dyDescent="0.2">
      <c r="A240" s="393"/>
      <c r="B240" s="113" t="s">
        <v>805</v>
      </c>
      <c r="C240" s="396" t="s">
        <v>1233</v>
      </c>
      <c r="D240" s="405"/>
      <c r="E240" s="406"/>
      <c r="F240" s="184"/>
      <c r="G240" s="184"/>
      <c r="H240" s="184"/>
      <c r="I240" s="87"/>
      <c r="J240" s="347">
        <f>SUMIF(Journals!D$14:D$920,TrialBalance!P240,Journals!J$14:J$920)+SUMIF(Journals!E$14:E$920,TrialBalance!P240,Journals!J$14:J$920)</f>
        <v>0</v>
      </c>
      <c r="K240" s="408"/>
      <c r="L240" s="410">
        <f t="shared" ref="L240:L244" si="61">ROUND(D240-E240+F240+G240+H240+J240+I240,0)</f>
        <v>0</v>
      </c>
      <c r="M240" s="83"/>
      <c r="N240" s="56">
        <f t="shared" ref="N240:N244" si="62">ROUND(SUM(A240),0)</f>
        <v>0</v>
      </c>
      <c r="P240" s="196" t="str">
        <f t="shared" ref="P240:P244" si="63">CONCATENATE(B240,C240)</f>
        <v>6100/030INVESTMENT PROPERTY - COST</v>
      </c>
      <c r="Q240" s="78"/>
      <c r="R240" s="34"/>
      <c r="S240" s="79"/>
      <c r="T240" s="59"/>
      <c r="U240" s="34"/>
    </row>
    <row r="241" spans="1:21" x14ac:dyDescent="0.2">
      <c r="A241" s="393"/>
      <c r="B241" s="113" t="s">
        <v>806</v>
      </c>
      <c r="C241" s="397" t="s">
        <v>1234</v>
      </c>
      <c r="D241" s="405"/>
      <c r="E241" s="406"/>
      <c r="F241" s="184"/>
      <c r="G241" s="184"/>
      <c r="H241" s="184"/>
      <c r="I241" s="87">
        <f>SUM(N241:N245)</f>
        <v>0</v>
      </c>
      <c r="J241" s="347">
        <f>SUMIF(Journals!D$14:D$920,TrialBalance!P241,Journals!J$14:J$920)+SUMIF(Journals!E$14:E$920,TrialBalance!P241,Journals!J$14:J$920)</f>
        <v>0</v>
      </c>
      <c r="K241" s="408"/>
      <c r="L241" s="410">
        <f t="shared" si="61"/>
        <v>0</v>
      </c>
      <c r="M241" s="83"/>
      <c r="N241" s="56">
        <f t="shared" si="62"/>
        <v>0</v>
      </c>
      <c r="P241" s="196" t="str">
        <f t="shared" si="63"/>
        <v>6100/031Investment property - cost b/fwd</v>
      </c>
      <c r="Q241" s="78"/>
      <c r="R241" s="34"/>
      <c r="S241" s="79"/>
      <c r="T241" s="59"/>
      <c r="U241" s="34"/>
    </row>
    <row r="242" spans="1:21" x14ac:dyDescent="0.2">
      <c r="A242" s="393"/>
      <c r="B242" s="113" t="s">
        <v>807</v>
      </c>
      <c r="C242" s="397" t="s">
        <v>1235</v>
      </c>
      <c r="D242" s="405"/>
      <c r="E242" s="406"/>
      <c r="F242" s="184">
        <f>TrialBalanceA!I242</f>
        <v>0</v>
      </c>
      <c r="G242" s="184">
        <f>TrialBalanceB!I242</f>
        <v>0</v>
      </c>
      <c r="H242" s="184">
        <f>TrialBalanceC!I242</f>
        <v>0</v>
      </c>
      <c r="I242" s="87"/>
      <c r="J242" s="347">
        <f>SUMIF(Journals!D$14:D$920,TrialBalance!P242,Journals!J$14:J$920)+SUMIF(Journals!E$14:E$920,TrialBalance!P242,Journals!J$14:J$920)</f>
        <v>0</v>
      </c>
      <c r="K242" s="408"/>
      <c r="L242" s="410">
        <f t="shared" si="61"/>
        <v>0</v>
      </c>
      <c r="M242" s="83"/>
      <c r="N242" s="56">
        <f t="shared" si="62"/>
        <v>0</v>
      </c>
      <c r="P242" s="196" t="str">
        <f t="shared" si="63"/>
        <v>6100/032Investment property - additions</v>
      </c>
      <c r="Q242" s="78"/>
      <c r="R242" s="34"/>
      <c r="S242" s="79"/>
      <c r="T242" s="59"/>
      <c r="U242" s="34"/>
    </row>
    <row r="243" spans="1:21" x14ac:dyDescent="0.2">
      <c r="A243" s="393"/>
      <c r="B243" s="113" t="s">
        <v>808</v>
      </c>
      <c r="C243" s="397" t="s">
        <v>1236</v>
      </c>
      <c r="D243" s="405"/>
      <c r="E243" s="406"/>
      <c r="F243" s="184">
        <f>TrialBalanceA!I243</f>
        <v>0</v>
      </c>
      <c r="G243" s="184">
        <f>TrialBalanceB!I243</f>
        <v>0</v>
      </c>
      <c r="H243" s="184">
        <f>TrialBalanceC!I243</f>
        <v>0</v>
      </c>
      <c r="I243" s="87"/>
      <c r="J243" s="347">
        <f>SUMIF(Journals!D$14:D$920,TrialBalance!P243,Journals!J$14:J$920)+SUMIF(Journals!E$14:E$920,TrialBalance!P243,Journals!J$14:J$920)</f>
        <v>0</v>
      </c>
      <c r="K243" s="408"/>
      <c r="L243" s="410">
        <f t="shared" si="61"/>
        <v>0</v>
      </c>
      <c r="M243" s="83"/>
      <c r="N243" s="56">
        <f t="shared" si="62"/>
        <v>0</v>
      </c>
      <c r="P243" s="196" t="str">
        <f t="shared" si="63"/>
        <v>6100/033Investment property - cost of sales</v>
      </c>
      <c r="Q243" s="78"/>
      <c r="R243" s="34"/>
      <c r="S243" s="79"/>
      <c r="T243" s="59"/>
      <c r="U243" s="34"/>
    </row>
    <row r="244" spans="1:21" x14ac:dyDescent="0.2">
      <c r="A244" s="393"/>
      <c r="B244" s="113" t="s">
        <v>1299</v>
      </c>
      <c r="C244" s="397" t="s">
        <v>1237</v>
      </c>
      <c r="D244" s="405"/>
      <c r="E244" s="406"/>
      <c r="F244" s="184">
        <f>TrialBalanceA!I244</f>
        <v>0</v>
      </c>
      <c r="G244" s="184">
        <f>TrialBalanceB!I244</f>
        <v>0</v>
      </c>
      <c r="H244" s="184">
        <f>TrialBalanceC!I244</f>
        <v>0</v>
      </c>
      <c r="I244" s="87"/>
      <c r="J244" s="347">
        <f>SUMIF(Journals!D$14:D$920,TrialBalance!P244,Journals!J$14:J$920)+SUMIF(Journals!E$14:E$920,TrialBalance!P244,Journals!J$14:J$920)</f>
        <v>0</v>
      </c>
      <c r="K244" s="408"/>
      <c r="L244" s="410">
        <f t="shared" si="61"/>
        <v>0</v>
      </c>
      <c r="M244" s="83"/>
      <c r="N244" s="56">
        <f t="shared" si="62"/>
        <v>0</v>
      </c>
      <c r="P244" s="196" t="str">
        <f t="shared" si="63"/>
        <v>6100/034Investment property - transfer from property</v>
      </c>
      <c r="Q244" s="78"/>
      <c r="R244" s="34"/>
      <c r="S244" s="79"/>
      <c r="T244" s="59"/>
      <c r="U244" s="34"/>
    </row>
    <row r="245" spans="1:21" x14ac:dyDescent="0.2">
      <c r="A245" s="393"/>
      <c r="B245" s="113" t="s">
        <v>1317</v>
      </c>
      <c r="C245" s="397" t="s">
        <v>1318</v>
      </c>
      <c r="D245" s="405"/>
      <c r="E245" s="406"/>
      <c r="F245" s="184">
        <f>TrialBalanceA!I245</f>
        <v>0</v>
      </c>
      <c r="G245" s="184">
        <f>TrialBalanceB!I245</f>
        <v>0</v>
      </c>
      <c r="H245" s="184">
        <f>TrialBalanceC!I245</f>
        <v>0</v>
      </c>
      <c r="I245" s="87"/>
      <c r="J245" s="347">
        <f>SUMIF(Journals!D$14:D$920,TrialBalance!P245,Journals!J$14:J$920)+SUMIF(Journals!E$14:E$920,TrialBalance!P245,Journals!J$14:J$920)</f>
        <v>0</v>
      </c>
      <c r="K245" s="408"/>
      <c r="L245" s="410">
        <f t="shared" ref="L245" si="64">ROUND(D245-E245+F245+G245+H245+J245+I245,0)</f>
        <v>0</v>
      </c>
      <c r="M245" s="83"/>
      <c r="N245" s="56">
        <f t="shared" ref="N245" si="65">ROUND(SUM(A245),0)</f>
        <v>0</v>
      </c>
      <c r="P245" s="196" t="str">
        <f t="shared" ref="P245" si="66">CONCATENATE(B245,C245)</f>
        <v>6100/035Investment property - transfer to property</v>
      </c>
      <c r="Q245" s="78"/>
      <c r="R245" s="34"/>
      <c r="S245" s="79"/>
      <c r="T245" s="59"/>
      <c r="U245" s="34"/>
    </row>
    <row r="246" spans="1:21" x14ac:dyDescent="0.2">
      <c r="A246" s="393"/>
      <c r="B246" s="113" t="s">
        <v>1300</v>
      </c>
      <c r="C246" s="396" t="s">
        <v>1304</v>
      </c>
      <c r="D246" s="405"/>
      <c r="E246" s="406"/>
      <c r="F246" s="184"/>
      <c r="G246" s="184"/>
      <c r="H246" s="184"/>
      <c r="I246" s="87"/>
      <c r="J246" s="347">
        <f>SUMIF(Journals!D$14:D$920,TrialBalance!P246,Journals!J$14:J$920)+SUMIF(Journals!E$14:E$920,TrialBalance!P246,Journals!J$14:J$920)</f>
        <v>0</v>
      </c>
      <c r="K246" s="409"/>
      <c r="L246" s="410">
        <f t="shared" ref="L246:L250" si="67">ROUND(D246-E246+F246+G246+H246+J246+I246,0)</f>
        <v>0</v>
      </c>
      <c r="M246" s="83"/>
      <c r="N246" s="56">
        <f t="shared" si="46"/>
        <v>0</v>
      </c>
      <c r="P246" s="196" t="str">
        <f t="shared" si="57"/>
        <v>6100/040INVESTMENT PROPERTY - VALUATION</v>
      </c>
      <c r="Q246" s="78"/>
      <c r="R246" s="34"/>
      <c r="S246" s="79"/>
      <c r="T246" s="59"/>
      <c r="U246" s="34"/>
    </row>
    <row r="247" spans="1:21" x14ac:dyDescent="0.2">
      <c r="A247" s="393"/>
      <c r="B247" s="113" t="s">
        <v>1301</v>
      </c>
      <c r="C247" s="397" t="s">
        <v>1305</v>
      </c>
      <c r="D247" s="405"/>
      <c r="E247" s="406"/>
      <c r="F247" s="184"/>
      <c r="G247" s="184"/>
      <c r="H247" s="184"/>
      <c r="I247" s="87">
        <f>SUM(N247:N250)</f>
        <v>0</v>
      </c>
      <c r="J247" s="347">
        <f>SUMIF(Journals!D$14:D$920,TrialBalance!P247,Journals!J$14:J$920)+SUMIF(Journals!E$14:E$920,TrialBalance!P247,Journals!J$14:J$920)</f>
        <v>0</v>
      </c>
      <c r="K247" s="408"/>
      <c r="L247" s="410">
        <f t="shared" si="67"/>
        <v>0</v>
      </c>
      <c r="M247" s="83"/>
      <c r="N247" s="56">
        <f t="shared" si="46"/>
        <v>0</v>
      </c>
      <c r="P247" s="196" t="str">
        <f t="shared" si="57"/>
        <v>6100/041Investment property - valuation b/fwd</v>
      </c>
      <c r="Q247" s="78"/>
      <c r="R247" s="34"/>
      <c r="S247" s="79"/>
      <c r="T247" s="59"/>
      <c r="U247" s="34"/>
    </row>
    <row r="248" spans="1:21" x14ac:dyDescent="0.2">
      <c r="A248" s="393"/>
      <c r="B248" s="113" t="s">
        <v>1302</v>
      </c>
      <c r="C248" s="397" t="s">
        <v>1306</v>
      </c>
      <c r="D248" s="405"/>
      <c r="E248" s="406"/>
      <c r="F248" s="184">
        <f>TrialBalanceA!I248</f>
        <v>0</v>
      </c>
      <c r="G248" s="184">
        <f>TrialBalanceB!I248</f>
        <v>0</v>
      </c>
      <c r="H248" s="184">
        <f>TrialBalanceC!I248</f>
        <v>0</v>
      </c>
      <c r="I248" s="87"/>
      <c r="J248" s="347">
        <f>SUMIF(Journals!D$14:D$920,TrialBalance!P248,Journals!J$14:J$920)+SUMIF(Journals!E$14:E$920,TrialBalance!P248,Journals!J$14:J$920)</f>
        <v>0</v>
      </c>
      <c r="K248" s="408"/>
      <c r="L248" s="410">
        <f t="shared" si="67"/>
        <v>0</v>
      </c>
      <c r="M248" s="83"/>
      <c r="N248" s="56">
        <f t="shared" si="46"/>
        <v>0</v>
      </c>
      <c r="P248" s="196" t="str">
        <f t="shared" si="57"/>
        <v>6100/042Investment property - valuation additions</v>
      </c>
      <c r="Q248" s="78"/>
      <c r="R248" s="34"/>
      <c r="S248" s="79"/>
      <c r="T248" s="59"/>
      <c r="U248" s="34"/>
    </row>
    <row r="249" spans="1:21" x14ac:dyDescent="0.2">
      <c r="A249" s="393"/>
      <c r="B249" s="113" t="s">
        <v>1303</v>
      </c>
      <c r="C249" s="397" t="s">
        <v>1320</v>
      </c>
      <c r="D249" s="405"/>
      <c r="E249" s="406"/>
      <c r="F249" s="184">
        <f>TrialBalanceA!I249</f>
        <v>0</v>
      </c>
      <c r="G249" s="184">
        <f>TrialBalanceB!I249</f>
        <v>0</v>
      </c>
      <c r="H249" s="184">
        <f>TrialBalanceC!I249</f>
        <v>0</v>
      </c>
      <c r="I249" s="87"/>
      <c r="J249" s="347">
        <f>SUMIF(Journals!D$14:D$920,TrialBalance!P249,Journals!J$14:J$920)+SUMIF(Journals!E$14:E$920,TrialBalance!P249,Journals!J$14:J$920)</f>
        <v>0</v>
      </c>
      <c r="K249" s="408"/>
      <c r="L249" s="410">
        <f t="shared" ref="L249" si="68">ROUND(D249-E249+F249+G249+H249+J249+I249,0)</f>
        <v>0</v>
      </c>
      <c r="M249" s="83"/>
      <c r="N249" s="56">
        <f t="shared" ref="N249" si="69">ROUND(SUM(A249),0)</f>
        <v>0</v>
      </c>
      <c r="P249" s="196" t="str">
        <f t="shared" ref="P249" si="70">CONCATENATE(B249,C249)</f>
        <v>6100/043Investment property - valuation reduction on sales</v>
      </c>
      <c r="Q249" s="78"/>
      <c r="R249" s="34"/>
      <c r="S249" s="79"/>
      <c r="T249" s="59"/>
      <c r="U249" s="34"/>
    </row>
    <row r="250" spans="1:21" x14ac:dyDescent="0.2">
      <c r="A250" s="393"/>
      <c r="B250" s="113" t="s">
        <v>1321</v>
      </c>
      <c r="C250" s="397" t="s">
        <v>1322</v>
      </c>
      <c r="D250" s="405"/>
      <c r="E250" s="406"/>
      <c r="F250" s="184">
        <f>TrialBalanceA!I250</f>
        <v>0</v>
      </c>
      <c r="G250" s="184">
        <f>TrialBalanceB!I250</f>
        <v>0</v>
      </c>
      <c r="H250" s="184">
        <f>TrialBalanceC!I250</f>
        <v>0</v>
      </c>
      <c r="I250" s="87"/>
      <c r="J250" s="347">
        <f>SUMIF(Journals!D$14:D$920,TrialBalance!P250,Journals!J$14:J$920)+SUMIF(Journals!E$14:E$920,TrialBalance!P250,Journals!J$14:J$920)</f>
        <v>0</v>
      </c>
      <c r="K250" s="408"/>
      <c r="L250" s="410">
        <f t="shared" si="67"/>
        <v>0</v>
      </c>
      <c r="M250" s="83"/>
      <c r="N250" s="56">
        <f t="shared" si="46"/>
        <v>0</v>
      </c>
      <c r="P250" s="196" t="str">
        <f t="shared" si="57"/>
        <v>6100/044Investment property - valuation reduction on transfers</v>
      </c>
      <c r="Q250" s="78"/>
      <c r="R250" s="34"/>
      <c r="S250" s="79"/>
      <c r="T250" s="59"/>
      <c r="U250" s="34"/>
    </row>
    <row r="251" spans="1:21" x14ac:dyDescent="0.2">
      <c r="A251" s="393"/>
      <c r="B251" s="62" t="s">
        <v>316</v>
      </c>
      <c r="C251" s="396" t="s">
        <v>943</v>
      </c>
      <c r="D251" s="405"/>
      <c r="E251" s="406"/>
      <c r="F251" s="184"/>
      <c r="G251" s="184"/>
      <c r="H251" s="184"/>
      <c r="I251" s="87"/>
      <c r="J251" s="347">
        <f>SUMIF(Journals!D$14:D$920,TrialBalance!P251,Journals!J$14:J$920)+SUMIF(Journals!E$14:E$920,TrialBalance!P251,Journals!J$14:J$920)</f>
        <v>0</v>
      </c>
      <c r="K251" s="408"/>
      <c r="L251" s="410">
        <f t="shared" si="45"/>
        <v>0</v>
      </c>
      <c r="M251" s="83"/>
      <c r="N251" s="56">
        <f t="shared" si="46"/>
        <v>0</v>
      </c>
      <c r="P251" s="196" t="str">
        <f t="shared" si="57"/>
        <v>6150/000PLANT AND MACHINERY - COST</v>
      </c>
      <c r="Q251" s="78"/>
      <c r="R251" s="34"/>
      <c r="S251" s="79"/>
      <c r="T251" s="59"/>
      <c r="U251" s="34"/>
    </row>
    <row r="252" spans="1:21" x14ac:dyDescent="0.2">
      <c r="A252" s="393"/>
      <c r="B252" s="62" t="s">
        <v>41</v>
      </c>
      <c r="C252" s="397" t="s">
        <v>944</v>
      </c>
      <c r="D252" s="405"/>
      <c r="E252" s="406"/>
      <c r="F252" s="184"/>
      <c r="G252" s="184"/>
      <c r="H252" s="184"/>
      <c r="I252" s="87">
        <f>SUM(N252:N254)</f>
        <v>0</v>
      </c>
      <c r="J252" s="347">
        <f>SUMIF(Journals!D$14:D$920,TrialBalance!P252,Journals!J$14:J$920)+SUMIF(Journals!E$14:E$920,TrialBalance!P252,Journals!J$14:J$920)</f>
        <v>0</v>
      </c>
      <c r="K252" s="408"/>
      <c r="L252" s="410">
        <f t="shared" si="45"/>
        <v>0</v>
      </c>
      <c r="M252" s="83"/>
      <c r="N252" s="56">
        <f t="shared" si="46"/>
        <v>0</v>
      </c>
      <c r="P252" s="196" t="str">
        <f t="shared" si="57"/>
        <v>6150/001Plant and machinery - cost b/fwd</v>
      </c>
      <c r="Q252" s="80"/>
      <c r="R252" s="34"/>
      <c r="S252" s="59"/>
      <c r="T252" s="59"/>
      <c r="U252" s="34"/>
    </row>
    <row r="253" spans="1:21" x14ac:dyDescent="0.2">
      <c r="A253" s="393"/>
      <c r="B253" s="62" t="s">
        <v>42</v>
      </c>
      <c r="C253" s="397" t="s">
        <v>945</v>
      </c>
      <c r="D253" s="405"/>
      <c r="E253" s="406"/>
      <c r="F253" s="184">
        <f>TrialBalanceA!I253</f>
        <v>0</v>
      </c>
      <c r="G253" s="184">
        <f>TrialBalanceB!I253</f>
        <v>0</v>
      </c>
      <c r="H253" s="184">
        <f>TrialBalanceC!I253</f>
        <v>0</v>
      </c>
      <c r="I253" s="87"/>
      <c r="J253" s="347">
        <f>SUMIF(Journals!D$14:D$920,TrialBalance!P253,Journals!J$14:J$920)+SUMIF(Journals!E$14:E$920,TrialBalance!P253,Journals!J$14:J$920)</f>
        <v>0</v>
      </c>
      <c r="K253" s="408"/>
      <c r="L253" s="410">
        <f t="shared" si="45"/>
        <v>0</v>
      </c>
      <c r="M253" s="83"/>
      <c r="N253" s="56">
        <f t="shared" si="46"/>
        <v>0</v>
      </c>
      <c r="P253" s="196" t="str">
        <f t="shared" si="57"/>
        <v>6150/002Plant and machinery - additions</v>
      </c>
      <c r="Q253" s="78"/>
      <c r="R253" s="34"/>
      <c r="S253" s="79"/>
      <c r="T253" s="59"/>
      <c r="U253" s="34"/>
    </row>
    <row r="254" spans="1:21" x14ac:dyDescent="0.2">
      <c r="A254" s="393"/>
      <c r="B254" s="62" t="s">
        <v>43</v>
      </c>
      <c r="C254" s="397" t="s">
        <v>946</v>
      </c>
      <c r="D254" s="405"/>
      <c r="E254" s="406"/>
      <c r="F254" s="184">
        <f>TrialBalanceA!I254</f>
        <v>0</v>
      </c>
      <c r="G254" s="184">
        <f>TrialBalanceB!I254</f>
        <v>0</v>
      </c>
      <c r="H254" s="184">
        <f>TrialBalanceC!I254</f>
        <v>0</v>
      </c>
      <c r="I254" s="87"/>
      <c r="J254" s="347">
        <f>SUMIF(Journals!D$14:D$920,TrialBalance!P254,Journals!J$14:J$920)+SUMIF(Journals!E$14:E$920,TrialBalance!P254,Journals!J$14:J$920)</f>
        <v>0</v>
      </c>
      <c r="K254" s="408"/>
      <c r="L254" s="410">
        <f t="shared" si="45"/>
        <v>0</v>
      </c>
      <c r="M254" s="83"/>
      <c r="N254" s="56">
        <f t="shared" si="46"/>
        <v>0</v>
      </c>
      <c r="P254" s="196" t="str">
        <f t="shared" si="57"/>
        <v>6150/003Plant and machinery - cost of sales</v>
      </c>
      <c r="Q254" s="78"/>
      <c r="R254" s="34"/>
      <c r="S254" s="79"/>
      <c r="T254" s="59"/>
      <c r="U254" s="34"/>
    </row>
    <row r="255" spans="1:21" x14ac:dyDescent="0.2">
      <c r="A255" s="393"/>
      <c r="B255" s="62" t="s">
        <v>18</v>
      </c>
      <c r="C255" s="396" t="s">
        <v>947</v>
      </c>
      <c r="D255" s="405"/>
      <c r="E255" s="406"/>
      <c r="F255" s="184"/>
      <c r="G255" s="184"/>
      <c r="H255" s="184"/>
      <c r="I255" s="87"/>
      <c r="J255" s="347">
        <f>SUMIF(Journals!D$14:D$920,TrialBalance!P255,Journals!J$14:J$920)+SUMIF(Journals!E$14:E$920,TrialBalance!P255,Journals!J$14:J$920)</f>
        <v>0</v>
      </c>
      <c r="K255" s="408"/>
      <c r="L255" s="410">
        <f t="shared" si="45"/>
        <v>0</v>
      </c>
      <c r="M255" s="83"/>
      <c r="N255" s="56">
        <f t="shared" si="46"/>
        <v>0</v>
      </c>
      <c r="P255" s="196" t="str">
        <f t="shared" si="57"/>
        <v>6150/020PLANT AND MACHINERY - ACC DEPR</v>
      </c>
      <c r="Q255" s="78"/>
      <c r="R255" s="34"/>
      <c r="S255" s="79"/>
      <c r="T255" s="59"/>
      <c r="U255" s="34"/>
    </row>
    <row r="256" spans="1:21" x14ac:dyDescent="0.2">
      <c r="A256" s="393"/>
      <c r="B256" s="62" t="s">
        <v>19</v>
      </c>
      <c r="C256" s="397" t="s">
        <v>948</v>
      </c>
      <c r="D256" s="405"/>
      <c r="E256" s="406"/>
      <c r="F256" s="184"/>
      <c r="G256" s="184"/>
      <c r="H256" s="184"/>
      <c r="I256" s="87">
        <f>SUM(N256:N258)</f>
        <v>0</v>
      </c>
      <c r="J256" s="347">
        <f>SUMIF(Journals!D$14:D$920,TrialBalance!P256,Journals!J$14:J$920)+SUMIF(Journals!E$14:E$920,TrialBalance!P256,Journals!J$14:J$920)</f>
        <v>0</v>
      </c>
      <c r="K256" s="408"/>
      <c r="L256" s="410">
        <f t="shared" si="45"/>
        <v>0</v>
      </c>
      <c r="M256" s="83"/>
      <c r="N256" s="56">
        <f t="shared" si="46"/>
        <v>0</v>
      </c>
      <c r="P256" s="196" t="str">
        <f t="shared" si="57"/>
        <v>6150/021Plant and machinery - acc depr b/fwd</v>
      </c>
      <c r="Q256" s="78"/>
      <c r="R256" s="34"/>
      <c r="S256" s="79"/>
      <c r="T256" s="59"/>
      <c r="U256" s="34"/>
    </row>
    <row r="257" spans="1:21" x14ac:dyDescent="0.2">
      <c r="A257" s="393"/>
      <c r="B257" s="62" t="s">
        <v>35</v>
      </c>
      <c r="C257" s="397" t="s">
        <v>949</v>
      </c>
      <c r="D257" s="405"/>
      <c r="E257" s="406"/>
      <c r="F257" s="184">
        <f>TrialBalanceA!I257</f>
        <v>0</v>
      </c>
      <c r="G257" s="184">
        <f>TrialBalanceB!I257</f>
        <v>0</v>
      </c>
      <c r="H257" s="184">
        <f>TrialBalanceC!I257</f>
        <v>0</v>
      </c>
      <c r="I257" s="87">
        <f>-FARegister!Z13</f>
        <v>0</v>
      </c>
      <c r="J257" s="347">
        <f>SUMIF(Journals!D$14:D$920,TrialBalance!P257,Journals!J$14:J$920)+SUMIF(Journals!E$14:E$920,TrialBalance!P257,Journals!J$14:J$920)</f>
        <v>0</v>
      </c>
      <c r="K257" s="408"/>
      <c r="L257" s="410">
        <f t="shared" si="45"/>
        <v>0</v>
      </c>
      <c r="M257" s="83"/>
      <c r="N257" s="56">
        <f t="shared" si="46"/>
        <v>0</v>
      </c>
      <c r="P257" s="196" t="str">
        <f t="shared" si="57"/>
        <v>6150/022Plant and machinery - depr this year</v>
      </c>
      <c r="Q257" s="78"/>
      <c r="R257" s="34"/>
      <c r="S257" s="79"/>
      <c r="T257" s="59"/>
      <c r="U257" s="34"/>
    </row>
    <row r="258" spans="1:21" x14ac:dyDescent="0.2">
      <c r="A258" s="393"/>
      <c r="B258" s="62" t="s">
        <v>36</v>
      </c>
      <c r="C258" s="397" t="s">
        <v>950</v>
      </c>
      <c r="D258" s="405"/>
      <c r="E258" s="406"/>
      <c r="F258" s="184">
        <f>TrialBalanceA!I258</f>
        <v>0</v>
      </c>
      <c r="G258" s="184">
        <f>TrialBalanceB!I258</f>
        <v>0</v>
      </c>
      <c r="H258" s="184">
        <f>TrialBalanceC!I258</f>
        <v>0</v>
      </c>
      <c r="I258" s="87"/>
      <c r="J258" s="347">
        <f>SUMIF(Journals!D$14:D$920,TrialBalance!P258,Journals!J$14:J$920)+SUMIF(Journals!E$14:E$920,TrialBalance!P258,Journals!J$14:J$920)</f>
        <v>0</v>
      </c>
      <c r="K258" s="408"/>
      <c r="L258" s="410">
        <f t="shared" si="45"/>
        <v>0</v>
      </c>
      <c r="M258" s="83"/>
      <c r="N258" s="56">
        <f t="shared" si="46"/>
        <v>0</v>
      </c>
      <c r="P258" s="196" t="str">
        <f t="shared" si="57"/>
        <v>6150/023Plant and machinery - acc depr on sales</v>
      </c>
      <c r="Q258" s="78"/>
      <c r="R258" s="34"/>
      <c r="S258" s="79"/>
      <c r="T258" s="59"/>
      <c r="U258" s="34"/>
    </row>
    <row r="259" spans="1:21" x14ac:dyDescent="0.2">
      <c r="A259" s="393"/>
      <c r="B259" s="62" t="s">
        <v>37</v>
      </c>
      <c r="C259" s="396" t="s">
        <v>38</v>
      </c>
      <c r="D259" s="405"/>
      <c r="E259" s="406"/>
      <c r="F259" s="184"/>
      <c r="G259" s="184"/>
      <c r="H259" s="184"/>
      <c r="I259" s="87"/>
      <c r="J259" s="347">
        <f>SUMIF(Journals!D$14:D$920,TrialBalance!P259,Journals!J$14:J$920)+SUMIF(Journals!E$14:E$920,TrialBalance!P259,Journals!J$14:J$920)</f>
        <v>0</v>
      </c>
      <c r="K259" s="408"/>
      <c r="L259" s="410">
        <f t="shared" si="45"/>
        <v>0</v>
      </c>
      <c r="M259" s="83"/>
      <c r="N259" s="56">
        <f t="shared" si="46"/>
        <v>0</v>
      </c>
      <c r="P259" s="196" t="str">
        <f t="shared" si="57"/>
        <v>6200/000MOTOR VEHICLES - COST</v>
      </c>
      <c r="Q259" s="78"/>
      <c r="R259" s="34"/>
      <c r="S259" s="79"/>
      <c r="T259" s="59"/>
      <c r="U259" s="34"/>
    </row>
    <row r="260" spans="1:21" x14ac:dyDescent="0.2">
      <c r="A260" s="393"/>
      <c r="B260" s="62" t="s">
        <v>39</v>
      </c>
      <c r="C260" s="397" t="s">
        <v>951</v>
      </c>
      <c r="D260" s="405"/>
      <c r="E260" s="406"/>
      <c r="F260" s="184"/>
      <c r="G260" s="184"/>
      <c r="H260" s="184"/>
      <c r="I260" s="87">
        <f>SUM(N260:N262)</f>
        <v>0</v>
      </c>
      <c r="J260" s="347">
        <f>SUMIF(Journals!D$14:D$920,TrialBalance!P260,Journals!J$14:J$920)+SUMIF(Journals!E$14:E$920,TrialBalance!P260,Journals!J$14:J$920)</f>
        <v>0</v>
      </c>
      <c r="K260" s="408"/>
      <c r="L260" s="410">
        <f t="shared" si="45"/>
        <v>0</v>
      </c>
      <c r="M260" s="83"/>
      <c r="N260" s="56">
        <f t="shared" si="46"/>
        <v>0</v>
      </c>
      <c r="P260" s="196" t="str">
        <f t="shared" si="57"/>
        <v>6200/001Motor vehicles - cost b/fwd</v>
      </c>
      <c r="Q260" s="80"/>
      <c r="R260" s="34"/>
      <c r="S260" s="79"/>
      <c r="T260" s="59"/>
      <c r="U260" s="34"/>
    </row>
    <row r="261" spans="1:21" x14ac:dyDescent="0.2">
      <c r="A261" s="393"/>
      <c r="B261" s="62" t="s">
        <v>40</v>
      </c>
      <c r="C261" s="397" t="s">
        <v>952</v>
      </c>
      <c r="D261" s="405"/>
      <c r="E261" s="406"/>
      <c r="F261" s="184">
        <f>TrialBalanceA!I261</f>
        <v>0</v>
      </c>
      <c r="G261" s="184">
        <f>TrialBalanceB!I261</f>
        <v>0</v>
      </c>
      <c r="H261" s="184">
        <f>TrialBalanceC!I261</f>
        <v>0</v>
      </c>
      <c r="I261" s="87"/>
      <c r="J261" s="347">
        <f>SUMIF(Journals!D$14:D$920,TrialBalance!P261,Journals!J$14:J$920)+SUMIF(Journals!E$14:E$920,TrialBalance!P261,Journals!J$14:J$920)</f>
        <v>0</v>
      </c>
      <c r="K261" s="408"/>
      <c r="L261" s="410">
        <f t="shared" si="45"/>
        <v>0</v>
      </c>
      <c r="M261" s="83"/>
      <c r="N261" s="56">
        <f t="shared" si="46"/>
        <v>0</v>
      </c>
      <c r="P261" s="196" t="str">
        <f t="shared" si="57"/>
        <v>6200/002Motor vehicles - additions</v>
      </c>
      <c r="Q261" s="78"/>
      <c r="R261" s="34"/>
      <c r="S261" s="79"/>
      <c r="T261" s="59"/>
      <c r="U261" s="34"/>
    </row>
    <row r="262" spans="1:21" x14ac:dyDescent="0.2">
      <c r="A262" s="393"/>
      <c r="B262" s="62" t="s">
        <v>518</v>
      </c>
      <c r="C262" s="397" t="s">
        <v>953</v>
      </c>
      <c r="D262" s="405"/>
      <c r="E262" s="406"/>
      <c r="F262" s="184">
        <f>TrialBalanceA!I262</f>
        <v>0</v>
      </c>
      <c r="G262" s="184">
        <f>TrialBalanceB!I262</f>
        <v>0</v>
      </c>
      <c r="H262" s="184">
        <f>TrialBalanceC!I262</f>
        <v>0</v>
      </c>
      <c r="I262" s="87"/>
      <c r="J262" s="347">
        <f>SUMIF(Journals!D$14:D$920,TrialBalance!P262,Journals!J$14:J$920)+SUMIF(Journals!E$14:E$920,TrialBalance!P262,Journals!J$14:J$920)</f>
        <v>0</v>
      </c>
      <c r="K262" s="408"/>
      <c r="L262" s="410">
        <f t="shared" si="45"/>
        <v>0</v>
      </c>
      <c r="M262" s="83"/>
      <c r="N262" s="56">
        <f t="shared" si="46"/>
        <v>0</v>
      </c>
      <c r="P262" s="196" t="str">
        <f t="shared" si="57"/>
        <v>6200/003Motor vehicles - cost of sales</v>
      </c>
      <c r="Q262" s="78"/>
      <c r="R262" s="34"/>
      <c r="S262" s="79"/>
      <c r="T262" s="59"/>
      <c r="U262" s="34"/>
    </row>
    <row r="263" spans="1:21" x14ac:dyDescent="0.2">
      <c r="A263" s="393"/>
      <c r="B263" s="62" t="s">
        <v>0</v>
      </c>
      <c r="C263" s="396" t="s">
        <v>1</v>
      </c>
      <c r="D263" s="405"/>
      <c r="E263" s="406"/>
      <c r="F263" s="184"/>
      <c r="G263" s="184"/>
      <c r="H263" s="184"/>
      <c r="I263" s="87"/>
      <c r="J263" s="347">
        <f>SUMIF(Journals!D$14:D$920,TrialBalance!P263,Journals!J$14:J$920)+SUMIF(Journals!E$14:E$920,TrialBalance!P263,Journals!J$14:J$920)</f>
        <v>0</v>
      </c>
      <c r="K263" s="408"/>
      <c r="L263" s="410">
        <f t="shared" si="45"/>
        <v>0</v>
      </c>
      <c r="M263" s="83"/>
      <c r="N263" s="56">
        <f t="shared" si="46"/>
        <v>0</v>
      </c>
      <c r="P263" s="196" t="str">
        <f t="shared" si="57"/>
        <v>6200/020MOTOR VEHICLES - ACC DEPR</v>
      </c>
      <c r="Q263" s="78"/>
      <c r="R263" s="34"/>
      <c r="S263" s="79"/>
      <c r="T263" s="59"/>
      <c r="U263" s="34"/>
    </row>
    <row r="264" spans="1:21" x14ac:dyDescent="0.2">
      <c r="A264" s="393"/>
      <c r="B264" s="62" t="s">
        <v>2</v>
      </c>
      <c r="C264" s="397" t="s">
        <v>954</v>
      </c>
      <c r="D264" s="405"/>
      <c r="E264" s="406"/>
      <c r="F264" s="184"/>
      <c r="G264" s="184"/>
      <c r="H264" s="184"/>
      <c r="I264" s="87">
        <f>SUM(N264:N266)</f>
        <v>0</v>
      </c>
      <c r="J264" s="347">
        <f>SUMIF(Journals!D$14:D$920,TrialBalance!P264,Journals!J$14:J$920)+SUMIF(Journals!E$14:E$920,TrialBalance!P264,Journals!J$14:J$920)</f>
        <v>0</v>
      </c>
      <c r="K264" s="408"/>
      <c r="L264" s="410">
        <f t="shared" si="45"/>
        <v>0</v>
      </c>
      <c r="M264" s="83"/>
      <c r="N264" s="56">
        <f t="shared" si="46"/>
        <v>0</v>
      </c>
      <c r="P264" s="196" t="str">
        <f t="shared" si="57"/>
        <v>6200/021Motor vehicles - acc depr b/fwd</v>
      </c>
      <c r="Q264" s="78"/>
      <c r="R264" s="34"/>
      <c r="S264" s="79"/>
      <c r="T264" s="79"/>
      <c r="U264" s="34"/>
    </row>
    <row r="265" spans="1:21" x14ac:dyDescent="0.2">
      <c r="A265" s="393"/>
      <c r="B265" s="62" t="s">
        <v>3</v>
      </c>
      <c r="C265" s="397" t="s">
        <v>955</v>
      </c>
      <c r="D265" s="405"/>
      <c r="E265" s="406"/>
      <c r="F265" s="184">
        <f>TrialBalanceA!I265</f>
        <v>0</v>
      </c>
      <c r="G265" s="184">
        <f>TrialBalanceB!I265</f>
        <v>0</v>
      </c>
      <c r="H265" s="184">
        <f>TrialBalanceC!I265</f>
        <v>0</v>
      </c>
      <c r="I265" s="87">
        <f>-FARegister!Z14</f>
        <v>0</v>
      </c>
      <c r="J265" s="347">
        <f>SUMIF(Journals!D$14:D$920,TrialBalance!P265,Journals!J$14:J$920)+SUMIF(Journals!E$14:E$920,TrialBalance!P265,Journals!J$14:J$920)</f>
        <v>0</v>
      </c>
      <c r="K265" s="408"/>
      <c r="L265" s="410">
        <f t="shared" si="45"/>
        <v>0</v>
      </c>
      <c r="M265" s="83"/>
      <c r="N265" s="56">
        <f t="shared" si="46"/>
        <v>0</v>
      </c>
      <c r="P265" s="196" t="str">
        <f t="shared" si="57"/>
        <v>6200/022Motor vehicles - depr this year</v>
      </c>
      <c r="Q265" s="78"/>
      <c r="R265" s="34"/>
      <c r="S265" s="79"/>
      <c r="T265" s="79"/>
      <c r="U265" s="34"/>
    </row>
    <row r="266" spans="1:21" x14ac:dyDescent="0.2">
      <c r="A266" s="393"/>
      <c r="B266" s="62" t="s">
        <v>4</v>
      </c>
      <c r="C266" s="397" t="s">
        <v>956</v>
      </c>
      <c r="D266" s="405"/>
      <c r="E266" s="406"/>
      <c r="F266" s="184">
        <f>TrialBalanceA!I266</f>
        <v>0</v>
      </c>
      <c r="G266" s="184">
        <f>TrialBalanceB!I266</f>
        <v>0</v>
      </c>
      <c r="H266" s="184">
        <f>TrialBalanceC!I266</f>
        <v>0</v>
      </c>
      <c r="I266" s="87"/>
      <c r="J266" s="347">
        <f>SUMIF(Journals!D$14:D$920,TrialBalance!P266,Journals!J$14:J$920)+SUMIF(Journals!E$14:E$920,TrialBalance!P266,Journals!J$14:J$920)</f>
        <v>0</v>
      </c>
      <c r="K266" s="408"/>
      <c r="L266" s="410">
        <f t="shared" si="45"/>
        <v>0</v>
      </c>
      <c r="M266" s="83"/>
      <c r="N266" s="56">
        <f t="shared" si="46"/>
        <v>0</v>
      </c>
      <c r="P266" s="196" t="str">
        <f t="shared" si="57"/>
        <v>6200/023Motor vehicles - acc depr on sales</v>
      </c>
      <c r="Q266" s="78"/>
      <c r="R266" s="34"/>
      <c r="S266" s="79"/>
      <c r="T266" s="59"/>
      <c r="U266" s="34"/>
    </row>
    <row r="267" spans="1:21" x14ac:dyDescent="0.2">
      <c r="A267" s="393"/>
      <c r="B267" s="62" t="s">
        <v>5</v>
      </c>
      <c r="C267" s="396" t="s">
        <v>135</v>
      </c>
      <c r="D267" s="405"/>
      <c r="E267" s="406"/>
      <c r="F267" s="184"/>
      <c r="G267" s="184"/>
      <c r="H267" s="184"/>
      <c r="I267" s="87"/>
      <c r="J267" s="347">
        <f>SUMIF(Journals!D$14:D$920,TrialBalance!P267,Journals!J$14:J$920)+SUMIF(Journals!E$14:E$920,TrialBalance!P267,Journals!J$14:J$920)</f>
        <v>0</v>
      </c>
      <c r="K267" s="408"/>
      <c r="L267" s="410">
        <f t="shared" si="45"/>
        <v>0</v>
      </c>
      <c r="M267" s="83"/>
      <c r="N267" s="56">
        <f t="shared" si="46"/>
        <v>0</v>
      </c>
      <c r="P267" s="196" t="str">
        <f t="shared" si="57"/>
        <v>6250/000ELECTRONIC EQUIPMENT - COST</v>
      </c>
      <c r="Q267" s="78"/>
      <c r="R267" s="34"/>
      <c r="S267" s="79"/>
      <c r="T267" s="59"/>
      <c r="U267" s="34"/>
    </row>
    <row r="268" spans="1:21" x14ac:dyDescent="0.2">
      <c r="A268" s="393"/>
      <c r="B268" s="62" t="s">
        <v>6</v>
      </c>
      <c r="C268" s="397" t="s">
        <v>957</v>
      </c>
      <c r="D268" s="405"/>
      <c r="E268" s="406"/>
      <c r="F268" s="184"/>
      <c r="G268" s="184"/>
      <c r="H268" s="184"/>
      <c r="I268" s="87">
        <f>SUM(N268:N270)</f>
        <v>0</v>
      </c>
      <c r="J268" s="347">
        <f>SUMIF(Journals!D$14:D$920,TrialBalance!P268,Journals!J$14:J$920)+SUMIF(Journals!E$14:E$920,TrialBalance!P268,Journals!J$14:J$920)</f>
        <v>0</v>
      </c>
      <c r="K268" s="408"/>
      <c r="L268" s="410">
        <f t="shared" si="45"/>
        <v>0</v>
      </c>
      <c r="M268" s="83"/>
      <c r="N268" s="56">
        <f t="shared" si="46"/>
        <v>0</v>
      </c>
      <c r="P268" s="196" t="str">
        <f t="shared" si="57"/>
        <v>6250/001Electronic equipment - cost b/fwd</v>
      </c>
      <c r="Q268" s="78"/>
      <c r="R268" s="34"/>
      <c r="S268" s="59"/>
      <c r="T268" s="59"/>
      <c r="U268" s="34"/>
    </row>
    <row r="269" spans="1:21" x14ac:dyDescent="0.2">
      <c r="A269" s="393"/>
      <c r="B269" s="62" t="s">
        <v>7</v>
      </c>
      <c r="C269" s="397" t="s">
        <v>958</v>
      </c>
      <c r="D269" s="405"/>
      <c r="E269" s="406"/>
      <c r="F269" s="184">
        <f>TrialBalanceA!I269</f>
        <v>0</v>
      </c>
      <c r="G269" s="184">
        <f>TrialBalanceB!I269</f>
        <v>0</v>
      </c>
      <c r="H269" s="184">
        <f>TrialBalanceC!I269</f>
        <v>0</v>
      </c>
      <c r="I269" s="87"/>
      <c r="J269" s="347">
        <f>SUMIF(Journals!D$14:D$920,TrialBalance!P269,Journals!J$14:J$920)+SUMIF(Journals!E$14:E$920,TrialBalance!P269,Journals!J$14:J$920)</f>
        <v>0</v>
      </c>
      <c r="K269" s="408"/>
      <c r="L269" s="410">
        <f>ROUND(D269-E269+F269+G269+H269+J269+I269,0)</f>
        <v>0</v>
      </c>
      <c r="M269" s="83"/>
      <c r="N269" s="56">
        <f t="shared" si="46"/>
        <v>0</v>
      </c>
      <c r="P269" s="196" t="str">
        <f t="shared" si="57"/>
        <v>6250/002Electronic equipment - additions</v>
      </c>
      <c r="Q269" s="78"/>
      <c r="R269" s="34"/>
      <c r="S269" s="79"/>
      <c r="T269" s="59"/>
      <c r="U269" s="34"/>
    </row>
    <row r="270" spans="1:21" x14ac:dyDescent="0.2">
      <c r="A270" s="393"/>
      <c r="B270" s="62" t="s">
        <v>8</v>
      </c>
      <c r="C270" s="397" t="s">
        <v>959</v>
      </c>
      <c r="D270" s="405"/>
      <c r="E270" s="406"/>
      <c r="F270" s="184">
        <f>TrialBalanceA!I270</f>
        <v>0</v>
      </c>
      <c r="G270" s="184">
        <f>TrialBalanceB!I270</f>
        <v>0</v>
      </c>
      <c r="H270" s="184">
        <f>TrialBalanceC!I270</f>
        <v>0</v>
      </c>
      <c r="I270" s="87"/>
      <c r="J270" s="347">
        <f>SUMIF(Journals!D$14:D$920,TrialBalance!P270,Journals!J$14:J$920)+SUMIF(Journals!E$14:E$920,TrialBalance!P270,Journals!J$14:J$920)</f>
        <v>0</v>
      </c>
      <c r="K270" s="408"/>
      <c r="L270" s="410">
        <f t="shared" si="45"/>
        <v>0</v>
      </c>
      <c r="M270" s="83"/>
      <c r="N270" s="56">
        <f t="shared" si="46"/>
        <v>0</v>
      </c>
      <c r="P270" s="196" t="str">
        <f t="shared" si="57"/>
        <v>6250/003Electronic equipment - cost of sales</v>
      </c>
      <c r="Q270" s="78"/>
      <c r="R270" s="34"/>
      <c r="S270" s="79"/>
      <c r="T270" s="59"/>
      <c r="U270" s="34"/>
    </row>
    <row r="271" spans="1:21" x14ac:dyDescent="0.2">
      <c r="A271" s="393"/>
      <c r="B271" s="62" t="s">
        <v>9</v>
      </c>
      <c r="C271" s="396" t="s">
        <v>136</v>
      </c>
      <c r="D271" s="405"/>
      <c r="E271" s="406"/>
      <c r="F271" s="184"/>
      <c r="G271" s="184"/>
      <c r="H271" s="184"/>
      <c r="I271" s="87"/>
      <c r="J271" s="347">
        <f>SUMIF(Journals!D$14:D$920,TrialBalance!P271,Journals!J$14:J$920)+SUMIF(Journals!E$14:E$920,TrialBalance!P271,Journals!J$14:J$920)</f>
        <v>0</v>
      </c>
      <c r="K271" s="408"/>
      <c r="L271" s="410">
        <f t="shared" si="45"/>
        <v>0</v>
      </c>
      <c r="M271" s="83"/>
      <c r="N271" s="56">
        <f t="shared" si="46"/>
        <v>0</v>
      </c>
      <c r="P271" s="196" t="str">
        <f t="shared" si="57"/>
        <v>6250/020ELECTRONIC EQUIPMENT - ACC DEPR</v>
      </c>
      <c r="Q271" s="78"/>
      <c r="R271" s="34"/>
      <c r="S271" s="79"/>
      <c r="T271" s="59"/>
      <c r="U271" s="34"/>
    </row>
    <row r="272" spans="1:21" x14ac:dyDescent="0.2">
      <c r="A272" s="393"/>
      <c r="B272" s="62" t="s">
        <v>10</v>
      </c>
      <c r="C272" s="397" t="s">
        <v>960</v>
      </c>
      <c r="D272" s="405"/>
      <c r="E272" s="406"/>
      <c r="F272" s="184"/>
      <c r="G272" s="184"/>
      <c r="H272" s="184"/>
      <c r="I272" s="87">
        <f>SUM(N272:N274)</f>
        <v>0</v>
      </c>
      <c r="J272" s="347">
        <f>SUMIF(Journals!D$14:D$920,TrialBalance!P272,Journals!J$14:J$920)+SUMIF(Journals!E$14:E$920,TrialBalance!P272,Journals!J$14:J$920)</f>
        <v>0</v>
      </c>
      <c r="K272" s="408"/>
      <c r="L272" s="410">
        <f t="shared" si="45"/>
        <v>0</v>
      </c>
      <c r="M272" s="83"/>
      <c r="N272" s="56">
        <f t="shared" si="46"/>
        <v>0</v>
      </c>
      <c r="P272" s="196" t="str">
        <f t="shared" si="57"/>
        <v>6250/021Electronic equipment - acc depr b/fwd</v>
      </c>
      <c r="Q272" s="78"/>
      <c r="R272" s="34"/>
      <c r="S272" s="59"/>
      <c r="T272" s="59"/>
      <c r="U272" s="34"/>
    </row>
    <row r="273" spans="1:21" x14ac:dyDescent="0.2">
      <c r="A273" s="393"/>
      <c r="B273" s="62" t="s">
        <v>11</v>
      </c>
      <c r="C273" s="397" t="s">
        <v>961</v>
      </c>
      <c r="D273" s="405"/>
      <c r="E273" s="406"/>
      <c r="F273" s="184">
        <f>TrialBalanceA!I273</f>
        <v>0</v>
      </c>
      <c r="G273" s="184">
        <f>TrialBalanceB!I273</f>
        <v>0</v>
      </c>
      <c r="H273" s="184">
        <f>TrialBalanceC!I273</f>
        <v>0</v>
      </c>
      <c r="I273" s="87">
        <f>-FARegister!Z15</f>
        <v>0</v>
      </c>
      <c r="J273" s="347">
        <f>SUMIF(Journals!D$14:D$920,TrialBalance!P273,Journals!J$14:J$920)+SUMIF(Journals!E$14:E$920,TrialBalance!P273,Journals!J$14:J$920)</f>
        <v>0</v>
      </c>
      <c r="K273" s="408"/>
      <c r="L273" s="410">
        <f t="shared" si="45"/>
        <v>0</v>
      </c>
      <c r="M273" s="83"/>
      <c r="N273" s="56">
        <f t="shared" si="46"/>
        <v>0</v>
      </c>
      <c r="P273" s="196" t="str">
        <f t="shared" si="57"/>
        <v>6250/022Electronic equipment - depr this year</v>
      </c>
      <c r="Q273" s="78"/>
      <c r="R273" s="34"/>
      <c r="S273" s="79"/>
      <c r="T273" s="59"/>
      <c r="U273" s="34"/>
    </row>
    <row r="274" spans="1:21" x14ac:dyDescent="0.2">
      <c r="A274" s="393"/>
      <c r="B274" s="62" t="s">
        <v>12</v>
      </c>
      <c r="C274" s="397" t="s">
        <v>962</v>
      </c>
      <c r="D274" s="405"/>
      <c r="E274" s="406"/>
      <c r="F274" s="184">
        <f>TrialBalanceA!I274</f>
        <v>0</v>
      </c>
      <c r="G274" s="184">
        <f>TrialBalanceB!I274</f>
        <v>0</v>
      </c>
      <c r="H274" s="184">
        <f>TrialBalanceC!I274</f>
        <v>0</v>
      </c>
      <c r="I274" s="87"/>
      <c r="J274" s="347">
        <f>SUMIF(Journals!D$14:D$920,TrialBalance!P274,Journals!J$14:J$920)+SUMIF(Journals!E$14:E$920,TrialBalance!P274,Journals!J$14:J$920)</f>
        <v>0</v>
      </c>
      <c r="K274" s="408"/>
      <c r="L274" s="410">
        <f t="shared" si="45"/>
        <v>0</v>
      </c>
      <c r="M274" s="83"/>
      <c r="N274" s="56">
        <f t="shared" si="46"/>
        <v>0</v>
      </c>
      <c r="P274" s="196" t="str">
        <f t="shared" si="57"/>
        <v>6250/023Electronic equipment - acc depr on sales</v>
      </c>
      <c r="Q274" s="78"/>
      <c r="R274" s="34"/>
      <c r="S274" s="79"/>
      <c r="T274" s="59"/>
      <c r="U274" s="34"/>
    </row>
    <row r="275" spans="1:21" x14ac:dyDescent="0.2">
      <c r="A275" s="393"/>
      <c r="B275" s="62" t="s">
        <v>14</v>
      </c>
      <c r="C275" s="396" t="s">
        <v>963</v>
      </c>
      <c r="D275" s="405"/>
      <c r="E275" s="406"/>
      <c r="F275" s="184"/>
      <c r="G275" s="184"/>
      <c r="H275" s="184"/>
      <c r="I275" s="87"/>
      <c r="J275" s="347">
        <f>SUMIF(Journals!D$14:D$920,TrialBalance!P275,Journals!J$14:J$920)+SUMIF(Journals!E$14:E$920,TrialBalance!P275,Journals!J$14:J$920)</f>
        <v>0</v>
      </c>
      <c r="K275" s="408"/>
      <c r="L275" s="410">
        <f t="shared" si="45"/>
        <v>0</v>
      </c>
      <c r="M275" s="83"/>
      <c r="N275" s="56">
        <f t="shared" si="46"/>
        <v>0</v>
      </c>
      <c r="P275" s="196" t="str">
        <f t="shared" si="57"/>
        <v>6350/000FURNITURE AND FITTINGS - COST</v>
      </c>
      <c r="Q275" s="78"/>
      <c r="R275" s="34"/>
      <c r="S275" s="79"/>
      <c r="T275" s="59"/>
      <c r="U275" s="34"/>
    </row>
    <row r="276" spans="1:21" x14ac:dyDescent="0.2">
      <c r="A276" s="393"/>
      <c r="B276" s="62" t="s">
        <v>15</v>
      </c>
      <c r="C276" s="397" t="s">
        <v>964</v>
      </c>
      <c r="D276" s="405"/>
      <c r="E276" s="406"/>
      <c r="F276" s="184"/>
      <c r="G276" s="184"/>
      <c r="H276" s="184"/>
      <c r="I276" s="87">
        <f>SUM(N276:N278)</f>
        <v>0</v>
      </c>
      <c r="J276" s="347">
        <f>SUMIF(Journals!D$14:D$920,TrialBalance!P276,Journals!J$14:J$920)+SUMIF(Journals!E$14:E$920,TrialBalance!P276,Journals!J$14:J$920)</f>
        <v>0</v>
      </c>
      <c r="K276" s="408"/>
      <c r="L276" s="410">
        <f t="shared" si="45"/>
        <v>0</v>
      </c>
      <c r="M276" s="83"/>
      <c r="N276" s="56">
        <f t="shared" si="46"/>
        <v>0</v>
      </c>
      <c r="P276" s="196" t="str">
        <f t="shared" si="57"/>
        <v>6350/001Furniture and fittings - cost b/fwd</v>
      </c>
      <c r="Q276" s="80"/>
      <c r="R276" s="34"/>
      <c r="S276" s="79"/>
      <c r="T276" s="59"/>
      <c r="U276" s="34"/>
    </row>
    <row r="277" spans="1:21" x14ac:dyDescent="0.2">
      <c r="A277" s="393"/>
      <c r="B277" s="62" t="s">
        <v>462</v>
      </c>
      <c r="C277" s="397" t="s">
        <v>965</v>
      </c>
      <c r="D277" s="405"/>
      <c r="E277" s="406"/>
      <c r="F277" s="184">
        <f>TrialBalanceA!I277</f>
        <v>0</v>
      </c>
      <c r="G277" s="184">
        <f>TrialBalanceB!I277</f>
        <v>0</v>
      </c>
      <c r="H277" s="184">
        <f>TrialBalanceC!I277</f>
        <v>0</v>
      </c>
      <c r="I277" s="87"/>
      <c r="J277" s="347">
        <f>SUMIF(Journals!D$14:D$920,TrialBalance!P277,Journals!J$14:J$920)+SUMIF(Journals!E$14:E$920,TrialBalance!P277,Journals!J$14:J$920)</f>
        <v>0</v>
      </c>
      <c r="K277" s="408"/>
      <c r="L277" s="410">
        <f t="shared" si="45"/>
        <v>0</v>
      </c>
      <c r="M277" s="83"/>
      <c r="N277" s="56">
        <f t="shared" si="46"/>
        <v>0</v>
      </c>
      <c r="P277" s="196" t="str">
        <f t="shared" ref="P277:P334" si="71">CONCATENATE(B277,C277)</f>
        <v>6350/002Furniture and fittings - additions</v>
      </c>
      <c r="Q277" s="78"/>
      <c r="R277" s="34"/>
      <c r="S277" s="79"/>
      <c r="T277" s="59"/>
      <c r="U277" s="34"/>
    </row>
    <row r="278" spans="1:21" x14ac:dyDescent="0.2">
      <c r="A278" s="393"/>
      <c r="B278" s="62" t="s">
        <v>478</v>
      </c>
      <c r="C278" s="397" t="s">
        <v>966</v>
      </c>
      <c r="D278" s="405"/>
      <c r="E278" s="406"/>
      <c r="F278" s="184">
        <f>TrialBalanceA!I278</f>
        <v>0</v>
      </c>
      <c r="G278" s="184">
        <f>TrialBalanceB!I278</f>
        <v>0</v>
      </c>
      <c r="H278" s="184">
        <f>TrialBalanceC!I278</f>
        <v>0</v>
      </c>
      <c r="I278" s="87"/>
      <c r="J278" s="347">
        <f>SUMIF(Journals!D$14:D$920,TrialBalance!P278,Journals!J$14:J$920)+SUMIF(Journals!E$14:E$920,TrialBalance!P278,Journals!J$14:J$920)</f>
        <v>0</v>
      </c>
      <c r="K278" s="408"/>
      <c r="L278" s="410">
        <f t="shared" si="45"/>
        <v>0</v>
      </c>
      <c r="M278" s="83"/>
      <c r="N278" s="56">
        <f t="shared" si="46"/>
        <v>0</v>
      </c>
      <c r="P278" s="196" t="str">
        <f t="shared" si="71"/>
        <v>6350/003Furniture and fittings - cost of sales</v>
      </c>
      <c r="Q278" s="78"/>
      <c r="R278" s="34"/>
      <c r="S278" s="79"/>
      <c r="T278" s="59"/>
      <c r="U278" s="34"/>
    </row>
    <row r="279" spans="1:21" x14ac:dyDescent="0.2">
      <c r="A279" s="393"/>
      <c r="B279" s="62" t="s">
        <v>300</v>
      </c>
      <c r="C279" s="396" t="s">
        <v>967</v>
      </c>
      <c r="D279" s="405"/>
      <c r="E279" s="405"/>
      <c r="F279" s="184"/>
      <c r="G279" s="184"/>
      <c r="H279" s="184"/>
      <c r="I279" s="87"/>
      <c r="J279" s="347">
        <f>SUMIF(Journals!D$14:D$920,TrialBalance!P279,Journals!J$14:J$920)+SUMIF(Journals!E$14:E$920,TrialBalance!P279,Journals!J$14:J$920)</f>
        <v>0</v>
      </c>
      <c r="K279" s="408"/>
      <c r="L279" s="410">
        <f t="shared" ref="L279:L372" si="72">ROUND(D279-E279+F279+G279+H279+J279+I279,0)</f>
        <v>0</v>
      </c>
      <c r="M279" s="83"/>
      <c r="N279" s="56">
        <f t="shared" si="46"/>
        <v>0</v>
      </c>
      <c r="P279" s="196" t="str">
        <f t="shared" si="71"/>
        <v>6350/020FURNITURE AND FITTINGS - ACC DEPR</v>
      </c>
      <c r="Q279" s="78"/>
      <c r="R279" s="34"/>
      <c r="S279" s="79"/>
      <c r="T279" s="59"/>
      <c r="U279" s="34"/>
    </row>
    <row r="280" spans="1:21" x14ac:dyDescent="0.2">
      <c r="A280" s="393"/>
      <c r="B280" s="62" t="s">
        <v>168</v>
      </c>
      <c r="C280" s="397" t="s">
        <v>968</v>
      </c>
      <c r="D280" s="405"/>
      <c r="E280" s="406"/>
      <c r="F280" s="184"/>
      <c r="G280" s="184"/>
      <c r="H280" s="184"/>
      <c r="I280" s="87">
        <f>SUM(N280:N282)</f>
        <v>0</v>
      </c>
      <c r="J280" s="347">
        <f>SUMIF(Journals!D$14:D$920,TrialBalance!P280,Journals!J$14:J$920)+SUMIF(Journals!E$14:E$920,TrialBalance!P280,Journals!J$14:J$920)</f>
        <v>0</v>
      </c>
      <c r="K280" s="408"/>
      <c r="L280" s="410">
        <f t="shared" si="72"/>
        <v>0</v>
      </c>
      <c r="M280" s="83"/>
      <c r="N280" s="56">
        <f t="shared" si="46"/>
        <v>0</v>
      </c>
      <c r="P280" s="196" t="str">
        <f t="shared" si="71"/>
        <v>6350/021Furniture and fittings - acc depr b/fwd</v>
      </c>
      <c r="Q280" s="78"/>
      <c r="R280" s="34"/>
      <c r="S280" s="79"/>
      <c r="T280" s="79"/>
      <c r="U280" s="34"/>
    </row>
    <row r="281" spans="1:21" x14ac:dyDescent="0.2">
      <c r="A281" s="393"/>
      <c r="B281" s="62" t="s">
        <v>169</v>
      </c>
      <c r="C281" s="397" t="s">
        <v>969</v>
      </c>
      <c r="D281" s="405"/>
      <c r="E281" s="406"/>
      <c r="F281" s="184">
        <f>TrialBalanceA!I281</f>
        <v>0</v>
      </c>
      <c r="G281" s="184">
        <f>TrialBalanceB!I281</f>
        <v>0</v>
      </c>
      <c r="H281" s="184">
        <f>TrialBalanceC!I281</f>
        <v>0</v>
      </c>
      <c r="I281" s="87">
        <f>-FARegister!Z16</f>
        <v>0</v>
      </c>
      <c r="J281" s="347">
        <f>SUMIF(Journals!D$14:D$920,TrialBalance!P281,Journals!J$14:J$920)+SUMIF(Journals!E$14:E$920,TrialBalance!P281,Journals!J$14:J$920)</f>
        <v>0</v>
      </c>
      <c r="K281" s="408"/>
      <c r="L281" s="410">
        <f t="shared" si="72"/>
        <v>0</v>
      </c>
      <c r="M281" s="83"/>
      <c r="N281" s="56">
        <f t="shared" si="46"/>
        <v>0</v>
      </c>
      <c r="P281" s="196" t="str">
        <f t="shared" si="71"/>
        <v>6350/022Furniture and fittings - depr this year</v>
      </c>
      <c r="Q281" s="78"/>
      <c r="R281" s="34"/>
      <c r="S281" s="79"/>
      <c r="T281" s="59"/>
      <c r="U281" s="34"/>
    </row>
    <row r="282" spans="1:21" x14ac:dyDescent="0.2">
      <c r="A282" s="393"/>
      <c r="B282" s="62" t="s">
        <v>279</v>
      </c>
      <c r="C282" s="397" t="s">
        <v>970</v>
      </c>
      <c r="D282" s="405"/>
      <c r="E282" s="406"/>
      <c r="F282" s="184">
        <f>TrialBalanceA!I282</f>
        <v>0</v>
      </c>
      <c r="G282" s="184">
        <f>TrialBalanceB!I282</f>
        <v>0</v>
      </c>
      <c r="H282" s="184">
        <f>TrialBalanceC!I282</f>
        <v>0</v>
      </c>
      <c r="I282" s="87"/>
      <c r="J282" s="347">
        <f>SUMIF(Journals!D$14:D$920,TrialBalance!P282,Journals!J$14:J$920)+SUMIF(Journals!E$14:E$920,TrialBalance!P282,Journals!J$14:J$920)</f>
        <v>0</v>
      </c>
      <c r="K282" s="408"/>
      <c r="L282" s="410">
        <f t="shared" si="72"/>
        <v>0</v>
      </c>
      <c r="M282" s="83"/>
      <c r="N282" s="56">
        <f t="shared" si="46"/>
        <v>0</v>
      </c>
      <c r="P282" s="196" t="str">
        <f t="shared" si="71"/>
        <v>6350/023Furniture and fittings - acc depr on sales</v>
      </c>
      <c r="Q282" s="78"/>
      <c r="R282" s="34"/>
      <c r="S282" s="79"/>
      <c r="T282" s="59"/>
      <c r="U282" s="34"/>
    </row>
    <row r="283" spans="1:21" x14ac:dyDescent="0.2">
      <c r="A283" s="393"/>
      <c r="B283" s="62" t="s">
        <v>500</v>
      </c>
      <c r="C283" s="396" t="s">
        <v>55</v>
      </c>
      <c r="D283" s="405"/>
      <c r="E283" s="406"/>
      <c r="F283" s="184"/>
      <c r="G283" s="184"/>
      <c r="H283" s="184"/>
      <c r="I283" s="87"/>
      <c r="J283" s="347">
        <f>SUMIF(Journals!D$14:D$920,TrialBalance!P283,Journals!J$14:J$920)+SUMIF(Journals!E$14:E$920,TrialBalance!P283,Journals!J$14:J$920)</f>
        <v>0</v>
      </c>
      <c r="K283" s="408"/>
      <c r="L283" s="410">
        <f t="shared" si="72"/>
        <v>0</v>
      </c>
      <c r="M283" s="83"/>
      <c r="N283" s="56">
        <f t="shared" ref="N283:N379" si="73">ROUND(SUM(A283),0)</f>
        <v>0</v>
      </c>
      <c r="P283" s="196" t="str">
        <f t="shared" si="71"/>
        <v>7000/000INTANGIBLE ASSETS</v>
      </c>
      <c r="Q283" s="78"/>
      <c r="R283" s="34"/>
      <c r="S283" s="79"/>
      <c r="T283" s="59"/>
      <c r="U283" s="34"/>
    </row>
    <row r="284" spans="1:21" x14ac:dyDescent="0.2">
      <c r="A284" s="393"/>
      <c r="B284" s="113" t="s">
        <v>1259</v>
      </c>
      <c r="C284" s="396" t="s">
        <v>1260</v>
      </c>
      <c r="D284" s="405"/>
      <c r="E284" s="406"/>
      <c r="F284" s="184"/>
      <c r="G284" s="184"/>
      <c r="H284" s="184"/>
      <c r="I284" s="87"/>
      <c r="J284" s="347">
        <f>SUMIF(Journals!D$14:D$920,TrialBalance!P284,Journals!J$14:J$920)+SUMIF(Journals!E$14:E$920,TrialBalance!P284,Journals!J$14:J$920)</f>
        <v>0</v>
      </c>
      <c r="K284" s="408"/>
      <c r="L284" s="410">
        <f t="shared" ref="L284:L301" si="74">ROUND(D284-E284+F284+G284+H284+J284+I284,0)</f>
        <v>0</v>
      </c>
      <c r="M284" s="83"/>
      <c r="N284" s="56">
        <f t="shared" ref="N284:N301" si="75">ROUND(SUM(A284),0)</f>
        <v>0</v>
      </c>
      <c r="P284" s="196" t="str">
        <f t="shared" ref="P284:P301" si="76">CONCATENATE(B284,C284)</f>
        <v>7000/001GOODWILL - COST</v>
      </c>
      <c r="Q284" s="78"/>
      <c r="R284" s="34"/>
      <c r="S284" s="79"/>
      <c r="T284" s="59"/>
      <c r="U284" s="34"/>
    </row>
    <row r="285" spans="1:21" x14ac:dyDescent="0.2">
      <c r="A285" s="393"/>
      <c r="B285" s="113" t="s">
        <v>1261</v>
      </c>
      <c r="C285" s="397" t="s">
        <v>1262</v>
      </c>
      <c r="D285" s="405"/>
      <c r="E285" s="406"/>
      <c r="F285" s="184"/>
      <c r="G285" s="184"/>
      <c r="H285" s="184"/>
      <c r="I285" s="87">
        <f>SUM(N285:N286)</f>
        <v>0</v>
      </c>
      <c r="J285" s="347">
        <f>SUMIF(Journals!D$14:D$920,TrialBalance!P285,Journals!J$14:J$920)+SUMIF(Journals!E$14:E$920,TrialBalance!P285,Journals!J$14:J$920)</f>
        <v>0</v>
      </c>
      <c r="K285" s="408"/>
      <c r="L285" s="410">
        <f t="shared" si="74"/>
        <v>0</v>
      </c>
      <c r="M285" s="83"/>
      <c r="N285" s="56">
        <f t="shared" si="75"/>
        <v>0</v>
      </c>
      <c r="P285" s="196" t="str">
        <f t="shared" si="76"/>
        <v>7000/002Goodwill - cost b/fwd</v>
      </c>
      <c r="Q285" s="78"/>
      <c r="R285" s="34"/>
      <c r="S285" s="79"/>
      <c r="T285" s="59"/>
      <c r="U285" s="34"/>
    </row>
    <row r="286" spans="1:21" x14ac:dyDescent="0.2">
      <c r="A286" s="393"/>
      <c r="B286" s="113" t="s">
        <v>1263</v>
      </c>
      <c r="C286" s="397" t="s">
        <v>1264</v>
      </c>
      <c r="D286" s="405"/>
      <c r="E286" s="406"/>
      <c r="F286" s="184">
        <f>TrialBalanceA!I286</f>
        <v>0</v>
      </c>
      <c r="G286" s="184">
        <f>TrialBalanceB!I286</f>
        <v>0</v>
      </c>
      <c r="H286" s="184">
        <f>TrialBalanceC!I286</f>
        <v>0</v>
      </c>
      <c r="I286" s="87"/>
      <c r="J286" s="347">
        <f>SUMIF(Journals!D$14:D$920,TrialBalance!P286,Journals!J$14:J$920)+SUMIF(Journals!E$14:E$920,TrialBalance!P286,Journals!J$14:J$920)</f>
        <v>0</v>
      </c>
      <c r="K286" s="408"/>
      <c r="L286" s="410">
        <f t="shared" si="74"/>
        <v>0</v>
      </c>
      <c r="M286" s="83"/>
      <c r="N286" s="56">
        <f t="shared" si="75"/>
        <v>0</v>
      </c>
      <c r="P286" s="196" t="str">
        <f t="shared" si="76"/>
        <v>7000/003Goodwill - additions</v>
      </c>
      <c r="Q286" s="78"/>
      <c r="R286" s="34"/>
      <c r="S286" s="79"/>
      <c r="T286" s="59"/>
      <c r="U286" s="34"/>
    </row>
    <row r="287" spans="1:21" x14ac:dyDescent="0.2">
      <c r="A287" s="393"/>
      <c r="B287" s="113" t="s">
        <v>1265</v>
      </c>
      <c r="C287" s="396" t="s">
        <v>1266</v>
      </c>
      <c r="D287" s="405"/>
      <c r="E287" s="406"/>
      <c r="F287" s="184"/>
      <c r="G287" s="184"/>
      <c r="H287" s="184"/>
      <c r="I287" s="87"/>
      <c r="J287" s="347">
        <f>SUMIF(Journals!D$14:D$920,TrialBalance!P287,Journals!J$14:J$920)+SUMIF(Journals!E$14:E$920,TrialBalance!P287,Journals!J$14:J$920)</f>
        <v>0</v>
      </c>
      <c r="K287" s="408"/>
      <c r="L287" s="410">
        <f t="shared" si="74"/>
        <v>0</v>
      </c>
      <c r="M287" s="83"/>
      <c r="N287" s="56">
        <f t="shared" si="75"/>
        <v>0</v>
      </c>
      <c r="P287" s="196" t="str">
        <f t="shared" si="76"/>
        <v>7000/005GOODWILL - ACC AMORTISATION</v>
      </c>
      <c r="Q287" s="78"/>
      <c r="R287" s="34"/>
      <c r="S287" s="79"/>
      <c r="T287" s="59"/>
      <c r="U287" s="34"/>
    </row>
    <row r="288" spans="1:21" x14ac:dyDescent="0.2">
      <c r="A288" s="393"/>
      <c r="B288" s="113" t="s">
        <v>1267</v>
      </c>
      <c r="C288" s="397" t="s">
        <v>1268</v>
      </c>
      <c r="D288" s="405"/>
      <c r="E288" s="406"/>
      <c r="F288" s="184"/>
      <c r="G288" s="184"/>
      <c r="H288" s="184"/>
      <c r="I288" s="87">
        <f>SUM(N288:N289)</f>
        <v>0</v>
      </c>
      <c r="J288" s="347">
        <f>SUMIF(Journals!D$14:D$920,TrialBalance!P288,Journals!J$14:J$920)+SUMIF(Journals!E$14:E$920,TrialBalance!P288,Journals!J$14:J$920)</f>
        <v>0</v>
      </c>
      <c r="K288" s="408"/>
      <c r="L288" s="410">
        <f t="shared" si="74"/>
        <v>0</v>
      </c>
      <c r="M288" s="83"/>
      <c r="N288" s="56">
        <f t="shared" si="75"/>
        <v>0</v>
      </c>
      <c r="P288" s="196" t="str">
        <f t="shared" si="76"/>
        <v>7000/006Goodwill - acc amortisation b/fwd</v>
      </c>
      <c r="Q288" s="78"/>
      <c r="R288" s="34"/>
      <c r="S288" s="79"/>
      <c r="T288" s="59"/>
      <c r="U288" s="34"/>
    </row>
    <row r="289" spans="1:21" x14ac:dyDescent="0.2">
      <c r="A289" s="393"/>
      <c r="B289" s="113" t="s">
        <v>1269</v>
      </c>
      <c r="C289" s="397" t="s">
        <v>1270</v>
      </c>
      <c r="D289" s="405"/>
      <c r="E289" s="406"/>
      <c r="F289" s="184">
        <f>TrialBalanceA!I289</f>
        <v>0</v>
      </c>
      <c r="G289" s="184">
        <f>TrialBalanceB!I289</f>
        <v>0</v>
      </c>
      <c r="H289" s="184">
        <f>TrialBalanceC!I289</f>
        <v>0</v>
      </c>
      <c r="I289" s="87"/>
      <c r="J289" s="347">
        <f>SUMIF(Journals!D$14:D$920,TrialBalance!P289,Journals!J$14:J$920)+SUMIF(Journals!E$14:E$920,TrialBalance!P289,Journals!J$14:J$920)</f>
        <v>0</v>
      </c>
      <c r="K289" s="408"/>
      <c r="L289" s="410">
        <f t="shared" si="74"/>
        <v>0</v>
      </c>
      <c r="M289" s="83"/>
      <c r="N289" s="56">
        <f t="shared" si="75"/>
        <v>0</v>
      </c>
      <c r="P289" s="196" t="str">
        <f t="shared" si="76"/>
        <v>7000/007Goodwill - amortisation this year</v>
      </c>
      <c r="Q289" s="78"/>
      <c r="R289" s="34"/>
      <c r="S289" s="79"/>
      <c r="T289" s="59"/>
      <c r="U289" s="34"/>
    </row>
    <row r="290" spans="1:21" x14ac:dyDescent="0.2">
      <c r="A290" s="393"/>
      <c r="B290" s="113" t="s">
        <v>501</v>
      </c>
      <c r="C290" s="396" t="s">
        <v>1271</v>
      </c>
      <c r="D290" s="405"/>
      <c r="E290" s="406"/>
      <c r="F290" s="184"/>
      <c r="G290" s="184"/>
      <c r="H290" s="184"/>
      <c r="I290" s="87"/>
      <c r="J290" s="347">
        <f>SUMIF(Journals!D$14:D$920,TrialBalance!P290,Journals!J$14:J$920)+SUMIF(Journals!E$14:E$920,TrialBalance!P290,Journals!J$14:J$920)</f>
        <v>0</v>
      </c>
      <c r="K290" s="408"/>
      <c r="L290" s="410">
        <f t="shared" si="74"/>
        <v>0</v>
      </c>
      <c r="M290" s="83"/>
      <c r="N290" s="56">
        <f t="shared" si="75"/>
        <v>0</v>
      </c>
      <c r="P290" s="196" t="str">
        <f t="shared" si="76"/>
        <v>7000/010GOODWILL - IMPAIRMENT</v>
      </c>
      <c r="Q290" s="78"/>
      <c r="R290" s="34"/>
      <c r="S290" s="79"/>
      <c r="T290" s="59"/>
      <c r="U290" s="34"/>
    </row>
    <row r="291" spans="1:21" x14ac:dyDescent="0.2">
      <c r="A291" s="393"/>
      <c r="B291" s="113" t="s">
        <v>707</v>
      </c>
      <c r="C291" s="397" t="s">
        <v>1272</v>
      </c>
      <c r="D291" s="405"/>
      <c r="E291" s="406"/>
      <c r="F291" s="184"/>
      <c r="G291" s="184"/>
      <c r="H291" s="184"/>
      <c r="I291" s="87">
        <f>SUM(N291:N292)</f>
        <v>0</v>
      </c>
      <c r="J291" s="347">
        <f>SUMIF(Journals!D$14:D$920,TrialBalance!P291,Journals!J$14:J$920)+SUMIF(Journals!E$14:E$920,TrialBalance!P291,Journals!J$14:J$920)</f>
        <v>0</v>
      </c>
      <c r="K291" s="408"/>
      <c r="L291" s="410">
        <f t="shared" si="74"/>
        <v>0</v>
      </c>
      <c r="M291" s="83"/>
      <c r="N291" s="56">
        <f t="shared" si="75"/>
        <v>0</v>
      </c>
      <c r="P291" s="196" t="str">
        <f t="shared" si="76"/>
        <v>7000/011Goodwill - impairment loss b/fwd</v>
      </c>
      <c r="Q291" s="78"/>
      <c r="R291" s="34"/>
      <c r="S291" s="79"/>
      <c r="T291" s="59"/>
      <c r="U291" s="34"/>
    </row>
    <row r="292" spans="1:21" x14ac:dyDescent="0.2">
      <c r="A292" s="393"/>
      <c r="B292" s="113" t="s">
        <v>1273</v>
      </c>
      <c r="C292" s="397" t="s">
        <v>1274</v>
      </c>
      <c r="D292" s="405"/>
      <c r="E292" s="406"/>
      <c r="F292" s="184">
        <f>TrialBalanceA!I292</f>
        <v>0</v>
      </c>
      <c r="G292" s="184">
        <f>TrialBalanceB!I292</f>
        <v>0</v>
      </c>
      <c r="H292" s="184">
        <f>TrialBalanceC!I292</f>
        <v>0</v>
      </c>
      <c r="I292" s="87"/>
      <c r="J292" s="347">
        <f>SUMIF(Journals!D$14:D$920,TrialBalance!P292,Journals!J$14:J$920)+SUMIF(Journals!E$14:E$920,TrialBalance!P292,Journals!J$14:J$920)</f>
        <v>0</v>
      </c>
      <c r="K292" s="408"/>
      <c r="L292" s="410">
        <f t="shared" si="74"/>
        <v>0</v>
      </c>
      <c r="M292" s="83"/>
      <c r="N292" s="56">
        <f t="shared" si="75"/>
        <v>0</v>
      </c>
      <c r="P292" s="196" t="str">
        <f t="shared" si="76"/>
        <v>7000/012Goodwill - impairment loss this year</v>
      </c>
      <c r="Q292" s="78"/>
      <c r="R292" s="34"/>
      <c r="S292" s="79"/>
      <c r="T292" s="59"/>
      <c r="U292" s="34"/>
    </row>
    <row r="293" spans="1:21" x14ac:dyDescent="0.2">
      <c r="A293" s="393"/>
      <c r="B293" s="113" t="s">
        <v>1275</v>
      </c>
      <c r="C293" s="396" t="s">
        <v>1276</v>
      </c>
      <c r="D293" s="405"/>
      <c r="E293" s="406"/>
      <c r="F293" s="184"/>
      <c r="G293" s="184"/>
      <c r="H293" s="184"/>
      <c r="I293" s="87"/>
      <c r="J293" s="347">
        <f>SUMIF(Journals!D$14:D$920,TrialBalance!P293,Journals!J$14:J$920)+SUMIF(Journals!E$14:E$920,TrialBalance!P293,Journals!J$14:J$920)</f>
        <v>0</v>
      </c>
      <c r="K293" s="408"/>
      <c r="L293" s="410">
        <f>ROUND(D293-E293+F293+G293+H293+J293+I293,0)</f>
        <v>0</v>
      </c>
      <c r="M293" s="83"/>
      <c r="N293" s="56">
        <f t="shared" si="75"/>
        <v>0</v>
      </c>
      <c r="P293" s="196" t="str">
        <f t="shared" si="76"/>
        <v>7000/021PREPAID LEASE AGREEMENT - COST</v>
      </c>
      <c r="Q293" s="78"/>
      <c r="R293" s="34"/>
      <c r="S293" s="79"/>
      <c r="T293" s="59"/>
      <c r="U293" s="34"/>
    </row>
    <row r="294" spans="1:21" x14ac:dyDescent="0.2">
      <c r="A294" s="393"/>
      <c r="B294" s="113" t="s">
        <v>1277</v>
      </c>
      <c r="C294" s="397" t="s">
        <v>1278</v>
      </c>
      <c r="D294" s="405"/>
      <c r="E294" s="406"/>
      <c r="F294" s="184"/>
      <c r="G294" s="184"/>
      <c r="H294" s="184"/>
      <c r="I294" s="87">
        <f>SUM(N294:N295)</f>
        <v>0</v>
      </c>
      <c r="J294" s="347">
        <f>SUMIF(Journals!D$14:D$920,TrialBalance!P294,Journals!J$14:J$920)+SUMIF(Journals!E$14:E$920,TrialBalance!P294,Journals!J$14:J$920)</f>
        <v>0</v>
      </c>
      <c r="K294" s="408"/>
      <c r="L294" s="410">
        <f t="shared" si="74"/>
        <v>0</v>
      </c>
      <c r="M294" s="83"/>
      <c r="N294" s="56">
        <f t="shared" si="75"/>
        <v>0</v>
      </c>
      <c r="P294" s="196" t="str">
        <f t="shared" si="76"/>
        <v>7000/022Prepaid lease agreement - cost b/fwd</v>
      </c>
      <c r="Q294" s="78"/>
      <c r="R294" s="34"/>
      <c r="S294" s="79"/>
      <c r="T294" s="59"/>
      <c r="U294" s="34"/>
    </row>
    <row r="295" spans="1:21" x14ac:dyDescent="0.2">
      <c r="A295" s="393"/>
      <c r="B295" s="113" t="s">
        <v>1279</v>
      </c>
      <c r="C295" s="397" t="s">
        <v>1280</v>
      </c>
      <c r="D295" s="405"/>
      <c r="E295" s="406"/>
      <c r="F295" s="184">
        <f>TrialBalanceA!I295</f>
        <v>0</v>
      </c>
      <c r="G295" s="184">
        <f>TrialBalanceB!I295</f>
        <v>0</v>
      </c>
      <c r="H295" s="184">
        <f>TrialBalanceC!I295</f>
        <v>0</v>
      </c>
      <c r="I295" s="87"/>
      <c r="J295" s="347">
        <f>SUMIF(Journals!D$14:D$920,TrialBalance!P295,Journals!J$14:J$920)+SUMIF(Journals!E$14:E$920,TrialBalance!P295,Journals!J$14:J$920)</f>
        <v>0</v>
      </c>
      <c r="K295" s="408"/>
      <c r="L295" s="410">
        <f t="shared" si="74"/>
        <v>0</v>
      </c>
      <c r="M295" s="83"/>
      <c r="N295" s="56">
        <f t="shared" si="75"/>
        <v>0</v>
      </c>
      <c r="P295" s="196" t="str">
        <f t="shared" si="76"/>
        <v>7000/023Prepaid lease agreement - additions</v>
      </c>
      <c r="Q295" s="78"/>
      <c r="R295" s="34"/>
      <c r="S295" s="79"/>
      <c r="T295" s="59"/>
      <c r="U295" s="34"/>
    </row>
    <row r="296" spans="1:21" x14ac:dyDescent="0.2">
      <c r="A296" s="393"/>
      <c r="B296" s="113" t="s">
        <v>502</v>
      </c>
      <c r="C296" s="396" t="s">
        <v>1281</v>
      </c>
      <c r="D296" s="405"/>
      <c r="E296" s="406"/>
      <c r="F296" s="184"/>
      <c r="G296" s="184"/>
      <c r="H296" s="184"/>
      <c r="I296" s="87"/>
      <c r="J296" s="347">
        <f>SUMIF(Journals!D$14:D$920,TrialBalance!P296,Journals!J$14:J$920)+SUMIF(Journals!E$14:E$920,TrialBalance!P296,Journals!J$14:J$920)</f>
        <v>0</v>
      </c>
      <c r="K296" s="408"/>
      <c r="L296" s="410">
        <f t="shared" si="74"/>
        <v>0</v>
      </c>
      <c r="M296" s="83"/>
      <c r="N296" s="56">
        <f t="shared" si="75"/>
        <v>0</v>
      </c>
      <c r="P296" s="196" t="str">
        <f t="shared" si="76"/>
        <v>7000/025PREPAID LEASE AGREEMENT - ACC AMORTISATION</v>
      </c>
      <c r="Q296" s="78"/>
      <c r="R296" s="34"/>
      <c r="S296" s="79"/>
      <c r="T296" s="59"/>
      <c r="U296" s="34"/>
    </row>
    <row r="297" spans="1:21" x14ac:dyDescent="0.2">
      <c r="A297" s="393"/>
      <c r="B297" s="113" t="s">
        <v>1282</v>
      </c>
      <c r="C297" s="397" t="s">
        <v>1283</v>
      </c>
      <c r="D297" s="405"/>
      <c r="E297" s="406"/>
      <c r="F297" s="184"/>
      <c r="G297" s="184"/>
      <c r="H297" s="184"/>
      <c r="I297" s="87">
        <f>SUM(N297:N298)</f>
        <v>0</v>
      </c>
      <c r="J297" s="347">
        <f>SUMIF(Journals!D$14:D$920,TrialBalance!P297,Journals!J$14:J$920)+SUMIF(Journals!E$14:E$920,TrialBalance!P297,Journals!J$14:J$920)</f>
        <v>0</v>
      </c>
      <c r="K297" s="408"/>
      <c r="L297" s="410">
        <f t="shared" si="74"/>
        <v>0</v>
      </c>
      <c r="M297" s="83"/>
      <c r="N297" s="56">
        <f t="shared" si="75"/>
        <v>0</v>
      </c>
      <c r="P297" s="196" t="str">
        <f t="shared" si="76"/>
        <v>7000/026Prepaid lease agreement - acc amortisation b/fwd</v>
      </c>
      <c r="Q297" s="78"/>
      <c r="R297" s="34"/>
      <c r="S297" s="79"/>
      <c r="T297" s="59"/>
      <c r="U297" s="34"/>
    </row>
    <row r="298" spans="1:21" x14ac:dyDescent="0.2">
      <c r="A298" s="393"/>
      <c r="B298" s="113" t="s">
        <v>1284</v>
      </c>
      <c r="C298" s="397" t="s">
        <v>1285</v>
      </c>
      <c r="D298" s="405"/>
      <c r="E298" s="406"/>
      <c r="F298" s="184">
        <f>TrialBalanceA!I298</f>
        <v>0</v>
      </c>
      <c r="G298" s="184">
        <f>TrialBalanceB!I298</f>
        <v>0</v>
      </c>
      <c r="H298" s="184">
        <f>TrialBalanceC!I298</f>
        <v>0</v>
      </c>
      <c r="I298" s="87"/>
      <c r="J298" s="347">
        <f>SUMIF(Journals!D$14:D$920,TrialBalance!P298,Journals!J$14:J$920)+SUMIF(Journals!E$14:E$920,TrialBalance!P298,Journals!J$14:J$920)</f>
        <v>0</v>
      </c>
      <c r="K298" s="408"/>
      <c r="L298" s="410">
        <f t="shared" si="74"/>
        <v>0</v>
      </c>
      <c r="M298" s="83"/>
      <c r="N298" s="56">
        <f t="shared" si="75"/>
        <v>0</v>
      </c>
      <c r="P298" s="196" t="str">
        <f t="shared" si="76"/>
        <v>7000/027Prepaid lease agreement - amortisation this year</v>
      </c>
      <c r="Q298" s="78"/>
      <c r="R298" s="34"/>
      <c r="S298" s="79"/>
      <c r="T298" s="59"/>
      <c r="U298" s="34"/>
    </row>
    <row r="299" spans="1:21" x14ac:dyDescent="0.2">
      <c r="A299" s="393"/>
      <c r="B299" s="113" t="s">
        <v>1286</v>
      </c>
      <c r="C299" s="396" t="s">
        <v>1287</v>
      </c>
      <c r="D299" s="405"/>
      <c r="E299" s="406"/>
      <c r="F299" s="184"/>
      <c r="G299" s="184"/>
      <c r="H299" s="184"/>
      <c r="I299" s="87"/>
      <c r="J299" s="347">
        <f>SUMIF(Journals!D$14:D$920,TrialBalance!P299,Journals!J$14:J$920)+SUMIF(Journals!E$14:E$920,TrialBalance!P299,Journals!J$14:J$920)</f>
        <v>0</v>
      </c>
      <c r="K299" s="408"/>
      <c r="L299" s="410">
        <f t="shared" si="74"/>
        <v>0</v>
      </c>
      <c r="M299" s="83"/>
      <c r="N299" s="56">
        <f t="shared" si="75"/>
        <v>0</v>
      </c>
      <c r="P299" s="196" t="str">
        <f t="shared" si="76"/>
        <v>7000/030PREPAID LEASE AGREEMENT - IMPAIRMENT</v>
      </c>
      <c r="Q299" s="78"/>
      <c r="R299" s="34"/>
      <c r="S299" s="79"/>
      <c r="T299" s="59"/>
      <c r="U299" s="34"/>
    </row>
    <row r="300" spans="1:21" x14ac:dyDescent="0.2">
      <c r="A300" s="393"/>
      <c r="B300" s="113" t="s">
        <v>1288</v>
      </c>
      <c r="C300" s="397" t="s">
        <v>1289</v>
      </c>
      <c r="D300" s="405"/>
      <c r="E300" s="406"/>
      <c r="F300" s="184"/>
      <c r="G300" s="184"/>
      <c r="H300" s="184"/>
      <c r="I300" s="87">
        <f>SUM(N300:N301)</f>
        <v>0</v>
      </c>
      <c r="J300" s="347">
        <f>SUMIF(Journals!D$14:D$920,TrialBalance!P300,Journals!J$14:J$920)+SUMIF(Journals!E$14:E$920,TrialBalance!P300,Journals!J$14:J$920)</f>
        <v>0</v>
      </c>
      <c r="K300" s="408"/>
      <c r="L300" s="410">
        <f t="shared" si="74"/>
        <v>0</v>
      </c>
      <c r="M300" s="83"/>
      <c r="N300" s="56">
        <f t="shared" si="75"/>
        <v>0</v>
      </c>
      <c r="P300" s="196" t="str">
        <f t="shared" si="76"/>
        <v>7000/031Prepaid lease agreement - impairment loss b/fwd</v>
      </c>
      <c r="Q300" s="78"/>
      <c r="R300" s="34"/>
      <c r="S300" s="79"/>
      <c r="T300" s="59"/>
      <c r="U300" s="34"/>
    </row>
    <row r="301" spans="1:21" x14ac:dyDescent="0.2">
      <c r="A301" s="393"/>
      <c r="B301" s="113" t="s">
        <v>1290</v>
      </c>
      <c r="C301" s="397" t="s">
        <v>1291</v>
      </c>
      <c r="D301" s="405"/>
      <c r="E301" s="406"/>
      <c r="F301" s="184">
        <f>TrialBalanceA!I301</f>
        <v>0</v>
      </c>
      <c r="G301" s="184">
        <f>TrialBalanceB!I301</f>
        <v>0</v>
      </c>
      <c r="H301" s="184">
        <f>TrialBalanceC!I301</f>
        <v>0</v>
      </c>
      <c r="I301" s="87"/>
      <c r="J301" s="347">
        <f>SUMIF(Journals!D$14:D$920,TrialBalance!P301,Journals!J$14:J$920)+SUMIF(Journals!E$14:E$920,TrialBalance!P301,Journals!J$14:J$920)</f>
        <v>0</v>
      </c>
      <c r="K301" s="408"/>
      <c r="L301" s="410">
        <f t="shared" si="74"/>
        <v>0</v>
      </c>
      <c r="M301" s="83"/>
      <c r="N301" s="56">
        <f t="shared" si="75"/>
        <v>0</v>
      </c>
      <c r="P301" s="196" t="str">
        <f t="shared" si="76"/>
        <v>7000/032Prepaid lease agreement - impairment loss this year</v>
      </c>
      <c r="Q301" s="78"/>
      <c r="R301" s="34"/>
      <c r="S301" s="79"/>
      <c r="T301" s="59"/>
      <c r="U301" s="34"/>
    </row>
    <row r="302" spans="1:21" x14ac:dyDescent="0.2">
      <c r="A302" s="393"/>
      <c r="B302" s="62" t="s">
        <v>503</v>
      </c>
      <c r="C302" s="396" t="s">
        <v>189</v>
      </c>
      <c r="D302" s="405"/>
      <c r="E302" s="406"/>
      <c r="F302" s="184"/>
      <c r="G302" s="184"/>
      <c r="H302" s="184"/>
      <c r="I302" s="87"/>
      <c r="J302" s="347">
        <f>SUMIF(Journals!D$14:D$920,TrialBalance!P302,Journals!J$14:J$920)+SUMIF(Journals!E$14:E$920,TrialBalance!P302,Journals!J$14:J$920)</f>
        <v>0</v>
      </c>
      <c r="K302" s="408"/>
      <c r="L302" s="410">
        <f t="shared" si="72"/>
        <v>0</v>
      </c>
      <c r="M302" s="83"/>
      <c r="N302" s="56">
        <f t="shared" si="73"/>
        <v>0</v>
      </c>
      <c r="P302" s="196" t="str">
        <f t="shared" si="71"/>
        <v>7100/000INVESTMENTS</v>
      </c>
      <c r="Q302" s="78"/>
      <c r="R302" s="34"/>
      <c r="S302" s="79"/>
      <c r="T302" s="59"/>
      <c r="U302" s="34"/>
    </row>
    <row r="303" spans="1:21" x14ac:dyDescent="0.2">
      <c r="A303" s="393"/>
      <c r="B303" s="113" t="s">
        <v>1209</v>
      </c>
      <c r="C303" s="397" t="s">
        <v>1203</v>
      </c>
      <c r="D303" s="405"/>
      <c r="E303" s="406"/>
      <c r="F303" s="184"/>
      <c r="G303" s="184"/>
      <c r="H303" s="184"/>
      <c r="I303" s="87"/>
      <c r="J303" s="347">
        <f>SUMIF(Journals!D$14:D$920,TrialBalance!P303,Journals!J$14:J$920)+SUMIF(Journals!E$14:E$920,TrialBalance!P303,Journals!J$14:J$920)</f>
        <v>0</v>
      </c>
      <c r="K303" s="408"/>
      <c r="L303" s="410">
        <f t="shared" ref="L303:L306" si="77">ROUND(D303-E303+F303+G303+H303+J303+I303,0)</f>
        <v>0</v>
      </c>
      <c r="M303" s="83"/>
      <c r="N303" s="56">
        <f t="shared" ref="N303:N306" si="78">ROUND(SUM(A303),0)</f>
        <v>0</v>
      </c>
      <c r="P303" s="196" t="str">
        <f t="shared" ref="P303:P306" si="79">CONCATENATE(B303,C303)</f>
        <v>7100/050INVESTMENTS IN ASSOCIATES</v>
      </c>
      <c r="Q303" s="78"/>
      <c r="R303" s="34"/>
      <c r="S303" s="79"/>
      <c r="T303" s="59"/>
      <c r="U303" s="34"/>
    </row>
    <row r="304" spans="1:21" x14ac:dyDescent="0.2">
      <c r="A304" s="393"/>
      <c r="B304" s="113" t="s">
        <v>1210</v>
      </c>
      <c r="C304" s="404" t="s">
        <v>1749</v>
      </c>
      <c r="D304" s="405"/>
      <c r="E304" s="406"/>
      <c r="F304" s="184">
        <f>TrialBalanceA!I304-TrialBalanceA!K304</f>
        <v>0</v>
      </c>
      <c r="G304" s="184">
        <f>TrialBalanceB!I304-TrialBalanceB!K304</f>
        <v>0</v>
      </c>
      <c r="H304" s="184">
        <f>TrialBalanceC!I304-TrialBalanceC!K304</f>
        <v>0</v>
      </c>
      <c r="I304" s="87">
        <f>N304</f>
        <v>0</v>
      </c>
      <c r="J304" s="347">
        <f>SUMIF(Journals!D$14:D$920,TrialBalance!P304,Journals!J$14:J$920)+SUMIF(Journals!E$14:E$920,TrialBalance!P304,Journals!J$14:J$920)</f>
        <v>0</v>
      </c>
      <c r="K304" s="408"/>
      <c r="L304" s="410">
        <f t="shared" si="77"/>
        <v>0</v>
      </c>
      <c r="M304" s="83"/>
      <c r="N304" s="56">
        <f t="shared" si="78"/>
        <v>0</v>
      </c>
      <c r="P304" s="196" t="str">
        <f t="shared" si="79"/>
        <v>7100/05130 Shares in ABC Company (Pty) Ltd - 30% interest</v>
      </c>
      <c r="Q304" s="78"/>
      <c r="R304" s="34"/>
      <c r="S304" s="79"/>
      <c r="T304" s="59"/>
      <c r="U304" s="34"/>
    </row>
    <row r="305" spans="1:21" x14ac:dyDescent="0.2">
      <c r="A305" s="393"/>
      <c r="B305" s="113" t="s">
        <v>1211</v>
      </c>
      <c r="C305" s="404"/>
      <c r="D305" s="405"/>
      <c r="E305" s="406"/>
      <c r="F305" s="184">
        <f>TrialBalanceA!I305-TrialBalanceA!K305</f>
        <v>0</v>
      </c>
      <c r="G305" s="184">
        <f>TrialBalanceB!I305-TrialBalanceB!K305</f>
        <v>0</v>
      </c>
      <c r="H305" s="184">
        <f>TrialBalanceC!I305-TrialBalanceC!K305</f>
        <v>0</v>
      </c>
      <c r="I305" s="87">
        <f t="shared" ref="I305:I306" si="80">N305</f>
        <v>0</v>
      </c>
      <c r="J305" s="347">
        <f>SUMIF(Journals!D$14:D$920,TrialBalance!P305,Journals!J$14:J$920)+SUMIF(Journals!E$14:E$920,TrialBalance!P305,Journals!J$14:J$920)</f>
        <v>0</v>
      </c>
      <c r="K305" s="408"/>
      <c r="L305" s="410">
        <f t="shared" si="77"/>
        <v>0</v>
      </c>
      <c r="M305" s="83"/>
      <c r="N305" s="56">
        <f t="shared" si="78"/>
        <v>0</v>
      </c>
      <c r="P305" s="196" t="str">
        <f t="shared" si="79"/>
        <v>7100/052</v>
      </c>
      <c r="Q305" s="78"/>
      <c r="R305" s="34"/>
      <c r="S305" s="79"/>
      <c r="T305" s="59"/>
      <c r="U305" s="34"/>
    </row>
    <row r="306" spans="1:21" x14ac:dyDescent="0.2">
      <c r="A306" s="393"/>
      <c r="B306" s="113" t="s">
        <v>1212</v>
      </c>
      <c r="C306" s="404"/>
      <c r="D306" s="405"/>
      <c r="E306" s="406"/>
      <c r="F306" s="184">
        <f>TrialBalanceA!I306-TrialBalanceA!K306</f>
        <v>0</v>
      </c>
      <c r="G306" s="184">
        <f>TrialBalanceB!I306-TrialBalanceB!K306</f>
        <v>0</v>
      </c>
      <c r="H306" s="184">
        <f>TrialBalanceC!I306-TrialBalanceC!K306</f>
        <v>0</v>
      </c>
      <c r="I306" s="87">
        <f t="shared" si="80"/>
        <v>0</v>
      </c>
      <c r="J306" s="347">
        <f>SUMIF(Journals!D$14:D$920,TrialBalance!P306,Journals!J$14:J$920)+SUMIF(Journals!E$14:E$920,TrialBalance!P306,Journals!J$14:J$920)</f>
        <v>0</v>
      </c>
      <c r="K306" s="408"/>
      <c r="L306" s="410">
        <f t="shared" si="77"/>
        <v>0</v>
      </c>
      <c r="M306" s="83"/>
      <c r="N306" s="56">
        <f t="shared" si="78"/>
        <v>0</v>
      </c>
      <c r="P306" s="196" t="str">
        <f t="shared" si="79"/>
        <v>7100/053</v>
      </c>
      <c r="Q306" s="78"/>
      <c r="R306" s="34"/>
      <c r="S306" s="79"/>
      <c r="T306" s="59"/>
      <c r="U306" s="34"/>
    </row>
    <row r="307" spans="1:21" x14ac:dyDescent="0.2">
      <c r="A307" s="393"/>
      <c r="B307" s="62" t="s">
        <v>504</v>
      </c>
      <c r="C307" s="394" t="s">
        <v>505</v>
      </c>
      <c r="D307" s="405"/>
      <c r="E307" s="406"/>
      <c r="F307" s="184"/>
      <c r="G307" s="184"/>
      <c r="H307" s="184"/>
      <c r="I307" s="87"/>
      <c r="J307" s="347">
        <f>SUMIF(Journals!D$14:D$920,TrialBalance!P307,Journals!J$14:J$920)+SUMIF(Journals!E$14:E$920,TrialBalance!P307,Journals!J$14:J$920)</f>
        <v>0</v>
      </c>
      <c r="K307" s="408"/>
      <c r="L307" s="410">
        <f t="shared" si="72"/>
        <v>0</v>
      </c>
      <c r="M307" s="83"/>
      <c r="N307" s="56">
        <f t="shared" si="73"/>
        <v>0</v>
      </c>
      <c r="P307" s="196" t="str">
        <f t="shared" si="71"/>
        <v>7100/100LISTED INVESTMENTS</v>
      </c>
      <c r="Q307" s="78"/>
      <c r="R307" s="34"/>
      <c r="S307" s="79"/>
      <c r="T307" s="59"/>
      <c r="U307" s="34"/>
    </row>
    <row r="308" spans="1:21" x14ac:dyDescent="0.2">
      <c r="A308" s="393"/>
      <c r="B308" s="62" t="s">
        <v>506</v>
      </c>
      <c r="C308" s="404"/>
      <c r="D308" s="405"/>
      <c r="E308" s="406"/>
      <c r="F308" s="184">
        <f>TrialBalanceA!I308-TrialBalanceA!K308</f>
        <v>0</v>
      </c>
      <c r="G308" s="184">
        <f>TrialBalanceB!I308-TrialBalanceB!K308</f>
        <v>0</v>
      </c>
      <c r="H308" s="184">
        <f>TrialBalanceC!I308-TrialBalanceC!K308</f>
        <v>0</v>
      </c>
      <c r="I308" s="87">
        <f>N308</f>
        <v>0</v>
      </c>
      <c r="J308" s="347">
        <f>SUMIF(Journals!D$14:D$920,TrialBalance!P308,Journals!J$14:J$920)+SUMIF(Journals!E$14:E$920,TrialBalance!P308,Journals!J$14:J$920)</f>
        <v>0</v>
      </c>
      <c r="K308" s="408"/>
      <c r="L308" s="410">
        <f t="shared" si="72"/>
        <v>0</v>
      </c>
      <c r="M308" s="83"/>
      <c r="N308" s="56">
        <f t="shared" si="73"/>
        <v>0</v>
      </c>
      <c r="P308" s="196" t="str">
        <f t="shared" si="71"/>
        <v>7100/101</v>
      </c>
      <c r="Q308" s="78"/>
      <c r="R308" s="34"/>
      <c r="S308" s="79"/>
      <c r="T308" s="59"/>
      <c r="U308" s="34"/>
    </row>
    <row r="309" spans="1:21" x14ac:dyDescent="0.2">
      <c r="A309" s="393"/>
      <c r="B309" s="62" t="s">
        <v>507</v>
      </c>
      <c r="C309" s="404"/>
      <c r="D309" s="405"/>
      <c r="E309" s="406"/>
      <c r="F309" s="184">
        <f>TrialBalanceA!I309-TrialBalanceA!K309</f>
        <v>0</v>
      </c>
      <c r="G309" s="184">
        <f>TrialBalanceB!I309-TrialBalanceB!K309</f>
        <v>0</v>
      </c>
      <c r="H309" s="184">
        <f>TrialBalanceC!I309-TrialBalanceC!K309</f>
        <v>0</v>
      </c>
      <c r="I309" s="87">
        <f>N309</f>
        <v>0</v>
      </c>
      <c r="J309" s="347">
        <f>SUMIF(Journals!D$14:D$920,TrialBalance!P309,Journals!J$14:J$920)+SUMIF(Journals!E$14:E$920,TrialBalance!P309,Journals!J$14:J$920)</f>
        <v>0</v>
      </c>
      <c r="K309" s="408"/>
      <c r="L309" s="410">
        <f t="shared" si="72"/>
        <v>0</v>
      </c>
      <c r="M309" s="83"/>
      <c r="N309" s="56">
        <f t="shared" si="73"/>
        <v>0</v>
      </c>
      <c r="P309" s="196" t="str">
        <f t="shared" si="71"/>
        <v>7100/102</v>
      </c>
      <c r="Q309" s="78"/>
      <c r="R309" s="34"/>
      <c r="S309" s="79"/>
      <c r="T309" s="59"/>
      <c r="U309" s="34"/>
    </row>
    <row r="310" spans="1:21" x14ac:dyDescent="0.2">
      <c r="A310" s="393"/>
      <c r="B310" s="62" t="s">
        <v>508</v>
      </c>
      <c r="C310" s="404"/>
      <c r="D310" s="405"/>
      <c r="E310" s="406"/>
      <c r="F310" s="184">
        <f>TrialBalanceA!I310-TrialBalanceA!K310</f>
        <v>0</v>
      </c>
      <c r="G310" s="184">
        <f>TrialBalanceB!I310-TrialBalanceB!K310</f>
        <v>0</v>
      </c>
      <c r="H310" s="184">
        <f>TrialBalanceC!I310-TrialBalanceC!K310</f>
        <v>0</v>
      </c>
      <c r="I310" s="87">
        <f>N310</f>
        <v>0</v>
      </c>
      <c r="J310" s="347">
        <f>SUMIF(Journals!D$14:D$920,TrialBalance!P310,Journals!J$14:J$920)+SUMIF(Journals!E$14:E$920,TrialBalance!P310,Journals!J$14:J$920)</f>
        <v>0</v>
      </c>
      <c r="K310" s="408"/>
      <c r="L310" s="410">
        <f t="shared" si="72"/>
        <v>0</v>
      </c>
      <c r="M310" s="83"/>
      <c r="N310" s="56">
        <f t="shared" si="73"/>
        <v>0</v>
      </c>
      <c r="P310" s="196" t="str">
        <f t="shared" si="71"/>
        <v>7100/103</v>
      </c>
      <c r="Q310" s="78"/>
      <c r="R310" s="34"/>
      <c r="S310" s="79"/>
      <c r="T310" s="59"/>
      <c r="U310" s="34"/>
    </row>
    <row r="311" spans="1:21" x14ac:dyDescent="0.2">
      <c r="A311" s="393"/>
      <c r="B311" s="62" t="s">
        <v>509</v>
      </c>
      <c r="C311" s="404"/>
      <c r="D311" s="405"/>
      <c r="E311" s="406"/>
      <c r="F311" s="184">
        <f>TrialBalanceA!I311-TrialBalanceA!K311</f>
        <v>0</v>
      </c>
      <c r="G311" s="184">
        <f>TrialBalanceB!I311-TrialBalanceB!K311</f>
        <v>0</v>
      </c>
      <c r="H311" s="184">
        <f>TrialBalanceC!I311-TrialBalanceC!K311</f>
        <v>0</v>
      </c>
      <c r="I311" s="87">
        <f>N311</f>
        <v>0</v>
      </c>
      <c r="J311" s="347">
        <f>SUMIF(Journals!D$14:D$920,TrialBalance!P311,Journals!J$14:J$920)+SUMIF(Journals!E$14:E$920,TrialBalance!P311,Journals!J$14:J$920)</f>
        <v>0</v>
      </c>
      <c r="K311" s="408"/>
      <c r="L311" s="410">
        <f t="shared" si="72"/>
        <v>0</v>
      </c>
      <c r="M311" s="83"/>
      <c r="N311" s="56">
        <f t="shared" si="73"/>
        <v>0</v>
      </c>
      <c r="P311" s="196" t="str">
        <f t="shared" si="71"/>
        <v>7100/104</v>
      </c>
      <c r="Q311" s="78"/>
      <c r="R311" s="34"/>
      <c r="S311" s="79"/>
      <c r="T311" s="59"/>
      <c r="U311" s="34"/>
    </row>
    <row r="312" spans="1:21" x14ac:dyDescent="0.2">
      <c r="A312" s="393"/>
      <c r="B312" s="62" t="s">
        <v>510</v>
      </c>
      <c r="C312" s="404"/>
      <c r="D312" s="405"/>
      <c r="E312" s="406"/>
      <c r="F312" s="184">
        <f>TrialBalanceA!I312-TrialBalanceA!K312</f>
        <v>0</v>
      </c>
      <c r="G312" s="184">
        <f>TrialBalanceB!I312-TrialBalanceB!K312</f>
        <v>0</v>
      </c>
      <c r="H312" s="184">
        <f>TrialBalanceC!I312-TrialBalanceC!K312</f>
        <v>0</v>
      </c>
      <c r="I312" s="87">
        <f>N312</f>
        <v>0</v>
      </c>
      <c r="J312" s="347">
        <f>SUMIF(Journals!D$14:D$920,TrialBalance!P312,Journals!J$14:J$920)+SUMIF(Journals!E$14:E$920,TrialBalance!P312,Journals!J$14:J$920)</f>
        <v>0</v>
      </c>
      <c r="K312" s="408"/>
      <c r="L312" s="410">
        <f t="shared" si="72"/>
        <v>0</v>
      </c>
      <c r="M312" s="83"/>
      <c r="N312" s="56">
        <f t="shared" si="73"/>
        <v>0</v>
      </c>
      <c r="P312" s="196" t="str">
        <f t="shared" si="71"/>
        <v>7100/105</v>
      </c>
      <c r="Q312" s="78"/>
      <c r="R312" s="34"/>
      <c r="S312" s="79"/>
      <c r="T312" s="59"/>
      <c r="U312" s="34"/>
    </row>
    <row r="313" spans="1:21" x14ac:dyDescent="0.2">
      <c r="A313" s="393"/>
      <c r="B313" s="62" t="s">
        <v>511</v>
      </c>
      <c r="C313" s="397" t="s">
        <v>411</v>
      </c>
      <c r="D313" s="405"/>
      <c r="E313" s="406"/>
      <c r="F313" s="184"/>
      <c r="G313" s="184"/>
      <c r="H313" s="184"/>
      <c r="I313" s="87"/>
      <c r="J313" s="347">
        <f>SUMIF(Journals!D$14:D$920,TrialBalance!P313,Journals!J$14:J$920)+SUMIF(Journals!E$14:E$920,TrialBalance!P313,Journals!J$14:J$920)</f>
        <v>0</v>
      </c>
      <c r="K313" s="408"/>
      <c r="L313" s="410">
        <f t="shared" si="72"/>
        <v>0</v>
      </c>
      <c r="M313" s="83"/>
      <c r="N313" s="56">
        <f t="shared" si="73"/>
        <v>0</v>
      </c>
      <c r="P313" s="196" t="str">
        <f t="shared" si="71"/>
        <v>7100/200OTHER INVESTMENTS</v>
      </c>
      <c r="Q313" s="78"/>
      <c r="R313" s="34"/>
      <c r="S313" s="79"/>
      <c r="T313" s="59"/>
      <c r="U313" s="34"/>
    </row>
    <row r="314" spans="1:21" x14ac:dyDescent="0.2">
      <c r="A314" s="393"/>
      <c r="B314" s="62" t="s">
        <v>512</v>
      </c>
      <c r="C314" s="404"/>
      <c r="D314" s="405"/>
      <c r="E314" s="406"/>
      <c r="F314" s="184">
        <f>TrialBalanceA!I314-TrialBalanceA!K314</f>
        <v>0</v>
      </c>
      <c r="G314" s="184">
        <f>TrialBalanceB!I314-TrialBalanceB!K314</f>
        <v>0</v>
      </c>
      <c r="H314" s="184">
        <f>TrialBalanceC!I314-TrialBalanceC!K314</f>
        <v>0</v>
      </c>
      <c r="I314" s="87">
        <f>N314</f>
        <v>0</v>
      </c>
      <c r="J314" s="347">
        <f>SUMIF(Journals!D$14:D$920,TrialBalance!P314,Journals!J$14:J$920)+SUMIF(Journals!E$14:E$920,TrialBalance!P314,Journals!J$14:J$920)</f>
        <v>0</v>
      </c>
      <c r="K314" s="408"/>
      <c r="L314" s="410">
        <f t="shared" si="72"/>
        <v>0</v>
      </c>
      <c r="M314" s="83"/>
      <c r="N314" s="56">
        <f t="shared" si="73"/>
        <v>0</v>
      </c>
      <c r="P314" s="196" t="str">
        <f t="shared" si="71"/>
        <v>7100/201</v>
      </c>
      <c r="Q314" s="78"/>
      <c r="R314" s="34"/>
      <c r="S314" s="79"/>
      <c r="T314" s="59"/>
      <c r="U314" s="34"/>
    </row>
    <row r="315" spans="1:21" x14ac:dyDescent="0.2">
      <c r="A315" s="393"/>
      <c r="B315" s="62" t="s">
        <v>513</v>
      </c>
      <c r="C315" s="404"/>
      <c r="D315" s="405"/>
      <c r="E315" s="406"/>
      <c r="F315" s="184">
        <f>TrialBalanceA!I315-TrialBalanceA!K315</f>
        <v>0</v>
      </c>
      <c r="G315" s="184">
        <f>TrialBalanceB!I315-TrialBalanceB!K315</f>
        <v>0</v>
      </c>
      <c r="H315" s="184">
        <f>TrialBalanceC!I315-TrialBalanceC!K315</f>
        <v>0</v>
      </c>
      <c r="I315" s="87">
        <f>N315</f>
        <v>0</v>
      </c>
      <c r="J315" s="347">
        <f>SUMIF(Journals!D$14:D$920,TrialBalance!P315,Journals!J$14:J$920)+SUMIF(Journals!E$14:E$920,TrialBalance!P315,Journals!J$14:J$920)</f>
        <v>0</v>
      </c>
      <c r="K315" s="408"/>
      <c r="L315" s="410">
        <f t="shared" si="72"/>
        <v>0</v>
      </c>
      <c r="M315" s="83"/>
      <c r="N315" s="56">
        <f t="shared" si="73"/>
        <v>0</v>
      </c>
      <c r="P315" s="196" t="str">
        <f t="shared" si="71"/>
        <v>7100/202</v>
      </c>
      <c r="Q315" s="78"/>
      <c r="R315" s="34"/>
      <c r="S315" s="79"/>
      <c r="T315" s="59"/>
      <c r="U315" s="34"/>
    </row>
    <row r="316" spans="1:21" x14ac:dyDescent="0.2">
      <c r="A316" s="393"/>
      <c r="B316" s="62" t="s">
        <v>514</v>
      </c>
      <c r="C316" s="404"/>
      <c r="D316" s="405"/>
      <c r="E316" s="406"/>
      <c r="F316" s="184">
        <f>TrialBalanceA!I316-TrialBalanceA!K316</f>
        <v>0</v>
      </c>
      <c r="G316" s="184">
        <f>TrialBalanceB!I316-TrialBalanceB!K316</f>
        <v>0</v>
      </c>
      <c r="H316" s="184">
        <f>TrialBalanceC!I316-TrialBalanceC!K316</f>
        <v>0</v>
      </c>
      <c r="I316" s="87">
        <f>N316</f>
        <v>0</v>
      </c>
      <c r="J316" s="347">
        <f>SUMIF(Journals!D$14:D$920,TrialBalance!P316,Journals!J$14:J$920)+SUMIF(Journals!E$14:E$920,TrialBalance!P316,Journals!J$14:J$920)</f>
        <v>0</v>
      </c>
      <c r="K316" s="408"/>
      <c r="L316" s="410">
        <f t="shared" si="72"/>
        <v>0</v>
      </c>
      <c r="M316" s="83"/>
      <c r="N316" s="56">
        <f t="shared" si="73"/>
        <v>0</v>
      </c>
      <c r="P316" s="196" t="str">
        <f t="shared" si="71"/>
        <v>7100/203</v>
      </c>
      <c r="Q316" s="78"/>
      <c r="R316" s="34"/>
      <c r="S316" s="79"/>
      <c r="T316" s="59"/>
      <c r="U316" s="34"/>
    </row>
    <row r="317" spans="1:21" x14ac:dyDescent="0.2">
      <c r="A317" s="393"/>
      <c r="B317" s="62" t="s">
        <v>515</v>
      </c>
      <c r="C317" s="404"/>
      <c r="D317" s="405"/>
      <c r="E317" s="406"/>
      <c r="F317" s="184">
        <f>TrialBalanceA!I317-TrialBalanceA!K317</f>
        <v>0</v>
      </c>
      <c r="G317" s="184">
        <f>TrialBalanceB!I317-TrialBalanceB!K317</f>
        <v>0</v>
      </c>
      <c r="H317" s="184">
        <f>TrialBalanceC!I317-TrialBalanceC!K317</f>
        <v>0</v>
      </c>
      <c r="I317" s="87">
        <f>N317</f>
        <v>0</v>
      </c>
      <c r="J317" s="347">
        <f>SUMIF(Journals!D$14:D$920,TrialBalance!P317,Journals!J$14:J$920)+SUMIF(Journals!E$14:E$920,TrialBalance!P317,Journals!J$14:J$920)</f>
        <v>0</v>
      </c>
      <c r="K317" s="408"/>
      <c r="L317" s="410">
        <f t="shared" si="72"/>
        <v>0</v>
      </c>
      <c r="M317" s="83"/>
      <c r="N317" s="56">
        <f t="shared" si="73"/>
        <v>0</v>
      </c>
      <c r="P317" s="196" t="str">
        <f t="shared" si="71"/>
        <v>7100/204</v>
      </c>
      <c r="Q317" s="78"/>
      <c r="R317" s="34"/>
      <c r="S317" s="79"/>
      <c r="T317" s="59"/>
      <c r="U317" s="34"/>
    </row>
    <row r="318" spans="1:21" x14ac:dyDescent="0.2">
      <c r="A318" s="393"/>
      <c r="B318" s="62" t="s">
        <v>170</v>
      </c>
      <c r="C318" s="404"/>
      <c r="D318" s="405"/>
      <c r="E318" s="406"/>
      <c r="F318" s="184">
        <f>TrialBalanceA!I318-TrialBalanceA!K318</f>
        <v>0</v>
      </c>
      <c r="G318" s="184">
        <f>TrialBalanceB!I318-TrialBalanceB!K318</f>
        <v>0</v>
      </c>
      <c r="H318" s="184">
        <f>TrialBalanceC!I318-TrialBalanceC!K318</f>
        <v>0</v>
      </c>
      <c r="I318" s="87">
        <f>N318</f>
        <v>0</v>
      </c>
      <c r="J318" s="347">
        <f>SUMIF(Journals!D$14:D$920,TrialBalance!P318,Journals!J$14:J$920)+SUMIF(Journals!E$14:E$920,TrialBalance!P318,Journals!J$14:J$920)</f>
        <v>0</v>
      </c>
      <c r="K318" s="408"/>
      <c r="L318" s="410">
        <f t="shared" si="72"/>
        <v>0</v>
      </c>
      <c r="M318" s="83"/>
      <c r="N318" s="56">
        <f t="shared" si="73"/>
        <v>0</v>
      </c>
      <c r="P318" s="196" t="str">
        <f t="shared" si="71"/>
        <v>7100/205</v>
      </c>
      <c r="Q318" s="78"/>
      <c r="R318" s="34"/>
      <c r="S318" s="79"/>
      <c r="T318" s="59"/>
      <c r="U318" s="34"/>
    </row>
    <row r="319" spans="1:21" x14ac:dyDescent="0.2">
      <c r="A319" s="393"/>
      <c r="B319" s="62" t="s">
        <v>171</v>
      </c>
      <c r="C319" s="397" t="s">
        <v>882</v>
      </c>
      <c r="D319" s="405"/>
      <c r="E319" s="406"/>
      <c r="F319" s="184"/>
      <c r="G319" s="184"/>
      <c r="H319" s="184"/>
      <c r="I319" s="87"/>
      <c r="J319" s="347">
        <f>SUMIF(Journals!D$14:D$920,TrialBalance!P319,Journals!J$14:J$920)+SUMIF(Journals!E$14:E$920,TrialBalance!P319,Journals!J$14:J$920)</f>
        <v>0</v>
      </c>
      <c r="K319" s="408"/>
      <c r="L319" s="410">
        <f t="shared" si="72"/>
        <v>0</v>
      </c>
      <c r="M319" s="83"/>
      <c r="N319" s="56">
        <f t="shared" si="73"/>
        <v>0</v>
      </c>
      <c r="P319" s="196" t="str">
        <f t="shared" si="71"/>
        <v>7450/000CONNECTED ENTITIES LOANS</v>
      </c>
      <c r="Q319" s="78"/>
      <c r="R319" s="34"/>
      <c r="S319" s="79"/>
      <c r="T319" s="59"/>
      <c r="U319" s="34"/>
    </row>
    <row r="320" spans="1:21" x14ac:dyDescent="0.2">
      <c r="A320" s="393"/>
      <c r="B320" s="62" t="s">
        <v>171</v>
      </c>
      <c r="C320" s="397" t="s">
        <v>733</v>
      </c>
      <c r="D320" s="405"/>
      <c r="E320" s="406"/>
      <c r="F320" s="184"/>
      <c r="G320" s="184"/>
      <c r="H320" s="184"/>
      <c r="I320" s="87"/>
      <c r="J320" s="347">
        <f>SUMIF(Journals!D$14:D$920,TrialBalance!P320,Journals!J$14:J$920)+SUMIF(Journals!E$14:E$920,TrialBalance!P320,Journals!J$14:J$920)</f>
        <v>0</v>
      </c>
      <c r="K320" s="408"/>
      <c r="L320" s="410">
        <f t="shared" ref="L320" si="81">ROUND(D320-E320+F320+G320+H320+J320+I320,0)</f>
        <v>0</v>
      </c>
      <c r="M320" s="83"/>
      <c r="N320" s="56">
        <f t="shared" si="73"/>
        <v>0</v>
      </c>
      <c r="P320" s="196" t="str">
        <f t="shared" si="71"/>
        <v>7450/000Interest bearing</v>
      </c>
      <c r="Q320" s="78"/>
      <c r="R320" s="34"/>
      <c r="S320" s="79"/>
      <c r="T320" s="59"/>
      <c r="U320" s="34"/>
    </row>
    <row r="321" spans="1:21" x14ac:dyDescent="0.2">
      <c r="A321" s="393"/>
      <c r="B321" s="62" t="s">
        <v>172</v>
      </c>
      <c r="C321" s="404"/>
      <c r="D321" s="405"/>
      <c r="E321" s="406"/>
      <c r="F321" s="184">
        <f>TrialBalanceA!I321-TrialBalanceA!K321</f>
        <v>0</v>
      </c>
      <c r="G321" s="184">
        <f>TrialBalanceB!I321-TrialBalanceB!K321</f>
        <v>0</v>
      </c>
      <c r="H321" s="184">
        <f>TrialBalanceC!I321-TrialBalanceC!K321</f>
        <v>0</v>
      </c>
      <c r="I321" s="87">
        <f>N321</f>
        <v>0</v>
      </c>
      <c r="J321" s="347">
        <f>SUMIF(Journals!D$14:D$920,TrialBalance!P321,Journals!J$14:J$920)+SUMIF(Journals!E$14:E$920,TrialBalance!P321,Journals!J$14:J$920)</f>
        <v>0</v>
      </c>
      <c r="K321" s="408"/>
      <c r="L321" s="410">
        <f>ROUND(D321-E321+F321+G321+H321+J321+I321,0)</f>
        <v>0</v>
      </c>
      <c r="M321" s="83"/>
      <c r="N321" s="56">
        <f t="shared" si="73"/>
        <v>0</v>
      </c>
      <c r="P321" s="196" t="str">
        <f t="shared" si="71"/>
        <v>7450/001</v>
      </c>
      <c r="Q321" s="78"/>
      <c r="R321" s="34"/>
      <c r="S321" s="79"/>
      <c r="T321" s="59"/>
      <c r="U321" s="34"/>
    </row>
    <row r="322" spans="1:21" x14ac:dyDescent="0.2">
      <c r="A322" s="393"/>
      <c r="B322" s="62" t="s">
        <v>173</v>
      </c>
      <c r="C322" s="404"/>
      <c r="D322" s="405"/>
      <c r="E322" s="406"/>
      <c r="F322" s="184">
        <f>TrialBalanceA!I322-TrialBalanceA!K322</f>
        <v>0</v>
      </c>
      <c r="G322" s="184">
        <f>TrialBalanceB!I322-TrialBalanceB!K322</f>
        <v>0</v>
      </c>
      <c r="H322" s="184">
        <f>TrialBalanceC!I322-TrialBalanceC!K322</f>
        <v>0</v>
      </c>
      <c r="I322" s="87">
        <f t="shared" ref="I322:I323" si="82">N322</f>
        <v>0</v>
      </c>
      <c r="J322" s="347">
        <f>SUMIF(Journals!D$14:D$920,TrialBalance!P322,Journals!J$14:J$920)+SUMIF(Journals!E$14:E$920,TrialBalance!P322,Journals!J$14:J$920)</f>
        <v>0</v>
      </c>
      <c r="K322" s="408"/>
      <c r="L322" s="410">
        <f t="shared" ref="L322:L323" si="83">ROUND(D322-E322+F322+G322+H322+J322+I322,0)</f>
        <v>0</v>
      </c>
      <c r="M322" s="83"/>
      <c r="N322" s="56">
        <f t="shared" ref="N322:N323" si="84">ROUND(SUM(A322),0)</f>
        <v>0</v>
      </c>
      <c r="P322" s="196" t="str">
        <f t="shared" ref="P322:P323" si="85">CONCATENATE(B322,C322)</f>
        <v>7450/002</v>
      </c>
      <c r="Q322" s="78"/>
      <c r="R322" s="34"/>
      <c r="S322" s="79"/>
      <c r="T322" s="59"/>
      <c r="U322" s="34"/>
    </row>
    <row r="323" spans="1:21" x14ac:dyDescent="0.2">
      <c r="A323" s="393"/>
      <c r="B323" s="113" t="s">
        <v>174</v>
      </c>
      <c r="C323" s="404"/>
      <c r="D323" s="405"/>
      <c r="E323" s="406"/>
      <c r="F323" s="184">
        <f>TrialBalanceA!I323-TrialBalanceA!K323</f>
        <v>0</v>
      </c>
      <c r="G323" s="184">
        <f>TrialBalanceB!I323-TrialBalanceB!K323</f>
        <v>0</v>
      </c>
      <c r="H323" s="184">
        <f>TrialBalanceC!I323-TrialBalanceC!K323</f>
        <v>0</v>
      </c>
      <c r="I323" s="87">
        <f t="shared" si="82"/>
        <v>0</v>
      </c>
      <c r="J323" s="347">
        <f>SUMIF(Journals!D$14:D$920,TrialBalance!P323,Journals!J$14:J$920)+SUMIF(Journals!E$14:E$920,TrialBalance!P323,Journals!J$14:J$920)</f>
        <v>0</v>
      </c>
      <c r="K323" s="408"/>
      <c r="L323" s="410">
        <f t="shared" si="83"/>
        <v>0</v>
      </c>
      <c r="M323" s="83"/>
      <c r="N323" s="56">
        <f t="shared" si="84"/>
        <v>0</v>
      </c>
      <c r="P323" s="196" t="str">
        <f t="shared" si="85"/>
        <v>7450/003</v>
      </c>
      <c r="Q323" s="78"/>
      <c r="R323" s="34"/>
      <c r="S323" s="79"/>
      <c r="T323" s="59"/>
      <c r="U323" s="34"/>
    </row>
    <row r="324" spans="1:21" x14ac:dyDescent="0.2">
      <c r="A324" s="393"/>
      <c r="B324" s="113" t="s">
        <v>461</v>
      </c>
      <c r="C324" s="404"/>
      <c r="D324" s="405"/>
      <c r="E324" s="406"/>
      <c r="F324" s="184">
        <f>TrialBalanceA!I324-TrialBalanceA!K324</f>
        <v>0</v>
      </c>
      <c r="G324" s="184">
        <f>TrialBalanceB!I324-TrialBalanceB!K324</f>
        <v>0</v>
      </c>
      <c r="H324" s="184">
        <f>TrialBalanceC!I324-TrialBalanceC!K324</f>
        <v>0</v>
      </c>
      <c r="I324" s="87">
        <f t="shared" ref="I324:I329" si="86">N324</f>
        <v>0</v>
      </c>
      <c r="J324" s="347">
        <f>SUMIF(Journals!D$14:D$920,TrialBalance!P324,Journals!J$14:J$920)+SUMIF(Journals!E$14:E$920,TrialBalance!P324,Journals!J$14:J$920)</f>
        <v>0</v>
      </c>
      <c r="K324" s="408"/>
      <c r="L324" s="410">
        <f t="shared" ref="L324:L329" si="87">ROUND(D324-E324+F324+G324+H324+J324+I324,0)</f>
        <v>0</v>
      </c>
      <c r="M324" s="83"/>
      <c r="N324" s="56">
        <f t="shared" ref="N324:N329" si="88">ROUND(SUM(A324),0)</f>
        <v>0</v>
      </c>
      <c r="P324" s="196" t="str">
        <f t="shared" ref="P324:P329" si="89">CONCATENATE(B324,C324)</f>
        <v>7450/004</v>
      </c>
      <c r="Q324" s="78"/>
      <c r="R324" s="34"/>
      <c r="S324" s="79"/>
      <c r="T324" s="59"/>
      <c r="U324" s="34"/>
    </row>
    <row r="325" spans="1:21" x14ac:dyDescent="0.2">
      <c r="A325" s="393"/>
      <c r="B325" s="113" t="s">
        <v>317</v>
      </c>
      <c r="C325" s="404"/>
      <c r="D325" s="405"/>
      <c r="E325" s="406"/>
      <c r="F325" s="184">
        <f>TrialBalanceA!I325-TrialBalanceA!K325</f>
        <v>0</v>
      </c>
      <c r="G325" s="184">
        <f>TrialBalanceB!I325-TrialBalanceB!K325</f>
        <v>0</v>
      </c>
      <c r="H325" s="184">
        <f>TrialBalanceC!I325-TrialBalanceC!K325</f>
        <v>0</v>
      </c>
      <c r="I325" s="87">
        <f t="shared" si="86"/>
        <v>0</v>
      </c>
      <c r="J325" s="347">
        <f>SUMIF(Journals!D$14:D$920,TrialBalance!P325,Journals!J$14:J$920)+SUMIF(Journals!E$14:E$920,TrialBalance!P325,Journals!J$14:J$920)</f>
        <v>0</v>
      </c>
      <c r="K325" s="408"/>
      <c r="L325" s="410">
        <f t="shared" si="87"/>
        <v>0</v>
      </c>
      <c r="M325" s="83"/>
      <c r="N325" s="56">
        <f t="shared" si="88"/>
        <v>0</v>
      </c>
      <c r="P325" s="196" t="str">
        <f t="shared" si="89"/>
        <v>7450/005</v>
      </c>
      <c r="Q325" s="78"/>
      <c r="R325" s="34"/>
      <c r="S325" s="79"/>
      <c r="T325" s="59"/>
      <c r="U325" s="34"/>
    </row>
    <row r="326" spans="1:21" x14ac:dyDescent="0.2">
      <c r="A326" s="393"/>
      <c r="B326" s="113" t="s">
        <v>923</v>
      </c>
      <c r="C326" s="404"/>
      <c r="D326" s="405"/>
      <c r="E326" s="406"/>
      <c r="F326" s="184">
        <f>TrialBalanceA!I326-TrialBalanceA!K326</f>
        <v>0</v>
      </c>
      <c r="G326" s="184">
        <f>TrialBalanceB!I326-TrialBalanceB!K326</f>
        <v>0</v>
      </c>
      <c r="H326" s="184">
        <f>TrialBalanceC!I326-TrialBalanceC!K326</f>
        <v>0</v>
      </c>
      <c r="I326" s="87">
        <f t="shared" si="86"/>
        <v>0</v>
      </c>
      <c r="J326" s="347">
        <f>SUMIF(Journals!D$14:D$920,TrialBalance!P326,Journals!J$14:J$920)+SUMIF(Journals!E$14:E$920,TrialBalance!P326,Journals!J$14:J$920)</f>
        <v>0</v>
      </c>
      <c r="K326" s="408"/>
      <c r="L326" s="410">
        <f t="shared" si="87"/>
        <v>0</v>
      </c>
      <c r="M326" s="83"/>
      <c r="N326" s="56">
        <f t="shared" si="88"/>
        <v>0</v>
      </c>
      <c r="P326" s="196" t="str">
        <f t="shared" si="89"/>
        <v>7450/006</v>
      </c>
      <c r="Q326" s="78"/>
      <c r="R326" s="34"/>
      <c r="S326" s="79"/>
      <c r="T326" s="59"/>
      <c r="U326" s="34"/>
    </row>
    <row r="327" spans="1:21" x14ac:dyDescent="0.2">
      <c r="A327" s="393"/>
      <c r="B327" s="113" t="s">
        <v>1168</v>
      </c>
      <c r="C327" s="404"/>
      <c r="D327" s="405"/>
      <c r="E327" s="406"/>
      <c r="F327" s="184">
        <f>TrialBalanceA!I327-TrialBalanceA!K327</f>
        <v>0</v>
      </c>
      <c r="G327" s="184">
        <f>TrialBalanceB!I327-TrialBalanceB!K327</f>
        <v>0</v>
      </c>
      <c r="H327" s="184">
        <f>TrialBalanceC!I327-TrialBalanceC!K327</f>
        <v>0</v>
      </c>
      <c r="I327" s="87">
        <f t="shared" si="86"/>
        <v>0</v>
      </c>
      <c r="J327" s="347">
        <f>SUMIF(Journals!D$14:D$920,TrialBalance!P327,Journals!J$14:J$920)+SUMIF(Journals!E$14:E$920,TrialBalance!P327,Journals!J$14:J$920)</f>
        <v>0</v>
      </c>
      <c r="K327" s="408"/>
      <c r="L327" s="410">
        <f t="shared" si="87"/>
        <v>0</v>
      </c>
      <c r="M327" s="83"/>
      <c r="N327" s="56">
        <f t="shared" si="88"/>
        <v>0</v>
      </c>
      <c r="P327" s="196" t="str">
        <f t="shared" si="89"/>
        <v>7450/007</v>
      </c>
      <c r="Q327" s="78"/>
      <c r="R327" s="34"/>
      <c r="S327" s="79"/>
      <c r="T327" s="59"/>
      <c r="U327" s="34"/>
    </row>
    <row r="328" spans="1:21" x14ac:dyDescent="0.2">
      <c r="A328" s="393"/>
      <c r="B328" s="113" t="s">
        <v>1169</v>
      </c>
      <c r="C328" s="404"/>
      <c r="D328" s="405"/>
      <c r="E328" s="406"/>
      <c r="F328" s="184">
        <f>TrialBalanceA!I328-TrialBalanceA!K328</f>
        <v>0</v>
      </c>
      <c r="G328" s="184">
        <f>TrialBalanceB!I328-TrialBalanceB!K328</f>
        <v>0</v>
      </c>
      <c r="H328" s="184">
        <f>TrialBalanceC!I328-TrialBalanceC!K328</f>
        <v>0</v>
      </c>
      <c r="I328" s="87">
        <f t="shared" si="86"/>
        <v>0</v>
      </c>
      <c r="J328" s="347">
        <f>SUMIF(Journals!D$14:D$920,TrialBalance!P328,Journals!J$14:J$920)+SUMIF(Journals!E$14:E$920,TrialBalance!P328,Journals!J$14:J$920)</f>
        <v>0</v>
      </c>
      <c r="K328" s="408"/>
      <c r="L328" s="410">
        <f t="shared" si="87"/>
        <v>0</v>
      </c>
      <c r="M328" s="83"/>
      <c r="N328" s="56">
        <f t="shared" si="88"/>
        <v>0</v>
      </c>
      <c r="P328" s="196" t="str">
        <f t="shared" si="89"/>
        <v>7450/008</v>
      </c>
      <c r="Q328" s="78"/>
      <c r="R328" s="34"/>
      <c r="S328" s="79"/>
      <c r="T328" s="59"/>
      <c r="U328" s="34"/>
    </row>
    <row r="329" spans="1:21" x14ac:dyDescent="0.2">
      <c r="A329" s="393"/>
      <c r="B329" s="113" t="s">
        <v>1170</v>
      </c>
      <c r="C329" s="404"/>
      <c r="D329" s="405"/>
      <c r="E329" s="406"/>
      <c r="F329" s="184">
        <f>TrialBalanceA!I329-TrialBalanceA!K329</f>
        <v>0</v>
      </c>
      <c r="G329" s="184">
        <f>TrialBalanceB!I329-TrialBalanceB!K329</f>
        <v>0</v>
      </c>
      <c r="H329" s="184">
        <f>TrialBalanceC!I329-TrialBalanceC!K329</f>
        <v>0</v>
      </c>
      <c r="I329" s="87">
        <f t="shared" si="86"/>
        <v>0</v>
      </c>
      <c r="J329" s="347">
        <f>SUMIF(Journals!D$14:D$920,TrialBalance!P329,Journals!J$14:J$920)+SUMIF(Journals!E$14:E$920,TrialBalance!P329,Journals!J$14:J$920)</f>
        <v>0</v>
      </c>
      <c r="K329" s="408"/>
      <c r="L329" s="410">
        <f t="shared" si="87"/>
        <v>0</v>
      </c>
      <c r="M329" s="83"/>
      <c r="N329" s="56">
        <f t="shared" si="88"/>
        <v>0</v>
      </c>
      <c r="P329" s="196" t="str">
        <f t="shared" si="89"/>
        <v>7450/009</v>
      </c>
      <c r="Q329" s="78"/>
      <c r="R329" s="34"/>
      <c r="S329" s="79"/>
      <c r="T329" s="59"/>
      <c r="U329" s="34"/>
    </row>
    <row r="330" spans="1:21" x14ac:dyDescent="0.2">
      <c r="A330" s="393"/>
      <c r="B330" s="113" t="s">
        <v>1171</v>
      </c>
      <c r="C330" s="404"/>
      <c r="D330" s="405"/>
      <c r="E330" s="406"/>
      <c r="F330" s="184">
        <f>TrialBalanceA!I330-TrialBalanceA!K330</f>
        <v>0</v>
      </c>
      <c r="G330" s="184">
        <f>TrialBalanceB!I330-TrialBalanceB!K330</f>
        <v>0</v>
      </c>
      <c r="H330" s="184">
        <f>TrialBalanceC!I330-TrialBalanceC!K330</f>
        <v>0</v>
      </c>
      <c r="I330" s="87">
        <f>N330</f>
        <v>0</v>
      </c>
      <c r="J330" s="347">
        <f>SUMIF(Journals!D$14:D$920,TrialBalance!P330,Journals!J$14:J$920)+SUMIF(Journals!E$14:E$920,TrialBalance!P330,Journals!J$14:J$920)</f>
        <v>0</v>
      </c>
      <c r="K330" s="408"/>
      <c r="L330" s="410">
        <f>ROUND(D330-E330+F330+G330+H330+J330+I330,0)</f>
        <v>0</v>
      </c>
      <c r="M330" s="83"/>
      <c r="N330" s="56">
        <f t="shared" si="73"/>
        <v>0</v>
      </c>
      <c r="P330" s="196" t="str">
        <f t="shared" si="71"/>
        <v>7450/010</v>
      </c>
      <c r="Q330" s="78"/>
      <c r="R330" s="34"/>
      <c r="S330" s="79"/>
      <c r="T330" s="59"/>
      <c r="U330" s="34"/>
    </row>
    <row r="331" spans="1:21" x14ac:dyDescent="0.2">
      <c r="A331" s="393"/>
      <c r="B331" s="113" t="s">
        <v>1172</v>
      </c>
      <c r="C331" s="397" t="s">
        <v>732</v>
      </c>
      <c r="D331" s="405"/>
      <c r="E331" s="406"/>
      <c r="F331" s="184"/>
      <c r="G331" s="184"/>
      <c r="H331" s="184"/>
      <c r="I331" s="87"/>
      <c r="J331" s="347">
        <f>SUMIF(Journals!D$14:D$920,TrialBalance!P331,Journals!J$14:J$920)+SUMIF(Journals!E$14:E$920,TrialBalance!P331,Journals!J$14:J$920)</f>
        <v>0</v>
      </c>
      <c r="K331" s="408"/>
      <c r="L331" s="410">
        <f t="shared" ref="L331" si="90">ROUND(D331-E331+F331+G331+H331+J331+I331,0)</f>
        <v>0</v>
      </c>
      <c r="M331" s="83"/>
      <c r="N331" s="56">
        <f t="shared" si="73"/>
        <v>0</v>
      </c>
      <c r="P331" s="196" t="str">
        <f t="shared" si="71"/>
        <v>7455/000Interest free</v>
      </c>
      <c r="Q331" s="78"/>
      <c r="R331" s="34"/>
      <c r="S331" s="79"/>
      <c r="T331" s="59"/>
      <c r="U331" s="34"/>
    </row>
    <row r="332" spans="1:21" x14ac:dyDescent="0.2">
      <c r="A332" s="393"/>
      <c r="B332" s="113" t="s">
        <v>1173</v>
      </c>
      <c r="C332" s="404"/>
      <c r="D332" s="405"/>
      <c r="E332" s="406"/>
      <c r="F332" s="184">
        <f>TrialBalanceA!I332-TrialBalanceA!K332</f>
        <v>0</v>
      </c>
      <c r="G332" s="184">
        <f>TrialBalanceB!I332-TrialBalanceB!K332</f>
        <v>0</v>
      </c>
      <c r="H332" s="184">
        <f>TrialBalanceC!I332-TrialBalanceC!K332</f>
        <v>0</v>
      </c>
      <c r="I332" s="87">
        <f>N332</f>
        <v>0</v>
      </c>
      <c r="J332" s="347">
        <f>SUMIF(Journals!D$14:D$920,TrialBalance!P332,Journals!J$14:J$920)+SUMIF(Journals!E$14:E$920,TrialBalance!P332,Journals!J$14:J$920)</f>
        <v>0</v>
      </c>
      <c r="K332" s="408"/>
      <c r="L332" s="410">
        <f t="shared" si="72"/>
        <v>0</v>
      </c>
      <c r="M332" s="83"/>
      <c r="N332" s="56">
        <f t="shared" si="73"/>
        <v>0</v>
      </c>
      <c r="P332" s="196" t="str">
        <f t="shared" si="71"/>
        <v>7455/001</v>
      </c>
      <c r="Q332" s="78"/>
      <c r="R332" s="34"/>
      <c r="S332" s="79"/>
      <c r="T332" s="59"/>
      <c r="U332" s="34"/>
    </row>
    <row r="333" spans="1:21" x14ac:dyDescent="0.2">
      <c r="A333" s="393"/>
      <c r="B333" s="113" t="s">
        <v>1174</v>
      </c>
      <c r="C333" s="404"/>
      <c r="D333" s="405"/>
      <c r="E333" s="406"/>
      <c r="F333" s="184">
        <f>TrialBalanceA!I333-TrialBalanceA!K333</f>
        <v>0</v>
      </c>
      <c r="G333" s="184">
        <f>TrialBalanceB!I333-TrialBalanceB!K333</f>
        <v>0</v>
      </c>
      <c r="H333" s="184">
        <f>TrialBalanceC!I333-TrialBalanceC!K333</f>
        <v>0</v>
      </c>
      <c r="I333" s="87">
        <f>N333</f>
        <v>0</v>
      </c>
      <c r="J333" s="347">
        <f>SUMIF(Journals!D$14:D$920,TrialBalance!P333,Journals!J$14:J$920)+SUMIF(Journals!E$14:E$920,TrialBalance!P333,Journals!J$14:J$920)</f>
        <v>0</v>
      </c>
      <c r="K333" s="408"/>
      <c r="L333" s="410">
        <f t="shared" ref="L333" si="91">ROUND(D333-E333+F333+G333+H333+J333+I333,0)</f>
        <v>0</v>
      </c>
      <c r="M333" s="83"/>
      <c r="N333" s="56">
        <f t="shared" ref="N333" si="92">ROUND(SUM(A333),0)</f>
        <v>0</v>
      </c>
      <c r="P333" s="196" t="str">
        <f t="shared" ref="P333" si="93">CONCATENATE(B333,C333)</f>
        <v>7455/002</v>
      </c>
      <c r="Q333" s="78"/>
      <c r="R333" s="34"/>
      <c r="S333" s="79"/>
      <c r="T333" s="59"/>
      <c r="U333" s="34"/>
    </row>
    <row r="334" spans="1:21" x14ac:dyDescent="0.2">
      <c r="A334" s="393"/>
      <c r="B334" s="113" t="s">
        <v>1175</v>
      </c>
      <c r="C334" s="404"/>
      <c r="D334" s="405"/>
      <c r="E334" s="406"/>
      <c r="F334" s="184">
        <f>TrialBalanceA!I334-TrialBalanceA!K334</f>
        <v>0</v>
      </c>
      <c r="G334" s="184">
        <f>TrialBalanceB!I334-TrialBalanceB!K334</f>
        <v>0</v>
      </c>
      <c r="H334" s="184">
        <f>TrialBalanceC!I334-TrialBalanceC!K334</f>
        <v>0</v>
      </c>
      <c r="I334" s="87">
        <f>N334</f>
        <v>0</v>
      </c>
      <c r="J334" s="347">
        <f>SUMIF(Journals!D$14:D$920,TrialBalance!P334,Journals!J$14:J$920)+SUMIF(Journals!E$14:E$920,TrialBalance!P334,Journals!J$14:J$920)</f>
        <v>0</v>
      </c>
      <c r="K334" s="408"/>
      <c r="L334" s="410">
        <f>ROUND(D334-E334+F334+G334+H334+J334+I334,0)</f>
        <v>0</v>
      </c>
      <c r="M334" s="83"/>
      <c r="N334" s="56">
        <f t="shared" si="73"/>
        <v>0</v>
      </c>
      <c r="P334" s="196" t="str">
        <f t="shared" si="71"/>
        <v>7455/003</v>
      </c>
      <c r="Q334" s="78"/>
      <c r="R334" s="34"/>
      <c r="S334" s="79"/>
      <c r="T334" s="59"/>
      <c r="U334" s="34"/>
    </row>
    <row r="335" spans="1:21" x14ac:dyDescent="0.2">
      <c r="A335" s="393"/>
      <c r="B335" s="113" t="s">
        <v>1176</v>
      </c>
      <c r="C335" s="404"/>
      <c r="D335" s="405"/>
      <c r="E335" s="406"/>
      <c r="F335" s="184">
        <f>TrialBalanceA!I335-TrialBalanceA!K335</f>
        <v>0</v>
      </c>
      <c r="G335" s="184">
        <f>TrialBalanceB!I335-TrialBalanceB!K335</f>
        <v>0</v>
      </c>
      <c r="H335" s="184">
        <f>TrialBalanceC!I335-TrialBalanceC!K335</f>
        <v>0</v>
      </c>
      <c r="I335" s="87">
        <f t="shared" ref="I335:I340" si="94">N335</f>
        <v>0</v>
      </c>
      <c r="J335" s="347">
        <f>SUMIF(Journals!D$14:D$920,TrialBalance!P335,Journals!J$14:J$920)+SUMIF(Journals!E$14:E$920,TrialBalance!P335,Journals!J$14:J$920)</f>
        <v>0</v>
      </c>
      <c r="K335" s="408"/>
      <c r="L335" s="410">
        <f t="shared" ref="L335:L340" si="95">ROUND(D335-E335+F335+G335+H335+J335+I335,0)</f>
        <v>0</v>
      </c>
      <c r="M335" s="83"/>
      <c r="N335" s="56">
        <f t="shared" ref="N335:N340" si="96">ROUND(SUM(A335),0)</f>
        <v>0</v>
      </c>
      <c r="P335" s="196" t="str">
        <f t="shared" ref="P335:P340" si="97">CONCATENATE(B335,C335)</f>
        <v>7455/004</v>
      </c>
      <c r="Q335" s="78"/>
      <c r="R335" s="34"/>
      <c r="S335" s="79"/>
      <c r="T335" s="59"/>
      <c r="U335" s="34"/>
    </row>
    <row r="336" spans="1:21" x14ac:dyDescent="0.2">
      <c r="A336" s="393"/>
      <c r="B336" s="113" t="s">
        <v>1177</v>
      </c>
      <c r="C336" s="404"/>
      <c r="D336" s="405"/>
      <c r="E336" s="406"/>
      <c r="F336" s="184">
        <f>TrialBalanceA!I336-TrialBalanceA!K336</f>
        <v>0</v>
      </c>
      <c r="G336" s="184">
        <f>TrialBalanceB!I336-TrialBalanceB!K336</f>
        <v>0</v>
      </c>
      <c r="H336" s="184">
        <f>TrialBalanceC!I336-TrialBalanceC!K336</f>
        <v>0</v>
      </c>
      <c r="I336" s="87">
        <f t="shared" si="94"/>
        <v>0</v>
      </c>
      <c r="J336" s="347">
        <f>SUMIF(Journals!D$14:D$920,TrialBalance!P336,Journals!J$14:J$920)+SUMIF(Journals!E$14:E$920,TrialBalance!P336,Journals!J$14:J$920)</f>
        <v>0</v>
      </c>
      <c r="K336" s="408"/>
      <c r="L336" s="410">
        <f t="shared" si="95"/>
        <v>0</v>
      </c>
      <c r="M336" s="83"/>
      <c r="N336" s="56">
        <f t="shared" si="96"/>
        <v>0</v>
      </c>
      <c r="P336" s="196" t="str">
        <f t="shared" si="97"/>
        <v>7455/005</v>
      </c>
      <c r="Q336" s="78"/>
      <c r="R336" s="34"/>
      <c r="S336" s="79"/>
      <c r="T336" s="59"/>
      <c r="U336" s="34"/>
    </row>
    <row r="337" spans="1:21" x14ac:dyDescent="0.2">
      <c r="A337" s="393"/>
      <c r="B337" s="113" t="s">
        <v>1178</v>
      </c>
      <c r="C337" s="404"/>
      <c r="D337" s="405"/>
      <c r="E337" s="406"/>
      <c r="F337" s="184">
        <f>TrialBalanceA!I337-TrialBalanceA!K337</f>
        <v>0</v>
      </c>
      <c r="G337" s="184">
        <f>TrialBalanceB!I337-TrialBalanceB!K337</f>
        <v>0</v>
      </c>
      <c r="H337" s="184">
        <f>TrialBalanceC!I337-TrialBalanceC!K337</f>
        <v>0</v>
      </c>
      <c r="I337" s="87">
        <f t="shared" si="94"/>
        <v>0</v>
      </c>
      <c r="J337" s="347">
        <f>SUMIF(Journals!D$14:D$920,TrialBalance!P337,Journals!J$14:J$920)+SUMIF(Journals!E$14:E$920,TrialBalance!P337,Journals!J$14:J$920)</f>
        <v>0</v>
      </c>
      <c r="K337" s="408"/>
      <c r="L337" s="410">
        <f t="shared" si="95"/>
        <v>0</v>
      </c>
      <c r="M337" s="83"/>
      <c r="N337" s="56">
        <f t="shared" si="96"/>
        <v>0</v>
      </c>
      <c r="P337" s="196" t="str">
        <f t="shared" si="97"/>
        <v>7455/006</v>
      </c>
      <c r="Q337" s="78"/>
      <c r="R337" s="34"/>
      <c r="S337" s="79"/>
      <c r="T337" s="59"/>
      <c r="U337" s="34"/>
    </row>
    <row r="338" spans="1:21" x14ac:dyDescent="0.2">
      <c r="A338" s="393"/>
      <c r="B338" s="113" t="s">
        <v>1179</v>
      </c>
      <c r="C338" s="404"/>
      <c r="D338" s="405"/>
      <c r="E338" s="406"/>
      <c r="F338" s="184">
        <f>TrialBalanceA!I338-TrialBalanceA!K338</f>
        <v>0</v>
      </c>
      <c r="G338" s="184">
        <f>TrialBalanceB!I338-TrialBalanceB!K338</f>
        <v>0</v>
      </c>
      <c r="H338" s="184">
        <f>TrialBalanceC!I338-TrialBalanceC!K338</f>
        <v>0</v>
      </c>
      <c r="I338" s="87">
        <f t="shared" si="94"/>
        <v>0</v>
      </c>
      <c r="J338" s="347">
        <f>SUMIF(Journals!D$14:D$920,TrialBalance!P338,Journals!J$14:J$920)+SUMIF(Journals!E$14:E$920,TrialBalance!P338,Journals!J$14:J$920)</f>
        <v>0</v>
      </c>
      <c r="K338" s="408"/>
      <c r="L338" s="410">
        <f t="shared" si="95"/>
        <v>0</v>
      </c>
      <c r="M338" s="83"/>
      <c r="N338" s="56">
        <f t="shared" si="96"/>
        <v>0</v>
      </c>
      <c r="P338" s="196" t="str">
        <f t="shared" si="97"/>
        <v>7455/007</v>
      </c>
      <c r="Q338" s="78"/>
      <c r="R338" s="34"/>
      <c r="S338" s="79"/>
      <c r="T338" s="59"/>
      <c r="U338" s="34"/>
    </row>
    <row r="339" spans="1:21" x14ac:dyDescent="0.2">
      <c r="A339" s="393"/>
      <c r="B339" s="113" t="s">
        <v>1180</v>
      </c>
      <c r="C339" s="404"/>
      <c r="D339" s="405"/>
      <c r="E339" s="406"/>
      <c r="F339" s="184">
        <f>TrialBalanceA!I339-TrialBalanceA!K339</f>
        <v>0</v>
      </c>
      <c r="G339" s="184">
        <f>TrialBalanceB!I339-TrialBalanceB!K339</f>
        <v>0</v>
      </c>
      <c r="H339" s="184">
        <f>TrialBalanceC!I339-TrialBalanceC!K339</f>
        <v>0</v>
      </c>
      <c r="I339" s="87">
        <f t="shared" si="94"/>
        <v>0</v>
      </c>
      <c r="J339" s="347">
        <f>SUMIF(Journals!D$14:D$920,TrialBalance!P339,Journals!J$14:J$920)+SUMIF(Journals!E$14:E$920,TrialBalance!P339,Journals!J$14:J$920)</f>
        <v>0</v>
      </c>
      <c r="K339" s="408"/>
      <c r="L339" s="410">
        <f t="shared" si="95"/>
        <v>0</v>
      </c>
      <c r="M339" s="83"/>
      <c r="N339" s="56">
        <f t="shared" si="96"/>
        <v>0</v>
      </c>
      <c r="P339" s="196" t="str">
        <f t="shared" si="97"/>
        <v>7455/008</v>
      </c>
      <c r="Q339" s="78"/>
      <c r="R339" s="34"/>
      <c r="S339" s="79"/>
      <c r="T339" s="59"/>
      <c r="U339" s="34"/>
    </row>
    <row r="340" spans="1:21" x14ac:dyDescent="0.2">
      <c r="A340" s="393"/>
      <c r="B340" s="113" t="s">
        <v>1181</v>
      </c>
      <c r="C340" s="404"/>
      <c r="D340" s="405"/>
      <c r="E340" s="406"/>
      <c r="F340" s="184">
        <f>TrialBalanceA!I340-TrialBalanceA!K340</f>
        <v>0</v>
      </c>
      <c r="G340" s="184">
        <f>TrialBalanceB!I340-TrialBalanceB!K340</f>
        <v>0</v>
      </c>
      <c r="H340" s="184">
        <f>TrialBalanceC!I340-TrialBalanceC!K340</f>
        <v>0</v>
      </c>
      <c r="I340" s="87">
        <f t="shared" si="94"/>
        <v>0</v>
      </c>
      <c r="J340" s="347">
        <f>SUMIF(Journals!D$14:D$920,TrialBalance!P340,Journals!J$14:J$920)+SUMIF(Journals!E$14:E$920,TrialBalance!P340,Journals!J$14:J$920)</f>
        <v>0</v>
      </c>
      <c r="K340" s="408"/>
      <c r="L340" s="410">
        <f t="shared" si="95"/>
        <v>0</v>
      </c>
      <c r="M340" s="83"/>
      <c r="N340" s="56">
        <f t="shared" si="96"/>
        <v>0</v>
      </c>
      <c r="P340" s="196" t="str">
        <f t="shared" si="97"/>
        <v>7455/009</v>
      </c>
      <c r="Q340" s="78"/>
      <c r="R340" s="34"/>
      <c r="S340" s="79"/>
      <c r="T340" s="59"/>
      <c r="U340" s="34"/>
    </row>
    <row r="341" spans="1:21" x14ac:dyDescent="0.2">
      <c r="A341" s="393"/>
      <c r="B341" s="113" t="s">
        <v>1182</v>
      </c>
      <c r="C341" s="404"/>
      <c r="D341" s="405"/>
      <c r="E341" s="406"/>
      <c r="F341" s="184">
        <f>TrialBalanceA!I341-TrialBalanceA!K341</f>
        <v>0</v>
      </c>
      <c r="G341" s="184">
        <f>TrialBalanceB!I341-TrialBalanceB!K341</f>
        <v>0</v>
      </c>
      <c r="H341" s="184">
        <f>TrialBalanceC!I341-TrialBalanceC!K341</f>
        <v>0</v>
      </c>
      <c r="I341" s="87">
        <f>N341</f>
        <v>0</v>
      </c>
      <c r="J341" s="347">
        <f>SUMIF(Journals!D$14:D$920,TrialBalance!P341,Journals!J$14:J$920)+SUMIF(Journals!E$14:E$920,TrialBalance!P341,Journals!J$14:J$920)</f>
        <v>0</v>
      </c>
      <c r="K341" s="408"/>
      <c r="L341" s="411">
        <f>ROUND(D341-E341+F341+G341+H341+J341+I341,0)</f>
        <v>0</v>
      </c>
      <c r="M341" s="83"/>
      <c r="N341" s="56">
        <f t="shared" si="73"/>
        <v>0</v>
      </c>
      <c r="P341" s="196" t="str">
        <f t="shared" ref="P341:P373" si="98">CONCATENATE(B341,C341)</f>
        <v>7455/010</v>
      </c>
      <c r="Q341" s="78"/>
      <c r="R341" s="34"/>
      <c r="S341" s="79"/>
      <c r="T341" s="59"/>
      <c r="U341" s="34"/>
    </row>
    <row r="342" spans="1:21" x14ac:dyDescent="0.2">
      <c r="A342" s="393"/>
      <c r="B342" s="62" t="s">
        <v>318</v>
      </c>
      <c r="C342" s="395" t="s">
        <v>868</v>
      </c>
      <c r="D342" s="406"/>
      <c r="E342" s="406"/>
      <c r="F342" s="184"/>
      <c r="G342" s="184"/>
      <c r="H342" s="184"/>
      <c r="I342" s="87"/>
      <c r="J342" s="347">
        <f>SUMIF(Journals!D$14:D$920,TrialBalance!P342,Journals!J$14:J$920)+SUMIF(Journals!E$14:E$920,TrialBalance!P342,Journals!J$14:J$920)</f>
        <v>0</v>
      </c>
      <c r="K342" s="409" t="s">
        <v>634</v>
      </c>
      <c r="L342" s="410">
        <f t="shared" si="72"/>
        <v>0</v>
      </c>
      <c r="M342" s="83"/>
      <c r="N342" s="56">
        <f t="shared" si="73"/>
        <v>0</v>
      </c>
      <c r="P342" s="196" t="str">
        <f t="shared" si="98"/>
        <v>7460/000OTHER NON - CURRENT RECEIVABLES</v>
      </c>
      <c r="Q342" s="78"/>
      <c r="R342" s="34"/>
      <c r="S342" s="79"/>
      <c r="T342" s="59"/>
      <c r="U342" s="34"/>
    </row>
    <row r="343" spans="1:21" x14ac:dyDescent="0.2">
      <c r="A343" s="393"/>
      <c r="B343" s="62" t="s">
        <v>318</v>
      </c>
      <c r="C343" s="395" t="s">
        <v>733</v>
      </c>
      <c r="D343" s="406"/>
      <c r="E343" s="406"/>
      <c r="F343" s="184"/>
      <c r="G343" s="184"/>
      <c r="H343" s="184"/>
      <c r="I343" s="87"/>
      <c r="J343" s="347">
        <f>SUMIF(Journals!D$14:D$920,TrialBalance!P343,Journals!J$14:J$920)+SUMIF(Journals!E$14:E$920,TrialBalance!P343,Journals!J$14:J$920)</f>
        <v>0</v>
      </c>
      <c r="K343" s="409"/>
      <c r="L343" s="410">
        <f t="shared" ref="L343" si="99">ROUND(D343-E343+F343+G343+H343+J343+I343,0)</f>
        <v>0</v>
      </c>
      <c r="M343" s="83"/>
      <c r="N343" s="56">
        <f t="shared" si="73"/>
        <v>0</v>
      </c>
      <c r="P343" s="196" t="str">
        <f t="shared" si="98"/>
        <v>7460/000Interest bearing</v>
      </c>
      <c r="Q343" s="78"/>
      <c r="R343" s="34"/>
      <c r="S343" s="79"/>
      <c r="T343" s="59"/>
      <c r="U343" s="34"/>
    </row>
    <row r="344" spans="1:21" x14ac:dyDescent="0.2">
      <c r="A344" s="393"/>
      <c r="B344" s="62" t="s">
        <v>320</v>
      </c>
      <c r="C344" s="404"/>
      <c r="D344" s="406"/>
      <c r="E344" s="406"/>
      <c r="F344" s="184">
        <f>TrialBalanceA!I344-TrialBalanceA!K344</f>
        <v>0</v>
      </c>
      <c r="G344" s="184">
        <f>TrialBalanceB!I344-TrialBalanceB!K344</f>
        <v>0</v>
      </c>
      <c r="H344" s="184">
        <f>TrialBalanceC!I344-TrialBalanceC!K344</f>
        <v>0</v>
      </c>
      <c r="I344" s="87">
        <f t="shared" ref="I344:I353" si="100">N344</f>
        <v>0</v>
      </c>
      <c r="J344" s="347">
        <f>SUMIF(Journals!D$14:D$920,TrialBalance!P344,Journals!J$14:J$920)+SUMIF(Journals!E$14:E$920,TrialBalance!P344,Journals!J$14:J$920)</f>
        <v>0</v>
      </c>
      <c r="K344" s="408"/>
      <c r="L344" s="410">
        <f t="shared" si="72"/>
        <v>0</v>
      </c>
      <c r="M344" s="83"/>
      <c r="N344" s="56">
        <f t="shared" si="73"/>
        <v>0</v>
      </c>
      <c r="P344" s="196" t="str">
        <f t="shared" si="98"/>
        <v>7460/001</v>
      </c>
      <c r="Q344" s="80"/>
      <c r="R344" s="34"/>
      <c r="S344" s="79"/>
      <c r="T344" s="59"/>
      <c r="U344" s="34"/>
    </row>
    <row r="345" spans="1:21" x14ac:dyDescent="0.2">
      <c r="A345" s="393"/>
      <c r="B345" s="62" t="s">
        <v>321</v>
      </c>
      <c r="C345" s="404"/>
      <c r="D345" s="405"/>
      <c r="E345" s="406"/>
      <c r="F345" s="184">
        <f>TrialBalanceA!I345-TrialBalanceA!K345</f>
        <v>0</v>
      </c>
      <c r="G345" s="184">
        <f>TrialBalanceB!I345-TrialBalanceB!K345</f>
        <v>0</v>
      </c>
      <c r="H345" s="184">
        <f>TrialBalanceC!I345-TrialBalanceC!K345</f>
        <v>0</v>
      </c>
      <c r="I345" s="87">
        <f t="shared" si="100"/>
        <v>0</v>
      </c>
      <c r="J345" s="347">
        <f>SUMIF(Journals!D$14:D$920,TrialBalance!P345,Journals!J$14:J$920)+SUMIF(Journals!E$14:E$920,TrialBalance!P345,Journals!J$14:J$920)</f>
        <v>0</v>
      </c>
      <c r="K345" s="408"/>
      <c r="L345" s="410">
        <f t="shared" si="72"/>
        <v>0</v>
      </c>
      <c r="M345" s="83"/>
      <c r="N345" s="56">
        <f t="shared" si="73"/>
        <v>0</v>
      </c>
      <c r="P345" s="196" t="str">
        <f t="shared" si="98"/>
        <v>7460/002</v>
      </c>
      <c r="Q345" s="78"/>
      <c r="R345" s="34"/>
      <c r="S345" s="79"/>
      <c r="T345" s="59"/>
      <c r="U345" s="34"/>
    </row>
    <row r="346" spans="1:21" x14ac:dyDescent="0.2">
      <c r="A346" s="393"/>
      <c r="B346" s="113" t="s">
        <v>322</v>
      </c>
      <c r="C346" s="404"/>
      <c r="D346" s="405"/>
      <c r="E346" s="406"/>
      <c r="F346" s="184">
        <f>TrialBalanceA!I346-TrialBalanceA!K346</f>
        <v>0</v>
      </c>
      <c r="G346" s="184">
        <f>TrialBalanceB!I346-TrialBalanceB!K346</f>
        <v>0</v>
      </c>
      <c r="H346" s="184">
        <f>TrialBalanceC!I346-TrialBalanceC!K346</f>
        <v>0</v>
      </c>
      <c r="I346" s="87">
        <f t="shared" ref="I346" si="101">N346</f>
        <v>0</v>
      </c>
      <c r="J346" s="347">
        <f>SUMIF(Journals!D$14:D$920,TrialBalance!P346,Journals!J$14:J$920)+SUMIF(Journals!E$14:E$920,TrialBalance!P346,Journals!J$14:J$920)</f>
        <v>0</v>
      </c>
      <c r="K346" s="408"/>
      <c r="L346" s="410">
        <f t="shared" ref="L346" si="102">ROUND(D346-E346+F346+G346+H346+J346+I346,0)</f>
        <v>0</v>
      </c>
      <c r="M346" s="83"/>
      <c r="N346" s="56">
        <f t="shared" ref="N346" si="103">ROUND(SUM(A346),0)</f>
        <v>0</v>
      </c>
      <c r="P346" s="196" t="str">
        <f t="shared" ref="P346" si="104">CONCATENATE(B346,C346)</f>
        <v>7460/003</v>
      </c>
      <c r="Q346" s="78"/>
      <c r="R346" s="34"/>
      <c r="S346" s="79"/>
      <c r="T346" s="59"/>
      <c r="U346" s="34"/>
    </row>
    <row r="347" spans="1:21" x14ac:dyDescent="0.2">
      <c r="A347" s="393"/>
      <c r="B347" s="113" t="s">
        <v>693</v>
      </c>
      <c r="C347" s="404"/>
      <c r="D347" s="405"/>
      <c r="E347" s="406"/>
      <c r="F347" s="184">
        <f>TrialBalanceA!I347-TrialBalanceA!K347</f>
        <v>0</v>
      </c>
      <c r="G347" s="184">
        <f>TrialBalanceB!I347-TrialBalanceB!K347</f>
        <v>0</v>
      </c>
      <c r="H347" s="184">
        <f>TrialBalanceC!I347-TrialBalanceC!K347</f>
        <v>0</v>
      </c>
      <c r="I347" s="87">
        <f t="shared" si="100"/>
        <v>0</v>
      </c>
      <c r="J347" s="347">
        <f>SUMIF(Journals!D$14:D$920,TrialBalance!P347,Journals!J$14:J$920)+SUMIF(Journals!E$14:E$920,TrialBalance!P347,Journals!J$14:J$920)</f>
        <v>0</v>
      </c>
      <c r="K347" s="408"/>
      <c r="L347" s="410">
        <f t="shared" si="72"/>
        <v>0</v>
      </c>
      <c r="M347" s="83"/>
      <c r="N347" s="56">
        <f t="shared" si="73"/>
        <v>0</v>
      </c>
      <c r="P347" s="196" t="str">
        <f t="shared" si="98"/>
        <v>7460/004</v>
      </c>
      <c r="Q347" s="78"/>
      <c r="R347" s="34"/>
      <c r="S347" s="79"/>
      <c r="T347" s="59"/>
      <c r="U347" s="34"/>
    </row>
    <row r="348" spans="1:21" x14ac:dyDescent="0.2">
      <c r="A348" s="393"/>
      <c r="B348" s="62" t="s">
        <v>318</v>
      </c>
      <c r="C348" s="397" t="s">
        <v>732</v>
      </c>
      <c r="D348" s="405"/>
      <c r="E348" s="406"/>
      <c r="F348" s="184"/>
      <c r="G348" s="184"/>
      <c r="H348" s="184"/>
      <c r="I348" s="87"/>
      <c r="J348" s="347">
        <f>SUMIF(Journals!D$14:D$920,TrialBalance!P348,Journals!J$14:J$920)+SUMIF(Journals!E$14:E$920,TrialBalance!P348,Journals!J$14:J$920)</f>
        <v>0</v>
      </c>
      <c r="K348" s="408"/>
      <c r="L348" s="410">
        <f t="shared" ref="L348" si="105">ROUND(D348-E348+F348+G348+H348+J348+I348,0)</f>
        <v>0</v>
      </c>
      <c r="M348" s="83"/>
      <c r="N348" s="56">
        <f t="shared" si="73"/>
        <v>0</v>
      </c>
      <c r="P348" s="196" t="str">
        <f t="shared" si="98"/>
        <v>7460/000Interest free</v>
      </c>
      <c r="Q348" s="78"/>
      <c r="R348" s="34"/>
      <c r="S348" s="79"/>
      <c r="T348" s="59"/>
      <c r="U348" s="34"/>
    </row>
    <row r="349" spans="1:21" x14ac:dyDescent="0.2">
      <c r="A349" s="393"/>
      <c r="B349" s="113" t="s">
        <v>693</v>
      </c>
      <c r="C349" s="404"/>
      <c r="D349" s="405"/>
      <c r="E349" s="406"/>
      <c r="F349" s="184">
        <f>TrialBalanceA!I349-TrialBalanceA!K349</f>
        <v>0</v>
      </c>
      <c r="G349" s="184">
        <f>TrialBalanceB!I349-TrialBalanceB!K349</f>
        <v>0</v>
      </c>
      <c r="H349" s="184">
        <f>TrialBalanceC!I349-TrialBalanceC!K349</f>
        <v>0</v>
      </c>
      <c r="I349" s="87">
        <f t="shared" si="100"/>
        <v>0</v>
      </c>
      <c r="J349" s="347">
        <f>SUMIF(Journals!D$14:D$920,TrialBalance!P349,Journals!J$14:J$920)+SUMIF(Journals!E$14:E$920,TrialBalance!P349,Journals!J$14:J$920)</f>
        <v>0</v>
      </c>
      <c r="K349" s="408"/>
      <c r="L349" s="410">
        <f t="shared" si="72"/>
        <v>0</v>
      </c>
      <c r="M349" s="83"/>
      <c r="N349" s="56">
        <f t="shared" si="73"/>
        <v>0</v>
      </c>
      <c r="P349" s="196" t="str">
        <f t="shared" si="98"/>
        <v>7460/004</v>
      </c>
      <c r="Q349" s="78"/>
      <c r="R349" s="34"/>
      <c r="S349" s="79"/>
      <c r="T349" s="59"/>
      <c r="U349" s="34"/>
    </row>
    <row r="350" spans="1:21" x14ac:dyDescent="0.2">
      <c r="A350" s="393"/>
      <c r="B350" s="113" t="s">
        <v>694</v>
      </c>
      <c r="C350" s="404"/>
      <c r="D350" s="405"/>
      <c r="E350" s="406"/>
      <c r="F350" s="184">
        <f>TrialBalanceA!I350-TrialBalanceA!K350</f>
        <v>0</v>
      </c>
      <c r="G350" s="184">
        <f>TrialBalanceB!I350-TrialBalanceB!K350</f>
        <v>0</v>
      </c>
      <c r="H350" s="184">
        <f>TrialBalanceC!I350-TrialBalanceC!K350</f>
        <v>0</v>
      </c>
      <c r="I350" s="87">
        <f t="shared" si="100"/>
        <v>0</v>
      </c>
      <c r="J350" s="347">
        <f>SUMIF(Journals!D$14:D$920,TrialBalance!P350,Journals!J$14:J$920)+SUMIF(Journals!E$14:E$920,TrialBalance!P350,Journals!J$14:J$920)</f>
        <v>0</v>
      </c>
      <c r="K350" s="408"/>
      <c r="L350" s="410">
        <f t="shared" si="72"/>
        <v>0</v>
      </c>
      <c r="M350" s="83"/>
      <c r="N350" s="56">
        <f t="shared" si="73"/>
        <v>0</v>
      </c>
      <c r="P350" s="196" t="str">
        <f t="shared" si="98"/>
        <v>7460/005</v>
      </c>
      <c r="Q350" s="78"/>
      <c r="R350" s="34"/>
      <c r="S350" s="79"/>
      <c r="T350" s="59"/>
      <c r="U350" s="34"/>
    </row>
    <row r="351" spans="1:21" x14ac:dyDescent="0.2">
      <c r="A351" s="393"/>
      <c r="B351" s="113" t="s">
        <v>323</v>
      </c>
      <c r="C351" s="404"/>
      <c r="D351" s="405"/>
      <c r="E351" s="406"/>
      <c r="F351" s="184">
        <f>TrialBalanceA!I351-TrialBalanceA!K351</f>
        <v>0</v>
      </c>
      <c r="G351" s="184">
        <f>TrialBalanceB!I351-TrialBalanceB!K351</f>
        <v>0</v>
      </c>
      <c r="H351" s="184">
        <f>TrialBalanceC!I351-TrialBalanceC!K351</f>
        <v>0</v>
      </c>
      <c r="I351" s="87">
        <f t="shared" si="100"/>
        <v>0</v>
      </c>
      <c r="J351" s="347">
        <f>SUMIF(Journals!D$14:D$920,TrialBalance!P351,Journals!J$14:J$920)+SUMIF(Journals!E$14:E$920,TrialBalance!P351,Journals!J$14:J$920)</f>
        <v>0</v>
      </c>
      <c r="K351" s="408"/>
      <c r="L351" s="410">
        <f t="shared" si="72"/>
        <v>0</v>
      </c>
      <c r="M351" s="83"/>
      <c r="N351" s="56">
        <f t="shared" si="73"/>
        <v>0</v>
      </c>
      <c r="P351" s="196" t="str">
        <f t="shared" si="98"/>
        <v>7460/006</v>
      </c>
      <c r="Q351" s="78"/>
      <c r="R351" s="34"/>
      <c r="S351" s="79"/>
      <c r="T351" s="59"/>
      <c r="U351" s="34"/>
    </row>
    <row r="352" spans="1:21" x14ac:dyDescent="0.2">
      <c r="A352" s="393"/>
      <c r="B352" s="113" t="s">
        <v>324</v>
      </c>
      <c r="C352" s="404"/>
      <c r="D352" s="405"/>
      <c r="E352" s="406"/>
      <c r="F352" s="184">
        <f>TrialBalanceA!I352-TrialBalanceA!K352</f>
        <v>0</v>
      </c>
      <c r="G352" s="184">
        <f>TrialBalanceB!I352-TrialBalanceB!K352</f>
        <v>0</v>
      </c>
      <c r="H352" s="184">
        <f>TrialBalanceC!I352-TrialBalanceC!K352</f>
        <v>0</v>
      </c>
      <c r="I352" s="87">
        <f t="shared" si="100"/>
        <v>0</v>
      </c>
      <c r="J352" s="347">
        <f>SUMIF(Journals!D$14:D$920,TrialBalance!P352,Journals!J$14:J$920)+SUMIF(Journals!E$14:E$920,TrialBalance!P352,Journals!J$14:J$920)</f>
        <v>0</v>
      </c>
      <c r="K352" s="408"/>
      <c r="L352" s="410">
        <f t="shared" si="72"/>
        <v>0</v>
      </c>
      <c r="M352" s="83"/>
      <c r="N352" s="56">
        <f t="shared" si="73"/>
        <v>0</v>
      </c>
      <c r="P352" s="196" t="str">
        <f t="shared" si="98"/>
        <v>7460/007</v>
      </c>
      <c r="Q352" s="78"/>
      <c r="R352" s="34"/>
      <c r="S352" s="79"/>
      <c r="T352" s="59"/>
      <c r="U352" s="34"/>
    </row>
    <row r="353" spans="1:21" x14ac:dyDescent="0.2">
      <c r="A353" s="393"/>
      <c r="B353" s="113" t="s">
        <v>548</v>
      </c>
      <c r="C353" s="404"/>
      <c r="D353" s="405"/>
      <c r="E353" s="406"/>
      <c r="F353" s="184">
        <f>TrialBalanceA!I353-TrialBalanceA!K353</f>
        <v>0</v>
      </c>
      <c r="G353" s="184">
        <f>TrialBalanceB!I353-TrialBalanceB!K353</f>
        <v>0</v>
      </c>
      <c r="H353" s="184">
        <f>TrialBalanceC!I353-TrialBalanceC!K353</f>
        <v>0</v>
      </c>
      <c r="I353" s="87">
        <f t="shared" si="100"/>
        <v>0</v>
      </c>
      <c r="J353" s="347">
        <f>SUMIF(Journals!D$14:D$920,TrialBalance!P353,Journals!J$14:J$920)+SUMIF(Journals!E$14:E$920,TrialBalance!P353,Journals!J$14:J$920)</f>
        <v>0</v>
      </c>
      <c r="K353" s="408"/>
      <c r="L353" s="410">
        <f t="shared" si="72"/>
        <v>0</v>
      </c>
      <c r="M353" s="83"/>
      <c r="N353" s="56">
        <f t="shared" si="73"/>
        <v>0</v>
      </c>
      <c r="P353" s="196" t="str">
        <f t="shared" si="98"/>
        <v>7460/008</v>
      </c>
      <c r="Q353" s="78"/>
      <c r="R353" s="34"/>
      <c r="S353" s="79"/>
      <c r="T353" s="59"/>
      <c r="U353" s="34"/>
    </row>
    <row r="354" spans="1:21" x14ac:dyDescent="0.2">
      <c r="A354" s="393"/>
      <c r="B354" s="62" t="s">
        <v>456</v>
      </c>
      <c r="C354" s="396" t="s">
        <v>56</v>
      </c>
      <c r="D354" s="405"/>
      <c r="E354" s="406"/>
      <c r="F354" s="184"/>
      <c r="G354" s="184"/>
      <c r="H354" s="184"/>
      <c r="I354" s="87"/>
      <c r="J354" s="347">
        <f>SUMIF(Journals!D$14:D$920,TrialBalance!P354,Journals!J$14:J$920)+SUMIF(Journals!E$14:E$920,TrialBalance!P354,Journals!J$14:J$920)</f>
        <v>0</v>
      </c>
      <c r="K354" s="409" t="s">
        <v>634</v>
      </c>
      <c r="L354" s="410">
        <f t="shared" si="72"/>
        <v>0</v>
      </c>
      <c r="M354" s="83"/>
      <c r="N354" s="56">
        <f t="shared" si="73"/>
        <v>0</v>
      </c>
      <c r="P354" s="196" t="str">
        <f t="shared" si="98"/>
        <v>7500/000INVENTORY</v>
      </c>
      <c r="Q354" s="78"/>
      <c r="R354" s="34"/>
      <c r="S354" s="79"/>
      <c r="T354" s="59"/>
      <c r="U354" s="34"/>
    </row>
    <row r="355" spans="1:21" x14ac:dyDescent="0.2">
      <c r="A355" s="393"/>
      <c r="B355" s="62" t="s">
        <v>457</v>
      </c>
      <c r="C355" s="394" t="s">
        <v>458</v>
      </c>
      <c r="D355" s="405"/>
      <c r="E355" s="406"/>
      <c r="F355" s="184">
        <f>TrialBalanceA!I355-TrialBalanceA!K355</f>
        <v>0</v>
      </c>
      <c r="G355" s="184">
        <f>TrialBalanceB!I355-TrialBalanceB!K355</f>
        <v>0</v>
      </c>
      <c r="H355" s="184">
        <f>TrialBalanceC!I355-TrialBalanceC!K355</f>
        <v>0</v>
      </c>
      <c r="I355" s="87">
        <f>N355</f>
        <v>0</v>
      </c>
      <c r="J355" s="347">
        <f>SUMIF(Journals!D$14:D$920,TrialBalance!P355,Journals!J$14:J$920)+SUMIF(Journals!E$14:E$920,TrialBalance!P355,Journals!J$14:J$920)</f>
        <v>0</v>
      </c>
      <c r="K355" s="408"/>
      <c r="L355" s="410">
        <f t="shared" si="72"/>
        <v>0</v>
      </c>
      <c r="M355" s="83"/>
      <c r="N355" s="56">
        <f t="shared" si="73"/>
        <v>0</v>
      </c>
      <c r="P355" s="196" t="str">
        <f t="shared" si="98"/>
        <v>7500/001Raw materials</v>
      </c>
      <c r="Q355" s="78"/>
      <c r="R355" s="34"/>
      <c r="S355" s="79"/>
      <c r="T355" s="59"/>
      <c r="U355" s="34"/>
    </row>
    <row r="356" spans="1:21" x14ac:dyDescent="0.2">
      <c r="A356" s="393"/>
      <c r="B356" s="62" t="s">
        <v>21</v>
      </c>
      <c r="C356" s="394" t="s">
        <v>22</v>
      </c>
      <c r="D356" s="405"/>
      <c r="E356" s="406"/>
      <c r="F356" s="184">
        <f>TrialBalanceA!I356-TrialBalanceA!K356</f>
        <v>0</v>
      </c>
      <c r="G356" s="184">
        <f>TrialBalanceB!I356-TrialBalanceB!K356</f>
        <v>0</v>
      </c>
      <c r="H356" s="184">
        <f>TrialBalanceC!I356-TrialBalanceC!K356</f>
        <v>0</v>
      </c>
      <c r="I356" s="87">
        <f>N356</f>
        <v>0</v>
      </c>
      <c r="J356" s="347">
        <f>SUMIF(Journals!D$14:D$920,TrialBalance!P356,Journals!J$14:J$920)+SUMIF(Journals!E$14:E$920,TrialBalance!P356,Journals!J$14:J$920)</f>
        <v>0</v>
      </c>
      <c r="K356" s="408"/>
      <c r="L356" s="410">
        <f t="shared" si="72"/>
        <v>0</v>
      </c>
      <c r="M356" s="83"/>
      <c r="N356" s="56">
        <f t="shared" si="73"/>
        <v>0</v>
      </c>
      <c r="P356" s="196" t="str">
        <f t="shared" si="98"/>
        <v>7500/002Work in progress</v>
      </c>
      <c r="Q356" s="78"/>
      <c r="R356" s="34"/>
      <c r="S356" s="79"/>
      <c r="T356" s="59"/>
      <c r="U356" s="34"/>
    </row>
    <row r="357" spans="1:21" x14ac:dyDescent="0.2">
      <c r="A357" s="393"/>
      <c r="B357" s="62" t="s">
        <v>23</v>
      </c>
      <c r="C357" s="394" t="s">
        <v>24</v>
      </c>
      <c r="D357" s="405"/>
      <c r="E357" s="406"/>
      <c r="F357" s="184">
        <f>TrialBalanceA!I357-TrialBalanceA!K357</f>
        <v>0</v>
      </c>
      <c r="G357" s="184">
        <f>TrialBalanceB!I357-TrialBalanceB!K357</f>
        <v>0</v>
      </c>
      <c r="H357" s="184">
        <f>TrialBalanceC!I357-TrialBalanceC!K357</f>
        <v>0</v>
      </c>
      <c r="I357" s="87">
        <f>N357</f>
        <v>0</v>
      </c>
      <c r="J357" s="347">
        <f>SUMIF(Journals!D$14:D$920,TrialBalance!P357,Journals!J$14:J$920)+SUMIF(Journals!E$14:E$920,TrialBalance!P357,Journals!J$14:J$920)</f>
        <v>0</v>
      </c>
      <c r="K357" s="408"/>
      <c r="L357" s="410">
        <f t="shared" si="72"/>
        <v>0</v>
      </c>
      <c r="M357" s="83"/>
      <c r="N357" s="56">
        <f t="shared" si="73"/>
        <v>0</v>
      </c>
      <c r="P357" s="196" t="str">
        <f t="shared" si="98"/>
        <v>7500/003Finished goods</v>
      </c>
      <c r="Q357" s="78"/>
      <c r="R357" s="34"/>
      <c r="S357" s="79"/>
      <c r="T357" s="59"/>
      <c r="U357" s="34"/>
    </row>
    <row r="358" spans="1:21" x14ac:dyDescent="0.2">
      <c r="A358" s="393"/>
      <c r="B358" s="62" t="s">
        <v>27</v>
      </c>
      <c r="C358" s="394" t="s">
        <v>28</v>
      </c>
      <c r="D358" s="405"/>
      <c r="E358" s="406"/>
      <c r="F358" s="184">
        <f>TrialBalanceA!I358-TrialBalanceA!K358</f>
        <v>0</v>
      </c>
      <c r="G358" s="184">
        <f>TrialBalanceB!I358-TrialBalanceB!K358</f>
        <v>0</v>
      </c>
      <c r="H358" s="184">
        <f>TrialBalanceC!I358-TrialBalanceC!K358</f>
        <v>0</v>
      </c>
      <c r="I358" s="87">
        <f>N358</f>
        <v>0</v>
      </c>
      <c r="J358" s="347">
        <f>SUMIF(Journals!D$14:D$920,TrialBalance!P358,Journals!J$14:J$920)+SUMIF(Journals!E$14:E$920,TrialBalance!P358,Journals!J$14:J$920)</f>
        <v>0</v>
      </c>
      <c r="K358" s="409"/>
      <c r="L358" s="410">
        <f t="shared" si="72"/>
        <v>0</v>
      </c>
      <c r="M358" s="83"/>
      <c r="N358" s="56">
        <f t="shared" si="73"/>
        <v>0</v>
      </c>
      <c r="P358" s="196" t="str">
        <f t="shared" si="98"/>
        <v>7500/004Trading stock</v>
      </c>
      <c r="Q358" s="78"/>
      <c r="R358" s="34"/>
      <c r="S358" s="59"/>
      <c r="T358" s="59"/>
      <c r="U358" s="34"/>
    </row>
    <row r="359" spans="1:21" x14ac:dyDescent="0.2">
      <c r="A359" s="393"/>
      <c r="B359" s="62" t="s">
        <v>30</v>
      </c>
      <c r="C359" s="396" t="s">
        <v>31</v>
      </c>
      <c r="D359" s="405"/>
      <c r="E359" s="406"/>
      <c r="F359" s="184"/>
      <c r="G359" s="184"/>
      <c r="H359" s="184"/>
      <c r="I359" s="87"/>
      <c r="J359" s="347">
        <f>SUMIF(Journals!D$14:D$920,TrialBalance!P359,Journals!J$14:J$920)+SUMIF(Journals!E$14:E$920,TrialBalance!P359,Journals!J$14:J$920)</f>
        <v>0</v>
      </c>
      <c r="K359" s="409" t="s">
        <v>634</v>
      </c>
      <c r="L359" s="410">
        <f t="shared" si="72"/>
        <v>0</v>
      </c>
      <c r="M359" s="83"/>
      <c r="N359" s="56">
        <f t="shared" si="73"/>
        <v>0</v>
      </c>
      <c r="P359" s="196" t="str">
        <f t="shared" si="98"/>
        <v>8000/000DEBTORS</v>
      </c>
      <c r="Q359" s="78"/>
      <c r="R359" s="34"/>
      <c r="S359" s="79"/>
      <c r="T359" s="59"/>
      <c r="U359" s="34"/>
    </row>
    <row r="360" spans="1:21" x14ac:dyDescent="0.2">
      <c r="A360" s="393"/>
      <c r="B360" s="62" t="s">
        <v>32</v>
      </c>
      <c r="C360" s="394" t="s">
        <v>33</v>
      </c>
      <c r="D360" s="405"/>
      <c r="E360" s="406"/>
      <c r="F360" s="184">
        <f>TrialBalanceA!I360-TrialBalanceA!K360</f>
        <v>0</v>
      </c>
      <c r="G360" s="184">
        <f>TrialBalanceB!I360-TrialBalanceB!K360</f>
        <v>0</v>
      </c>
      <c r="H360" s="184">
        <f>TrialBalanceC!I360-TrialBalanceC!K360</f>
        <v>0</v>
      </c>
      <c r="I360" s="87">
        <f>N360</f>
        <v>0</v>
      </c>
      <c r="J360" s="347">
        <f>SUMIF(Journals!D$14:D$920,TrialBalance!P360,Journals!J$14:J$920)+SUMIF(Journals!E$14:E$920,TrialBalance!P360,Journals!J$14:J$920)</f>
        <v>0</v>
      </c>
      <c r="K360" s="408"/>
      <c r="L360" s="410">
        <f t="shared" si="72"/>
        <v>0</v>
      </c>
      <c r="M360" s="83"/>
      <c r="N360" s="56">
        <f t="shared" si="73"/>
        <v>0</v>
      </c>
      <c r="P360" s="196" t="str">
        <f t="shared" si="98"/>
        <v>8010/000Trade debtors</v>
      </c>
      <c r="Q360" s="80"/>
      <c r="R360" s="34"/>
      <c r="S360" s="79"/>
      <c r="T360" s="59"/>
      <c r="U360" s="34"/>
    </row>
    <row r="361" spans="1:21" x14ac:dyDescent="0.2">
      <c r="A361" s="393"/>
      <c r="B361" s="113" t="s">
        <v>34</v>
      </c>
      <c r="C361" s="397" t="s">
        <v>635</v>
      </c>
      <c r="D361" s="405"/>
      <c r="E361" s="406"/>
      <c r="F361" s="184">
        <f>TrialBalanceA!I361-TrialBalanceA!K361</f>
        <v>0</v>
      </c>
      <c r="G361" s="184">
        <f>TrialBalanceB!I361-TrialBalanceB!K361</f>
        <v>0</v>
      </c>
      <c r="H361" s="184">
        <f>TrialBalanceC!I361-TrialBalanceC!K361</f>
        <v>0</v>
      </c>
      <c r="I361" s="87">
        <f t="shared" ref="I361" si="106">N361</f>
        <v>0</v>
      </c>
      <c r="J361" s="347">
        <f>SUMIF(Journals!D$14:D$920,TrialBalance!P361,Journals!J$14:J$920)+SUMIF(Journals!E$14:E$920,TrialBalance!P361,Journals!J$14:J$920)</f>
        <v>0</v>
      </c>
      <c r="K361" s="408"/>
      <c r="L361" s="410">
        <f t="shared" si="72"/>
        <v>0</v>
      </c>
      <c r="M361" s="83"/>
      <c r="N361" s="56">
        <f t="shared" si="73"/>
        <v>0</v>
      </c>
      <c r="P361" s="196" t="str">
        <f t="shared" si="98"/>
        <v>8020/000Less: Provision for doubtful debts</v>
      </c>
      <c r="Q361" s="78"/>
      <c r="R361" s="34"/>
      <c r="S361" s="79"/>
      <c r="T361" s="59"/>
      <c r="U361" s="34"/>
    </row>
    <row r="362" spans="1:21" x14ac:dyDescent="0.2">
      <c r="A362" s="393"/>
      <c r="B362" s="113" t="s">
        <v>637</v>
      </c>
      <c r="C362" s="394" t="s">
        <v>359</v>
      </c>
      <c r="D362" s="405"/>
      <c r="E362" s="406"/>
      <c r="F362" s="184">
        <f>TrialBalanceA!I362-TrialBalanceA!K362</f>
        <v>0</v>
      </c>
      <c r="G362" s="184">
        <f>TrialBalanceB!I362-TrialBalanceB!K362</f>
        <v>0</v>
      </c>
      <c r="H362" s="184">
        <f>TrialBalanceC!I362-TrialBalanceC!K362</f>
        <v>0</v>
      </c>
      <c r="I362" s="87">
        <f>N362</f>
        <v>0</v>
      </c>
      <c r="J362" s="347">
        <f>SUMIF(Journals!D$14:D$920,TrialBalance!P362,Journals!J$14:J$920)+SUMIF(Journals!E$14:E$920,TrialBalance!P362,Journals!J$14:J$920)</f>
        <v>0</v>
      </c>
      <c r="K362" s="408"/>
      <c r="L362" s="410">
        <f t="shared" si="72"/>
        <v>0</v>
      </c>
      <c r="M362" s="83"/>
      <c r="N362" s="56">
        <f t="shared" si="73"/>
        <v>0</v>
      </c>
      <c r="P362" s="196" t="str">
        <f t="shared" si="98"/>
        <v>8030/000Service deposits</v>
      </c>
      <c r="Q362" s="78"/>
      <c r="R362" s="34"/>
      <c r="S362" s="79"/>
      <c r="T362" s="59"/>
      <c r="U362" s="34"/>
    </row>
    <row r="363" spans="1:21" x14ac:dyDescent="0.2">
      <c r="A363" s="393"/>
      <c r="B363" s="62" t="s">
        <v>516</v>
      </c>
      <c r="C363" s="397" t="s">
        <v>971</v>
      </c>
      <c r="D363" s="405"/>
      <c r="E363" s="405"/>
      <c r="F363" s="184">
        <f>TrialBalanceA!I363-TrialBalanceA!K363</f>
        <v>0</v>
      </c>
      <c r="G363" s="184">
        <f>TrialBalanceB!I363-TrialBalanceB!K363</f>
        <v>0</v>
      </c>
      <c r="H363" s="184">
        <f>TrialBalanceC!I363-TrialBalanceC!K363</f>
        <v>0</v>
      </c>
      <c r="I363" s="87">
        <f>N363</f>
        <v>0</v>
      </c>
      <c r="J363" s="347">
        <f>SUMIF(Journals!D$14:D$920,TrialBalance!P363,Journals!J$14:J$920)+SUMIF(Journals!E$14:E$920,TrialBalance!P363,Journals!J$14:J$920)</f>
        <v>0</v>
      </c>
      <c r="K363" s="408"/>
      <c r="L363" s="410">
        <f t="shared" si="72"/>
        <v>0</v>
      </c>
      <c r="M363" s="83"/>
      <c r="N363" s="56">
        <f t="shared" si="73"/>
        <v>0</v>
      </c>
      <c r="P363" s="196" t="str">
        <f t="shared" si="98"/>
        <v>8200/000Sundry customers</v>
      </c>
      <c r="Q363" s="78"/>
      <c r="R363" s="34"/>
      <c r="S363" s="79"/>
      <c r="T363" s="59"/>
      <c r="U363" s="34"/>
    </row>
    <row r="364" spans="1:21" x14ac:dyDescent="0.2">
      <c r="A364" s="393"/>
      <c r="B364" s="62" t="s">
        <v>517</v>
      </c>
      <c r="C364" s="394" t="s">
        <v>414</v>
      </c>
      <c r="D364" s="405"/>
      <c r="E364" s="406"/>
      <c r="F364" s="184">
        <f>TrialBalanceA!I364-TrialBalanceA!K364</f>
        <v>0</v>
      </c>
      <c r="G364" s="184">
        <f>TrialBalanceB!I364-TrialBalanceB!K364</f>
        <v>0</v>
      </c>
      <c r="H364" s="184">
        <f>TrialBalanceC!I364-TrialBalanceC!K364</f>
        <v>0</v>
      </c>
      <c r="I364" s="87">
        <f>N364</f>
        <v>0</v>
      </c>
      <c r="J364" s="347">
        <f>SUMIF(Journals!D$14:D$920,TrialBalance!P364,Journals!J$14:J$920)+SUMIF(Journals!E$14:E$920,TrialBalance!P364,Journals!J$14:J$920)</f>
        <v>0</v>
      </c>
      <c r="K364" s="408"/>
      <c r="L364" s="410">
        <f t="shared" si="72"/>
        <v>0</v>
      </c>
      <c r="M364" s="83"/>
      <c r="N364" s="56">
        <f t="shared" si="73"/>
        <v>0</v>
      </c>
      <c r="P364" s="196" t="str">
        <f t="shared" si="98"/>
        <v>8200/010Prepayments</v>
      </c>
      <c r="Q364" s="78"/>
      <c r="R364" s="34"/>
      <c r="S364" s="79"/>
      <c r="T364" s="59"/>
      <c r="U364" s="34"/>
    </row>
    <row r="365" spans="1:21" x14ac:dyDescent="0.2">
      <c r="A365" s="393"/>
      <c r="B365" s="62" t="s">
        <v>272</v>
      </c>
      <c r="C365" s="395" t="s">
        <v>606</v>
      </c>
      <c r="D365" s="406"/>
      <c r="E365" s="406"/>
      <c r="F365" s="184">
        <f>TrialBalanceA!I365-TrialBalanceA!K365</f>
        <v>0</v>
      </c>
      <c r="G365" s="184">
        <f>TrialBalanceB!I365-TrialBalanceB!K365</f>
        <v>0</v>
      </c>
      <c r="H365" s="184">
        <f>TrialBalanceC!I365-TrialBalanceC!K365</f>
        <v>0</v>
      </c>
      <c r="I365" s="87">
        <f>N365</f>
        <v>0</v>
      </c>
      <c r="J365" s="347">
        <f>SUMIF(Journals!D$14:D$920,TrialBalance!P365,Journals!J$14:J$920)+SUMIF(Journals!E$14:E$920,TrialBalance!P365,Journals!J$14:J$920)</f>
        <v>0</v>
      </c>
      <c r="K365" s="408"/>
      <c r="L365" s="410">
        <f t="shared" si="72"/>
        <v>0</v>
      </c>
      <c r="M365" s="83"/>
      <c r="N365" s="56">
        <f t="shared" si="73"/>
        <v>0</v>
      </c>
      <c r="P365" s="196" t="str">
        <f t="shared" si="98"/>
        <v>8200/020Staff loans</v>
      </c>
      <c r="Q365" s="78"/>
      <c r="R365" s="34"/>
      <c r="S365" s="79"/>
      <c r="T365" s="59"/>
      <c r="U365" s="34"/>
    </row>
    <row r="366" spans="1:21" x14ac:dyDescent="0.2">
      <c r="A366" s="393"/>
      <c r="B366" s="62" t="s">
        <v>273</v>
      </c>
      <c r="C366" s="399" t="s">
        <v>139</v>
      </c>
      <c r="D366" s="406"/>
      <c r="E366" s="406"/>
      <c r="F366" s="184"/>
      <c r="G366" s="184"/>
      <c r="H366" s="184"/>
      <c r="I366" s="87"/>
      <c r="J366" s="347">
        <f>SUMIF(Journals!D$14:D$920,TrialBalance!P366,Journals!J$14:J$920)+SUMIF(Journals!E$14:E$920,TrialBalance!P366,Journals!J$14:J$920)</f>
        <v>0</v>
      </c>
      <c r="K366" s="409" t="s">
        <v>634</v>
      </c>
      <c r="L366" s="410">
        <f t="shared" si="72"/>
        <v>0</v>
      </c>
      <c r="M366" s="83"/>
      <c r="N366" s="56">
        <f t="shared" si="73"/>
        <v>0</v>
      </c>
      <c r="P366" s="196" t="str">
        <f t="shared" si="98"/>
        <v>8400/000BANK ACCOUNTS</v>
      </c>
      <c r="Q366" s="78"/>
      <c r="R366" s="34"/>
      <c r="S366" s="79"/>
      <c r="T366" s="59"/>
      <c r="U366" s="34"/>
    </row>
    <row r="367" spans="1:21" x14ac:dyDescent="0.2">
      <c r="A367" s="393"/>
      <c r="B367" s="62" t="s">
        <v>274</v>
      </c>
      <c r="C367" s="398"/>
      <c r="D367" s="407"/>
      <c r="E367" s="407"/>
      <c r="F367" s="184">
        <f>TrialBalanceA!I367-TrialBalanceA!K367</f>
        <v>0</v>
      </c>
      <c r="G367" s="184">
        <f>TrialBalanceB!I367-TrialBalanceB!K367</f>
        <v>0</v>
      </c>
      <c r="H367" s="184">
        <f>TrialBalanceC!I367-TrialBalanceC!K367</f>
        <v>0</v>
      </c>
      <c r="I367" s="87">
        <f t="shared" ref="I367:I373" si="107">N367</f>
        <v>0</v>
      </c>
      <c r="J367" s="347">
        <f>SUMIF(Journals!D$14:D$920,TrialBalance!P367,Journals!J$14:J$920)+SUMIF(Journals!E$14:E$920,TrialBalance!P367,Journals!J$14:J$920)</f>
        <v>0</v>
      </c>
      <c r="K367" s="408"/>
      <c r="L367" s="410">
        <f>ROUND(D367-E367+F367+G367+H367+J367+I367,0)</f>
        <v>0</v>
      </c>
      <c r="M367" s="83"/>
      <c r="N367" s="56">
        <f t="shared" si="73"/>
        <v>0</v>
      </c>
      <c r="P367" s="196" t="str">
        <f t="shared" si="98"/>
        <v>8410/000</v>
      </c>
      <c r="Q367" s="80"/>
      <c r="R367" s="34"/>
      <c r="S367" s="79"/>
      <c r="T367" s="59"/>
      <c r="U367" s="34"/>
    </row>
    <row r="368" spans="1:21" x14ac:dyDescent="0.2">
      <c r="A368" s="393"/>
      <c r="B368" s="62" t="s">
        <v>275</v>
      </c>
      <c r="C368" s="398"/>
      <c r="D368" s="407"/>
      <c r="E368" s="405"/>
      <c r="F368" s="184">
        <f>TrialBalanceA!I368-TrialBalanceA!K368</f>
        <v>0</v>
      </c>
      <c r="G368" s="184">
        <f>TrialBalanceB!I368-TrialBalanceB!K368</f>
        <v>0</v>
      </c>
      <c r="H368" s="184">
        <f>TrialBalanceC!I368-TrialBalanceC!K368</f>
        <v>0</v>
      </c>
      <c r="I368" s="87">
        <f t="shared" si="107"/>
        <v>0</v>
      </c>
      <c r="J368" s="347">
        <f>SUMIF(Journals!D$14:D$920,TrialBalance!P368,Journals!J$14:J$920)+SUMIF(Journals!E$14:E$920,TrialBalance!P368,Journals!J$14:J$920)</f>
        <v>0</v>
      </c>
      <c r="K368" s="408"/>
      <c r="L368" s="410">
        <f t="shared" si="72"/>
        <v>0</v>
      </c>
      <c r="M368" s="83"/>
      <c r="N368" s="56">
        <f t="shared" si="73"/>
        <v>0</v>
      </c>
      <c r="P368" s="196" t="str">
        <f t="shared" si="98"/>
        <v>8420/000</v>
      </c>
      <c r="Q368" s="78"/>
      <c r="R368" s="34"/>
      <c r="S368" s="79"/>
      <c r="T368" s="59"/>
      <c r="U368" s="34"/>
    </row>
    <row r="369" spans="1:21" x14ac:dyDescent="0.2">
      <c r="A369" s="393"/>
      <c r="B369" s="62" t="s">
        <v>276</v>
      </c>
      <c r="C369" s="398"/>
      <c r="D369" s="407"/>
      <c r="E369" s="405"/>
      <c r="F369" s="184">
        <f>TrialBalanceA!I369-TrialBalanceA!K369</f>
        <v>0</v>
      </c>
      <c r="G369" s="184">
        <f>TrialBalanceB!I369-TrialBalanceB!K369</f>
        <v>0</v>
      </c>
      <c r="H369" s="184">
        <f>TrialBalanceC!I369-TrialBalanceC!K369</f>
        <v>0</v>
      </c>
      <c r="I369" s="87">
        <f t="shared" si="107"/>
        <v>0</v>
      </c>
      <c r="J369" s="347">
        <f>SUMIF(Journals!D$14:D$920,TrialBalance!P369,Journals!J$14:J$920)+SUMIF(Journals!E$14:E$920,TrialBalance!P369,Journals!J$14:J$920)</f>
        <v>0</v>
      </c>
      <c r="K369" s="408"/>
      <c r="L369" s="410">
        <f t="shared" si="72"/>
        <v>0</v>
      </c>
      <c r="M369" s="83"/>
      <c r="N369" s="56">
        <f t="shared" si="73"/>
        <v>0</v>
      </c>
      <c r="P369" s="196" t="str">
        <f t="shared" si="98"/>
        <v>8430/000</v>
      </c>
      <c r="Q369" s="78"/>
      <c r="R369" s="34"/>
      <c r="S369" s="79"/>
      <c r="T369" s="59"/>
      <c r="U369" s="34"/>
    </row>
    <row r="370" spans="1:21" x14ac:dyDescent="0.2">
      <c r="A370" s="393"/>
      <c r="B370" s="62" t="s">
        <v>277</v>
      </c>
      <c r="C370" s="398"/>
      <c r="D370" s="407"/>
      <c r="E370" s="406"/>
      <c r="F370" s="184">
        <f>TrialBalanceA!I370-TrialBalanceA!K370</f>
        <v>0</v>
      </c>
      <c r="G370" s="184">
        <f>TrialBalanceB!I370-TrialBalanceB!K370</f>
        <v>0</v>
      </c>
      <c r="H370" s="184">
        <f>TrialBalanceC!I370-TrialBalanceC!K370</f>
        <v>0</v>
      </c>
      <c r="I370" s="87">
        <f t="shared" si="107"/>
        <v>0</v>
      </c>
      <c r="J370" s="347">
        <f>SUMIF(Journals!D$14:D$920,TrialBalance!P370,Journals!J$14:J$920)+SUMIF(Journals!E$14:E$920,TrialBalance!P370,Journals!J$14:J$920)</f>
        <v>0</v>
      </c>
      <c r="K370" s="408"/>
      <c r="L370" s="410">
        <f t="shared" si="72"/>
        <v>0</v>
      </c>
      <c r="M370" s="83"/>
      <c r="N370" s="56">
        <f t="shared" si="73"/>
        <v>0</v>
      </c>
      <c r="P370" s="196" t="str">
        <f t="shared" si="98"/>
        <v>8440/000</v>
      </c>
      <c r="Q370" s="78"/>
      <c r="R370" s="34"/>
      <c r="S370" s="79"/>
      <c r="T370" s="59"/>
      <c r="U370" s="34"/>
    </row>
    <row r="371" spans="1:21" x14ac:dyDescent="0.2">
      <c r="A371" s="393"/>
      <c r="B371" s="62" t="s">
        <v>278</v>
      </c>
      <c r="C371" s="398"/>
      <c r="D371" s="407"/>
      <c r="E371" s="406"/>
      <c r="F371" s="184">
        <f>TrialBalanceA!I371-TrialBalanceA!K371</f>
        <v>0</v>
      </c>
      <c r="G371" s="184">
        <f>TrialBalanceB!I371-TrialBalanceB!K371</f>
        <v>0</v>
      </c>
      <c r="H371" s="184">
        <f>TrialBalanceC!I371-TrialBalanceC!K371</f>
        <v>0</v>
      </c>
      <c r="I371" s="87">
        <f t="shared" si="107"/>
        <v>0</v>
      </c>
      <c r="J371" s="347">
        <f>SUMIF(Journals!D$14:D$920,TrialBalance!P371,Journals!J$14:J$920)+SUMIF(Journals!E$14:E$920,TrialBalance!P371,Journals!J$14:J$920)</f>
        <v>0</v>
      </c>
      <c r="K371" s="408"/>
      <c r="L371" s="410">
        <f t="shared" si="72"/>
        <v>0</v>
      </c>
      <c r="M371" s="83"/>
      <c r="N371" s="56">
        <f t="shared" si="73"/>
        <v>0</v>
      </c>
      <c r="P371" s="196" t="str">
        <f t="shared" si="98"/>
        <v>8450/000</v>
      </c>
      <c r="Q371" s="78"/>
      <c r="R371" s="34"/>
      <c r="S371" s="79"/>
      <c r="T371" s="59"/>
      <c r="U371" s="34"/>
    </row>
    <row r="372" spans="1:21" x14ac:dyDescent="0.2">
      <c r="A372" s="393"/>
      <c r="B372" s="62" t="s">
        <v>140</v>
      </c>
      <c r="C372" s="398"/>
      <c r="D372" s="407"/>
      <c r="E372" s="406"/>
      <c r="F372" s="184">
        <f>TrialBalanceA!I372-TrialBalanceA!K372</f>
        <v>0</v>
      </c>
      <c r="G372" s="184">
        <f>TrialBalanceB!I372-TrialBalanceB!K372</f>
        <v>0</v>
      </c>
      <c r="H372" s="184">
        <f>TrialBalanceC!I372-TrialBalanceC!K372</f>
        <v>0</v>
      </c>
      <c r="I372" s="87">
        <f t="shared" si="107"/>
        <v>0</v>
      </c>
      <c r="J372" s="347">
        <f>SUMIF(Journals!D$14:D$920,TrialBalance!P372,Journals!J$14:J$920)+SUMIF(Journals!E$14:E$920,TrialBalance!P372,Journals!J$14:J$920)</f>
        <v>0</v>
      </c>
      <c r="K372" s="408"/>
      <c r="L372" s="410">
        <f t="shared" si="72"/>
        <v>0</v>
      </c>
      <c r="M372" s="83"/>
      <c r="N372" s="56">
        <f t="shared" si="73"/>
        <v>0</v>
      </c>
      <c r="P372" s="196" t="str">
        <f t="shared" si="98"/>
        <v>8460/000</v>
      </c>
      <c r="Q372" s="78"/>
      <c r="R372" s="34"/>
      <c r="S372" s="79"/>
      <c r="T372" s="59"/>
      <c r="U372" s="34"/>
    </row>
    <row r="373" spans="1:21" x14ac:dyDescent="0.2">
      <c r="A373" s="393"/>
      <c r="B373" s="62" t="s">
        <v>463</v>
      </c>
      <c r="C373" s="401" t="s">
        <v>464</v>
      </c>
      <c r="D373" s="405"/>
      <c r="E373" s="405"/>
      <c r="F373" s="184">
        <f>TrialBalanceA!I373-TrialBalanceA!K373</f>
        <v>0</v>
      </c>
      <c r="G373" s="184">
        <f>TrialBalanceB!I373-TrialBalanceB!K373</f>
        <v>0</v>
      </c>
      <c r="H373" s="184">
        <f>TrialBalanceC!I373-TrialBalanceC!K373</f>
        <v>0</v>
      </c>
      <c r="I373" s="87">
        <f t="shared" si="107"/>
        <v>0</v>
      </c>
      <c r="J373" s="347">
        <f>SUMIF(Journals!D$14:D$920,TrialBalance!P373,Journals!J$14:J$920)+SUMIF(Journals!E$14:E$920,TrialBalance!P373,Journals!J$14:J$920)</f>
        <v>0</v>
      </c>
      <c r="K373" s="408"/>
      <c r="L373" s="410">
        <f t="shared" ref="L373:L401" si="108">ROUND(D373-E373+F373+G373+H373+J373+I373,0)</f>
        <v>0</v>
      </c>
      <c r="M373" s="83"/>
      <c r="N373" s="56">
        <f t="shared" si="73"/>
        <v>0</v>
      </c>
      <c r="P373" s="196" t="str">
        <f t="shared" si="98"/>
        <v>8500/000Cash on hand</v>
      </c>
      <c r="Q373" s="78"/>
      <c r="R373" s="34"/>
      <c r="S373" s="79"/>
      <c r="T373" s="59"/>
      <c r="U373" s="34"/>
    </row>
    <row r="374" spans="1:21" x14ac:dyDescent="0.2">
      <c r="A374" s="393"/>
      <c r="B374" s="62" t="s">
        <v>465</v>
      </c>
      <c r="C374" s="399" t="s">
        <v>314</v>
      </c>
      <c r="D374" s="406"/>
      <c r="E374" s="406"/>
      <c r="F374" s="184"/>
      <c r="G374" s="184"/>
      <c r="H374" s="184"/>
      <c r="I374" s="87"/>
      <c r="J374" s="347">
        <f>SUMIF(Journals!D$14:D$920,TrialBalance!P374,Journals!J$14:J$920)+SUMIF(Journals!E$14:E$920,TrialBalance!P374,Journals!J$14:J$920)</f>
        <v>0</v>
      </c>
      <c r="K374" s="408"/>
      <c r="L374" s="410">
        <f t="shared" si="108"/>
        <v>0</v>
      </c>
      <c r="M374" s="83"/>
      <c r="N374" s="56">
        <f t="shared" si="73"/>
        <v>0</v>
      </c>
      <c r="P374" s="196" t="str">
        <f t="shared" ref="P374:P401" si="109">CONCATENATE(B374,C374)</f>
        <v>8900/000SHORT TERM LOANS</v>
      </c>
      <c r="Q374" s="78"/>
      <c r="R374" s="34"/>
      <c r="S374" s="79"/>
      <c r="T374" s="59"/>
      <c r="U374" s="34"/>
    </row>
    <row r="375" spans="1:21" x14ac:dyDescent="0.2">
      <c r="A375" s="393"/>
      <c r="B375" s="62" t="s">
        <v>466</v>
      </c>
      <c r="C375" s="398"/>
      <c r="D375" s="405"/>
      <c r="E375" s="406"/>
      <c r="F375" s="184">
        <f>TrialBalanceA!I375-TrialBalanceA!K375</f>
        <v>0</v>
      </c>
      <c r="G375" s="184">
        <f>TrialBalanceB!I375-TrialBalanceB!K375</f>
        <v>0</v>
      </c>
      <c r="H375" s="184">
        <f>TrialBalanceC!I375-TrialBalanceC!K375</f>
        <v>0</v>
      </c>
      <c r="I375" s="87">
        <f>N375</f>
        <v>0</v>
      </c>
      <c r="J375" s="347">
        <f>SUMIF(Journals!D$14:D$920,TrialBalance!P375,Journals!J$14:J$920)+SUMIF(Journals!E$14:E$920,TrialBalance!P375,Journals!J$14:J$920)</f>
        <v>0</v>
      </c>
      <c r="K375" s="408"/>
      <c r="L375" s="410">
        <f t="shared" si="108"/>
        <v>0</v>
      </c>
      <c r="M375" s="83"/>
      <c r="N375" s="56">
        <f t="shared" si="73"/>
        <v>0</v>
      </c>
      <c r="P375" s="196" t="str">
        <f t="shared" si="109"/>
        <v>8900/001</v>
      </c>
      <c r="Q375" s="80"/>
      <c r="R375" s="34"/>
      <c r="S375" s="79"/>
      <c r="T375" s="59"/>
      <c r="U375" s="34"/>
    </row>
    <row r="376" spans="1:21" x14ac:dyDescent="0.2">
      <c r="A376" s="393"/>
      <c r="B376" s="62" t="s">
        <v>467</v>
      </c>
      <c r="C376" s="398"/>
      <c r="D376" s="405"/>
      <c r="E376" s="406"/>
      <c r="F376" s="184">
        <f>TrialBalanceA!I376-TrialBalanceA!K376</f>
        <v>0</v>
      </c>
      <c r="G376" s="184">
        <f>TrialBalanceB!I376-TrialBalanceB!K376</f>
        <v>0</v>
      </c>
      <c r="H376" s="184">
        <f>TrialBalanceC!I376-TrialBalanceC!K376</f>
        <v>0</v>
      </c>
      <c r="I376" s="87">
        <f>N376</f>
        <v>0</v>
      </c>
      <c r="J376" s="347">
        <f>SUMIF(Journals!D$14:D$920,TrialBalance!P376,Journals!J$14:J$920)+SUMIF(Journals!E$14:E$920,TrialBalance!P376,Journals!J$14:J$920)</f>
        <v>0</v>
      </c>
      <c r="K376" s="408"/>
      <c r="L376" s="410">
        <f t="shared" si="108"/>
        <v>0</v>
      </c>
      <c r="M376" s="83"/>
      <c r="N376" s="56">
        <f t="shared" si="73"/>
        <v>0</v>
      </c>
      <c r="P376" s="196" t="str">
        <f t="shared" si="109"/>
        <v>8900/002</v>
      </c>
      <c r="Q376" s="80"/>
      <c r="R376" s="34"/>
      <c r="S376" s="79"/>
      <c r="T376" s="59"/>
      <c r="U376" s="34"/>
    </row>
    <row r="377" spans="1:21" x14ac:dyDescent="0.2">
      <c r="A377" s="393"/>
      <c r="B377" s="62" t="s">
        <v>468</v>
      </c>
      <c r="C377" s="398"/>
      <c r="D377" s="405"/>
      <c r="E377" s="406"/>
      <c r="F377" s="184">
        <f>TrialBalanceA!I377-TrialBalanceA!K377</f>
        <v>0</v>
      </c>
      <c r="G377" s="184">
        <f>TrialBalanceB!I377-TrialBalanceB!K377</f>
        <v>0</v>
      </c>
      <c r="H377" s="184">
        <f>TrialBalanceC!I377-TrialBalanceC!K377</f>
        <v>0</v>
      </c>
      <c r="I377" s="87">
        <f>N377</f>
        <v>0</v>
      </c>
      <c r="J377" s="347">
        <f>SUMIF(Journals!D$14:D$920,TrialBalance!P377,Journals!J$14:J$920)+SUMIF(Journals!E$14:E$920,TrialBalance!P377,Journals!J$14:J$920)</f>
        <v>0</v>
      </c>
      <c r="K377" s="408"/>
      <c r="L377" s="410">
        <f t="shared" si="108"/>
        <v>0</v>
      </c>
      <c r="M377" s="83"/>
      <c r="N377" s="56">
        <f t="shared" si="73"/>
        <v>0</v>
      </c>
      <c r="P377" s="196" t="str">
        <f t="shared" si="109"/>
        <v>8900/003</v>
      </c>
      <c r="Q377" s="80"/>
      <c r="R377" s="34"/>
      <c r="S377" s="79"/>
      <c r="T377" s="59"/>
      <c r="U377" s="34"/>
    </row>
    <row r="378" spans="1:21" x14ac:dyDescent="0.2">
      <c r="A378" s="393"/>
      <c r="B378" s="62" t="s">
        <v>469</v>
      </c>
      <c r="C378" s="396" t="s">
        <v>288</v>
      </c>
      <c r="D378" s="405"/>
      <c r="E378" s="406"/>
      <c r="F378" s="184"/>
      <c r="G378" s="184"/>
      <c r="H378" s="184"/>
      <c r="I378" s="87">
        <f>N378</f>
        <v>0</v>
      </c>
      <c r="J378" s="347">
        <f>SUMIF(Journals!D$14:D$920,TrialBalance!P378,Journals!J$14:J$920)+SUMIF(Journals!E$14:E$920,TrialBalance!P378,Journals!J$14:J$920)</f>
        <v>0</v>
      </c>
      <c r="K378" s="408"/>
      <c r="L378" s="410">
        <f t="shared" si="108"/>
        <v>0</v>
      </c>
      <c r="M378" s="83"/>
      <c r="N378" s="56">
        <f t="shared" si="73"/>
        <v>0</v>
      </c>
      <c r="P378" s="196" t="str">
        <f t="shared" si="109"/>
        <v>8900/004Short term portion of long term loans</v>
      </c>
      <c r="Q378" s="78"/>
      <c r="R378" s="34"/>
      <c r="S378" s="79"/>
      <c r="T378" s="59"/>
      <c r="U378" s="34"/>
    </row>
    <row r="379" spans="1:21" x14ac:dyDescent="0.2">
      <c r="A379" s="393"/>
      <c r="B379" s="62" t="s">
        <v>470</v>
      </c>
      <c r="C379" s="396" t="s">
        <v>471</v>
      </c>
      <c r="D379" s="405"/>
      <c r="E379" s="406"/>
      <c r="F379" s="184"/>
      <c r="G379" s="184"/>
      <c r="H379" s="184"/>
      <c r="I379" s="87"/>
      <c r="J379" s="347">
        <f>SUMIF(Journals!D$14:D$920,TrialBalance!P379,Journals!J$14:J$920)+SUMIF(Journals!E$14:E$920,TrialBalance!P379,Journals!J$14:J$920)</f>
        <v>0</v>
      </c>
      <c r="K379" s="409" t="s">
        <v>634</v>
      </c>
      <c r="L379" s="410">
        <f t="shared" si="108"/>
        <v>0</v>
      </c>
      <c r="M379" s="83"/>
      <c r="N379" s="56">
        <f t="shared" si="73"/>
        <v>0</v>
      </c>
      <c r="P379" s="196" t="str">
        <f t="shared" si="109"/>
        <v>9000/000CREDITORS</v>
      </c>
      <c r="Q379" s="78"/>
      <c r="R379" s="34"/>
      <c r="S379" s="79"/>
      <c r="T379" s="59"/>
      <c r="U379" s="34"/>
    </row>
    <row r="380" spans="1:21" x14ac:dyDescent="0.2">
      <c r="A380" s="393"/>
      <c r="B380" s="62" t="s">
        <v>472</v>
      </c>
      <c r="C380" s="394" t="s">
        <v>473</v>
      </c>
      <c r="D380" s="405"/>
      <c r="E380" s="406"/>
      <c r="F380" s="184">
        <f>TrialBalanceA!I380-TrialBalanceA!K380</f>
        <v>0</v>
      </c>
      <c r="G380" s="184">
        <f>TrialBalanceB!I380-TrialBalanceB!K380</f>
        <v>0</v>
      </c>
      <c r="H380" s="184">
        <f>TrialBalanceC!I380-TrialBalanceC!K380</f>
        <v>0</v>
      </c>
      <c r="I380" s="87">
        <f>N380</f>
        <v>0</v>
      </c>
      <c r="J380" s="347">
        <f>SUMIF(Journals!D$14:D$920,TrialBalance!P380,Journals!J$14:J$920)+SUMIF(Journals!E$14:E$920,TrialBalance!P380,Journals!J$14:J$920)</f>
        <v>0</v>
      </c>
      <c r="K380" s="408"/>
      <c r="L380" s="410">
        <f t="shared" si="108"/>
        <v>0</v>
      </c>
      <c r="M380" s="83"/>
      <c r="N380" s="56">
        <f t="shared" ref="N380:N402" si="110">ROUND(SUM(A380),0)</f>
        <v>0</v>
      </c>
      <c r="P380" s="196" t="str">
        <f t="shared" si="109"/>
        <v>9010/000Trade creditors</v>
      </c>
      <c r="Q380" s="80"/>
      <c r="R380" s="34"/>
      <c r="S380" s="79"/>
      <c r="T380" s="59"/>
      <c r="U380" s="34"/>
    </row>
    <row r="381" spans="1:21" x14ac:dyDescent="0.2">
      <c r="A381" s="393"/>
      <c r="B381" s="62" t="s">
        <v>474</v>
      </c>
      <c r="C381" s="397" t="s">
        <v>622</v>
      </c>
      <c r="D381" s="405"/>
      <c r="E381" s="406"/>
      <c r="F381" s="184">
        <f>TrialBalanceA!I381-TrialBalanceA!K381</f>
        <v>0</v>
      </c>
      <c r="G381" s="184">
        <f>TrialBalanceB!I381-TrialBalanceB!K381</f>
        <v>0</v>
      </c>
      <c r="H381" s="184">
        <f>TrialBalanceC!I381-TrialBalanceC!K381</f>
        <v>0</v>
      </c>
      <c r="I381" s="87">
        <f>N381</f>
        <v>0</v>
      </c>
      <c r="J381" s="347">
        <f>SUMIF(Journals!D$14:D$920,TrialBalance!P381,Journals!J$14:J$920)+SUMIF(Journals!E$14:E$920,TrialBalance!P381,Journals!J$14:J$920)</f>
        <v>0</v>
      </c>
      <c r="K381" s="408"/>
      <c r="L381" s="410">
        <f t="shared" si="108"/>
        <v>0</v>
      </c>
      <c r="M381" s="83"/>
      <c r="N381" s="56">
        <f t="shared" si="110"/>
        <v>0</v>
      </c>
      <c r="P381" s="196" t="str">
        <f t="shared" si="109"/>
        <v>9200/000Sundry suppliers</v>
      </c>
      <c r="Q381" s="78"/>
      <c r="R381" s="34"/>
      <c r="S381" s="79"/>
      <c r="T381" s="59"/>
      <c r="U381" s="34"/>
    </row>
    <row r="382" spans="1:21" x14ac:dyDescent="0.2">
      <c r="A382" s="393"/>
      <c r="B382" s="62" t="s">
        <v>475</v>
      </c>
      <c r="C382" s="397" t="s">
        <v>921</v>
      </c>
      <c r="D382" s="405"/>
      <c r="E382" s="406"/>
      <c r="F382" s="184">
        <f>TrialBalanceA!I382-TrialBalanceA!K382</f>
        <v>0</v>
      </c>
      <c r="G382" s="184">
        <f>TrialBalanceB!I382-TrialBalanceB!K382</f>
        <v>0</v>
      </c>
      <c r="H382" s="184">
        <f>TrialBalanceC!I382-TrialBalanceC!K382</f>
        <v>0</v>
      </c>
      <c r="I382" s="87">
        <f>N382</f>
        <v>0</v>
      </c>
      <c r="J382" s="347">
        <f>SUMIF(Journals!D$14:D$920,TrialBalance!P382,Journals!J$14:J$920)+SUMIF(Journals!E$14:E$920,TrialBalance!P382,Journals!J$14:J$920)</f>
        <v>0</v>
      </c>
      <c r="K382" s="408"/>
      <c r="L382" s="410">
        <f t="shared" si="108"/>
        <v>0</v>
      </c>
      <c r="M382" s="83"/>
      <c r="N382" s="56">
        <f t="shared" si="110"/>
        <v>0</v>
      </c>
      <c r="P382" s="196" t="str">
        <f t="shared" si="109"/>
        <v>9200/010Audit and accounting fee accrual</v>
      </c>
      <c r="Q382" s="78"/>
      <c r="R382" s="34"/>
      <c r="S382" s="79"/>
      <c r="T382" s="59"/>
      <c r="U382" s="34"/>
    </row>
    <row r="383" spans="1:21" x14ac:dyDescent="0.2">
      <c r="A383" s="393"/>
      <c r="B383" s="62" t="s">
        <v>476</v>
      </c>
      <c r="C383" s="397" t="s">
        <v>623</v>
      </c>
      <c r="D383" s="405"/>
      <c r="E383" s="406"/>
      <c r="F383" s="184">
        <f>TrialBalanceA!I383-TrialBalanceA!K383</f>
        <v>0</v>
      </c>
      <c r="G383" s="184">
        <f>TrialBalanceB!I383-TrialBalanceB!K383</f>
        <v>0</v>
      </c>
      <c r="H383" s="184">
        <f>TrialBalanceC!I383-TrialBalanceC!K383</f>
        <v>0</v>
      </c>
      <c r="I383" s="87">
        <f>N383</f>
        <v>0</v>
      </c>
      <c r="J383" s="347">
        <f>SUMIF(Journals!D$14:D$920,TrialBalance!P383,Journals!J$14:J$920)+SUMIF(Journals!E$14:E$920,TrialBalance!P383,Journals!J$14:J$920)</f>
        <v>0</v>
      </c>
      <c r="K383" s="408"/>
      <c r="L383" s="410">
        <f t="shared" si="108"/>
        <v>0</v>
      </c>
      <c r="M383" s="83"/>
      <c r="N383" s="56">
        <f t="shared" si="110"/>
        <v>0</v>
      </c>
      <c r="P383" s="196" t="str">
        <f t="shared" si="109"/>
        <v>9200/020Other accruals</v>
      </c>
      <c r="Q383" s="78"/>
      <c r="R383" s="34"/>
      <c r="S383" s="79"/>
      <c r="T383" s="59"/>
      <c r="U383" s="34"/>
    </row>
    <row r="384" spans="1:21" x14ac:dyDescent="0.2">
      <c r="A384" s="393"/>
      <c r="B384" s="62" t="s">
        <v>477</v>
      </c>
      <c r="C384" s="397" t="s">
        <v>900</v>
      </c>
      <c r="D384" s="405"/>
      <c r="E384" s="406"/>
      <c r="F384" s="184">
        <f>TrialBalanceA!I384-TrialBalanceA!K384</f>
        <v>0</v>
      </c>
      <c r="G384" s="184">
        <f>TrialBalanceB!I384-TrialBalanceB!K384</f>
        <v>0</v>
      </c>
      <c r="H384" s="184">
        <f>TrialBalanceC!I384-TrialBalanceC!K384</f>
        <v>0</v>
      </c>
      <c r="I384" s="87">
        <f>N384</f>
        <v>0</v>
      </c>
      <c r="J384" s="347">
        <f>SUMIF(Journals!D$14:D$920,TrialBalance!P384,Journals!J$14:J$920)+SUMIF(Journals!E$14:E$920,TrialBalance!P384,Journals!J$14:J$920)</f>
        <v>0</v>
      </c>
      <c r="K384" s="408"/>
      <c r="L384" s="410">
        <f t="shared" si="108"/>
        <v>0</v>
      </c>
      <c r="M384" s="83"/>
      <c r="N384" s="56">
        <f t="shared" si="110"/>
        <v>0</v>
      </c>
      <c r="P384" s="196" t="str">
        <f t="shared" si="109"/>
        <v>9250/000Salary and wages control</v>
      </c>
      <c r="Q384" s="80"/>
      <c r="R384" s="34"/>
      <c r="S384" s="79"/>
      <c r="T384" s="59"/>
      <c r="U384" s="34"/>
    </row>
    <row r="385" spans="1:21" x14ac:dyDescent="0.2">
      <c r="A385" s="393"/>
      <c r="B385" s="62" t="s">
        <v>368</v>
      </c>
      <c r="C385" s="396" t="s">
        <v>127</v>
      </c>
      <c r="D385" s="405"/>
      <c r="E385" s="406"/>
      <c r="F385" s="184"/>
      <c r="G385" s="184"/>
      <c r="H385" s="184"/>
      <c r="I385" s="87"/>
      <c r="J385" s="347">
        <f>SUMIF(Journals!D$14:D$920,TrialBalance!P385,Journals!J$14:J$920)+SUMIF(Journals!E$14:E$920,TrialBalance!P385,Journals!J$14:J$920)</f>
        <v>0</v>
      </c>
      <c r="K385" s="408"/>
      <c r="L385" s="410">
        <f t="shared" si="108"/>
        <v>0</v>
      </c>
      <c r="M385" s="83"/>
      <c r="N385" s="56">
        <f t="shared" si="110"/>
        <v>0</v>
      </c>
      <c r="P385" s="196" t="str">
        <f t="shared" si="109"/>
        <v>9300/000TAXATION</v>
      </c>
      <c r="Q385" s="78"/>
      <c r="R385" s="34"/>
      <c r="S385" s="79"/>
      <c r="T385" s="59"/>
      <c r="U385" s="34"/>
    </row>
    <row r="386" spans="1:21" x14ac:dyDescent="0.2">
      <c r="A386" s="393"/>
      <c r="B386" s="62" t="s">
        <v>488</v>
      </c>
      <c r="C386" s="394" t="s">
        <v>98</v>
      </c>
      <c r="D386" s="405"/>
      <c r="E386" s="406"/>
      <c r="F386" s="184"/>
      <c r="G386" s="184"/>
      <c r="H386" s="184"/>
      <c r="I386" s="87">
        <f>SUM(N386:N392)</f>
        <v>0</v>
      </c>
      <c r="J386" s="347">
        <f>SUMIF(Journals!D$14:D$920,TrialBalance!P386,Journals!J$14:J$920)+SUMIF(Journals!E$14:E$920,TrialBalance!P386,Journals!J$14:J$920)</f>
        <v>0</v>
      </c>
      <c r="K386" s="408"/>
      <c r="L386" s="410">
        <f t="shared" si="108"/>
        <v>0</v>
      </c>
      <c r="M386" s="83"/>
      <c r="N386" s="56">
        <f t="shared" si="110"/>
        <v>0</v>
      </c>
      <c r="P386" s="196" t="str">
        <f t="shared" si="109"/>
        <v>9300/010Balance b/fwd</v>
      </c>
      <c r="Q386" s="78"/>
      <c r="R386" s="34"/>
      <c r="S386" s="79"/>
      <c r="T386" s="79"/>
      <c r="U386" s="34"/>
    </row>
    <row r="387" spans="1:21" x14ac:dyDescent="0.2">
      <c r="A387" s="393"/>
      <c r="B387" s="62" t="s">
        <v>489</v>
      </c>
      <c r="C387" s="401" t="s">
        <v>137</v>
      </c>
      <c r="D387" s="406"/>
      <c r="E387" s="406"/>
      <c r="F387" s="184">
        <f>TrialBalanceA!I387</f>
        <v>0</v>
      </c>
      <c r="G387" s="184">
        <f>TrialBalanceB!I387</f>
        <v>0</v>
      </c>
      <c r="H387" s="184">
        <f>TrialBalanceC!I387</f>
        <v>0</v>
      </c>
      <c r="I387" s="87"/>
      <c r="J387" s="347">
        <f>SUMIF(Journals!D$14:D$920,TrialBalance!P387,Journals!J$14:J$920)+SUMIF(Journals!E$14:E$920,TrialBalance!P387,Journals!J$14:J$920)</f>
        <v>0</v>
      </c>
      <c r="K387" s="408"/>
      <c r="L387" s="410">
        <f t="shared" si="108"/>
        <v>0</v>
      </c>
      <c r="M387" s="83"/>
      <c r="N387" s="56">
        <f t="shared" si="110"/>
        <v>0</v>
      </c>
      <c r="P387" s="196" t="str">
        <f t="shared" si="109"/>
        <v>9300/020Tax provision this year</v>
      </c>
      <c r="Q387" s="78"/>
      <c r="R387" s="34"/>
      <c r="S387" s="79"/>
      <c r="T387" s="59"/>
      <c r="U387" s="34"/>
    </row>
    <row r="388" spans="1:21" x14ac:dyDescent="0.2">
      <c r="A388" s="393"/>
      <c r="B388" s="62" t="s">
        <v>490</v>
      </c>
      <c r="C388" s="397" t="s">
        <v>1094</v>
      </c>
      <c r="D388" s="405"/>
      <c r="E388" s="406"/>
      <c r="F388" s="184">
        <f>TrialBalanceA!I388</f>
        <v>0</v>
      </c>
      <c r="G388" s="184">
        <f>TrialBalanceB!I388</f>
        <v>0</v>
      </c>
      <c r="H388" s="184">
        <f>TrialBalanceC!I388</f>
        <v>0</v>
      </c>
      <c r="I388" s="87"/>
      <c r="J388" s="347">
        <f>SUMIF(Journals!D$14:D$920,TrialBalance!P388,Journals!J$14:J$920)+SUMIF(Journals!E$14:E$920,TrialBalance!P388,Journals!J$14:J$920)</f>
        <v>0</v>
      </c>
      <c r="K388" s="408"/>
      <c r="L388" s="410">
        <f t="shared" si="108"/>
        <v>0</v>
      </c>
      <c r="M388" s="83"/>
      <c r="N388" s="56">
        <f t="shared" si="110"/>
        <v>0</v>
      </c>
      <c r="P388" s="196" t="str">
        <f t="shared" si="109"/>
        <v>9300/030Over-/(Under) provision previous year</v>
      </c>
      <c r="Q388" s="78"/>
      <c r="R388" s="34"/>
      <c r="S388" s="79"/>
      <c r="T388" s="59"/>
      <c r="U388" s="34"/>
    </row>
    <row r="389" spans="1:21" x14ac:dyDescent="0.2">
      <c r="A389" s="393"/>
      <c r="B389" s="62" t="s">
        <v>491</v>
      </c>
      <c r="C389" s="397" t="s">
        <v>1095</v>
      </c>
      <c r="D389" s="405"/>
      <c r="E389" s="405"/>
      <c r="F389" s="184">
        <f>TrialBalanceA!I389</f>
        <v>0</v>
      </c>
      <c r="G389" s="184">
        <f>TrialBalanceB!I389</f>
        <v>0</v>
      </c>
      <c r="H389" s="184">
        <f>TrialBalanceC!I389</f>
        <v>0</v>
      </c>
      <c r="I389" s="87"/>
      <c r="J389" s="347">
        <f>SUMIF(Journals!D$14:D$920,TrialBalance!P389,Journals!J$14:J$920)+SUMIF(Journals!E$14:E$920,TrialBalance!P389,Journals!J$14:J$920)</f>
        <v>0</v>
      </c>
      <c r="K389" s="408"/>
      <c r="L389" s="410">
        <f t="shared" si="108"/>
        <v>0</v>
      </c>
      <c r="M389" s="83"/>
      <c r="N389" s="56">
        <f t="shared" si="110"/>
        <v>0</v>
      </c>
      <c r="P389" s="196" t="str">
        <f t="shared" si="109"/>
        <v>9300/040Tax paid/(refund) for previous year provisions</v>
      </c>
      <c r="Q389" s="78"/>
      <c r="R389" s="34"/>
      <c r="S389" s="79"/>
      <c r="T389" s="59"/>
      <c r="U389" s="34"/>
    </row>
    <row r="390" spans="1:21" x14ac:dyDescent="0.2">
      <c r="A390" s="393"/>
      <c r="B390" s="62" t="s">
        <v>492</v>
      </c>
      <c r="C390" s="397" t="s">
        <v>972</v>
      </c>
      <c r="D390" s="405"/>
      <c r="E390" s="406"/>
      <c r="F390" s="184">
        <f>TrialBalanceA!I390</f>
        <v>0</v>
      </c>
      <c r="G390" s="184">
        <f>TrialBalanceB!I390</f>
        <v>0</v>
      </c>
      <c r="H390" s="184">
        <f>TrialBalanceC!I390</f>
        <v>0</v>
      </c>
      <c r="I390" s="87"/>
      <c r="J390" s="347">
        <f>SUMIF(Journals!D$14:D$920,TrialBalance!P390,Journals!J$14:J$920)+SUMIF(Journals!E$14:E$920,TrialBalance!P390,Journals!J$14:J$920)</f>
        <v>0</v>
      </c>
      <c r="K390" s="408"/>
      <c r="L390" s="410">
        <f t="shared" si="108"/>
        <v>0</v>
      </c>
      <c r="M390" s="83"/>
      <c r="N390" s="56">
        <f t="shared" si="110"/>
        <v>0</v>
      </c>
      <c r="P390" s="196" t="str">
        <f t="shared" si="109"/>
        <v>9300/0501st Provisional paid</v>
      </c>
      <c r="Q390" s="78"/>
      <c r="R390" s="34"/>
      <c r="S390" s="79"/>
      <c r="T390" s="59"/>
      <c r="U390" s="34"/>
    </row>
    <row r="391" spans="1:21" x14ac:dyDescent="0.2">
      <c r="A391" s="393"/>
      <c r="B391" s="62" t="s">
        <v>493</v>
      </c>
      <c r="C391" s="397" t="s">
        <v>973</v>
      </c>
      <c r="D391" s="405"/>
      <c r="E391" s="406"/>
      <c r="F391" s="184">
        <f>TrialBalanceA!I391</f>
        <v>0</v>
      </c>
      <c r="G391" s="184">
        <f>TrialBalanceB!I391</f>
        <v>0</v>
      </c>
      <c r="H391" s="184">
        <f>TrialBalanceC!I391</f>
        <v>0</v>
      </c>
      <c r="I391" s="87"/>
      <c r="J391" s="347">
        <f>SUMIF(Journals!D$14:D$920,TrialBalance!P391,Journals!J$14:J$920)+SUMIF(Journals!E$14:E$920,TrialBalance!P391,Journals!J$14:J$920)</f>
        <v>0</v>
      </c>
      <c r="K391" s="408"/>
      <c r="L391" s="410">
        <f t="shared" si="108"/>
        <v>0</v>
      </c>
      <c r="M391" s="83"/>
      <c r="N391" s="56">
        <f t="shared" si="110"/>
        <v>0</v>
      </c>
      <c r="P391" s="196" t="str">
        <f t="shared" si="109"/>
        <v>9300/0602nd Provisional paid</v>
      </c>
      <c r="Q391" s="78"/>
      <c r="R391" s="34"/>
      <c r="S391" s="79"/>
      <c r="T391" s="59"/>
      <c r="U391" s="34"/>
    </row>
    <row r="392" spans="1:21" x14ac:dyDescent="0.2">
      <c r="A392" s="393"/>
      <c r="B392" s="62" t="s">
        <v>494</v>
      </c>
      <c r="C392" s="394" t="s">
        <v>138</v>
      </c>
      <c r="D392" s="405"/>
      <c r="E392" s="406"/>
      <c r="F392" s="184">
        <f>TrialBalanceA!I392</f>
        <v>0</v>
      </c>
      <c r="G392" s="184">
        <f>TrialBalanceB!I392</f>
        <v>0</v>
      </c>
      <c r="H392" s="184">
        <f>TrialBalanceC!I392</f>
        <v>0</v>
      </c>
      <c r="I392" s="87"/>
      <c r="J392" s="347">
        <f>SUMIF(Journals!D$14:D$920,TrialBalance!P392,Journals!J$14:J$920)+SUMIF(Journals!E$14:E$920,TrialBalance!P392,Journals!J$14:J$920)</f>
        <v>0</v>
      </c>
      <c r="K392" s="408"/>
      <c r="L392" s="410">
        <f t="shared" si="108"/>
        <v>0</v>
      </c>
      <c r="M392" s="83"/>
      <c r="N392" s="56">
        <f t="shared" si="110"/>
        <v>0</v>
      </c>
      <c r="P392" s="196" t="str">
        <f t="shared" si="109"/>
        <v>9300/0703rd Provisional paid</v>
      </c>
      <c r="Q392" s="78"/>
      <c r="R392" s="34"/>
      <c r="S392" s="79"/>
      <c r="T392" s="59"/>
      <c r="U392" s="34"/>
    </row>
    <row r="393" spans="1:21" x14ac:dyDescent="0.2">
      <c r="A393" s="393"/>
      <c r="B393" s="62" t="s">
        <v>495</v>
      </c>
      <c r="C393" s="397" t="s">
        <v>1096</v>
      </c>
      <c r="D393" s="405"/>
      <c r="E393" s="406"/>
      <c r="F393" s="184"/>
      <c r="G393" s="184"/>
      <c r="H393" s="184"/>
      <c r="I393" s="87">
        <f>N393</f>
        <v>0</v>
      </c>
      <c r="J393" s="347">
        <f>SUMIF(Journals!D$14:D$920,TrialBalance!P393,Journals!J$14:J$920)+SUMIF(Journals!E$14:E$920,TrialBalance!P393,Journals!J$14:J$920)</f>
        <v>0</v>
      </c>
      <c r="K393" s="408"/>
      <c r="L393" s="410">
        <f t="shared" si="108"/>
        <v>0</v>
      </c>
      <c r="M393" s="83"/>
      <c r="N393" s="56">
        <f t="shared" si="110"/>
        <v>0</v>
      </c>
      <c r="P393" s="196" t="str">
        <f t="shared" si="109"/>
        <v>9300/090Dividends' tax provision</v>
      </c>
      <c r="Q393" s="78"/>
      <c r="R393" s="34"/>
      <c r="S393" s="79"/>
      <c r="T393" s="59"/>
      <c r="U393" s="34"/>
    </row>
    <row r="394" spans="1:21" x14ac:dyDescent="0.2">
      <c r="A394" s="393"/>
      <c r="B394" s="62" t="s">
        <v>369</v>
      </c>
      <c r="C394" s="397" t="s">
        <v>608</v>
      </c>
      <c r="D394" s="405"/>
      <c r="E394" s="406"/>
      <c r="F394" s="184"/>
      <c r="G394" s="184"/>
      <c r="H394" s="184"/>
      <c r="I394" s="87">
        <f>N394</f>
        <v>0</v>
      </c>
      <c r="J394" s="347">
        <f>SUMIF(Journals!D$14:D$920,TrialBalance!P394,Journals!J$14:J$920)+SUMIF(Journals!E$14:E$920,TrialBalance!P394,Journals!J$14:J$920)</f>
        <v>0</v>
      </c>
      <c r="K394" s="408"/>
      <c r="L394" s="410">
        <f t="shared" si="108"/>
        <v>0</v>
      </c>
      <c r="M394" s="83"/>
      <c r="N394" s="56">
        <f t="shared" si="110"/>
        <v>0</v>
      </c>
      <c r="P394" s="196" t="str">
        <f t="shared" si="109"/>
        <v>9350/000Dividends payable</v>
      </c>
      <c r="Q394" s="78"/>
      <c r="R394" s="34"/>
      <c r="S394" s="79"/>
      <c r="T394" s="59"/>
      <c r="U394" s="34"/>
    </row>
    <row r="395" spans="1:21" x14ac:dyDescent="0.2">
      <c r="A395" s="393"/>
      <c r="B395" s="62" t="s">
        <v>370</v>
      </c>
      <c r="C395" s="397" t="s">
        <v>609</v>
      </c>
      <c r="D395" s="405"/>
      <c r="E395" s="406"/>
      <c r="F395" s="184">
        <f>TrialBalanceA!I395-TrialBalanceA!K395</f>
        <v>0</v>
      </c>
      <c r="G395" s="184">
        <f>TrialBalanceB!I395-TrialBalanceB!K395</f>
        <v>0</v>
      </c>
      <c r="H395" s="184">
        <f>TrialBalanceC!I395-TrialBalanceC!K395</f>
        <v>0</v>
      </c>
      <c r="I395" s="87">
        <f>N395</f>
        <v>0</v>
      </c>
      <c r="J395" s="347">
        <f>SUMIF(Journals!D$14:D$920,TrialBalance!P395,Journals!J$14:J$920)+SUMIF(Journals!E$14:E$920,TrialBalance!P395,Journals!J$14:J$920)</f>
        <v>0</v>
      </c>
      <c r="K395" s="408"/>
      <c r="L395" s="410">
        <f t="shared" si="108"/>
        <v>0</v>
      </c>
      <c r="M395" s="83"/>
      <c r="N395" s="56">
        <f t="shared" si="110"/>
        <v>0</v>
      </c>
      <c r="P395" s="196" t="str">
        <f t="shared" si="109"/>
        <v>9400/000Provision for future expenses</v>
      </c>
      <c r="Q395" s="78"/>
      <c r="R395" s="34"/>
      <c r="S395" s="79"/>
      <c r="T395" s="59"/>
      <c r="U395" s="34"/>
    </row>
    <row r="396" spans="1:21" x14ac:dyDescent="0.2">
      <c r="A396" s="393"/>
      <c r="B396" s="62" t="s">
        <v>371</v>
      </c>
      <c r="C396" s="397" t="s">
        <v>610</v>
      </c>
      <c r="D396" s="405"/>
      <c r="E396" s="406"/>
      <c r="F396" s="184">
        <f>TrialBalanceA!I396-TrialBalanceA!K396</f>
        <v>0</v>
      </c>
      <c r="G396" s="184">
        <f>TrialBalanceB!I396-TrialBalanceB!K396</f>
        <v>0</v>
      </c>
      <c r="H396" s="184">
        <f>TrialBalanceC!I396-TrialBalanceC!K396</f>
        <v>0</v>
      </c>
      <c r="I396" s="87">
        <f>N396</f>
        <v>0</v>
      </c>
      <c r="J396" s="347">
        <f>SUMIF(Journals!D$14:D$920,TrialBalance!P396,Journals!J$14:J$920)+SUMIF(Journals!E$14:E$920,TrialBalance!P396,Journals!J$14:J$920)</f>
        <v>0</v>
      </c>
      <c r="K396" s="408"/>
      <c r="L396" s="410">
        <f t="shared" si="108"/>
        <v>0</v>
      </c>
      <c r="M396" s="83"/>
      <c r="N396" s="56">
        <f t="shared" si="110"/>
        <v>0</v>
      </c>
      <c r="P396" s="196" t="str">
        <f t="shared" si="109"/>
        <v>9400/010Provision for insurance</v>
      </c>
      <c r="Q396" s="78"/>
      <c r="R396" s="34"/>
      <c r="S396" s="79"/>
      <c r="T396" s="59"/>
      <c r="U396" s="34"/>
    </row>
    <row r="397" spans="1:21" x14ac:dyDescent="0.2">
      <c r="A397" s="393"/>
      <c r="B397" s="62" t="s">
        <v>372</v>
      </c>
      <c r="C397" s="397" t="s">
        <v>611</v>
      </c>
      <c r="D397" s="405"/>
      <c r="E397" s="406"/>
      <c r="F397" s="184">
        <f>TrialBalanceA!I397-TrialBalanceA!K397</f>
        <v>0</v>
      </c>
      <c r="G397" s="184">
        <f>TrialBalanceB!I397-TrialBalanceB!K397</f>
        <v>0</v>
      </c>
      <c r="H397" s="184">
        <f>TrialBalanceC!I397-TrialBalanceC!K397</f>
        <v>0</v>
      </c>
      <c r="I397" s="87">
        <f>N397</f>
        <v>0</v>
      </c>
      <c r="J397" s="347">
        <f>SUMIF(Journals!D$14:D$920,TrialBalance!P397,Journals!J$14:J$920)+SUMIF(Journals!E$14:E$920,TrialBalance!P397,Journals!J$14:J$920)</f>
        <v>0</v>
      </c>
      <c r="K397" s="408"/>
      <c r="L397" s="410">
        <f t="shared" si="108"/>
        <v>0</v>
      </c>
      <c r="M397" s="83"/>
      <c r="N397" s="56">
        <f t="shared" si="110"/>
        <v>0</v>
      </c>
      <c r="P397" s="196" t="str">
        <f t="shared" si="109"/>
        <v>9400/020Provision for salary bonus</v>
      </c>
      <c r="Q397" s="78"/>
      <c r="R397" s="34"/>
      <c r="S397" s="79"/>
      <c r="T397" s="59"/>
      <c r="U397" s="34"/>
    </row>
    <row r="398" spans="1:21" x14ac:dyDescent="0.2">
      <c r="A398" s="393"/>
      <c r="B398" s="62" t="s">
        <v>373</v>
      </c>
      <c r="C398" s="396" t="s">
        <v>374</v>
      </c>
      <c r="D398" s="405"/>
      <c r="E398" s="406"/>
      <c r="F398" s="184"/>
      <c r="G398" s="184"/>
      <c r="H398" s="184"/>
      <c r="I398" s="87"/>
      <c r="J398" s="347">
        <f>SUMIF(Journals!D$14:D$920,TrialBalance!P398,Journals!J$14:J$920)+SUMIF(Journals!E$14:E$920,TrialBalance!P398,Journals!J$14:J$920)</f>
        <v>0</v>
      </c>
      <c r="K398" s="408"/>
      <c r="L398" s="410">
        <f t="shared" si="108"/>
        <v>0</v>
      </c>
      <c r="M398" s="83"/>
      <c r="N398" s="56">
        <f t="shared" si="110"/>
        <v>0</v>
      </c>
      <c r="P398" s="196" t="str">
        <f t="shared" si="109"/>
        <v>9500/000VALUE ADDED TAX</v>
      </c>
      <c r="Q398" s="78"/>
      <c r="R398" s="34"/>
      <c r="S398" s="79"/>
      <c r="T398" s="59"/>
      <c r="U398" s="34"/>
    </row>
    <row r="399" spans="1:21" x14ac:dyDescent="0.2">
      <c r="A399" s="393"/>
      <c r="B399" s="62" t="s">
        <v>375</v>
      </c>
      <c r="C399" s="394" t="s">
        <v>376</v>
      </c>
      <c r="D399" s="405"/>
      <c r="E399" s="405"/>
      <c r="F399" s="184">
        <f>TrialBalanceA!I399-TrialBalanceA!K399</f>
        <v>0</v>
      </c>
      <c r="G399" s="184">
        <f>TrialBalanceB!I399-TrialBalanceB!K399</f>
        <v>0</v>
      </c>
      <c r="H399" s="184">
        <f>TrialBalanceC!I399-TrialBalanceC!K399</f>
        <v>0</v>
      </c>
      <c r="I399" s="87">
        <f>N399</f>
        <v>0</v>
      </c>
      <c r="J399" s="347">
        <f>SUMIF(Journals!D$14:D$920,TrialBalance!P399,Journals!J$14:J$920)+SUMIF(Journals!E$14:E$920,TrialBalance!P399,Journals!J$14:J$920)</f>
        <v>0</v>
      </c>
      <c r="K399" s="409" t="s">
        <v>634</v>
      </c>
      <c r="L399" s="410">
        <f t="shared" si="108"/>
        <v>0</v>
      </c>
      <c r="M399" s="83"/>
      <c r="N399" s="56">
        <f t="shared" si="110"/>
        <v>0</v>
      </c>
      <c r="P399" s="196" t="str">
        <f t="shared" si="109"/>
        <v>9501/000VAT account</v>
      </c>
      <c r="Q399" s="80"/>
      <c r="R399" s="34"/>
      <c r="S399" s="79"/>
      <c r="T399" s="59"/>
      <c r="U399" s="34"/>
    </row>
    <row r="400" spans="1:21" x14ac:dyDescent="0.2">
      <c r="A400" s="393"/>
      <c r="B400" s="62" t="s">
        <v>377</v>
      </c>
      <c r="C400" s="397" t="s">
        <v>672</v>
      </c>
      <c r="D400" s="405"/>
      <c r="E400" s="406"/>
      <c r="F400" s="184"/>
      <c r="G400" s="184"/>
      <c r="H400" s="184"/>
      <c r="I400" s="87"/>
      <c r="J400" s="347">
        <f>SUMIF(Journals!D$14:D$920,TrialBalance!P400,Journals!J$14:J$920)+SUMIF(Journals!E$14:E$920,TrialBalance!P400,Journals!J$14:J$920)</f>
        <v>0</v>
      </c>
      <c r="K400" s="408"/>
      <c r="L400" s="410">
        <f t="shared" si="108"/>
        <v>0</v>
      </c>
      <c r="M400" s="83"/>
      <c r="N400" s="56">
        <f t="shared" si="110"/>
        <v>0</v>
      </c>
      <c r="P400" s="196" t="str">
        <f t="shared" si="109"/>
        <v>9510/000--------------------------------------------------</v>
      </c>
      <c r="Q400" s="78"/>
      <c r="R400" s="34"/>
      <c r="S400" s="79"/>
      <c r="T400" s="59"/>
      <c r="U400" s="34"/>
    </row>
    <row r="401" spans="1:21" x14ac:dyDescent="0.2">
      <c r="A401" s="393"/>
      <c r="B401" s="62" t="s">
        <v>378</v>
      </c>
      <c r="C401" s="396" t="s">
        <v>974</v>
      </c>
      <c r="D401" s="405"/>
      <c r="E401" s="405"/>
      <c r="F401" s="184">
        <f>TrialBalanceA!I401-TrialBalanceA!K401</f>
        <v>0</v>
      </c>
      <c r="G401" s="184">
        <f>TrialBalanceB!I401-TrialBalanceB!K401</f>
        <v>0</v>
      </c>
      <c r="H401" s="184">
        <f>TrialBalanceC!I401-TrialBalanceC!K401</f>
        <v>0</v>
      </c>
      <c r="I401" s="87"/>
      <c r="J401" s="347">
        <f>SUMIF(Journals!D$14:D$920,TrialBalance!P401,Journals!J$14:J$920)+SUMIF(Journals!E$14:E$920,TrialBalance!P401,Journals!J$14:J$920)</f>
        <v>0</v>
      </c>
      <c r="K401" s="408"/>
      <c r="L401" s="410">
        <f t="shared" si="108"/>
        <v>0</v>
      </c>
      <c r="M401" s="83"/>
      <c r="N401" s="56">
        <f t="shared" si="110"/>
        <v>0</v>
      </c>
      <c r="P401" s="196" t="str">
        <f t="shared" si="109"/>
        <v>9990/000Suspense account</v>
      </c>
      <c r="Q401" s="80"/>
      <c r="R401" s="34"/>
      <c r="S401" s="79"/>
      <c r="T401" s="59"/>
      <c r="U401" s="34"/>
    </row>
    <row r="402" spans="1:21" x14ac:dyDescent="0.2">
      <c r="A402" s="393"/>
      <c r="B402" s="62" t="s">
        <v>263</v>
      </c>
      <c r="C402" s="63" t="s">
        <v>263</v>
      </c>
      <c r="D402" s="91"/>
      <c r="E402" s="91"/>
      <c r="F402" s="186"/>
      <c r="G402" s="186"/>
      <c r="H402" s="186"/>
      <c r="I402" s="89"/>
      <c r="J402" s="55"/>
      <c r="K402" s="408"/>
      <c r="L402" s="410"/>
      <c r="M402" s="83"/>
      <c r="N402" s="56">
        <f t="shared" si="110"/>
        <v>0</v>
      </c>
      <c r="P402" s="196">
        <v>0</v>
      </c>
      <c r="Q402" s="78"/>
      <c r="S402" s="54"/>
      <c r="T402" s="54"/>
      <c r="U402" s="34"/>
    </row>
    <row r="403" spans="1:21" x14ac:dyDescent="0.2">
      <c r="A403" s="393"/>
      <c r="B403" s="62" t="s">
        <v>263</v>
      </c>
      <c r="C403" s="63" t="s">
        <v>263</v>
      </c>
      <c r="F403" s="187"/>
      <c r="G403" s="187"/>
      <c r="H403" s="187"/>
      <c r="I403" s="90"/>
      <c r="J403" s="55"/>
      <c r="K403" s="408"/>
      <c r="L403" s="410"/>
      <c r="M403" s="83"/>
      <c r="N403" s="56"/>
      <c r="P403" s="196">
        <v>0</v>
      </c>
      <c r="Q403" s="78"/>
      <c r="S403" s="81"/>
      <c r="T403" s="81"/>
      <c r="U403" s="34"/>
    </row>
    <row r="404" spans="1:21" ht="13.5" thickBot="1" x14ac:dyDescent="0.25">
      <c r="A404" s="49">
        <f>SUM(A5:A402)</f>
        <v>0</v>
      </c>
      <c r="B404" s="62" t="s">
        <v>263</v>
      </c>
      <c r="C404" s="63" t="s">
        <v>263</v>
      </c>
      <c r="D404" s="166">
        <f>SUM(D5:D403)</f>
        <v>0</v>
      </c>
      <c r="E404" s="166">
        <f>SUM(E5:E403)</f>
        <v>0</v>
      </c>
      <c r="F404" s="49">
        <f>SUM(F5:F403)</f>
        <v>0</v>
      </c>
      <c r="G404" s="49">
        <f>SUM(G5:G403)</f>
        <v>0</v>
      </c>
      <c r="H404" s="49">
        <f>SUM(H5:H403)</f>
        <v>0</v>
      </c>
      <c r="I404" s="49">
        <f>SUM(I5:I402)</f>
        <v>0</v>
      </c>
      <c r="J404" s="49">
        <f>ROUND(SUM(J5:J403),2)</f>
        <v>0</v>
      </c>
      <c r="K404" s="167"/>
      <c r="L404" s="166">
        <f>SUM(L5:L403)</f>
        <v>0</v>
      </c>
      <c r="M404" s="166"/>
      <c r="N404" s="49">
        <f>SUM(N5:N403)</f>
        <v>0</v>
      </c>
      <c r="P404" s="196">
        <v>0</v>
      </c>
      <c r="Q404" s="82"/>
      <c r="R404" s="82"/>
      <c r="S404" s="82"/>
      <c r="T404" s="82"/>
      <c r="U404" s="82"/>
    </row>
    <row r="405" spans="1:21" ht="13.5" thickTop="1" x14ac:dyDescent="0.2">
      <c r="A405" s="46"/>
      <c r="B405" s="50"/>
      <c r="C405" s="53"/>
      <c r="F405" s="47"/>
      <c r="G405" s="47"/>
      <c r="H405" s="47"/>
      <c r="I405" s="47"/>
      <c r="J405" s="47"/>
      <c r="K405" s="47"/>
      <c r="L405" s="211"/>
      <c r="M405" s="67"/>
      <c r="N405" s="46"/>
      <c r="S405" s="47"/>
      <c r="T405" s="47"/>
    </row>
    <row r="406" spans="1:21" x14ac:dyDescent="0.2">
      <c r="A406" s="46"/>
      <c r="B406" s="50"/>
      <c r="C406" s="53"/>
      <c r="F406" s="47"/>
      <c r="G406" s="47"/>
      <c r="H406" s="47"/>
      <c r="I406" s="47"/>
      <c r="J406" s="47"/>
      <c r="K406" s="47"/>
      <c r="N406" s="46"/>
      <c r="Q406" s="46"/>
      <c r="R406" s="46"/>
      <c r="S406" s="47"/>
      <c r="T406" s="47"/>
    </row>
    <row r="407" spans="1:21" x14ac:dyDescent="0.2">
      <c r="A407" s="46"/>
      <c r="B407" s="50"/>
      <c r="C407" s="53"/>
      <c r="F407" s="47"/>
      <c r="G407" s="47"/>
      <c r="H407" s="47"/>
      <c r="I407" s="47"/>
      <c r="J407" s="47"/>
      <c r="K407" s="47"/>
      <c r="N407" s="46"/>
      <c r="Q407" s="46"/>
      <c r="S407" s="47"/>
      <c r="T407" s="47"/>
    </row>
    <row r="408" spans="1:21" x14ac:dyDescent="0.2">
      <c r="A408" s="46"/>
      <c r="B408" s="50"/>
      <c r="C408" s="53"/>
      <c r="F408" s="47"/>
      <c r="G408" s="47"/>
      <c r="H408" s="47"/>
      <c r="I408" s="47"/>
      <c r="J408" s="47"/>
      <c r="K408" s="47"/>
      <c r="N408" s="46"/>
      <c r="S408" s="47"/>
      <c r="T408" s="47"/>
    </row>
    <row r="409" spans="1:21" x14ac:dyDescent="0.2">
      <c r="A409" s="46"/>
      <c r="B409" s="50"/>
      <c r="C409" s="53"/>
      <c r="F409" s="47"/>
      <c r="G409" s="47"/>
      <c r="H409" s="47"/>
      <c r="I409" s="47"/>
      <c r="J409" s="47"/>
      <c r="K409" s="47"/>
      <c r="N409" s="46"/>
      <c r="S409" s="47"/>
      <c r="T409" s="47"/>
    </row>
    <row r="410" spans="1:21" x14ac:dyDescent="0.2">
      <c r="A410" s="46"/>
      <c r="B410" s="50"/>
      <c r="C410" s="53"/>
      <c r="F410" s="47"/>
      <c r="G410" s="47"/>
      <c r="H410" s="47"/>
      <c r="I410" s="47"/>
      <c r="J410" s="47"/>
      <c r="K410" s="47"/>
      <c r="N410" s="50"/>
      <c r="S410" s="47"/>
      <c r="T410" s="47"/>
    </row>
    <row r="411" spans="1:21" x14ac:dyDescent="0.2">
      <c r="A411" s="46"/>
      <c r="B411" s="50"/>
      <c r="C411" s="53"/>
      <c r="F411" s="47"/>
      <c r="G411" s="47"/>
      <c r="H411" s="47"/>
      <c r="I411" s="47"/>
      <c r="J411" s="47"/>
      <c r="K411" s="47"/>
      <c r="N411" s="50"/>
      <c r="S411" s="47"/>
      <c r="T411" s="47"/>
    </row>
    <row r="412" spans="1:21" x14ac:dyDescent="0.2">
      <c r="A412" s="46"/>
      <c r="B412" s="50"/>
      <c r="C412" s="53"/>
      <c r="F412" s="47"/>
      <c r="G412" s="47"/>
      <c r="H412" s="47"/>
      <c r="I412" s="47"/>
      <c r="J412" s="47"/>
      <c r="K412" s="47"/>
      <c r="N412" s="50"/>
      <c r="S412" s="47"/>
      <c r="T412" s="47"/>
    </row>
    <row r="413" spans="1:21" x14ac:dyDescent="0.2">
      <c r="A413" s="46"/>
      <c r="B413" s="50"/>
      <c r="C413" s="53"/>
      <c r="F413" s="47"/>
      <c r="G413" s="47"/>
      <c r="H413" s="47"/>
      <c r="I413" s="47"/>
      <c r="J413" s="47"/>
      <c r="K413" s="47"/>
      <c r="N413" s="50"/>
      <c r="S413" s="47"/>
      <c r="T413" s="47"/>
    </row>
    <row r="414" spans="1:21" x14ac:dyDescent="0.2">
      <c r="A414" s="46"/>
      <c r="B414" s="50"/>
      <c r="C414" s="53"/>
      <c r="F414" s="47"/>
      <c r="G414" s="47"/>
      <c r="H414" s="47"/>
      <c r="I414" s="47"/>
      <c r="J414" s="47"/>
      <c r="K414" s="47"/>
      <c r="N414" s="50"/>
      <c r="S414" s="47"/>
      <c r="T414" s="47"/>
    </row>
    <row r="415" spans="1:21" x14ac:dyDescent="0.2">
      <c r="A415" s="46"/>
      <c r="B415" s="50"/>
      <c r="C415" s="53"/>
      <c r="F415" s="47"/>
      <c r="G415" s="47"/>
      <c r="H415" s="47"/>
      <c r="I415" s="47"/>
      <c r="J415" s="47"/>
      <c r="K415" s="47"/>
      <c r="N415" s="50"/>
      <c r="S415" s="47"/>
      <c r="T415" s="47"/>
    </row>
    <row r="416" spans="1:21" x14ac:dyDescent="0.2">
      <c r="A416" s="46"/>
      <c r="B416" s="50"/>
      <c r="C416" s="53"/>
      <c r="F416" s="47"/>
      <c r="G416" s="47"/>
      <c r="H416" s="47"/>
      <c r="I416" s="47"/>
      <c r="J416" s="47"/>
      <c r="K416" s="47"/>
      <c r="N416" s="50"/>
      <c r="S416" s="47"/>
      <c r="T416" s="47"/>
    </row>
    <row r="417" spans="1:20" x14ac:dyDescent="0.2">
      <c r="A417" s="46"/>
      <c r="B417" s="50"/>
      <c r="C417" s="53"/>
      <c r="F417" s="47"/>
      <c r="G417" s="47"/>
      <c r="H417" s="47"/>
      <c r="I417" s="47"/>
      <c r="J417" s="47"/>
      <c r="K417" s="47"/>
      <c r="N417" s="50"/>
      <c r="S417" s="47"/>
      <c r="T417" s="47"/>
    </row>
    <row r="418" spans="1:20" x14ac:dyDescent="0.2">
      <c r="A418" s="46"/>
      <c r="B418" s="50"/>
      <c r="C418" s="53"/>
      <c r="F418" s="47"/>
      <c r="G418" s="47"/>
      <c r="H418" s="47"/>
      <c r="I418" s="47"/>
      <c r="J418" s="47"/>
      <c r="K418" s="47"/>
      <c r="N418" s="50"/>
      <c r="S418" s="47"/>
      <c r="T418" s="47"/>
    </row>
    <row r="419" spans="1:20" x14ac:dyDescent="0.2">
      <c r="A419" s="46"/>
      <c r="B419" s="50"/>
      <c r="C419" s="53"/>
      <c r="F419" s="47"/>
      <c r="G419" s="47"/>
      <c r="H419" s="47"/>
      <c r="I419" s="47"/>
      <c r="J419" s="47"/>
      <c r="K419" s="47"/>
      <c r="N419" s="50"/>
      <c r="S419" s="47" t="s">
        <v>111</v>
      </c>
      <c r="T419" s="47" t="s">
        <v>111</v>
      </c>
    </row>
    <row r="420" spans="1:20" x14ac:dyDescent="0.2">
      <c r="A420" s="46"/>
      <c r="B420" s="50"/>
      <c r="C420" s="53"/>
      <c r="F420" s="47"/>
      <c r="G420" s="47"/>
      <c r="H420" s="47"/>
      <c r="I420" s="47"/>
      <c r="J420" s="47"/>
      <c r="K420" s="47"/>
      <c r="N420" s="50"/>
      <c r="S420" s="47" t="s">
        <v>111</v>
      </c>
      <c r="T420" s="47" t="s">
        <v>111</v>
      </c>
    </row>
    <row r="421" spans="1:20" x14ac:dyDescent="0.2">
      <c r="A421" s="46"/>
      <c r="B421" s="50"/>
      <c r="C421" s="53"/>
      <c r="F421" s="47"/>
      <c r="G421" s="47"/>
      <c r="H421" s="47"/>
      <c r="I421" s="47"/>
      <c r="J421" s="47"/>
      <c r="K421" s="47"/>
      <c r="N421" s="50"/>
      <c r="S421" s="47" t="s">
        <v>111</v>
      </c>
      <c r="T421" s="47" t="s">
        <v>111</v>
      </c>
    </row>
    <row r="422" spans="1:20" x14ac:dyDescent="0.2">
      <c r="A422" s="46"/>
      <c r="B422" s="50"/>
      <c r="C422" s="53"/>
      <c r="F422" s="47"/>
      <c r="G422" s="47"/>
      <c r="H422" s="47"/>
      <c r="I422" s="47"/>
      <c r="J422" s="47"/>
      <c r="K422" s="47"/>
      <c r="N422" s="50"/>
      <c r="S422" s="47" t="s">
        <v>111</v>
      </c>
      <c r="T422" s="47" t="s">
        <v>111</v>
      </c>
    </row>
    <row r="423" spans="1:20" x14ac:dyDescent="0.2">
      <c r="A423" s="46"/>
      <c r="B423" s="50"/>
      <c r="C423" s="53"/>
      <c r="F423" s="47"/>
      <c r="G423" s="47"/>
      <c r="H423" s="47"/>
      <c r="I423" s="47"/>
      <c r="J423" s="47"/>
      <c r="K423" s="47"/>
      <c r="N423" s="50"/>
      <c r="S423" s="47" t="s">
        <v>111</v>
      </c>
      <c r="T423" s="47" t="s">
        <v>111</v>
      </c>
    </row>
    <row r="424" spans="1:20" x14ac:dyDescent="0.2">
      <c r="A424" s="46"/>
      <c r="B424" s="50"/>
      <c r="C424" s="53"/>
      <c r="F424" s="47"/>
      <c r="G424" s="47"/>
      <c r="H424" s="47"/>
      <c r="I424" s="47"/>
      <c r="J424" s="47"/>
      <c r="K424" s="47"/>
      <c r="N424" s="50"/>
      <c r="S424" s="47"/>
      <c r="T424" s="47"/>
    </row>
    <row r="425" spans="1:20" x14ac:dyDescent="0.2">
      <c r="A425" s="46"/>
      <c r="B425" s="50"/>
      <c r="C425" s="53"/>
      <c r="F425" s="47"/>
      <c r="G425" s="47"/>
      <c r="H425" s="47"/>
      <c r="I425" s="47"/>
      <c r="J425" s="47"/>
      <c r="K425" s="47"/>
      <c r="N425" s="50"/>
      <c r="S425" s="47"/>
      <c r="T425" s="47"/>
    </row>
    <row r="426" spans="1:20" x14ac:dyDescent="0.2">
      <c r="A426" s="46"/>
      <c r="B426" s="50"/>
      <c r="C426" s="53"/>
      <c r="F426" s="47"/>
      <c r="G426" s="47"/>
      <c r="H426" s="47"/>
      <c r="I426" s="47"/>
      <c r="J426" s="47"/>
      <c r="K426" s="47"/>
      <c r="N426" s="50"/>
      <c r="S426" s="47"/>
      <c r="T426" s="47"/>
    </row>
    <row r="427" spans="1:20" x14ac:dyDescent="0.2">
      <c r="A427" s="46"/>
      <c r="B427" s="50"/>
      <c r="C427" s="53"/>
      <c r="F427" s="47"/>
      <c r="G427" s="47"/>
      <c r="H427" s="47"/>
      <c r="I427" s="47"/>
      <c r="J427" s="47"/>
      <c r="K427" s="47"/>
      <c r="N427" s="50"/>
      <c r="S427" s="47"/>
      <c r="T427" s="47"/>
    </row>
    <row r="428" spans="1:20" x14ac:dyDescent="0.2">
      <c r="A428" s="46"/>
      <c r="B428" s="50"/>
      <c r="C428" s="53"/>
      <c r="F428" s="47"/>
      <c r="G428" s="47"/>
      <c r="H428" s="47"/>
      <c r="I428" s="47"/>
      <c r="J428" s="47"/>
      <c r="K428" s="47"/>
      <c r="N428" s="50"/>
      <c r="S428" s="47"/>
      <c r="T428" s="47"/>
    </row>
    <row r="429" spans="1:20" x14ac:dyDescent="0.2">
      <c r="A429" s="46"/>
      <c r="B429" s="50"/>
      <c r="C429" s="53"/>
      <c r="F429" s="47"/>
      <c r="G429" s="47"/>
      <c r="H429" s="47"/>
      <c r="I429" s="47"/>
      <c r="J429" s="47"/>
      <c r="K429" s="47"/>
      <c r="N429" s="50"/>
      <c r="S429" s="47"/>
      <c r="T429" s="47"/>
    </row>
    <row r="430" spans="1:20" x14ac:dyDescent="0.2">
      <c r="A430" s="46"/>
      <c r="B430" s="50"/>
      <c r="C430" s="53"/>
      <c r="F430" s="47"/>
      <c r="G430" s="47"/>
      <c r="H430" s="47"/>
      <c r="I430" s="47"/>
      <c r="J430" s="47"/>
      <c r="K430" s="47"/>
      <c r="N430" s="50"/>
      <c r="S430" s="47"/>
      <c r="T430" s="47"/>
    </row>
    <row r="431" spans="1:20" x14ac:dyDescent="0.2">
      <c r="A431" s="46"/>
      <c r="B431" s="50"/>
      <c r="C431" s="53"/>
      <c r="F431" s="47"/>
      <c r="G431" s="47"/>
      <c r="H431" s="47"/>
      <c r="I431" s="47"/>
      <c r="J431" s="47"/>
      <c r="K431" s="47"/>
      <c r="N431" s="50"/>
      <c r="S431" s="47"/>
      <c r="T431" s="47"/>
    </row>
    <row r="432" spans="1:20" x14ac:dyDescent="0.2">
      <c r="A432" s="46"/>
      <c r="B432" s="50"/>
      <c r="C432" s="53"/>
      <c r="F432" s="47"/>
      <c r="G432" s="47"/>
      <c r="H432" s="47"/>
      <c r="I432" s="47"/>
      <c r="J432" s="47"/>
      <c r="K432" s="47"/>
      <c r="N432" s="50"/>
      <c r="S432" s="47"/>
      <c r="T432" s="47"/>
    </row>
    <row r="433" spans="1:20" x14ac:dyDescent="0.2">
      <c r="A433" s="46"/>
      <c r="B433" s="50"/>
      <c r="C433" s="53"/>
      <c r="F433" s="47"/>
      <c r="G433" s="47"/>
      <c r="H433" s="47"/>
      <c r="I433" s="47"/>
      <c r="J433" s="47"/>
      <c r="K433" s="47"/>
      <c r="N433" s="50"/>
      <c r="S433" s="47"/>
      <c r="T433" s="47"/>
    </row>
    <row r="434" spans="1:20" x14ac:dyDescent="0.2">
      <c r="A434" s="46"/>
      <c r="B434" s="50"/>
      <c r="C434" s="53"/>
      <c r="F434" s="47"/>
      <c r="G434" s="47"/>
      <c r="H434" s="47"/>
      <c r="I434" s="47"/>
      <c r="J434" s="47"/>
      <c r="K434" s="47"/>
      <c r="N434" s="50"/>
      <c r="S434" s="47"/>
      <c r="T434" s="47"/>
    </row>
    <row r="435" spans="1:20" x14ac:dyDescent="0.2">
      <c r="A435" s="46"/>
      <c r="B435" s="50"/>
      <c r="C435" s="53"/>
      <c r="F435" s="47"/>
      <c r="G435" s="47"/>
      <c r="H435" s="47"/>
      <c r="I435" s="47"/>
      <c r="J435" s="47"/>
      <c r="K435" s="47"/>
      <c r="N435" s="50"/>
      <c r="S435" s="47"/>
      <c r="T435" s="47"/>
    </row>
    <row r="436" spans="1:20" x14ac:dyDescent="0.2">
      <c r="A436" s="46"/>
      <c r="B436" s="50"/>
      <c r="C436" s="53"/>
      <c r="F436" s="47"/>
      <c r="G436" s="47"/>
      <c r="H436" s="47"/>
      <c r="I436" s="47"/>
      <c r="J436" s="47"/>
      <c r="K436" s="47"/>
      <c r="N436" s="50"/>
      <c r="S436" s="47"/>
      <c r="T436" s="47"/>
    </row>
    <row r="437" spans="1:20" x14ac:dyDescent="0.2">
      <c r="A437" s="46"/>
      <c r="B437" s="50"/>
      <c r="C437" s="53"/>
      <c r="F437" s="47"/>
      <c r="G437" s="47"/>
      <c r="H437" s="47"/>
      <c r="I437" s="47"/>
      <c r="J437" s="47"/>
      <c r="K437" s="47"/>
      <c r="N437" s="50"/>
      <c r="S437" s="47"/>
      <c r="T437" s="47"/>
    </row>
    <row r="438" spans="1:20" x14ac:dyDescent="0.2">
      <c r="A438" s="46"/>
      <c r="B438" s="50"/>
      <c r="C438" s="53"/>
      <c r="J438" s="47"/>
      <c r="K438" s="47"/>
      <c r="N438" s="50"/>
      <c r="S438" s="47"/>
      <c r="T438" s="47"/>
    </row>
    <row r="439" spans="1:20" x14ac:dyDescent="0.2">
      <c r="S439" s="16"/>
      <c r="T439" s="16"/>
    </row>
  </sheetData>
  <sheetProtection algorithmName="SHA-512" hashValue="wcFqlHHUDJqKIyVNKNTeZPEdshiQdtKeds1qv5IdHVOND/47Y6C+cSObssYc3nnP9TH7jrQArNTyA/DQ2ZRcnw==" saltValue="EJlWT/dKCbt3FmZrYg+aGA==" spinCount="100000" sheet="1" objects="1" scenarios="1" formatColumns="0" selectLockedCells="1"/>
  <mergeCells count="3">
    <mergeCell ref="D1:E1"/>
    <mergeCell ref="D2:E2"/>
    <mergeCell ref="P1:Q1"/>
  </mergeCells>
  <phoneticPr fontId="0" type="noConversion"/>
  <hyperlinks>
    <hyperlink ref="B17" location="bank2!A1" display="2000/010" xr:uid="{00000000-0004-0000-0400-000001000000}"/>
    <hyperlink ref="B18" location="bank2!A1" display="2000/011" xr:uid="{00000000-0004-0000-0400-000002000000}"/>
    <hyperlink ref="K185" location="ILoans!A1" display="WP" xr:uid="{DD87B0AE-34D9-4D00-AB47-B83757DB3EF3}"/>
    <hyperlink ref="K202" location="IFree!A1" display="WP" xr:uid="{EBC7A37C-A0A1-4933-9F09-264DF5AE3E05}"/>
    <hyperlink ref="K220" location="DTax!A1" display="WP" xr:uid="{6F3EFCA6-E697-48C3-AA8B-24CB9EC5356F}"/>
    <hyperlink ref="K359" location="Debtors!A1" display="WP" xr:uid="{9F5C3B23-ADE7-47AB-954D-44A0A51647C9}"/>
    <hyperlink ref="K366" location="Bank!A1" display="WP" xr:uid="{25E5B14C-73E5-46CC-9AE7-665F91E823BA}"/>
    <hyperlink ref="K354" location="Stock!A1" display="WP" xr:uid="{E207814A-5583-41E1-A4B9-6710A6A6D009}"/>
    <hyperlink ref="K379" location="Creditors!A1" display="WP" xr:uid="{0153CB00-D817-4D55-81DD-38CAA6BE29AA}"/>
    <hyperlink ref="K399" location="VAT!A1" display="WP" xr:uid="{9BA53581-5C99-4FF7-B937-2B01B6FFB953}"/>
    <hyperlink ref="C35" location="TrialBalanceA!A1" display="TrialBalanceA!A1" xr:uid="{EDCD6B08-328F-40F3-9D50-9D8728744A19}"/>
    <hyperlink ref="C36" location="TrialBalanceB!A1" display="TrialBalanceB!A1" xr:uid="{F1349D03-3DAB-48A5-AD82-78898FFA13F2}"/>
    <hyperlink ref="C37" location="TrialBalanceC!A1" display="TrialBalanceC!A1" xr:uid="{D7F1F677-461D-4B7D-87A2-1EB659545F16}"/>
    <hyperlink ref="F1" location="TrialBalanceA!A1" display="TrialBalanceA!A1" xr:uid="{46423B7F-8CD0-4735-8C55-B76D96406A87}"/>
    <hyperlink ref="G1" location="TrialBalanceB!A1" display="TrialBalanceB!A1" xr:uid="{FB5471B1-34AD-4CD5-B2CF-79406E18853D}"/>
    <hyperlink ref="H1" location="TrialBalanceC!A1" display="TrialBalanceC!A1" xr:uid="{82E5D230-FFCB-4911-840A-2F045CCFDDA8}"/>
    <hyperlink ref="K229" location="FARegister!A1" display="WP" xr:uid="{5BCD2976-2EFF-4A4C-8142-77F58A56FDFE}"/>
    <hyperlink ref="K342" location="'NC Receivables'!A1" display="WP" xr:uid="{FB622B72-1B11-4EAA-9D36-583540A80C84}"/>
    <hyperlink ref="K40" location="Expenses!A1" display="WP" xr:uid="{CB3BDD2B-899A-493D-826A-A5914CECC940}"/>
    <hyperlink ref="K50" location="Expenses!A22" display="WP" xr:uid="{FECFF1A1-097F-42CD-855C-69383FE7C65C}"/>
    <hyperlink ref="Q3" location="Analytical!A1" display="Analytical!A1" xr:uid="{02C9D9D3-F36D-4372-9049-28C768BF1AF6}"/>
    <hyperlink ref="B5" location="bank2!A1" display="1000/001" xr:uid="{4BF3B5E5-8BA2-4C65-BF74-0BA6D84ED1F0}"/>
  </hyperlinks>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486"/>
  <sheetViews>
    <sheetView view="pageBreakPreview" zoomScale="85" zoomScaleNormal="85" zoomScaleSheetLayoutView="85" workbookViewId="0">
      <pane ySplit="13" topLeftCell="A14" activePane="bottomLeft" state="frozen"/>
      <selection pane="bottomLeft" activeCell="D15" sqref="D15"/>
    </sheetView>
  </sheetViews>
  <sheetFormatPr defaultColWidth="11.28515625" defaultRowHeight="15.75" x14ac:dyDescent="0.25"/>
  <cols>
    <col min="1" max="1" width="12.28515625" style="2" bestFit="1" customWidth="1"/>
    <col min="2" max="2" width="5.85546875" style="5" customWidth="1"/>
    <col min="3" max="3" width="33.85546875" style="2" customWidth="1"/>
    <col min="4" max="4" width="30" style="2" customWidth="1"/>
    <col min="5" max="5" width="44.7109375" style="2" bestFit="1" customWidth="1"/>
    <col min="6" max="6" width="16.85546875" style="4" customWidth="1"/>
    <col min="7" max="7" width="16.140625" style="4" bestFit="1" customWidth="1"/>
    <col min="8" max="8" width="15.7109375" style="4" bestFit="1" customWidth="1"/>
    <col min="9" max="9" width="16.140625" style="4" bestFit="1" customWidth="1"/>
    <col min="10" max="10" width="15.7109375" style="2" bestFit="1" customWidth="1"/>
    <col min="11" max="13" width="11.28515625" style="2" bestFit="1" customWidth="1"/>
    <col min="14" max="255" width="11.28515625" bestFit="1" customWidth="1"/>
  </cols>
  <sheetData>
    <row r="1" spans="1:13" x14ac:dyDescent="0.25">
      <c r="H1" s="43"/>
      <c r="I1" s="43"/>
    </row>
    <row r="2" spans="1:13" x14ac:dyDescent="0.25">
      <c r="C2" s="3" t="str">
        <f>Criteria!E9</f>
        <v>ABC COMPANY (PROPRIETARY) LIMITED</v>
      </c>
    </row>
    <row r="3" spans="1:13" x14ac:dyDescent="0.25">
      <c r="H3" s="85" t="s">
        <v>96</v>
      </c>
      <c r="I3" s="85"/>
    </row>
    <row r="4" spans="1:13" x14ac:dyDescent="0.25">
      <c r="C4" s="3" t="s">
        <v>95</v>
      </c>
      <c r="D4" s="43" t="str">
        <f>Criteria!E20</f>
        <v>28 FEBRUARY 2026</v>
      </c>
    </row>
    <row r="5" spans="1:13" x14ac:dyDescent="0.25">
      <c r="H5" s="85" t="s">
        <v>97</v>
      </c>
      <c r="I5" s="85"/>
    </row>
    <row r="6" spans="1:13" x14ac:dyDescent="0.25">
      <c r="C6" s="3" t="s">
        <v>184</v>
      </c>
      <c r="H6" s="43"/>
      <c r="I6" s="43"/>
    </row>
    <row r="7" spans="1:13" x14ac:dyDescent="0.25">
      <c r="C7" s="7"/>
      <c r="D7" s="7"/>
      <c r="E7" s="7"/>
      <c r="F7" s="86"/>
      <c r="G7" s="86"/>
      <c r="H7" s="86"/>
      <c r="I7" s="86"/>
    </row>
    <row r="8" spans="1:13" x14ac:dyDescent="0.25">
      <c r="D8" s="9" t="str">
        <f>IF(F8=0," ","OUT OF BALANCE")</f>
        <v xml:space="preserve"> </v>
      </c>
      <c r="E8" s="9"/>
      <c r="F8" s="4">
        <f>ROUND(F484-G484+H484-I484,2)</f>
        <v>0</v>
      </c>
    </row>
    <row r="9" spans="1:13" x14ac:dyDescent="0.25">
      <c r="D9" s="9" t="s">
        <v>319</v>
      </c>
      <c r="E9" s="9"/>
      <c r="F9" s="4">
        <f>F486</f>
        <v>0</v>
      </c>
    </row>
    <row r="10" spans="1:13" x14ac:dyDescent="0.25">
      <c r="D10" s="9"/>
      <c r="E10" s="9"/>
    </row>
    <row r="11" spans="1:13" x14ac:dyDescent="0.25">
      <c r="A11" s="42" t="s">
        <v>297</v>
      </c>
      <c r="F11" s="684"/>
      <c r="G11" s="684"/>
      <c r="H11" s="684"/>
      <c r="I11" s="684"/>
    </row>
    <row r="12" spans="1:13" x14ac:dyDescent="0.25">
      <c r="A12" s="42" t="s">
        <v>717</v>
      </c>
      <c r="F12" s="684" t="s">
        <v>382</v>
      </c>
      <c r="G12" s="684"/>
      <c r="H12" s="684" t="s">
        <v>110</v>
      </c>
      <c r="I12" s="684"/>
    </row>
    <row r="13" spans="1:13" x14ac:dyDescent="0.25">
      <c r="A13" s="42" t="s">
        <v>298</v>
      </c>
      <c r="B13" s="35" t="s">
        <v>825</v>
      </c>
      <c r="C13" s="35" t="s">
        <v>261</v>
      </c>
      <c r="D13" s="35" t="s">
        <v>280</v>
      </c>
      <c r="E13" s="35" t="s">
        <v>454</v>
      </c>
      <c r="F13" s="25" t="s">
        <v>264</v>
      </c>
      <c r="G13" s="25" t="s">
        <v>265</v>
      </c>
      <c r="H13" s="25" t="s">
        <v>264</v>
      </c>
      <c r="I13" s="25" t="s">
        <v>265</v>
      </c>
    </row>
    <row r="14" spans="1:13" x14ac:dyDescent="0.25">
      <c r="A14" s="42"/>
    </row>
    <row r="15" spans="1:13" x14ac:dyDescent="0.25">
      <c r="A15" s="42" t="str">
        <f t="shared" ref="A15:A78" si="0">IF(COUNTIF(K15:M15,"ERROR")&gt;0,"ERROR"," ")</f>
        <v xml:space="preserve"> </v>
      </c>
      <c r="B15" s="5">
        <v>1</v>
      </c>
      <c r="C15" s="2" t="s">
        <v>1388</v>
      </c>
      <c r="D15" s="41" t="s">
        <v>1389</v>
      </c>
      <c r="E15" s="41"/>
      <c r="F15" s="4">
        <f>FS!O3025</f>
        <v>0</v>
      </c>
      <c r="J15" s="17">
        <f t="shared" ref="J15:J78" si="1">F15-G15+H15-I15</f>
        <v>0</v>
      </c>
      <c r="K15" s="2" t="str">
        <f>IF(COUNTA(D15:E15)=2,"ERROR"," ")</f>
        <v xml:space="preserve"> </v>
      </c>
      <c r="L15" s="2" t="str">
        <f>IF(D15=0," ",IF(COUNTIF(ProfitLoss,D15)&gt;0," ","ERROR"))</f>
        <v xml:space="preserve"> </v>
      </c>
      <c r="M15" s="2" t="str">
        <f>IF(E15=0," ",IF(COUNTIF(BalanceSheet,E15)&gt;0," ","ERROR"))</f>
        <v xml:space="preserve"> </v>
      </c>
    </row>
    <row r="16" spans="1:13" x14ac:dyDescent="0.25">
      <c r="A16" s="42" t="str">
        <f t="shared" si="0"/>
        <v xml:space="preserve"> </v>
      </c>
      <c r="B16" s="28"/>
      <c r="D16" s="41"/>
      <c r="E16" s="41" t="s">
        <v>1390</v>
      </c>
      <c r="I16" s="4">
        <f>F15</f>
        <v>0</v>
      </c>
      <c r="J16" s="17">
        <f t="shared" si="1"/>
        <v>0</v>
      </c>
      <c r="K16" s="2" t="str">
        <f t="shared" ref="K16:K79" si="2">IF(COUNTA(D16:E16)=2,"ERROR"," ")</f>
        <v xml:space="preserve"> </v>
      </c>
      <c r="L16" s="2" t="str">
        <f t="shared" ref="L16:L79" si="3">IF(D16=0," ",IF(COUNTIF(ProfitLoss,D16)&gt;0," ","ERROR"))</f>
        <v xml:space="preserve"> </v>
      </c>
      <c r="M16" s="2" t="str">
        <f t="shared" ref="M16:M79" si="4">IF(E16=0," ",IF(COUNTIF(BalanceSheet,E16)&gt;0," ","ERROR"))</f>
        <v xml:space="preserve"> </v>
      </c>
    </row>
    <row r="17" spans="1:13" x14ac:dyDescent="0.25">
      <c r="A17" s="42" t="str">
        <f t="shared" si="0"/>
        <v xml:space="preserve"> </v>
      </c>
      <c r="D17" s="41"/>
      <c r="E17" s="41"/>
      <c r="J17" s="17">
        <f t="shared" si="1"/>
        <v>0</v>
      </c>
      <c r="K17" s="2" t="str">
        <f t="shared" si="2"/>
        <v xml:space="preserve"> </v>
      </c>
      <c r="L17" s="2" t="str">
        <f t="shared" si="3"/>
        <v xml:space="preserve"> </v>
      </c>
      <c r="M17" s="2" t="str">
        <f t="shared" si="4"/>
        <v xml:space="preserve"> </v>
      </c>
    </row>
    <row r="18" spans="1:13" x14ac:dyDescent="0.25">
      <c r="A18" s="42" t="str">
        <f t="shared" si="0"/>
        <v xml:space="preserve"> </v>
      </c>
      <c r="B18" s="5">
        <v>2</v>
      </c>
      <c r="C18" s="2" t="s">
        <v>1391</v>
      </c>
      <c r="D18" s="41" t="s">
        <v>1392</v>
      </c>
      <c r="E18" s="41"/>
      <c r="F18" s="4">
        <f>DTax!K36</f>
        <v>0</v>
      </c>
      <c r="J18" s="17">
        <f t="shared" si="1"/>
        <v>0</v>
      </c>
      <c r="K18" s="2" t="str">
        <f t="shared" si="2"/>
        <v xml:space="preserve"> </v>
      </c>
      <c r="L18" s="2" t="str">
        <f t="shared" si="3"/>
        <v xml:space="preserve"> </v>
      </c>
      <c r="M18" s="2" t="str">
        <f t="shared" si="4"/>
        <v xml:space="preserve"> </v>
      </c>
    </row>
    <row r="19" spans="1:13" x14ac:dyDescent="0.25">
      <c r="A19" s="42" t="str">
        <f t="shared" si="0"/>
        <v xml:space="preserve"> </v>
      </c>
      <c r="D19" s="41"/>
      <c r="E19" s="41" t="s">
        <v>1393</v>
      </c>
      <c r="I19" s="4">
        <f>DTax!K27</f>
        <v>0</v>
      </c>
      <c r="J19" s="17">
        <f t="shared" si="1"/>
        <v>0</v>
      </c>
      <c r="K19" s="2" t="str">
        <f t="shared" si="2"/>
        <v xml:space="preserve"> </v>
      </c>
      <c r="L19" s="2" t="str">
        <f t="shared" si="3"/>
        <v xml:space="preserve"> </v>
      </c>
      <c r="M19" s="2" t="str">
        <f t="shared" si="4"/>
        <v xml:space="preserve"> </v>
      </c>
    </row>
    <row r="20" spans="1:13" x14ac:dyDescent="0.25">
      <c r="A20" s="42" t="str">
        <f t="shared" si="0"/>
        <v xml:space="preserve"> </v>
      </c>
      <c r="B20" s="28"/>
      <c r="D20" s="41"/>
      <c r="E20" s="41" t="s">
        <v>1394</v>
      </c>
      <c r="I20" s="4">
        <f>DTax!K34</f>
        <v>0</v>
      </c>
      <c r="J20" s="17">
        <f t="shared" si="1"/>
        <v>0</v>
      </c>
      <c r="K20" s="2" t="str">
        <f t="shared" si="2"/>
        <v xml:space="preserve"> </v>
      </c>
      <c r="L20" s="2" t="str">
        <f t="shared" si="3"/>
        <v xml:space="preserve"> </v>
      </c>
      <c r="M20" s="2" t="str">
        <f t="shared" si="4"/>
        <v xml:space="preserve"> </v>
      </c>
    </row>
    <row r="21" spans="1:13" x14ac:dyDescent="0.25">
      <c r="A21" s="42" t="str">
        <f t="shared" si="0"/>
        <v xml:space="preserve"> </v>
      </c>
      <c r="D21" s="41" t="s">
        <v>1395</v>
      </c>
      <c r="E21" s="41"/>
      <c r="F21" s="4">
        <f>DTax!L36</f>
        <v>0</v>
      </c>
      <c r="J21" s="17">
        <f t="shared" si="1"/>
        <v>0</v>
      </c>
      <c r="K21" s="2" t="str">
        <f t="shared" si="2"/>
        <v xml:space="preserve"> </v>
      </c>
      <c r="L21" s="2" t="str">
        <f t="shared" si="3"/>
        <v xml:space="preserve"> </v>
      </c>
      <c r="M21" s="2" t="str">
        <f t="shared" si="4"/>
        <v xml:space="preserve"> </v>
      </c>
    </row>
    <row r="22" spans="1:13" x14ac:dyDescent="0.25">
      <c r="A22" s="42" t="str">
        <f t="shared" si="0"/>
        <v xml:space="preserve"> </v>
      </c>
      <c r="D22" s="41"/>
      <c r="E22" s="41" t="s">
        <v>1396</v>
      </c>
      <c r="I22" s="4">
        <f>DTax!L25</f>
        <v>0</v>
      </c>
      <c r="J22" s="17">
        <f t="shared" si="1"/>
        <v>0</v>
      </c>
      <c r="K22" s="2" t="str">
        <f t="shared" si="2"/>
        <v xml:space="preserve"> </v>
      </c>
      <c r="L22" s="2" t="str">
        <f t="shared" si="3"/>
        <v xml:space="preserve"> </v>
      </c>
      <c r="M22" s="2" t="str">
        <f t="shared" si="4"/>
        <v xml:space="preserve"> </v>
      </c>
    </row>
    <row r="23" spans="1:13" x14ac:dyDescent="0.25">
      <c r="A23" s="42" t="str">
        <f t="shared" si="0"/>
        <v xml:space="preserve"> </v>
      </c>
      <c r="D23" s="41"/>
      <c r="E23" s="41" t="s">
        <v>1397</v>
      </c>
      <c r="I23" s="4">
        <f>DTax!L32</f>
        <v>0</v>
      </c>
      <c r="J23" s="17">
        <f t="shared" si="1"/>
        <v>0</v>
      </c>
      <c r="K23" s="2" t="str">
        <f t="shared" si="2"/>
        <v xml:space="preserve"> </v>
      </c>
      <c r="L23" s="2" t="str">
        <f t="shared" si="3"/>
        <v xml:space="preserve"> </v>
      </c>
      <c r="M23" s="2" t="str">
        <f t="shared" si="4"/>
        <v xml:space="preserve"> </v>
      </c>
    </row>
    <row r="24" spans="1:13" x14ac:dyDescent="0.25">
      <c r="A24" s="42" t="str">
        <f t="shared" si="0"/>
        <v xml:space="preserve"> </v>
      </c>
      <c r="D24" s="41" t="s">
        <v>1398</v>
      </c>
      <c r="E24" s="41"/>
      <c r="F24" s="4">
        <f>DTax!J36</f>
        <v>0</v>
      </c>
      <c r="J24" s="17">
        <f t="shared" si="1"/>
        <v>0</v>
      </c>
      <c r="K24" s="2" t="str">
        <f t="shared" si="2"/>
        <v xml:space="preserve"> </v>
      </c>
      <c r="L24" s="2" t="str">
        <f t="shared" si="3"/>
        <v xml:space="preserve"> </v>
      </c>
      <c r="M24" s="2" t="str">
        <f t="shared" si="4"/>
        <v xml:space="preserve"> </v>
      </c>
    </row>
    <row r="25" spans="1:13" x14ac:dyDescent="0.25">
      <c r="A25" s="42" t="str">
        <f t="shared" si="0"/>
        <v xml:space="preserve"> </v>
      </c>
      <c r="B25" s="28"/>
      <c r="D25" s="41"/>
      <c r="E25" s="41" t="s">
        <v>1399</v>
      </c>
      <c r="I25" s="4">
        <f>DTax!J25</f>
        <v>0</v>
      </c>
      <c r="J25" s="17">
        <f t="shared" si="1"/>
        <v>0</v>
      </c>
      <c r="K25" s="2" t="str">
        <f t="shared" si="2"/>
        <v xml:space="preserve"> </v>
      </c>
      <c r="L25" s="2" t="str">
        <f t="shared" si="3"/>
        <v xml:space="preserve"> </v>
      </c>
      <c r="M25" s="2" t="str">
        <f t="shared" si="4"/>
        <v xml:space="preserve"> </v>
      </c>
    </row>
    <row r="26" spans="1:13" x14ac:dyDescent="0.25">
      <c r="A26" s="42" t="str">
        <f t="shared" si="0"/>
        <v xml:space="preserve"> </v>
      </c>
      <c r="D26" s="41"/>
      <c r="E26" s="41" t="s">
        <v>1400</v>
      </c>
      <c r="I26" s="4">
        <f>DTax!J32</f>
        <v>0</v>
      </c>
      <c r="J26" s="17">
        <f t="shared" si="1"/>
        <v>0</v>
      </c>
      <c r="K26" s="2" t="str">
        <f t="shared" si="2"/>
        <v xml:space="preserve"> </v>
      </c>
      <c r="L26" s="2" t="str">
        <f t="shared" si="3"/>
        <v xml:space="preserve"> </v>
      </c>
      <c r="M26" s="2" t="str">
        <f t="shared" si="4"/>
        <v xml:space="preserve"> </v>
      </c>
    </row>
    <row r="27" spans="1:13" x14ac:dyDescent="0.25">
      <c r="A27" s="42" t="str">
        <f t="shared" si="0"/>
        <v xml:space="preserve"> </v>
      </c>
      <c r="D27" s="41"/>
      <c r="E27" s="41"/>
      <c r="J27" s="17">
        <f t="shared" si="1"/>
        <v>0</v>
      </c>
      <c r="K27" s="2" t="str">
        <f t="shared" si="2"/>
        <v xml:space="preserve"> </v>
      </c>
      <c r="L27" s="2" t="str">
        <f t="shared" si="3"/>
        <v xml:space="preserve"> </v>
      </c>
      <c r="M27" s="2" t="str">
        <f t="shared" si="4"/>
        <v xml:space="preserve"> </v>
      </c>
    </row>
    <row r="28" spans="1:13" x14ac:dyDescent="0.25">
      <c r="A28" s="42" t="str">
        <f t="shared" si="0"/>
        <v xml:space="preserve"> </v>
      </c>
      <c r="D28" s="41"/>
      <c r="E28" s="41"/>
      <c r="J28" s="17">
        <f t="shared" si="1"/>
        <v>0</v>
      </c>
      <c r="K28" s="2" t="str">
        <f t="shared" si="2"/>
        <v xml:space="preserve"> </v>
      </c>
      <c r="L28" s="2" t="str">
        <f t="shared" si="3"/>
        <v xml:space="preserve"> </v>
      </c>
      <c r="M28" s="2" t="str">
        <f t="shared" si="4"/>
        <v xml:space="preserve"> </v>
      </c>
    </row>
    <row r="29" spans="1:13" x14ac:dyDescent="0.25">
      <c r="A29" s="42" t="str">
        <f t="shared" si="0"/>
        <v xml:space="preserve"> </v>
      </c>
      <c r="D29" s="41"/>
      <c r="E29" s="41"/>
      <c r="J29" s="17">
        <f t="shared" si="1"/>
        <v>0</v>
      </c>
      <c r="K29" s="2" t="str">
        <f t="shared" si="2"/>
        <v xml:space="preserve"> </v>
      </c>
      <c r="L29" s="2" t="str">
        <f t="shared" si="3"/>
        <v xml:space="preserve"> </v>
      </c>
      <c r="M29" s="2" t="str">
        <f t="shared" si="4"/>
        <v xml:space="preserve"> </v>
      </c>
    </row>
    <row r="30" spans="1:13" x14ac:dyDescent="0.25">
      <c r="A30" s="42" t="str">
        <f t="shared" si="0"/>
        <v xml:space="preserve"> </v>
      </c>
      <c r="D30" s="41"/>
      <c r="E30" s="41"/>
      <c r="J30" s="17">
        <f t="shared" si="1"/>
        <v>0</v>
      </c>
      <c r="K30" s="2" t="str">
        <f t="shared" si="2"/>
        <v xml:space="preserve"> </v>
      </c>
      <c r="L30" s="2" t="str">
        <f t="shared" si="3"/>
        <v xml:space="preserve"> </v>
      </c>
      <c r="M30" s="2" t="str">
        <f t="shared" si="4"/>
        <v xml:space="preserve"> </v>
      </c>
    </row>
    <row r="31" spans="1:13" x14ac:dyDescent="0.25">
      <c r="A31" s="42" t="str">
        <f t="shared" si="0"/>
        <v xml:space="preserve"> </v>
      </c>
      <c r="D31" s="41"/>
      <c r="E31" s="41"/>
      <c r="J31" s="17">
        <f t="shared" si="1"/>
        <v>0</v>
      </c>
      <c r="K31" s="2" t="str">
        <f t="shared" si="2"/>
        <v xml:space="preserve"> </v>
      </c>
      <c r="L31" s="2" t="str">
        <f t="shared" si="3"/>
        <v xml:space="preserve"> </v>
      </c>
      <c r="M31" s="2" t="str">
        <f t="shared" si="4"/>
        <v xml:space="preserve"> </v>
      </c>
    </row>
    <row r="32" spans="1:13" x14ac:dyDescent="0.25">
      <c r="A32" s="42" t="str">
        <f t="shared" si="0"/>
        <v xml:space="preserve"> </v>
      </c>
      <c r="D32" s="41"/>
      <c r="E32" s="41"/>
      <c r="J32" s="17">
        <f t="shared" si="1"/>
        <v>0</v>
      </c>
      <c r="K32" s="2" t="str">
        <f t="shared" si="2"/>
        <v xml:space="preserve"> </v>
      </c>
      <c r="L32" s="2" t="str">
        <f t="shared" si="3"/>
        <v xml:space="preserve"> </v>
      </c>
      <c r="M32" s="2" t="str">
        <f t="shared" si="4"/>
        <v xml:space="preserve"> </v>
      </c>
    </row>
    <row r="33" spans="1:13" x14ac:dyDescent="0.25">
      <c r="A33" s="42" t="str">
        <f t="shared" si="0"/>
        <v xml:space="preserve"> </v>
      </c>
      <c r="D33" s="41"/>
      <c r="E33" s="41"/>
      <c r="J33" s="17">
        <f t="shared" si="1"/>
        <v>0</v>
      </c>
      <c r="K33" s="2" t="str">
        <f t="shared" si="2"/>
        <v xml:space="preserve"> </v>
      </c>
      <c r="L33" s="2" t="str">
        <f t="shared" si="3"/>
        <v xml:space="preserve"> </v>
      </c>
      <c r="M33" s="2" t="str">
        <f t="shared" si="4"/>
        <v xml:space="preserve"> </v>
      </c>
    </row>
    <row r="34" spans="1:13" x14ac:dyDescent="0.25">
      <c r="A34" s="42" t="str">
        <f t="shared" si="0"/>
        <v xml:space="preserve"> </v>
      </c>
      <c r="D34" s="41"/>
      <c r="E34" s="41"/>
      <c r="J34" s="17">
        <f t="shared" si="1"/>
        <v>0</v>
      </c>
      <c r="K34" s="2" t="str">
        <f t="shared" si="2"/>
        <v xml:space="preserve"> </v>
      </c>
      <c r="L34" s="2" t="str">
        <f t="shared" si="3"/>
        <v xml:space="preserve"> </v>
      </c>
      <c r="M34" s="2" t="str">
        <f t="shared" si="4"/>
        <v xml:space="preserve"> </v>
      </c>
    </row>
    <row r="35" spans="1:13" x14ac:dyDescent="0.25">
      <c r="A35" s="42" t="str">
        <f t="shared" si="0"/>
        <v xml:space="preserve"> </v>
      </c>
      <c r="D35" s="41"/>
      <c r="E35" s="41"/>
      <c r="J35" s="17">
        <f t="shared" si="1"/>
        <v>0</v>
      </c>
      <c r="K35" s="2" t="str">
        <f t="shared" si="2"/>
        <v xml:space="preserve"> </v>
      </c>
      <c r="L35" s="2" t="str">
        <f t="shared" si="3"/>
        <v xml:space="preserve"> </v>
      </c>
      <c r="M35" s="2" t="str">
        <f t="shared" si="4"/>
        <v xml:space="preserve"> </v>
      </c>
    </row>
    <row r="36" spans="1:13" x14ac:dyDescent="0.25">
      <c r="A36" s="42" t="str">
        <f t="shared" si="0"/>
        <v xml:space="preserve"> </v>
      </c>
      <c r="D36" s="41"/>
      <c r="E36" s="41"/>
      <c r="J36" s="17">
        <f t="shared" si="1"/>
        <v>0</v>
      </c>
      <c r="K36" s="2" t="str">
        <f t="shared" si="2"/>
        <v xml:space="preserve"> </v>
      </c>
      <c r="L36" s="2" t="str">
        <f t="shared" si="3"/>
        <v xml:space="preserve"> </v>
      </c>
      <c r="M36" s="2" t="str">
        <f t="shared" si="4"/>
        <v xml:space="preserve"> </v>
      </c>
    </row>
    <row r="37" spans="1:13" x14ac:dyDescent="0.25">
      <c r="A37" s="42" t="str">
        <f t="shared" si="0"/>
        <v xml:space="preserve"> </v>
      </c>
      <c r="D37" s="41"/>
      <c r="E37" s="41"/>
      <c r="J37" s="17">
        <f t="shared" si="1"/>
        <v>0</v>
      </c>
      <c r="K37" s="2" t="str">
        <f t="shared" si="2"/>
        <v xml:space="preserve"> </v>
      </c>
      <c r="L37" s="2" t="str">
        <f t="shared" si="3"/>
        <v xml:space="preserve"> </v>
      </c>
      <c r="M37" s="2" t="str">
        <f t="shared" si="4"/>
        <v xml:space="preserve"> </v>
      </c>
    </row>
    <row r="38" spans="1:13" x14ac:dyDescent="0.25">
      <c r="A38" s="42" t="str">
        <f t="shared" si="0"/>
        <v xml:space="preserve"> </v>
      </c>
      <c r="D38" s="41"/>
      <c r="E38" s="41"/>
      <c r="J38" s="17">
        <f t="shared" si="1"/>
        <v>0</v>
      </c>
      <c r="K38" s="2" t="str">
        <f t="shared" si="2"/>
        <v xml:space="preserve"> </v>
      </c>
      <c r="L38" s="2" t="str">
        <f t="shared" si="3"/>
        <v xml:space="preserve"> </v>
      </c>
      <c r="M38" s="2" t="str">
        <f t="shared" si="4"/>
        <v xml:space="preserve"> </v>
      </c>
    </row>
    <row r="39" spans="1:13" x14ac:dyDescent="0.25">
      <c r="A39" s="42" t="str">
        <f t="shared" si="0"/>
        <v xml:space="preserve"> </v>
      </c>
      <c r="D39" s="41"/>
      <c r="E39" s="41"/>
      <c r="J39" s="17">
        <f t="shared" si="1"/>
        <v>0</v>
      </c>
      <c r="K39" s="2" t="str">
        <f t="shared" si="2"/>
        <v xml:space="preserve"> </v>
      </c>
      <c r="L39" s="2" t="str">
        <f t="shared" si="3"/>
        <v xml:space="preserve"> </v>
      </c>
      <c r="M39" s="2" t="str">
        <f t="shared" si="4"/>
        <v xml:space="preserve"> </v>
      </c>
    </row>
    <row r="40" spans="1:13" x14ac:dyDescent="0.25">
      <c r="A40" s="42" t="str">
        <f t="shared" si="0"/>
        <v xml:space="preserve"> </v>
      </c>
      <c r="D40" s="41"/>
      <c r="E40" s="41"/>
      <c r="J40" s="17">
        <f t="shared" si="1"/>
        <v>0</v>
      </c>
      <c r="K40" s="2" t="str">
        <f t="shared" si="2"/>
        <v xml:space="preserve"> </v>
      </c>
      <c r="L40" s="2" t="str">
        <f t="shared" si="3"/>
        <v xml:space="preserve"> </v>
      </c>
      <c r="M40" s="2" t="str">
        <f t="shared" si="4"/>
        <v xml:space="preserve"> </v>
      </c>
    </row>
    <row r="41" spans="1:13" x14ac:dyDescent="0.25">
      <c r="A41" s="42" t="str">
        <f t="shared" si="0"/>
        <v xml:space="preserve"> </v>
      </c>
      <c r="D41" s="41"/>
      <c r="E41" s="41"/>
      <c r="J41" s="17">
        <f t="shared" si="1"/>
        <v>0</v>
      </c>
      <c r="K41" s="2" t="str">
        <f t="shared" si="2"/>
        <v xml:space="preserve"> </v>
      </c>
      <c r="L41" s="2" t="str">
        <f t="shared" si="3"/>
        <v xml:space="preserve"> </v>
      </c>
      <c r="M41" s="2" t="str">
        <f t="shared" si="4"/>
        <v xml:space="preserve"> </v>
      </c>
    </row>
    <row r="42" spans="1:13" x14ac:dyDescent="0.25">
      <c r="A42" s="42" t="str">
        <f t="shared" si="0"/>
        <v xml:space="preserve"> </v>
      </c>
      <c r="D42" s="41"/>
      <c r="E42" s="41"/>
      <c r="J42" s="17">
        <f t="shared" si="1"/>
        <v>0</v>
      </c>
      <c r="K42" s="2" t="str">
        <f t="shared" si="2"/>
        <v xml:space="preserve"> </v>
      </c>
      <c r="L42" s="2" t="str">
        <f t="shared" si="3"/>
        <v xml:space="preserve"> </v>
      </c>
      <c r="M42" s="2" t="str">
        <f t="shared" si="4"/>
        <v xml:space="preserve"> </v>
      </c>
    </row>
    <row r="43" spans="1:13" x14ac:dyDescent="0.25">
      <c r="A43" s="42" t="str">
        <f t="shared" si="0"/>
        <v xml:space="preserve"> </v>
      </c>
      <c r="D43" s="41"/>
      <c r="E43" s="41"/>
      <c r="J43" s="17">
        <f t="shared" si="1"/>
        <v>0</v>
      </c>
      <c r="K43" s="2" t="str">
        <f t="shared" si="2"/>
        <v xml:space="preserve"> </v>
      </c>
      <c r="L43" s="2" t="str">
        <f t="shared" si="3"/>
        <v xml:space="preserve"> </v>
      </c>
      <c r="M43" s="2" t="str">
        <f t="shared" si="4"/>
        <v xml:space="preserve"> </v>
      </c>
    </row>
    <row r="44" spans="1:13" x14ac:dyDescent="0.25">
      <c r="A44" s="42" t="str">
        <f t="shared" si="0"/>
        <v xml:space="preserve"> </v>
      </c>
      <c r="D44" s="41"/>
      <c r="E44" s="41"/>
      <c r="J44" s="17">
        <f t="shared" si="1"/>
        <v>0</v>
      </c>
      <c r="K44" s="2" t="str">
        <f t="shared" si="2"/>
        <v xml:space="preserve"> </v>
      </c>
      <c r="L44" s="2" t="str">
        <f t="shared" si="3"/>
        <v xml:space="preserve"> </v>
      </c>
      <c r="M44" s="2" t="str">
        <f t="shared" si="4"/>
        <v xml:space="preserve"> </v>
      </c>
    </row>
    <row r="45" spans="1:13" x14ac:dyDescent="0.25">
      <c r="A45" s="42" t="str">
        <f t="shared" si="0"/>
        <v xml:space="preserve"> </v>
      </c>
      <c r="D45" s="41"/>
      <c r="E45" s="41"/>
      <c r="J45" s="17">
        <f t="shared" si="1"/>
        <v>0</v>
      </c>
      <c r="K45" s="2" t="str">
        <f t="shared" si="2"/>
        <v xml:space="preserve"> </v>
      </c>
      <c r="L45" s="2" t="str">
        <f t="shared" si="3"/>
        <v xml:space="preserve"> </v>
      </c>
      <c r="M45" s="2" t="str">
        <f t="shared" si="4"/>
        <v xml:space="preserve"> </v>
      </c>
    </row>
    <row r="46" spans="1:13" x14ac:dyDescent="0.25">
      <c r="A46" s="42" t="str">
        <f t="shared" si="0"/>
        <v xml:space="preserve"> </v>
      </c>
      <c r="D46" s="41"/>
      <c r="E46" s="41"/>
      <c r="J46" s="17">
        <f t="shared" si="1"/>
        <v>0</v>
      </c>
      <c r="K46" s="2" t="str">
        <f t="shared" si="2"/>
        <v xml:space="preserve"> </v>
      </c>
      <c r="L46" s="2" t="str">
        <f t="shared" si="3"/>
        <v xml:space="preserve"> </v>
      </c>
      <c r="M46" s="2" t="str">
        <f t="shared" si="4"/>
        <v xml:space="preserve"> </v>
      </c>
    </row>
    <row r="47" spans="1:13" x14ac:dyDescent="0.25">
      <c r="A47" s="42" t="str">
        <f t="shared" si="0"/>
        <v xml:space="preserve"> </v>
      </c>
      <c r="D47" s="41"/>
      <c r="E47" s="41"/>
      <c r="J47" s="17">
        <f t="shared" si="1"/>
        <v>0</v>
      </c>
      <c r="K47" s="2" t="str">
        <f t="shared" si="2"/>
        <v xml:space="preserve"> </v>
      </c>
      <c r="L47" s="2" t="str">
        <f t="shared" si="3"/>
        <v xml:space="preserve"> </v>
      </c>
      <c r="M47" s="2" t="str">
        <f t="shared" si="4"/>
        <v xml:space="preserve"> </v>
      </c>
    </row>
    <row r="48" spans="1:13" x14ac:dyDescent="0.25">
      <c r="A48" s="42" t="str">
        <f t="shared" si="0"/>
        <v xml:space="preserve"> </v>
      </c>
      <c r="D48" s="41"/>
      <c r="E48" s="41"/>
      <c r="J48" s="17">
        <f t="shared" si="1"/>
        <v>0</v>
      </c>
      <c r="K48" s="2" t="str">
        <f t="shared" si="2"/>
        <v xml:space="preserve"> </v>
      </c>
      <c r="L48" s="2" t="str">
        <f t="shared" si="3"/>
        <v xml:space="preserve"> </v>
      </c>
      <c r="M48" s="2" t="str">
        <f t="shared" si="4"/>
        <v xml:space="preserve"> </v>
      </c>
    </row>
    <row r="49" spans="1:13" x14ac:dyDescent="0.25">
      <c r="A49" s="42" t="str">
        <f t="shared" si="0"/>
        <v xml:space="preserve"> </v>
      </c>
      <c r="D49" s="41"/>
      <c r="E49" s="41"/>
      <c r="J49" s="17">
        <f t="shared" si="1"/>
        <v>0</v>
      </c>
      <c r="K49" s="2" t="str">
        <f t="shared" si="2"/>
        <v xml:space="preserve"> </v>
      </c>
      <c r="L49" s="2" t="str">
        <f t="shared" si="3"/>
        <v xml:space="preserve"> </v>
      </c>
      <c r="M49" s="2" t="str">
        <f t="shared" si="4"/>
        <v xml:space="preserve"> </v>
      </c>
    </row>
    <row r="50" spans="1:13" x14ac:dyDescent="0.25">
      <c r="A50" s="42" t="str">
        <f t="shared" si="0"/>
        <v xml:space="preserve"> </v>
      </c>
      <c r="C50" s="17"/>
      <c r="D50" s="41"/>
      <c r="E50" s="41"/>
      <c r="J50" s="17">
        <f t="shared" si="1"/>
        <v>0</v>
      </c>
      <c r="K50" s="2" t="str">
        <f t="shared" si="2"/>
        <v xml:space="preserve"> </v>
      </c>
      <c r="L50" s="2" t="str">
        <f t="shared" si="3"/>
        <v xml:space="preserve"> </v>
      </c>
      <c r="M50" s="2" t="str">
        <f t="shared" si="4"/>
        <v xml:space="preserve"> </v>
      </c>
    </row>
    <row r="51" spans="1:13" x14ac:dyDescent="0.25">
      <c r="A51" s="42" t="str">
        <f t="shared" si="0"/>
        <v xml:space="preserve"> </v>
      </c>
      <c r="D51" s="41"/>
      <c r="E51" s="41"/>
      <c r="J51" s="17">
        <f t="shared" si="1"/>
        <v>0</v>
      </c>
      <c r="K51" s="2" t="str">
        <f t="shared" si="2"/>
        <v xml:space="preserve"> </v>
      </c>
      <c r="L51" s="2" t="str">
        <f t="shared" si="3"/>
        <v xml:space="preserve"> </v>
      </c>
      <c r="M51" s="2" t="str">
        <f t="shared" si="4"/>
        <v xml:space="preserve"> </v>
      </c>
    </row>
    <row r="52" spans="1:13" x14ac:dyDescent="0.25">
      <c r="A52" s="42" t="str">
        <f t="shared" si="0"/>
        <v xml:space="preserve"> </v>
      </c>
      <c r="C52" s="17"/>
      <c r="D52" s="41"/>
      <c r="E52" s="41"/>
      <c r="J52" s="17">
        <f t="shared" si="1"/>
        <v>0</v>
      </c>
      <c r="K52" s="2" t="str">
        <f t="shared" si="2"/>
        <v xml:space="preserve"> </v>
      </c>
      <c r="L52" s="2" t="str">
        <f t="shared" si="3"/>
        <v xml:space="preserve"> </v>
      </c>
      <c r="M52" s="2" t="str">
        <f t="shared" si="4"/>
        <v xml:space="preserve"> </v>
      </c>
    </row>
    <row r="53" spans="1:13" x14ac:dyDescent="0.25">
      <c r="A53" s="42" t="str">
        <f t="shared" si="0"/>
        <v xml:space="preserve"> </v>
      </c>
      <c r="D53" s="41"/>
      <c r="E53" s="41"/>
      <c r="J53" s="17">
        <f t="shared" si="1"/>
        <v>0</v>
      </c>
      <c r="K53" s="2" t="str">
        <f t="shared" si="2"/>
        <v xml:space="preserve"> </v>
      </c>
      <c r="L53" s="2" t="str">
        <f t="shared" si="3"/>
        <v xml:space="preserve"> </v>
      </c>
      <c r="M53" s="2" t="str">
        <f t="shared" si="4"/>
        <v xml:space="preserve"> </v>
      </c>
    </row>
    <row r="54" spans="1:13" x14ac:dyDescent="0.25">
      <c r="A54" s="42" t="str">
        <f t="shared" si="0"/>
        <v xml:space="preserve"> </v>
      </c>
      <c r="C54" s="17"/>
      <c r="D54" s="41"/>
      <c r="E54" s="41"/>
      <c r="J54" s="17">
        <f t="shared" si="1"/>
        <v>0</v>
      </c>
      <c r="K54" s="2" t="str">
        <f t="shared" si="2"/>
        <v xml:space="preserve"> </v>
      </c>
      <c r="L54" s="2" t="str">
        <f t="shared" si="3"/>
        <v xml:space="preserve"> </v>
      </c>
      <c r="M54" s="2" t="str">
        <f t="shared" si="4"/>
        <v xml:space="preserve"> </v>
      </c>
    </row>
    <row r="55" spans="1:13" x14ac:dyDescent="0.25">
      <c r="A55" s="42" t="str">
        <f t="shared" si="0"/>
        <v xml:space="preserve"> </v>
      </c>
      <c r="D55" s="41"/>
      <c r="E55" s="41"/>
      <c r="J55" s="17">
        <f t="shared" si="1"/>
        <v>0</v>
      </c>
      <c r="K55" s="2" t="str">
        <f t="shared" si="2"/>
        <v xml:space="preserve"> </v>
      </c>
      <c r="L55" s="2" t="str">
        <f t="shared" si="3"/>
        <v xml:space="preserve"> </v>
      </c>
      <c r="M55" s="2" t="str">
        <f t="shared" si="4"/>
        <v xml:space="preserve"> </v>
      </c>
    </row>
    <row r="56" spans="1:13" x14ac:dyDescent="0.25">
      <c r="A56" s="42" t="str">
        <f t="shared" si="0"/>
        <v xml:space="preserve"> </v>
      </c>
      <c r="D56" s="41"/>
      <c r="E56" s="41"/>
      <c r="J56" s="17">
        <f t="shared" si="1"/>
        <v>0</v>
      </c>
      <c r="K56" s="2" t="str">
        <f t="shared" si="2"/>
        <v xml:space="preserve"> </v>
      </c>
      <c r="L56" s="2" t="str">
        <f t="shared" si="3"/>
        <v xml:space="preserve"> </v>
      </c>
      <c r="M56" s="2" t="str">
        <f t="shared" si="4"/>
        <v xml:space="preserve"> </v>
      </c>
    </row>
    <row r="57" spans="1:13" x14ac:dyDescent="0.25">
      <c r="A57" s="42" t="str">
        <f t="shared" si="0"/>
        <v xml:space="preserve"> </v>
      </c>
      <c r="D57" s="41"/>
      <c r="E57" s="41"/>
      <c r="J57" s="17">
        <f t="shared" si="1"/>
        <v>0</v>
      </c>
      <c r="K57" s="2" t="str">
        <f t="shared" si="2"/>
        <v xml:space="preserve"> </v>
      </c>
      <c r="L57" s="2" t="str">
        <f t="shared" si="3"/>
        <v xml:space="preserve"> </v>
      </c>
      <c r="M57" s="2" t="str">
        <f t="shared" si="4"/>
        <v xml:space="preserve"> </v>
      </c>
    </row>
    <row r="58" spans="1:13" x14ac:dyDescent="0.25">
      <c r="A58" s="42" t="str">
        <f t="shared" si="0"/>
        <v xml:space="preserve"> </v>
      </c>
      <c r="D58" s="41"/>
      <c r="E58" s="41"/>
      <c r="J58" s="17">
        <f t="shared" si="1"/>
        <v>0</v>
      </c>
      <c r="K58" s="2" t="str">
        <f t="shared" si="2"/>
        <v xml:space="preserve"> </v>
      </c>
      <c r="L58" s="2" t="str">
        <f t="shared" si="3"/>
        <v xml:space="preserve"> </v>
      </c>
      <c r="M58" s="2" t="str">
        <f t="shared" si="4"/>
        <v xml:space="preserve"> </v>
      </c>
    </row>
    <row r="59" spans="1:13" x14ac:dyDescent="0.25">
      <c r="A59" s="42" t="str">
        <f t="shared" si="0"/>
        <v xml:space="preserve"> </v>
      </c>
      <c r="D59" s="41"/>
      <c r="E59" s="41"/>
      <c r="J59" s="17">
        <f t="shared" si="1"/>
        <v>0</v>
      </c>
      <c r="K59" s="2" t="str">
        <f t="shared" si="2"/>
        <v xml:space="preserve"> </v>
      </c>
      <c r="L59" s="2" t="str">
        <f t="shared" si="3"/>
        <v xml:space="preserve"> </v>
      </c>
      <c r="M59" s="2" t="str">
        <f t="shared" si="4"/>
        <v xml:space="preserve"> </v>
      </c>
    </row>
    <row r="60" spans="1:13" x14ac:dyDescent="0.25">
      <c r="A60" s="42" t="str">
        <f t="shared" si="0"/>
        <v xml:space="preserve"> </v>
      </c>
      <c r="D60" s="41"/>
      <c r="E60" s="41"/>
      <c r="J60" s="17">
        <f t="shared" si="1"/>
        <v>0</v>
      </c>
      <c r="K60" s="2" t="str">
        <f t="shared" si="2"/>
        <v xml:space="preserve"> </v>
      </c>
      <c r="L60" s="2" t="str">
        <f t="shared" si="3"/>
        <v xml:space="preserve"> </v>
      </c>
      <c r="M60" s="2" t="str">
        <f t="shared" si="4"/>
        <v xml:space="preserve"> </v>
      </c>
    </row>
    <row r="61" spans="1:13" x14ac:dyDescent="0.25">
      <c r="A61" s="42" t="str">
        <f t="shared" si="0"/>
        <v xml:space="preserve"> </v>
      </c>
      <c r="D61" s="41"/>
      <c r="E61" s="41"/>
      <c r="J61" s="17">
        <f t="shared" si="1"/>
        <v>0</v>
      </c>
      <c r="K61" s="2" t="str">
        <f t="shared" si="2"/>
        <v xml:space="preserve"> </v>
      </c>
      <c r="L61" s="2" t="str">
        <f t="shared" si="3"/>
        <v xml:space="preserve"> </v>
      </c>
      <c r="M61" s="2" t="str">
        <f t="shared" si="4"/>
        <v xml:space="preserve"> </v>
      </c>
    </row>
    <row r="62" spans="1:13" x14ac:dyDescent="0.25">
      <c r="A62" s="42" t="str">
        <f t="shared" si="0"/>
        <v xml:space="preserve"> </v>
      </c>
      <c r="D62" s="41"/>
      <c r="E62" s="41"/>
      <c r="J62" s="17">
        <f t="shared" si="1"/>
        <v>0</v>
      </c>
      <c r="K62" s="2" t="str">
        <f t="shared" si="2"/>
        <v xml:space="preserve"> </v>
      </c>
      <c r="L62" s="2" t="str">
        <f t="shared" si="3"/>
        <v xml:space="preserve"> </v>
      </c>
      <c r="M62" s="2" t="str">
        <f t="shared" si="4"/>
        <v xml:space="preserve"> </v>
      </c>
    </row>
    <row r="63" spans="1:13" x14ac:dyDescent="0.25">
      <c r="A63" s="42" t="str">
        <f t="shared" si="0"/>
        <v xml:space="preserve"> </v>
      </c>
      <c r="D63" s="41"/>
      <c r="E63" s="41"/>
      <c r="J63" s="17">
        <f t="shared" si="1"/>
        <v>0</v>
      </c>
      <c r="K63" s="2" t="str">
        <f t="shared" si="2"/>
        <v xml:space="preserve"> </v>
      </c>
      <c r="L63" s="2" t="str">
        <f t="shared" si="3"/>
        <v xml:space="preserve"> </v>
      </c>
      <c r="M63" s="2" t="str">
        <f t="shared" si="4"/>
        <v xml:space="preserve"> </v>
      </c>
    </row>
    <row r="64" spans="1:13" x14ac:dyDescent="0.25">
      <c r="A64" s="42" t="str">
        <f t="shared" si="0"/>
        <v xml:space="preserve"> </v>
      </c>
      <c r="D64" s="41"/>
      <c r="E64" s="41"/>
      <c r="J64" s="17">
        <f t="shared" si="1"/>
        <v>0</v>
      </c>
      <c r="K64" s="2" t="str">
        <f t="shared" si="2"/>
        <v xml:space="preserve"> </v>
      </c>
      <c r="L64" s="2" t="str">
        <f t="shared" si="3"/>
        <v xml:space="preserve"> </v>
      </c>
      <c r="M64" s="2" t="str">
        <f t="shared" si="4"/>
        <v xml:space="preserve"> </v>
      </c>
    </row>
    <row r="65" spans="1:13" x14ac:dyDescent="0.25">
      <c r="A65" s="42" t="str">
        <f t="shared" si="0"/>
        <v xml:space="preserve"> </v>
      </c>
      <c r="D65" s="41"/>
      <c r="E65" s="41"/>
      <c r="J65" s="17">
        <f t="shared" si="1"/>
        <v>0</v>
      </c>
      <c r="K65" s="2" t="str">
        <f t="shared" si="2"/>
        <v xml:space="preserve"> </v>
      </c>
      <c r="L65" s="2" t="str">
        <f t="shared" si="3"/>
        <v xml:space="preserve"> </v>
      </c>
      <c r="M65" s="2" t="str">
        <f t="shared" si="4"/>
        <v xml:space="preserve"> </v>
      </c>
    </row>
    <row r="66" spans="1:13" x14ac:dyDescent="0.25">
      <c r="A66" s="42" t="str">
        <f t="shared" si="0"/>
        <v xml:space="preserve"> </v>
      </c>
      <c r="D66" s="41"/>
      <c r="E66" s="41"/>
      <c r="J66" s="17">
        <f t="shared" si="1"/>
        <v>0</v>
      </c>
      <c r="K66" s="2" t="str">
        <f t="shared" si="2"/>
        <v xml:space="preserve"> </v>
      </c>
      <c r="L66" s="2" t="str">
        <f t="shared" si="3"/>
        <v xml:space="preserve"> </v>
      </c>
      <c r="M66" s="2" t="str">
        <f t="shared" si="4"/>
        <v xml:space="preserve"> </v>
      </c>
    </row>
    <row r="67" spans="1:13" x14ac:dyDescent="0.25">
      <c r="A67" s="42" t="str">
        <f t="shared" si="0"/>
        <v xml:space="preserve"> </v>
      </c>
      <c r="D67" s="41"/>
      <c r="E67" s="41"/>
      <c r="J67" s="17">
        <f t="shared" si="1"/>
        <v>0</v>
      </c>
      <c r="K67" s="2" t="str">
        <f t="shared" si="2"/>
        <v xml:space="preserve"> </v>
      </c>
      <c r="L67" s="2" t="str">
        <f t="shared" si="3"/>
        <v xml:space="preserve"> </v>
      </c>
      <c r="M67" s="2" t="str">
        <f t="shared" si="4"/>
        <v xml:space="preserve"> </v>
      </c>
    </row>
    <row r="68" spans="1:13" x14ac:dyDescent="0.25">
      <c r="A68" s="42" t="str">
        <f t="shared" si="0"/>
        <v xml:space="preserve"> </v>
      </c>
      <c r="D68" s="41"/>
      <c r="E68" s="41"/>
      <c r="J68" s="17">
        <f t="shared" si="1"/>
        <v>0</v>
      </c>
      <c r="K68" s="2" t="str">
        <f t="shared" si="2"/>
        <v xml:space="preserve"> </v>
      </c>
      <c r="L68" s="2" t="str">
        <f t="shared" si="3"/>
        <v xml:space="preserve"> </v>
      </c>
      <c r="M68" s="2" t="str">
        <f t="shared" si="4"/>
        <v xml:space="preserve"> </v>
      </c>
    </row>
    <row r="69" spans="1:13" x14ac:dyDescent="0.25">
      <c r="A69" s="42" t="str">
        <f t="shared" si="0"/>
        <v xml:space="preserve"> </v>
      </c>
      <c r="D69" s="41"/>
      <c r="E69" s="41"/>
      <c r="J69" s="17">
        <f>F69-G69+H69-I69</f>
        <v>0</v>
      </c>
      <c r="K69" s="2" t="str">
        <f t="shared" si="2"/>
        <v xml:space="preserve"> </v>
      </c>
      <c r="L69" s="2" t="str">
        <f t="shared" si="3"/>
        <v xml:space="preserve"> </v>
      </c>
      <c r="M69" s="2" t="str">
        <f t="shared" si="4"/>
        <v xml:space="preserve"> </v>
      </c>
    </row>
    <row r="70" spans="1:13" x14ac:dyDescent="0.25">
      <c r="A70" s="42" t="str">
        <f t="shared" si="0"/>
        <v xml:space="preserve"> </v>
      </c>
      <c r="D70" s="41"/>
      <c r="E70" s="41"/>
      <c r="J70" s="17">
        <f>F70-G70+H70-I70</f>
        <v>0</v>
      </c>
      <c r="K70" s="2" t="str">
        <f t="shared" si="2"/>
        <v xml:space="preserve"> </v>
      </c>
      <c r="L70" s="2" t="str">
        <f t="shared" si="3"/>
        <v xml:space="preserve"> </v>
      </c>
      <c r="M70" s="2" t="str">
        <f t="shared" si="4"/>
        <v xml:space="preserve"> </v>
      </c>
    </row>
    <row r="71" spans="1:13" x14ac:dyDescent="0.25">
      <c r="A71" s="42" t="str">
        <f t="shared" si="0"/>
        <v xml:space="preserve"> </v>
      </c>
      <c r="D71" s="41"/>
      <c r="E71" s="41"/>
      <c r="J71" s="17">
        <f t="shared" si="1"/>
        <v>0</v>
      </c>
      <c r="K71" s="2" t="str">
        <f t="shared" si="2"/>
        <v xml:space="preserve"> </v>
      </c>
      <c r="L71" s="2" t="str">
        <f t="shared" si="3"/>
        <v xml:space="preserve"> </v>
      </c>
      <c r="M71" s="2" t="str">
        <f t="shared" si="4"/>
        <v xml:space="preserve"> </v>
      </c>
    </row>
    <row r="72" spans="1:13" x14ac:dyDescent="0.25">
      <c r="A72" s="42" t="str">
        <f t="shared" si="0"/>
        <v xml:space="preserve"> </v>
      </c>
      <c r="D72" s="41"/>
      <c r="E72" s="41"/>
      <c r="J72" s="17">
        <f t="shared" si="1"/>
        <v>0</v>
      </c>
      <c r="K72" s="2" t="str">
        <f t="shared" si="2"/>
        <v xml:space="preserve"> </v>
      </c>
      <c r="L72" s="2" t="str">
        <f t="shared" si="3"/>
        <v xml:space="preserve"> </v>
      </c>
      <c r="M72" s="2" t="str">
        <f t="shared" si="4"/>
        <v xml:space="preserve"> </v>
      </c>
    </row>
    <row r="73" spans="1:13" x14ac:dyDescent="0.25">
      <c r="A73" s="42" t="str">
        <f t="shared" si="0"/>
        <v xml:space="preserve"> </v>
      </c>
      <c r="D73" s="41"/>
      <c r="E73" s="41"/>
      <c r="J73" s="17">
        <f t="shared" si="1"/>
        <v>0</v>
      </c>
      <c r="K73" s="2" t="str">
        <f t="shared" si="2"/>
        <v xml:space="preserve"> </v>
      </c>
      <c r="L73" s="2" t="str">
        <f t="shared" si="3"/>
        <v xml:space="preserve"> </v>
      </c>
      <c r="M73" s="2" t="str">
        <f t="shared" si="4"/>
        <v xml:space="preserve"> </v>
      </c>
    </row>
    <row r="74" spans="1:13" x14ac:dyDescent="0.25">
      <c r="A74" s="42" t="str">
        <f t="shared" si="0"/>
        <v xml:space="preserve"> </v>
      </c>
      <c r="D74" s="41"/>
      <c r="E74" s="41"/>
      <c r="J74" s="17">
        <f t="shared" si="1"/>
        <v>0</v>
      </c>
      <c r="K74" s="2" t="str">
        <f t="shared" si="2"/>
        <v xml:space="preserve"> </v>
      </c>
      <c r="L74" s="2" t="str">
        <f t="shared" si="3"/>
        <v xml:space="preserve"> </v>
      </c>
      <c r="M74" s="2" t="str">
        <f t="shared" si="4"/>
        <v xml:space="preserve"> </v>
      </c>
    </row>
    <row r="75" spans="1:13" x14ac:dyDescent="0.25">
      <c r="A75" s="42" t="str">
        <f t="shared" si="0"/>
        <v xml:space="preserve"> </v>
      </c>
      <c r="D75" s="41"/>
      <c r="E75" s="41"/>
      <c r="J75" s="17">
        <f t="shared" si="1"/>
        <v>0</v>
      </c>
      <c r="K75" s="2" t="str">
        <f t="shared" si="2"/>
        <v xml:space="preserve"> </v>
      </c>
      <c r="L75" s="2" t="str">
        <f t="shared" si="3"/>
        <v xml:space="preserve"> </v>
      </c>
      <c r="M75" s="2" t="str">
        <f t="shared" si="4"/>
        <v xml:space="preserve"> </v>
      </c>
    </row>
    <row r="76" spans="1:13" x14ac:dyDescent="0.25">
      <c r="A76" s="42" t="str">
        <f t="shared" si="0"/>
        <v xml:space="preserve"> </v>
      </c>
      <c r="D76" s="41"/>
      <c r="E76" s="41"/>
      <c r="J76" s="17">
        <f t="shared" si="1"/>
        <v>0</v>
      </c>
      <c r="K76" s="2" t="str">
        <f t="shared" si="2"/>
        <v xml:space="preserve"> </v>
      </c>
      <c r="L76" s="2" t="str">
        <f t="shared" si="3"/>
        <v xml:space="preserve"> </v>
      </c>
      <c r="M76" s="2" t="str">
        <f t="shared" si="4"/>
        <v xml:space="preserve"> </v>
      </c>
    </row>
    <row r="77" spans="1:13" x14ac:dyDescent="0.25">
      <c r="A77" s="42" t="str">
        <f t="shared" si="0"/>
        <v xml:space="preserve"> </v>
      </c>
      <c r="D77" s="41"/>
      <c r="E77" s="41"/>
      <c r="J77" s="17">
        <f t="shared" si="1"/>
        <v>0</v>
      </c>
      <c r="K77" s="2" t="str">
        <f t="shared" si="2"/>
        <v xml:space="preserve"> </v>
      </c>
      <c r="L77" s="2" t="str">
        <f t="shared" si="3"/>
        <v xml:space="preserve"> </v>
      </c>
      <c r="M77" s="2" t="str">
        <f t="shared" si="4"/>
        <v xml:space="preserve"> </v>
      </c>
    </row>
    <row r="78" spans="1:13" x14ac:dyDescent="0.25">
      <c r="A78" s="42" t="str">
        <f t="shared" si="0"/>
        <v xml:space="preserve"> </v>
      </c>
      <c r="D78" s="41"/>
      <c r="E78" s="41"/>
      <c r="J78" s="17">
        <f t="shared" si="1"/>
        <v>0</v>
      </c>
      <c r="K78" s="2" t="str">
        <f t="shared" si="2"/>
        <v xml:space="preserve"> </v>
      </c>
      <c r="L78" s="2" t="str">
        <f t="shared" si="3"/>
        <v xml:space="preserve"> </v>
      </c>
      <c r="M78" s="2" t="str">
        <f t="shared" si="4"/>
        <v xml:space="preserve"> </v>
      </c>
    </row>
    <row r="79" spans="1:13" x14ac:dyDescent="0.25">
      <c r="A79" s="42" t="str">
        <f t="shared" ref="A79:A142" si="5">IF(COUNTIF(K79:M79,"ERROR")&gt;0,"ERROR"," ")</f>
        <v xml:space="preserve"> </v>
      </c>
      <c r="D79" s="41"/>
      <c r="E79" s="41"/>
      <c r="J79" s="17">
        <f t="shared" ref="J79:J142" si="6">F79-G79+H79-I79</f>
        <v>0</v>
      </c>
      <c r="K79" s="2" t="str">
        <f t="shared" si="2"/>
        <v xml:space="preserve"> </v>
      </c>
      <c r="L79" s="2" t="str">
        <f t="shared" si="3"/>
        <v xml:space="preserve"> </v>
      </c>
      <c r="M79" s="2" t="str">
        <f t="shared" si="4"/>
        <v xml:space="preserve"> </v>
      </c>
    </row>
    <row r="80" spans="1:13" x14ac:dyDescent="0.25">
      <c r="A80" s="42" t="str">
        <f t="shared" si="5"/>
        <v xml:space="preserve"> </v>
      </c>
      <c r="D80" s="41"/>
      <c r="E80" s="41"/>
      <c r="J80" s="17">
        <f t="shared" si="6"/>
        <v>0</v>
      </c>
      <c r="K80" s="2" t="str">
        <f t="shared" ref="K80:K143" si="7">IF(COUNTA(D80:E80)=2,"ERROR"," ")</f>
        <v xml:space="preserve"> </v>
      </c>
      <c r="L80" s="2" t="str">
        <f t="shared" ref="L80:L143" si="8">IF(D80=0," ",IF(COUNTIF(ProfitLoss,D80)&gt;0," ","ERROR"))</f>
        <v xml:space="preserve"> </v>
      </c>
      <c r="M80" s="2" t="str">
        <f t="shared" ref="M80:M143" si="9">IF(E80=0," ",IF(COUNTIF(BalanceSheet,E80)&gt;0," ","ERROR"))</f>
        <v xml:space="preserve"> </v>
      </c>
    </row>
    <row r="81" spans="1:13" x14ac:dyDescent="0.25">
      <c r="A81" s="42" t="str">
        <f t="shared" si="5"/>
        <v xml:space="preserve"> </v>
      </c>
      <c r="D81" s="41"/>
      <c r="E81" s="41"/>
      <c r="J81" s="17">
        <f t="shared" si="6"/>
        <v>0</v>
      </c>
      <c r="K81" s="2" t="str">
        <f t="shared" si="7"/>
        <v xml:space="preserve"> </v>
      </c>
      <c r="L81" s="2" t="str">
        <f t="shared" si="8"/>
        <v xml:space="preserve"> </v>
      </c>
      <c r="M81" s="2" t="str">
        <f t="shared" si="9"/>
        <v xml:space="preserve"> </v>
      </c>
    </row>
    <row r="82" spans="1:13" x14ac:dyDescent="0.25">
      <c r="A82" s="42" t="str">
        <f t="shared" si="5"/>
        <v xml:space="preserve"> </v>
      </c>
      <c r="D82" s="41"/>
      <c r="E82" s="41"/>
      <c r="J82" s="17">
        <f t="shared" si="6"/>
        <v>0</v>
      </c>
      <c r="K82" s="2" t="str">
        <f t="shared" si="7"/>
        <v xml:space="preserve"> </v>
      </c>
      <c r="L82" s="2" t="str">
        <f t="shared" si="8"/>
        <v xml:space="preserve"> </v>
      </c>
      <c r="M82" s="2" t="str">
        <f t="shared" si="9"/>
        <v xml:space="preserve"> </v>
      </c>
    </row>
    <row r="83" spans="1:13" x14ac:dyDescent="0.25">
      <c r="A83" s="42" t="str">
        <f t="shared" si="5"/>
        <v xml:space="preserve"> </v>
      </c>
      <c r="D83" s="41"/>
      <c r="E83" s="41"/>
      <c r="J83" s="17">
        <f t="shared" si="6"/>
        <v>0</v>
      </c>
      <c r="K83" s="2" t="str">
        <f t="shared" si="7"/>
        <v xml:space="preserve"> </v>
      </c>
      <c r="L83" s="2" t="str">
        <f t="shared" si="8"/>
        <v xml:space="preserve"> </v>
      </c>
      <c r="M83" s="2" t="str">
        <f t="shared" si="9"/>
        <v xml:space="preserve"> </v>
      </c>
    </row>
    <row r="84" spans="1:13" x14ac:dyDescent="0.25">
      <c r="A84" s="42" t="str">
        <f t="shared" si="5"/>
        <v xml:space="preserve"> </v>
      </c>
      <c r="D84" s="41"/>
      <c r="E84" s="41"/>
      <c r="J84" s="17">
        <f t="shared" si="6"/>
        <v>0</v>
      </c>
      <c r="K84" s="2" t="str">
        <f t="shared" si="7"/>
        <v xml:space="preserve"> </v>
      </c>
      <c r="L84" s="2" t="str">
        <f t="shared" si="8"/>
        <v xml:space="preserve"> </v>
      </c>
      <c r="M84" s="2" t="str">
        <f t="shared" si="9"/>
        <v xml:space="preserve"> </v>
      </c>
    </row>
    <row r="85" spans="1:13" x14ac:dyDescent="0.25">
      <c r="A85" s="42" t="str">
        <f t="shared" si="5"/>
        <v xml:space="preserve"> </v>
      </c>
      <c r="D85" s="41"/>
      <c r="E85" s="41"/>
      <c r="J85" s="17">
        <f t="shared" si="6"/>
        <v>0</v>
      </c>
      <c r="K85" s="2" t="str">
        <f t="shared" si="7"/>
        <v xml:space="preserve"> </v>
      </c>
      <c r="L85" s="2" t="str">
        <f t="shared" si="8"/>
        <v xml:space="preserve"> </v>
      </c>
      <c r="M85" s="2" t="str">
        <f t="shared" si="9"/>
        <v xml:space="preserve"> </v>
      </c>
    </row>
    <row r="86" spans="1:13" x14ac:dyDescent="0.25">
      <c r="A86" s="42" t="str">
        <f t="shared" si="5"/>
        <v xml:space="preserve"> </v>
      </c>
      <c r="D86" s="41"/>
      <c r="E86" s="41"/>
      <c r="J86" s="17">
        <f t="shared" si="6"/>
        <v>0</v>
      </c>
      <c r="K86" s="2" t="str">
        <f t="shared" si="7"/>
        <v xml:space="preserve"> </v>
      </c>
      <c r="L86" s="2" t="str">
        <f t="shared" si="8"/>
        <v xml:space="preserve"> </v>
      </c>
      <c r="M86" s="2" t="str">
        <f t="shared" si="9"/>
        <v xml:space="preserve"> </v>
      </c>
    </row>
    <row r="87" spans="1:13" x14ac:dyDescent="0.25">
      <c r="A87" s="42" t="str">
        <f t="shared" si="5"/>
        <v xml:space="preserve"> </v>
      </c>
      <c r="D87" s="61"/>
      <c r="E87" s="41"/>
      <c r="J87" s="17">
        <f t="shared" si="6"/>
        <v>0</v>
      </c>
      <c r="K87" s="2" t="str">
        <f t="shared" si="7"/>
        <v xml:space="preserve"> </v>
      </c>
      <c r="L87" s="2" t="str">
        <f t="shared" si="8"/>
        <v xml:space="preserve"> </v>
      </c>
      <c r="M87" s="2" t="str">
        <f t="shared" si="9"/>
        <v xml:space="preserve"> </v>
      </c>
    </row>
    <row r="88" spans="1:13" x14ac:dyDescent="0.25">
      <c r="A88" s="42" t="str">
        <f t="shared" si="5"/>
        <v xml:space="preserve"> </v>
      </c>
      <c r="D88" s="41"/>
      <c r="E88" s="41"/>
      <c r="J88" s="17">
        <f t="shared" si="6"/>
        <v>0</v>
      </c>
      <c r="K88" s="2" t="str">
        <f t="shared" si="7"/>
        <v xml:space="preserve"> </v>
      </c>
      <c r="L88" s="2" t="str">
        <f t="shared" si="8"/>
        <v xml:space="preserve"> </v>
      </c>
      <c r="M88" s="2" t="str">
        <f t="shared" si="9"/>
        <v xml:space="preserve"> </v>
      </c>
    </row>
    <row r="89" spans="1:13" x14ac:dyDescent="0.25">
      <c r="A89" s="42" t="str">
        <f t="shared" si="5"/>
        <v xml:space="preserve"> </v>
      </c>
      <c r="D89" s="41"/>
      <c r="E89" s="41"/>
      <c r="J89" s="17">
        <f t="shared" si="6"/>
        <v>0</v>
      </c>
      <c r="K89" s="2" t="str">
        <f t="shared" si="7"/>
        <v xml:space="preserve"> </v>
      </c>
      <c r="L89" s="2" t="str">
        <f t="shared" si="8"/>
        <v xml:space="preserve"> </v>
      </c>
      <c r="M89" s="2" t="str">
        <f t="shared" si="9"/>
        <v xml:space="preserve"> </v>
      </c>
    </row>
    <row r="90" spans="1:13" x14ac:dyDescent="0.25">
      <c r="A90" s="42" t="str">
        <f t="shared" si="5"/>
        <v xml:space="preserve"> </v>
      </c>
      <c r="D90" s="41"/>
      <c r="E90" s="41"/>
      <c r="J90" s="17">
        <f t="shared" si="6"/>
        <v>0</v>
      </c>
      <c r="K90" s="2" t="str">
        <f t="shared" si="7"/>
        <v xml:space="preserve"> </v>
      </c>
      <c r="L90" s="2" t="str">
        <f t="shared" si="8"/>
        <v xml:space="preserve"> </v>
      </c>
      <c r="M90" s="2" t="str">
        <f t="shared" si="9"/>
        <v xml:space="preserve"> </v>
      </c>
    </row>
    <row r="91" spans="1:13" x14ac:dyDescent="0.25">
      <c r="A91" s="42" t="str">
        <f t="shared" si="5"/>
        <v xml:space="preserve"> </v>
      </c>
      <c r="D91" s="41"/>
      <c r="E91" s="41"/>
      <c r="J91" s="17">
        <f t="shared" si="6"/>
        <v>0</v>
      </c>
      <c r="K91" s="2" t="str">
        <f t="shared" si="7"/>
        <v xml:space="preserve"> </v>
      </c>
      <c r="L91" s="2" t="str">
        <f t="shared" si="8"/>
        <v xml:space="preserve"> </v>
      </c>
      <c r="M91" s="2" t="str">
        <f t="shared" si="9"/>
        <v xml:space="preserve"> </v>
      </c>
    </row>
    <row r="92" spans="1:13" x14ac:dyDescent="0.25">
      <c r="A92" s="42" t="str">
        <f t="shared" si="5"/>
        <v xml:space="preserve"> </v>
      </c>
      <c r="D92" s="41"/>
      <c r="E92" s="41"/>
      <c r="J92" s="17">
        <f t="shared" si="6"/>
        <v>0</v>
      </c>
      <c r="K92" s="2" t="str">
        <f t="shared" si="7"/>
        <v xml:space="preserve"> </v>
      </c>
      <c r="L92" s="2" t="str">
        <f t="shared" si="8"/>
        <v xml:space="preserve"> </v>
      </c>
      <c r="M92" s="2" t="str">
        <f t="shared" si="9"/>
        <v xml:space="preserve"> </v>
      </c>
    </row>
    <row r="93" spans="1:13" x14ac:dyDescent="0.25">
      <c r="A93" s="42" t="str">
        <f t="shared" si="5"/>
        <v xml:space="preserve"> </v>
      </c>
      <c r="D93" s="41"/>
      <c r="E93" s="41"/>
      <c r="J93" s="17">
        <f t="shared" si="6"/>
        <v>0</v>
      </c>
      <c r="K93" s="2" t="str">
        <f t="shared" si="7"/>
        <v xml:space="preserve"> </v>
      </c>
      <c r="L93" s="2" t="str">
        <f t="shared" si="8"/>
        <v xml:space="preserve"> </v>
      </c>
      <c r="M93" s="2" t="str">
        <f t="shared" si="9"/>
        <v xml:space="preserve"> </v>
      </c>
    </row>
    <row r="94" spans="1:13" x14ac:dyDescent="0.25">
      <c r="A94" s="42" t="str">
        <f t="shared" si="5"/>
        <v xml:space="preserve"> </v>
      </c>
      <c r="D94" s="41"/>
      <c r="E94" s="41"/>
      <c r="J94" s="17">
        <f t="shared" si="6"/>
        <v>0</v>
      </c>
      <c r="K94" s="2" t="str">
        <f t="shared" si="7"/>
        <v xml:space="preserve"> </v>
      </c>
      <c r="L94" s="2" t="str">
        <f t="shared" si="8"/>
        <v xml:space="preserve"> </v>
      </c>
      <c r="M94" s="2" t="str">
        <f t="shared" si="9"/>
        <v xml:space="preserve"> </v>
      </c>
    </row>
    <row r="95" spans="1:13" x14ac:dyDescent="0.25">
      <c r="A95" s="42" t="str">
        <f t="shared" si="5"/>
        <v xml:space="preserve"> </v>
      </c>
      <c r="D95" s="41"/>
      <c r="E95" s="41"/>
      <c r="J95" s="17">
        <f t="shared" si="6"/>
        <v>0</v>
      </c>
      <c r="K95" s="2" t="str">
        <f t="shared" si="7"/>
        <v xml:space="preserve"> </v>
      </c>
      <c r="L95" s="2" t="str">
        <f t="shared" si="8"/>
        <v xml:space="preserve"> </v>
      </c>
      <c r="M95" s="2" t="str">
        <f t="shared" si="9"/>
        <v xml:space="preserve"> </v>
      </c>
    </row>
    <row r="96" spans="1:13" x14ac:dyDescent="0.25">
      <c r="A96" s="42" t="str">
        <f t="shared" si="5"/>
        <v xml:space="preserve"> </v>
      </c>
      <c r="D96" s="41"/>
      <c r="E96" s="41"/>
      <c r="J96" s="17">
        <f t="shared" si="6"/>
        <v>0</v>
      </c>
      <c r="K96" s="2" t="str">
        <f t="shared" si="7"/>
        <v xml:space="preserve"> </v>
      </c>
      <c r="L96" s="2" t="str">
        <f t="shared" si="8"/>
        <v xml:space="preserve"> </v>
      </c>
      <c r="M96" s="2" t="str">
        <f t="shared" si="9"/>
        <v xml:space="preserve"> </v>
      </c>
    </row>
    <row r="97" spans="1:13" x14ac:dyDescent="0.25">
      <c r="A97" s="42" t="str">
        <f t="shared" si="5"/>
        <v xml:space="preserve"> </v>
      </c>
      <c r="D97" s="41"/>
      <c r="E97" s="41"/>
      <c r="J97" s="17">
        <f t="shared" si="6"/>
        <v>0</v>
      </c>
      <c r="K97" s="2" t="str">
        <f t="shared" si="7"/>
        <v xml:space="preserve"> </v>
      </c>
      <c r="L97" s="2" t="str">
        <f t="shared" si="8"/>
        <v xml:space="preserve"> </v>
      </c>
      <c r="M97" s="2" t="str">
        <f t="shared" si="9"/>
        <v xml:space="preserve"> </v>
      </c>
    </row>
    <row r="98" spans="1:13" x14ac:dyDescent="0.25">
      <c r="A98" s="42" t="str">
        <f t="shared" si="5"/>
        <v xml:space="preserve"> </v>
      </c>
      <c r="D98" s="41"/>
      <c r="E98" s="41"/>
      <c r="J98" s="17">
        <f t="shared" si="6"/>
        <v>0</v>
      </c>
      <c r="K98" s="2" t="str">
        <f t="shared" si="7"/>
        <v xml:space="preserve"> </v>
      </c>
      <c r="L98" s="2" t="str">
        <f t="shared" si="8"/>
        <v xml:space="preserve"> </v>
      </c>
      <c r="M98" s="2" t="str">
        <f t="shared" si="9"/>
        <v xml:space="preserve"> </v>
      </c>
    </row>
    <row r="99" spans="1:13" x14ac:dyDescent="0.25">
      <c r="A99" s="42" t="str">
        <f t="shared" si="5"/>
        <v xml:space="preserve"> </v>
      </c>
      <c r="D99" s="41"/>
      <c r="E99" s="41"/>
      <c r="J99" s="17">
        <f t="shared" si="6"/>
        <v>0</v>
      </c>
      <c r="K99" s="2" t="str">
        <f t="shared" si="7"/>
        <v xml:space="preserve"> </v>
      </c>
      <c r="L99" s="2" t="str">
        <f t="shared" si="8"/>
        <v xml:space="preserve"> </v>
      </c>
      <c r="M99" s="2" t="str">
        <f t="shared" si="9"/>
        <v xml:space="preserve"> </v>
      </c>
    </row>
    <row r="100" spans="1:13" x14ac:dyDescent="0.25">
      <c r="A100" s="42" t="str">
        <f t="shared" si="5"/>
        <v xml:space="preserve"> </v>
      </c>
      <c r="D100" s="41"/>
      <c r="E100" s="41"/>
      <c r="J100" s="17">
        <f t="shared" si="6"/>
        <v>0</v>
      </c>
      <c r="K100" s="2" t="str">
        <f t="shared" si="7"/>
        <v xml:space="preserve"> </v>
      </c>
      <c r="L100" s="2" t="str">
        <f t="shared" si="8"/>
        <v xml:space="preserve"> </v>
      </c>
      <c r="M100" s="2" t="str">
        <f t="shared" si="9"/>
        <v xml:space="preserve"> </v>
      </c>
    </row>
    <row r="101" spans="1:13" x14ac:dyDescent="0.25">
      <c r="A101" s="42" t="str">
        <f t="shared" si="5"/>
        <v xml:space="preserve"> </v>
      </c>
      <c r="D101" s="41"/>
      <c r="E101" s="41"/>
      <c r="J101" s="17">
        <f t="shared" si="6"/>
        <v>0</v>
      </c>
      <c r="K101" s="2" t="str">
        <f t="shared" si="7"/>
        <v xml:space="preserve"> </v>
      </c>
      <c r="L101" s="2" t="str">
        <f t="shared" si="8"/>
        <v xml:space="preserve"> </v>
      </c>
      <c r="M101" s="2" t="str">
        <f t="shared" si="9"/>
        <v xml:space="preserve"> </v>
      </c>
    </row>
    <row r="102" spans="1:13" x14ac:dyDescent="0.25">
      <c r="A102" s="42" t="str">
        <f t="shared" si="5"/>
        <v xml:space="preserve"> </v>
      </c>
      <c r="D102" s="41"/>
      <c r="E102" s="41"/>
      <c r="J102" s="17">
        <f t="shared" si="6"/>
        <v>0</v>
      </c>
      <c r="K102" s="2" t="str">
        <f t="shared" si="7"/>
        <v xml:space="preserve"> </v>
      </c>
      <c r="L102" s="2" t="str">
        <f t="shared" si="8"/>
        <v xml:space="preserve"> </v>
      </c>
      <c r="M102" s="2" t="str">
        <f t="shared" si="9"/>
        <v xml:space="preserve"> </v>
      </c>
    </row>
    <row r="103" spans="1:13" x14ac:dyDescent="0.25">
      <c r="A103" s="42" t="str">
        <f t="shared" si="5"/>
        <v xml:space="preserve"> </v>
      </c>
      <c r="D103" s="41"/>
      <c r="E103" s="41"/>
      <c r="J103" s="17">
        <f t="shared" si="6"/>
        <v>0</v>
      </c>
      <c r="K103" s="2" t="str">
        <f t="shared" si="7"/>
        <v xml:space="preserve"> </v>
      </c>
      <c r="L103" s="2" t="str">
        <f t="shared" si="8"/>
        <v xml:space="preserve"> </v>
      </c>
      <c r="M103" s="2" t="str">
        <f t="shared" si="9"/>
        <v xml:space="preserve"> </v>
      </c>
    </row>
    <row r="104" spans="1:13" x14ac:dyDescent="0.25">
      <c r="A104" s="42" t="str">
        <f t="shared" si="5"/>
        <v xml:space="preserve"> </v>
      </c>
      <c r="D104" s="41"/>
      <c r="E104" s="41"/>
      <c r="J104" s="17">
        <f t="shared" si="6"/>
        <v>0</v>
      </c>
      <c r="K104" s="2" t="str">
        <f t="shared" si="7"/>
        <v xml:space="preserve"> </v>
      </c>
      <c r="L104" s="2" t="str">
        <f t="shared" si="8"/>
        <v xml:space="preserve"> </v>
      </c>
      <c r="M104" s="2" t="str">
        <f t="shared" si="9"/>
        <v xml:space="preserve"> </v>
      </c>
    </row>
    <row r="105" spans="1:13" x14ac:dyDescent="0.25">
      <c r="A105" s="42" t="str">
        <f t="shared" si="5"/>
        <v xml:space="preserve"> </v>
      </c>
      <c r="D105" s="41"/>
      <c r="E105" s="41"/>
      <c r="J105" s="17">
        <f t="shared" si="6"/>
        <v>0</v>
      </c>
      <c r="K105" s="2" t="str">
        <f t="shared" si="7"/>
        <v xml:space="preserve"> </v>
      </c>
      <c r="L105" s="2" t="str">
        <f t="shared" si="8"/>
        <v xml:space="preserve"> </v>
      </c>
      <c r="M105" s="2" t="str">
        <f t="shared" si="9"/>
        <v xml:space="preserve"> </v>
      </c>
    </row>
    <row r="106" spans="1:13" x14ac:dyDescent="0.25">
      <c r="A106" s="42" t="str">
        <f t="shared" si="5"/>
        <v xml:space="preserve"> </v>
      </c>
      <c r="D106" s="41"/>
      <c r="E106" s="41"/>
      <c r="J106" s="17">
        <f t="shared" si="6"/>
        <v>0</v>
      </c>
      <c r="K106" s="2" t="str">
        <f t="shared" si="7"/>
        <v xml:space="preserve"> </v>
      </c>
      <c r="L106" s="2" t="str">
        <f t="shared" si="8"/>
        <v xml:space="preserve"> </v>
      </c>
      <c r="M106" s="2" t="str">
        <f t="shared" si="9"/>
        <v xml:space="preserve"> </v>
      </c>
    </row>
    <row r="107" spans="1:13" x14ac:dyDescent="0.25">
      <c r="A107" s="42" t="str">
        <f t="shared" si="5"/>
        <v xml:space="preserve"> </v>
      </c>
      <c r="D107" s="41"/>
      <c r="E107" s="41"/>
      <c r="J107" s="17">
        <f t="shared" si="6"/>
        <v>0</v>
      </c>
      <c r="K107" s="2" t="str">
        <f t="shared" si="7"/>
        <v xml:space="preserve"> </v>
      </c>
      <c r="L107" s="2" t="str">
        <f t="shared" si="8"/>
        <v xml:space="preserve"> </v>
      </c>
      <c r="M107" s="2" t="str">
        <f t="shared" si="9"/>
        <v xml:space="preserve"> </v>
      </c>
    </row>
    <row r="108" spans="1:13" x14ac:dyDescent="0.25">
      <c r="A108" s="42" t="str">
        <f t="shared" si="5"/>
        <v xml:space="preserve"> </v>
      </c>
      <c r="D108" s="41"/>
      <c r="E108" s="41"/>
      <c r="J108" s="17">
        <f t="shared" si="6"/>
        <v>0</v>
      </c>
      <c r="K108" s="2" t="str">
        <f t="shared" si="7"/>
        <v xml:space="preserve"> </v>
      </c>
      <c r="L108" s="2" t="str">
        <f t="shared" si="8"/>
        <v xml:space="preserve"> </v>
      </c>
      <c r="M108" s="2" t="str">
        <f t="shared" si="9"/>
        <v xml:space="preserve"> </v>
      </c>
    </row>
    <row r="109" spans="1:13" x14ac:dyDescent="0.25">
      <c r="A109" s="42" t="str">
        <f t="shared" si="5"/>
        <v xml:space="preserve"> </v>
      </c>
      <c r="D109" s="41"/>
      <c r="E109" s="41"/>
      <c r="J109" s="17">
        <f t="shared" si="6"/>
        <v>0</v>
      </c>
      <c r="K109" s="2" t="str">
        <f t="shared" si="7"/>
        <v xml:space="preserve"> </v>
      </c>
      <c r="L109" s="2" t="str">
        <f t="shared" si="8"/>
        <v xml:space="preserve"> </v>
      </c>
      <c r="M109" s="2" t="str">
        <f t="shared" si="9"/>
        <v xml:space="preserve"> </v>
      </c>
    </row>
    <row r="110" spans="1:13" x14ac:dyDescent="0.25">
      <c r="A110" s="42" t="str">
        <f t="shared" si="5"/>
        <v xml:space="preserve"> </v>
      </c>
      <c r="B110" s="20"/>
      <c r="D110" s="41"/>
      <c r="E110" s="41"/>
      <c r="J110" s="17">
        <f t="shared" si="6"/>
        <v>0</v>
      </c>
      <c r="K110" s="2" t="str">
        <f t="shared" si="7"/>
        <v xml:space="preserve"> </v>
      </c>
      <c r="L110" s="2" t="str">
        <f t="shared" si="8"/>
        <v xml:space="preserve"> </v>
      </c>
      <c r="M110" s="2" t="str">
        <f t="shared" si="9"/>
        <v xml:space="preserve"> </v>
      </c>
    </row>
    <row r="111" spans="1:13" x14ac:dyDescent="0.25">
      <c r="A111" s="42" t="str">
        <f t="shared" si="5"/>
        <v xml:space="preserve"> </v>
      </c>
      <c r="D111" s="41"/>
      <c r="E111" s="41"/>
      <c r="J111" s="17">
        <f t="shared" si="6"/>
        <v>0</v>
      </c>
      <c r="K111" s="2" t="str">
        <f t="shared" si="7"/>
        <v xml:space="preserve"> </v>
      </c>
      <c r="L111" s="2" t="str">
        <f t="shared" si="8"/>
        <v xml:space="preserve"> </v>
      </c>
      <c r="M111" s="2" t="str">
        <f t="shared" si="9"/>
        <v xml:space="preserve"> </v>
      </c>
    </row>
    <row r="112" spans="1:13" x14ac:dyDescent="0.25">
      <c r="A112" s="42" t="str">
        <f t="shared" si="5"/>
        <v xml:space="preserve"> </v>
      </c>
      <c r="D112" s="41"/>
      <c r="E112" s="41"/>
      <c r="J112" s="17">
        <f t="shared" si="6"/>
        <v>0</v>
      </c>
      <c r="K112" s="2" t="str">
        <f t="shared" si="7"/>
        <v xml:space="preserve"> </v>
      </c>
      <c r="L112" s="2" t="str">
        <f t="shared" si="8"/>
        <v xml:space="preserve"> </v>
      </c>
      <c r="M112" s="2" t="str">
        <f t="shared" si="9"/>
        <v xml:space="preserve"> </v>
      </c>
    </row>
    <row r="113" spans="1:13" x14ac:dyDescent="0.25">
      <c r="A113" s="42" t="str">
        <f t="shared" si="5"/>
        <v xml:space="preserve"> </v>
      </c>
      <c r="D113" s="41"/>
      <c r="E113" s="41"/>
      <c r="J113" s="17">
        <f t="shared" si="6"/>
        <v>0</v>
      </c>
      <c r="K113" s="2" t="str">
        <f t="shared" si="7"/>
        <v xml:space="preserve"> </v>
      </c>
      <c r="L113" s="2" t="str">
        <f t="shared" si="8"/>
        <v xml:space="preserve"> </v>
      </c>
      <c r="M113" s="2" t="str">
        <f t="shared" si="9"/>
        <v xml:space="preserve"> </v>
      </c>
    </row>
    <row r="114" spans="1:13" x14ac:dyDescent="0.25">
      <c r="A114" s="42" t="str">
        <f t="shared" si="5"/>
        <v xml:space="preserve"> </v>
      </c>
      <c r="D114" s="41"/>
      <c r="E114" s="41"/>
      <c r="J114" s="17">
        <f t="shared" si="6"/>
        <v>0</v>
      </c>
      <c r="K114" s="2" t="str">
        <f t="shared" si="7"/>
        <v xml:space="preserve"> </v>
      </c>
      <c r="L114" s="2" t="str">
        <f t="shared" si="8"/>
        <v xml:space="preserve"> </v>
      </c>
      <c r="M114" s="2" t="str">
        <f t="shared" si="9"/>
        <v xml:space="preserve"> </v>
      </c>
    </row>
    <row r="115" spans="1:13" x14ac:dyDescent="0.25">
      <c r="A115" s="42" t="str">
        <f t="shared" si="5"/>
        <v xml:space="preserve"> </v>
      </c>
      <c r="D115" s="41"/>
      <c r="E115" s="41"/>
      <c r="J115" s="17">
        <f t="shared" si="6"/>
        <v>0</v>
      </c>
      <c r="K115" s="2" t="str">
        <f t="shared" si="7"/>
        <v xml:space="preserve"> </v>
      </c>
      <c r="L115" s="2" t="str">
        <f t="shared" si="8"/>
        <v xml:space="preserve"> </v>
      </c>
      <c r="M115" s="2" t="str">
        <f t="shared" si="9"/>
        <v xml:space="preserve"> </v>
      </c>
    </row>
    <row r="116" spans="1:13" x14ac:dyDescent="0.25">
      <c r="A116" s="42" t="str">
        <f t="shared" si="5"/>
        <v xml:space="preserve"> </v>
      </c>
      <c r="D116" s="41"/>
      <c r="E116" s="41"/>
      <c r="J116" s="17">
        <f t="shared" si="6"/>
        <v>0</v>
      </c>
      <c r="K116" s="2" t="str">
        <f t="shared" si="7"/>
        <v xml:space="preserve"> </v>
      </c>
      <c r="L116" s="2" t="str">
        <f t="shared" si="8"/>
        <v xml:space="preserve"> </v>
      </c>
      <c r="M116" s="2" t="str">
        <f t="shared" si="9"/>
        <v xml:space="preserve"> </v>
      </c>
    </row>
    <row r="117" spans="1:13" x14ac:dyDescent="0.25">
      <c r="A117" s="42" t="str">
        <f t="shared" si="5"/>
        <v xml:space="preserve"> </v>
      </c>
      <c r="D117" s="41"/>
      <c r="E117" s="41"/>
      <c r="J117" s="17">
        <f t="shared" si="6"/>
        <v>0</v>
      </c>
      <c r="K117" s="2" t="str">
        <f t="shared" si="7"/>
        <v xml:space="preserve"> </v>
      </c>
      <c r="L117" s="2" t="str">
        <f t="shared" si="8"/>
        <v xml:space="preserve"> </v>
      </c>
      <c r="M117" s="2" t="str">
        <f t="shared" si="9"/>
        <v xml:space="preserve"> </v>
      </c>
    </row>
    <row r="118" spans="1:13" x14ac:dyDescent="0.25">
      <c r="A118" s="42" t="str">
        <f t="shared" si="5"/>
        <v xml:space="preserve"> </v>
      </c>
      <c r="D118" s="41"/>
      <c r="E118" s="41"/>
      <c r="J118" s="17">
        <f t="shared" si="6"/>
        <v>0</v>
      </c>
      <c r="K118" s="2" t="str">
        <f t="shared" si="7"/>
        <v xml:space="preserve"> </v>
      </c>
      <c r="L118" s="2" t="str">
        <f t="shared" si="8"/>
        <v xml:space="preserve"> </v>
      </c>
      <c r="M118" s="2" t="str">
        <f t="shared" si="9"/>
        <v xml:space="preserve"> </v>
      </c>
    </row>
    <row r="119" spans="1:13" x14ac:dyDescent="0.25">
      <c r="A119" s="42" t="str">
        <f t="shared" si="5"/>
        <v xml:space="preserve"> </v>
      </c>
      <c r="D119" s="41"/>
      <c r="E119" s="41"/>
      <c r="J119" s="17">
        <f t="shared" si="6"/>
        <v>0</v>
      </c>
      <c r="K119" s="2" t="str">
        <f t="shared" si="7"/>
        <v xml:space="preserve"> </v>
      </c>
      <c r="L119" s="2" t="str">
        <f t="shared" si="8"/>
        <v xml:space="preserve"> </v>
      </c>
      <c r="M119" s="2" t="str">
        <f t="shared" si="9"/>
        <v xml:space="preserve"> </v>
      </c>
    </row>
    <row r="120" spans="1:13" x14ac:dyDescent="0.25">
      <c r="A120" s="42" t="str">
        <f t="shared" si="5"/>
        <v xml:space="preserve"> </v>
      </c>
      <c r="D120" s="41"/>
      <c r="E120" s="41"/>
      <c r="J120" s="17">
        <f t="shared" si="6"/>
        <v>0</v>
      </c>
      <c r="K120" s="2" t="str">
        <f t="shared" si="7"/>
        <v xml:space="preserve"> </v>
      </c>
      <c r="L120" s="2" t="str">
        <f t="shared" si="8"/>
        <v xml:space="preserve"> </v>
      </c>
      <c r="M120" s="2" t="str">
        <f t="shared" si="9"/>
        <v xml:space="preserve"> </v>
      </c>
    </row>
    <row r="121" spans="1:13" x14ac:dyDescent="0.25">
      <c r="A121" s="42" t="str">
        <f t="shared" si="5"/>
        <v xml:space="preserve"> </v>
      </c>
      <c r="D121" s="41"/>
      <c r="E121" s="41"/>
      <c r="J121" s="17">
        <f t="shared" si="6"/>
        <v>0</v>
      </c>
      <c r="K121" s="2" t="str">
        <f t="shared" si="7"/>
        <v xml:space="preserve"> </v>
      </c>
      <c r="L121" s="2" t="str">
        <f t="shared" si="8"/>
        <v xml:space="preserve"> </v>
      </c>
      <c r="M121" s="2" t="str">
        <f t="shared" si="9"/>
        <v xml:space="preserve"> </v>
      </c>
    </row>
    <row r="122" spans="1:13" x14ac:dyDescent="0.25">
      <c r="A122" s="42" t="str">
        <f t="shared" si="5"/>
        <v xml:space="preserve"> </v>
      </c>
      <c r="D122" s="41"/>
      <c r="E122" s="41"/>
      <c r="J122" s="17">
        <f t="shared" si="6"/>
        <v>0</v>
      </c>
      <c r="K122" s="2" t="str">
        <f t="shared" si="7"/>
        <v xml:space="preserve"> </v>
      </c>
      <c r="L122" s="2" t="str">
        <f t="shared" si="8"/>
        <v xml:space="preserve"> </v>
      </c>
      <c r="M122" s="2" t="str">
        <f t="shared" si="9"/>
        <v xml:space="preserve"> </v>
      </c>
    </row>
    <row r="123" spans="1:13" x14ac:dyDescent="0.25">
      <c r="A123" s="42" t="str">
        <f t="shared" si="5"/>
        <v xml:space="preserve"> </v>
      </c>
      <c r="D123" s="41"/>
      <c r="E123" s="41"/>
      <c r="J123" s="17">
        <f t="shared" si="6"/>
        <v>0</v>
      </c>
      <c r="K123" s="2" t="str">
        <f t="shared" si="7"/>
        <v xml:space="preserve"> </v>
      </c>
      <c r="L123" s="2" t="str">
        <f t="shared" si="8"/>
        <v xml:space="preserve"> </v>
      </c>
      <c r="M123" s="2" t="str">
        <f t="shared" si="9"/>
        <v xml:space="preserve"> </v>
      </c>
    </row>
    <row r="124" spans="1:13" x14ac:dyDescent="0.25">
      <c r="A124" s="42" t="str">
        <f t="shared" si="5"/>
        <v xml:space="preserve"> </v>
      </c>
      <c r="C124" s="48"/>
      <c r="D124" s="41"/>
      <c r="E124" s="41"/>
      <c r="J124" s="17">
        <f t="shared" si="6"/>
        <v>0</v>
      </c>
      <c r="K124" s="2" t="str">
        <f t="shared" si="7"/>
        <v xml:space="preserve"> </v>
      </c>
      <c r="L124" s="2" t="str">
        <f t="shared" si="8"/>
        <v xml:space="preserve"> </v>
      </c>
      <c r="M124" s="2" t="str">
        <f t="shared" si="9"/>
        <v xml:space="preserve"> </v>
      </c>
    </row>
    <row r="125" spans="1:13" x14ac:dyDescent="0.25">
      <c r="A125" s="42" t="str">
        <f t="shared" si="5"/>
        <v xml:space="preserve"> </v>
      </c>
      <c r="D125" s="41"/>
      <c r="E125" s="41"/>
      <c r="J125" s="17">
        <f t="shared" si="6"/>
        <v>0</v>
      </c>
      <c r="K125" s="2" t="str">
        <f t="shared" si="7"/>
        <v xml:space="preserve"> </v>
      </c>
      <c r="L125" s="2" t="str">
        <f t="shared" si="8"/>
        <v xml:space="preserve"> </v>
      </c>
      <c r="M125" s="2" t="str">
        <f t="shared" si="9"/>
        <v xml:space="preserve"> </v>
      </c>
    </row>
    <row r="126" spans="1:13" x14ac:dyDescent="0.25">
      <c r="A126" s="42" t="str">
        <f t="shared" si="5"/>
        <v xml:space="preserve"> </v>
      </c>
      <c r="D126" s="41"/>
      <c r="E126" s="41"/>
      <c r="J126" s="17">
        <f t="shared" si="6"/>
        <v>0</v>
      </c>
      <c r="K126" s="2" t="str">
        <f t="shared" si="7"/>
        <v xml:space="preserve"> </v>
      </c>
      <c r="L126" s="2" t="str">
        <f t="shared" si="8"/>
        <v xml:space="preserve"> </v>
      </c>
      <c r="M126" s="2" t="str">
        <f t="shared" si="9"/>
        <v xml:space="preserve"> </v>
      </c>
    </row>
    <row r="127" spans="1:13" x14ac:dyDescent="0.25">
      <c r="A127" s="42" t="str">
        <f t="shared" si="5"/>
        <v xml:space="preserve"> </v>
      </c>
      <c r="D127" s="41"/>
      <c r="E127" s="41"/>
      <c r="J127" s="17">
        <f t="shared" si="6"/>
        <v>0</v>
      </c>
      <c r="K127" s="2" t="str">
        <f t="shared" si="7"/>
        <v xml:space="preserve"> </v>
      </c>
      <c r="L127" s="2" t="str">
        <f t="shared" si="8"/>
        <v xml:space="preserve"> </v>
      </c>
      <c r="M127" s="2" t="str">
        <f t="shared" si="9"/>
        <v xml:space="preserve"> </v>
      </c>
    </row>
    <row r="128" spans="1:13" x14ac:dyDescent="0.25">
      <c r="A128" s="42" t="str">
        <f t="shared" si="5"/>
        <v xml:space="preserve"> </v>
      </c>
      <c r="D128" s="41"/>
      <c r="E128" s="41"/>
      <c r="J128" s="17">
        <f t="shared" si="6"/>
        <v>0</v>
      </c>
      <c r="K128" s="2" t="str">
        <f t="shared" si="7"/>
        <v xml:space="preserve"> </v>
      </c>
      <c r="L128" s="2" t="str">
        <f t="shared" si="8"/>
        <v xml:space="preserve"> </v>
      </c>
      <c r="M128" s="2" t="str">
        <f t="shared" si="9"/>
        <v xml:space="preserve"> </v>
      </c>
    </row>
    <row r="129" spans="1:13" x14ac:dyDescent="0.25">
      <c r="A129" s="42" t="str">
        <f t="shared" si="5"/>
        <v xml:space="preserve"> </v>
      </c>
      <c r="D129" s="41"/>
      <c r="E129" s="41"/>
      <c r="J129" s="17">
        <f t="shared" si="6"/>
        <v>0</v>
      </c>
      <c r="K129" s="2" t="str">
        <f t="shared" si="7"/>
        <v xml:space="preserve"> </v>
      </c>
      <c r="L129" s="2" t="str">
        <f t="shared" si="8"/>
        <v xml:space="preserve"> </v>
      </c>
      <c r="M129" s="2" t="str">
        <f t="shared" si="9"/>
        <v xml:space="preserve"> </v>
      </c>
    </row>
    <row r="130" spans="1:13" x14ac:dyDescent="0.25">
      <c r="A130" s="42" t="str">
        <f t="shared" si="5"/>
        <v xml:space="preserve"> </v>
      </c>
      <c r="D130" s="41"/>
      <c r="E130" s="41"/>
      <c r="J130" s="17">
        <f t="shared" si="6"/>
        <v>0</v>
      </c>
      <c r="K130" s="2" t="str">
        <f t="shared" si="7"/>
        <v xml:space="preserve"> </v>
      </c>
      <c r="L130" s="2" t="str">
        <f t="shared" si="8"/>
        <v xml:space="preserve"> </v>
      </c>
      <c r="M130" s="2" t="str">
        <f t="shared" si="9"/>
        <v xml:space="preserve"> </v>
      </c>
    </row>
    <row r="131" spans="1:13" x14ac:dyDescent="0.25">
      <c r="A131" s="42" t="str">
        <f t="shared" si="5"/>
        <v xml:space="preserve"> </v>
      </c>
      <c r="D131" s="41"/>
      <c r="E131" s="41"/>
      <c r="J131" s="17">
        <f t="shared" si="6"/>
        <v>0</v>
      </c>
      <c r="K131" s="2" t="str">
        <f t="shared" si="7"/>
        <v xml:space="preserve"> </v>
      </c>
      <c r="L131" s="2" t="str">
        <f t="shared" si="8"/>
        <v xml:space="preserve"> </v>
      </c>
      <c r="M131" s="2" t="str">
        <f t="shared" si="9"/>
        <v xml:space="preserve"> </v>
      </c>
    </row>
    <row r="132" spans="1:13" x14ac:dyDescent="0.25">
      <c r="A132" s="42" t="str">
        <f t="shared" si="5"/>
        <v xml:space="preserve"> </v>
      </c>
      <c r="D132" s="41"/>
      <c r="E132" s="41"/>
      <c r="J132" s="17">
        <f t="shared" si="6"/>
        <v>0</v>
      </c>
      <c r="K132" s="2" t="str">
        <f t="shared" si="7"/>
        <v xml:space="preserve"> </v>
      </c>
      <c r="L132" s="2" t="str">
        <f t="shared" si="8"/>
        <v xml:space="preserve"> </v>
      </c>
      <c r="M132" s="2" t="str">
        <f t="shared" si="9"/>
        <v xml:space="preserve"> </v>
      </c>
    </row>
    <row r="133" spans="1:13" x14ac:dyDescent="0.25">
      <c r="A133" s="42" t="str">
        <f t="shared" si="5"/>
        <v xml:space="preserve"> </v>
      </c>
      <c r="D133" s="41"/>
      <c r="E133" s="41"/>
      <c r="J133" s="17">
        <f t="shared" si="6"/>
        <v>0</v>
      </c>
      <c r="K133" s="2" t="str">
        <f t="shared" si="7"/>
        <v xml:space="preserve"> </v>
      </c>
      <c r="L133" s="2" t="str">
        <f t="shared" si="8"/>
        <v xml:space="preserve"> </v>
      </c>
      <c r="M133" s="2" t="str">
        <f t="shared" si="9"/>
        <v xml:space="preserve"> </v>
      </c>
    </row>
    <row r="134" spans="1:13" x14ac:dyDescent="0.25">
      <c r="A134" s="42" t="str">
        <f t="shared" si="5"/>
        <v xml:space="preserve"> </v>
      </c>
      <c r="D134" s="41"/>
      <c r="E134" s="41"/>
      <c r="J134" s="17">
        <f t="shared" si="6"/>
        <v>0</v>
      </c>
      <c r="K134" s="2" t="str">
        <f t="shared" si="7"/>
        <v xml:space="preserve"> </v>
      </c>
      <c r="L134" s="2" t="str">
        <f t="shared" si="8"/>
        <v xml:space="preserve"> </v>
      </c>
      <c r="M134" s="2" t="str">
        <f t="shared" si="9"/>
        <v xml:space="preserve"> </v>
      </c>
    </row>
    <row r="135" spans="1:13" x14ac:dyDescent="0.25">
      <c r="A135" s="42" t="str">
        <f t="shared" si="5"/>
        <v xml:space="preserve"> </v>
      </c>
      <c r="D135" s="41"/>
      <c r="E135" s="41"/>
      <c r="J135" s="17">
        <f t="shared" si="6"/>
        <v>0</v>
      </c>
      <c r="K135" s="2" t="str">
        <f t="shared" si="7"/>
        <v xml:space="preserve"> </v>
      </c>
      <c r="L135" s="2" t="str">
        <f t="shared" si="8"/>
        <v xml:space="preserve"> </v>
      </c>
      <c r="M135" s="2" t="str">
        <f t="shared" si="9"/>
        <v xml:space="preserve"> </v>
      </c>
    </row>
    <row r="136" spans="1:13" x14ac:dyDescent="0.25">
      <c r="A136" s="42" t="str">
        <f t="shared" si="5"/>
        <v xml:space="preserve"> </v>
      </c>
      <c r="D136" s="41"/>
      <c r="E136" s="41"/>
      <c r="J136" s="17">
        <f t="shared" si="6"/>
        <v>0</v>
      </c>
      <c r="K136" s="2" t="str">
        <f t="shared" si="7"/>
        <v xml:space="preserve"> </v>
      </c>
      <c r="L136" s="2" t="str">
        <f t="shared" si="8"/>
        <v xml:space="preserve"> </v>
      </c>
      <c r="M136" s="2" t="str">
        <f t="shared" si="9"/>
        <v xml:space="preserve"> </v>
      </c>
    </row>
    <row r="137" spans="1:13" x14ac:dyDescent="0.25">
      <c r="A137" s="42" t="str">
        <f t="shared" si="5"/>
        <v xml:space="preserve"> </v>
      </c>
      <c r="D137" s="41"/>
      <c r="E137" s="41"/>
      <c r="J137" s="17">
        <f t="shared" si="6"/>
        <v>0</v>
      </c>
      <c r="K137" s="2" t="str">
        <f t="shared" si="7"/>
        <v xml:space="preserve"> </v>
      </c>
      <c r="L137" s="2" t="str">
        <f t="shared" si="8"/>
        <v xml:space="preserve"> </v>
      </c>
      <c r="M137" s="2" t="str">
        <f t="shared" si="9"/>
        <v xml:space="preserve"> </v>
      </c>
    </row>
    <row r="138" spans="1:13" x14ac:dyDescent="0.25">
      <c r="A138" s="42" t="str">
        <f t="shared" si="5"/>
        <v xml:space="preserve"> </v>
      </c>
      <c r="D138" s="41"/>
      <c r="E138" s="41"/>
      <c r="J138" s="17">
        <f t="shared" si="6"/>
        <v>0</v>
      </c>
      <c r="K138" s="2" t="str">
        <f t="shared" si="7"/>
        <v xml:space="preserve"> </v>
      </c>
      <c r="L138" s="2" t="str">
        <f t="shared" si="8"/>
        <v xml:space="preserve"> </v>
      </c>
      <c r="M138" s="2" t="str">
        <f t="shared" si="9"/>
        <v xml:space="preserve"> </v>
      </c>
    </row>
    <row r="139" spans="1:13" x14ac:dyDescent="0.25">
      <c r="A139" s="42" t="str">
        <f t="shared" si="5"/>
        <v xml:space="preserve"> </v>
      </c>
      <c r="D139" s="41"/>
      <c r="E139" s="41"/>
      <c r="J139" s="17">
        <f t="shared" si="6"/>
        <v>0</v>
      </c>
      <c r="K139" s="2" t="str">
        <f t="shared" si="7"/>
        <v xml:space="preserve"> </v>
      </c>
      <c r="L139" s="2" t="str">
        <f t="shared" si="8"/>
        <v xml:space="preserve"> </v>
      </c>
      <c r="M139" s="2" t="str">
        <f t="shared" si="9"/>
        <v xml:space="preserve"> </v>
      </c>
    </row>
    <row r="140" spans="1:13" x14ac:dyDescent="0.25">
      <c r="A140" s="42" t="str">
        <f t="shared" si="5"/>
        <v xml:space="preserve"> </v>
      </c>
      <c r="D140" s="41"/>
      <c r="E140" s="41"/>
      <c r="J140" s="17">
        <f t="shared" si="6"/>
        <v>0</v>
      </c>
      <c r="K140" s="2" t="str">
        <f t="shared" si="7"/>
        <v xml:space="preserve"> </v>
      </c>
      <c r="L140" s="2" t="str">
        <f t="shared" si="8"/>
        <v xml:space="preserve"> </v>
      </c>
      <c r="M140" s="2" t="str">
        <f t="shared" si="9"/>
        <v xml:space="preserve"> </v>
      </c>
    </row>
    <row r="141" spans="1:13" x14ac:dyDescent="0.25">
      <c r="A141" s="42" t="str">
        <f t="shared" si="5"/>
        <v xml:space="preserve"> </v>
      </c>
      <c r="D141" s="41"/>
      <c r="E141" s="41"/>
      <c r="J141" s="17">
        <f t="shared" si="6"/>
        <v>0</v>
      </c>
      <c r="K141" s="2" t="str">
        <f t="shared" si="7"/>
        <v xml:space="preserve"> </v>
      </c>
      <c r="L141" s="2" t="str">
        <f t="shared" si="8"/>
        <v xml:space="preserve"> </v>
      </c>
      <c r="M141" s="2" t="str">
        <f t="shared" si="9"/>
        <v xml:space="preserve"> </v>
      </c>
    </row>
    <row r="142" spans="1:13" x14ac:dyDescent="0.25">
      <c r="A142" s="42" t="str">
        <f t="shared" si="5"/>
        <v xml:space="preserve"> </v>
      </c>
      <c r="D142" s="41"/>
      <c r="E142" s="41"/>
      <c r="J142" s="17">
        <f t="shared" si="6"/>
        <v>0</v>
      </c>
      <c r="K142" s="2" t="str">
        <f t="shared" si="7"/>
        <v xml:space="preserve"> </v>
      </c>
      <c r="L142" s="2" t="str">
        <f t="shared" si="8"/>
        <v xml:space="preserve"> </v>
      </c>
      <c r="M142" s="2" t="str">
        <f t="shared" si="9"/>
        <v xml:space="preserve"> </v>
      </c>
    </row>
    <row r="143" spans="1:13" x14ac:dyDescent="0.25">
      <c r="A143" s="42" t="str">
        <f t="shared" ref="A143:A206" si="10">IF(COUNTIF(K143:M143,"ERROR")&gt;0,"ERROR"," ")</f>
        <v xml:space="preserve"> </v>
      </c>
      <c r="D143" s="41"/>
      <c r="E143" s="41"/>
      <c r="J143" s="17">
        <f t="shared" ref="J143:J206" si="11">F143-G143+H143-I143</f>
        <v>0</v>
      </c>
      <c r="K143" s="2" t="str">
        <f t="shared" si="7"/>
        <v xml:space="preserve"> </v>
      </c>
      <c r="L143" s="2" t="str">
        <f t="shared" si="8"/>
        <v xml:space="preserve"> </v>
      </c>
      <c r="M143" s="2" t="str">
        <f t="shared" si="9"/>
        <v xml:space="preserve"> </v>
      </c>
    </row>
    <row r="144" spans="1:13" x14ac:dyDescent="0.25">
      <c r="A144" s="42" t="str">
        <f t="shared" si="10"/>
        <v xml:space="preserve"> </v>
      </c>
      <c r="D144" s="41"/>
      <c r="E144" s="41"/>
      <c r="J144" s="17">
        <f t="shared" si="11"/>
        <v>0</v>
      </c>
      <c r="K144" s="2" t="str">
        <f t="shared" ref="K144:K207" si="12">IF(COUNTA(D144:E144)=2,"ERROR"," ")</f>
        <v xml:space="preserve"> </v>
      </c>
      <c r="L144" s="2" t="str">
        <f t="shared" ref="L144:L207" si="13">IF(D144=0," ",IF(COUNTIF(ProfitLoss,D144)&gt;0," ","ERROR"))</f>
        <v xml:space="preserve"> </v>
      </c>
      <c r="M144" s="2" t="str">
        <f t="shared" ref="M144:M207" si="14">IF(E144=0," ",IF(COUNTIF(BalanceSheet,E144)&gt;0," ","ERROR"))</f>
        <v xml:space="preserve"> </v>
      </c>
    </row>
    <row r="145" spans="1:13" x14ac:dyDescent="0.25">
      <c r="A145" s="42" t="str">
        <f t="shared" si="10"/>
        <v xml:space="preserve"> </v>
      </c>
      <c r="D145" s="41"/>
      <c r="E145" s="41"/>
      <c r="J145" s="17">
        <f t="shared" si="11"/>
        <v>0</v>
      </c>
      <c r="K145" s="2" t="str">
        <f t="shared" si="12"/>
        <v xml:space="preserve"> </v>
      </c>
      <c r="L145" s="2" t="str">
        <f t="shared" si="13"/>
        <v xml:space="preserve"> </v>
      </c>
      <c r="M145" s="2" t="str">
        <f t="shared" si="14"/>
        <v xml:space="preserve"> </v>
      </c>
    </row>
    <row r="146" spans="1:13" x14ac:dyDescent="0.25">
      <c r="A146" s="42" t="str">
        <f t="shared" si="10"/>
        <v xml:space="preserve"> </v>
      </c>
      <c r="D146" s="41"/>
      <c r="E146" s="41"/>
      <c r="J146" s="17">
        <f t="shared" si="11"/>
        <v>0</v>
      </c>
      <c r="K146" s="2" t="str">
        <f t="shared" si="12"/>
        <v xml:space="preserve"> </v>
      </c>
      <c r="L146" s="2" t="str">
        <f t="shared" si="13"/>
        <v xml:space="preserve"> </v>
      </c>
      <c r="M146" s="2" t="str">
        <f t="shared" si="14"/>
        <v xml:space="preserve"> </v>
      </c>
    </row>
    <row r="147" spans="1:13" x14ac:dyDescent="0.25">
      <c r="A147" s="42" t="str">
        <f t="shared" si="10"/>
        <v xml:space="preserve"> </v>
      </c>
      <c r="D147" s="41"/>
      <c r="E147" s="41"/>
      <c r="J147" s="17">
        <f t="shared" si="11"/>
        <v>0</v>
      </c>
      <c r="K147" s="2" t="str">
        <f t="shared" si="12"/>
        <v xml:space="preserve"> </v>
      </c>
      <c r="L147" s="2" t="str">
        <f t="shared" si="13"/>
        <v xml:space="preserve"> </v>
      </c>
      <c r="M147" s="2" t="str">
        <f t="shared" si="14"/>
        <v xml:space="preserve"> </v>
      </c>
    </row>
    <row r="148" spans="1:13" x14ac:dyDescent="0.25">
      <c r="A148" s="42" t="str">
        <f t="shared" si="10"/>
        <v xml:space="preserve"> </v>
      </c>
      <c r="D148" s="41"/>
      <c r="E148" s="41"/>
      <c r="J148" s="17">
        <f t="shared" si="11"/>
        <v>0</v>
      </c>
      <c r="K148" s="2" t="str">
        <f t="shared" si="12"/>
        <v xml:space="preserve"> </v>
      </c>
      <c r="L148" s="2" t="str">
        <f t="shared" si="13"/>
        <v xml:space="preserve"> </v>
      </c>
      <c r="M148" s="2" t="str">
        <f t="shared" si="14"/>
        <v xml:space="preserve"> </v>
      </c>
    </row>
    <row r="149" spans="1:13" x14ac:dyDescent="0.25">
      <c r="A149" s="42" t="str">
        <f t="shared" si="10"/>
        <v xml:space="preserve"> </v>
      </c>
      <c r="D149" s="41"/>
      <c r="E149" s="41"/>
      <c r="J149" s="17">
        <f t="shared" si="11"/>
        <v>0</v>
      </c>
      <c r="K149" s="2" t="str">
        <f t="shared" si="12"/>
        <v xml:space="preserve"> </v>
      </c>
      <c r="L149" s="2" t="str">
        <f t="shared" si="13"/>
        <v xml:space="preserve"> </v>
      </c>
      <c r="M149" s="2" t="str">
        <f t="shared" si="14"/>
        <v xml:space="preserve"> </v>
      </c>
    </row>
    <row r="150" spans="1:13" x14ac:dyDescent="0.25">
      <c r="A150" s="42" t="str">
        <f t="shared" si="10"/>
        <v xml:space="preserve"> </v>
      </c>
      <c r="D150" s="41"/>
      <c r="E150" s="41"/>
      <c r="J150" s="17">
        <f t="shared" si="11"/>
        <v>0</v>
      </c>
      <c r="K150" s="2" t="str">
        <f t="shared" si="12"/>
        <v xml:space="preserve"> </v>
      </c>
      <c r="L150" s="2" t="str">
        <f t="shared" si="13"/>
        <v xml:space="preserve"> </v>
      </c>
      <c r="M150" s="2" t="str">
        <f t="shared" si="14"/>
        <v xml:space="preserve"> </v>
      </c>
    </row>
    <row r="151" spans="1:13" x14ac:dyDescent="0.25">
      <c r="A151" s="42" t="str">
        <f t="shared" si="10"/>
        <v xml:space="preserve"> </v>
      </c>
      <c r="D151" s="41"/>
      <c r="E151" s="41"/>
      <c r="J151" s="17">
        <f t="shared" si="11"/>
        <v>0</v>
      </c>
      <c r="K151" s="2" t="str">
        <f t="shared" si="12"/>
        <v xml:space="preserve"> </v>
      </c>
      <c r="L151" s="2" t="str">
        <f t="shared" si="13"/>
        <v xml:space="preserve"> </v>
      </c>
      <c r="M151" s="2" t="str">
        <f t="shared" si="14"/>
        <v xml:space="preserve"> </v>
      </c>
    </row>
    <row r="152" spans="1:13" x14ac:dyDescent="0.25">
      <c r="A152" s="42" t="str">
        <f t="shared" si="10"/>
        <v xml:space="preserve"> </v>
      </c>
      <c r="D152" s="41"/>
      <c r="E152" s="41"/>
      <c r="J152" s="17">
        <f t="shared" si="11"/>
        <v>0</v>
      </c>
      <c r="K152" s="2" t="str">
        <f t="shared" si="12"/>
        <v xml:space="preserve"> </v>
      </c>
      <c r="L152" s="2" t="str">
        <f t="shared" si="13"/>
        <v xml:space="preserve"> </v>
      </c>
      <c r="M152" s="2" t="str">
        <f t="shared" si="14"/>
        <v xml:space="preserve"> </v>
      </c>
    </row>
    <row r="153" spans="1:13" x14ac:dyDescent="0.25">
      <c r="A153" s="42" t="str">
        <f t="shared" si="10"/>
        <v xml:space="preserve"> </v>
      </c>
      <c r="D153" s="41"/>
      <c r="E153" s="41"/>
      <c r="J153" s="17">
        <f t="shared" si="11"/>
        <v>0</v>
      </c>
      <c r="K153" s="2" t="str">
        <f t="shared" si="12"/>
        <v xml:space="preserve"> </v>
      </c>
      <c r="L153" s="2" t="str">
        <f t="shared" si="13"/>
        <v xml:space="preserve"> </v>
      </c>
      <c r="M153" s="2" t="str">
        <f t="shared" si="14"/>
        <v xml:space="preserve"> </v>
      </c>
    </row>
    <row r="154" spans="1:13" x14ac:dyDescent="0.25">
      <c r="A154" s="42" t="str">
        <f t="shared" si="10"/>
        <v xml:space="preserve"> </v>
      </c>
      <c r="D154" s="41"/>
      <c r="E154" s="41"/>
      <c r="J154" s="17">
        <f t="shared" si="11"/>
        <v>0</v>
      </c>
      <c r="K154" s="2" t="str">
        <f t="shared" si="12"/>
        <v xml:space="preserve"> </v>
      </c>
      <c r="L154" s="2" t="str">
        <f t="shared" si="13"/>
        <v xml:space="preserve"> </v>
      </c>
      <c r="M154" s="2" t="str">
        <f t="shared" si="14"/>
        <v xml:space="preserve"> </v>
      </c>
    </row>
    <row r="155" spans="1:13" x14ac:dyDescent="0.25">
      <c r="A155" s="42" t="str">
        <f t="shared" si="10"/>
        <v xml:space="preserve"> </v>
      </c>
      <c r="D155" s="41"/>
      <c r="E155" s="41"/>
      <c r="J155" s="17">
        <f t="shared" si="11"/>
        <v>0</v>
      </c>
      <c r="K155" s="2" t="str">
        <f t="shared" si="12"/>
        <v xml:space="preserve"> </v>
      </c>
      <c r="L155" s="2" t="str">
        <f t="shared" si="13"/>
        <v xml:space="preserve"> </v>
      </c>
      <c r="M155" s="2" t="str">
        <f t="shared" si="14"/>
        <v xml:space="preserve"> </v>
      </c>
    </row>
    <row r="156" spans="1:13" x14ac:dyDescent="0.25">
      <c r="A156" s="42" t="str">
        <f t="shared" si="10"/>
        <v xml:space="preserve"> </v>
      </c>
      <c r="D156" s="41"/>
      <c r="E156" s="41"/>
      <c r="J156" s="17">
        <f t="shared" si="11"/>
        <v>0</v>
      </c>
      <c r="K156" s="2" t="str">
        <f t="shared" si="12"/>
        <v xml:space="preserve"> </v>
      </c>
      <c r="L156" s="2" t="str">
        <f t="shared" si="13"/>
        <v xml:space="preserve"> </v>
      </c>
      <c r="M156" s="2" t="str">
        <f t="shared" si="14"/>
        <v xml:space="preserve"> </v>
      </c>
    </row>
    <row r="157" spans="1:13" x14ac:dyDescent="0.25">
      <c r="A157" s="42" t="str">
        <f t="shared" si="10"/>
        <v xml:space="preserve"> </v>
      </c>
      <c r="D157" s="41"/>
      <c r="E157" s="41"/>
      <c r="J157" s="17">
        <f t="shared" si="11"/>
        <v>0</v>
      </c>
      <c r="K157" s="2" t="str">
        <f t="shared" si="12"/>
        <v xml:space="preserve"> </v>
      </c>
      <c r="L157" s="2" t="str">
        <f t="shared" si="13"/>
        <v xml:space="preserve"> </v>
      </c>
      <c r="M157" s="2" t="str">
        <f t="shared" si="14"/>
        <v xml:space="preserve"> </v>
      </c>
    </row>
    <row r="158" spans="1:13" x14ac:dyDescent="0.25">
      <c r="A158" s="42" t="str">
        <f t="shared" si="10"/>
        <v xml:space="preserve"> </v>
      </c>
      <c r="D158" s="41"/>
      <c r="E158" s="41"/>
      <c r="J158" s="17">
        <f t="shared" si="11"/>
        <v>0</v>
      </c>
      <c r="K158" s="2" t="str">
        <f t="shared" si="12"/>
        <v xml:space="preserve"> </v>
      </c>
      <c r="L158" s="2" t="str">
        <f t="shared" si="13"/>
        <v xml:space="preserve"> </v>
      </c>
      <c r="M158" s="2" t="str">
        <f t="shared" si="14"/>
        <v xml:space="preserve"> </v>
      </c>
    </row>
    <row r="159" spans="1:13" x14ac:dyDescent="0.25">
      <c r="A159" s="42" t="str">
        <f t="shared" si="10"/>
        <v xml:space="preserve"> </v>
      </c>
      <c r="D159" s="41"/>
      <c r="E159" s="41"/>
      <c r="J159" s="17">
        <f t="shared" si="11"/>
        <v>0</v>
      </c>
      <c r="K159" s="2" t="str">
        <f t="shared" si="12"/>
        <v xml:space="preserve"> </v>
      </c>
      <c r="L159" s="2" t="str">
        <f t="shared" si="13"/>
        <v xml:space="preserve"> </v>
      </c>
      <c r="M159" s="2" t="str">
        <f t="shared" si="14"/>
        <v xml:space="preserve"> </v>
      </c>
    </row>
    <row r="160" spans="1:13" x14ac:dyDescent="0.25">
      <c r="A160" s="42" t="str">
        <f t="shared" si="10"/>
        <v xml:space="preserve"> </v>
      </c>
      <c r="D160" s="41"/>
      <c r="E160" s="41"/>
      <c r="J160" s="17">
        <f t="shared" si="11"/>
        <v>0</v>
      </c>
      <c r="K160" s="2" t="str">
        <f t="shared" si="12"/>
        <v xml:space="preserve"> </v>
      </c>
      <c r="L160" s="2" t="str">
        <f t="shared" si="13"/>
        <v xml:space="preserve"> </v>
      </c>
      <c r="M160" s="2" t="str">
        <f t="shared" si="14"/>
        <v xml:space="preserve"> </v>
      </c>
    </row>
    <row r="161" spans="1:13" x14ac:dyDescent="0.25">
      <c r="A161" s="42" t="str">
        <f t="shared" si="10"/>
        <v xml:space="preserve"> </v>
      </c>
      <c r="D161" s="41"/>
      <c r="E161" s="41"/>
      <c r="J161" s="17">
        <f t="shared" si="11"/>
        <v>0</v>
      </c>
      <c r="K161" s="2" t="str">
        <f t="shared" si="12"/>
        <v xml:space="preserve"> </v>
      </c>
      <c r="L161" s="2" t="str">
        <f t="shared" si="13"/>
        <v xml:space="preserve"> </v>
      </c>
      <c r="M161" s="2" t="str">
        <f t="shared" si="14"/>
        <v xml:space="preserve"> </v>
      </c>
    </row>
    <row r="162" spans="1:13" x14ac:dyDescent="0.25">
      <c r="A162" s="42" t="str">
        <f t="shared" si="10"/>
        <v xml:space="preserve"> </v>
      </c>
      <c r="D162" s="41"/>
      <c r="E162" s="41"/>
      <c r="J162" s="17">
        <f t="shared" si="11"/>
        <v>0</v>
      </c>
      <c r="K162" s="2" t="str">
        <f t="shared" si="12"/>
        <v xml:space="preserve"> </v>
      </c>
      <c r="L162" s="2" t="str">
        <f t="shared" si="13"/>
        <v xml:space="preserve"> </v>
      </c>
      <c r="M162" s="2" t="str">
        <f t="shared" si="14"/>
        <v xml:space="preserve"> </v>
      </c>
    </row>
    <row r="163" spans="1:13" x14ac:dyDescent="0.25">
      <c r="A163" s="42" t="str">
        <f t="shared" si="10"/>
        <v xml:space="preserve"> </v>
      </c>
      <c r="D163" s="41"/>
      <c r="E163" s="41"/>
      <c r="J163" s="17">
        <f t="shared" si="11"/>
        <v>0</v>
      </c>
      <c r="K163" s="2" t="str">
        <f t="shared" si="12"/>
        <v xml:space="preserve"> </v>
      </c>
      <c r="L163" s="2" t="str">
        <f t="shared" si="13"/>
        <v xml:space="preserve"> </v>
      </c>
      <c r="M163" s="2" t="str">
        <f t="shared" si="14"/>
        <v xml:space="preserve"> </v>
      </c>
    </row>
    <row r="164" spans="1:13" x14ac:dyDescent="0.25">
      <c r="A164" s="42" t="str">
        <f t="shared" si="10"/>
        <v xml:space="preserve"> </v>
      </c>
      <c r="D164" s="41"/>
      <c r="E164" s="41"/>
      <c r="J164" s="17">
        <f t="shared" si="11"/>
        <v>0</v>
      </c>
      <c r="K164" s="2" t="str">
        <f t="shared" si="12"/>
        <v xml:space="preserve"> </v>
      </c>
      <c r="L164" s="2" t="str">
        <f t="shared" si="13"/>
        <v xml:space="preserve"> </v>
      </c>
      <c r="M164" s="2" t="str">
        <f t="shared" si="14"/>
        <v xml:space="preserve"> </v>
      </c>
    </row>
    <row r="165" spans="1:13" x14ac:dyDescent="0.25">
      <c r="A165" s="42" t="str">
        <f t="shared" si="10"/>
        <v xml:space="preserve"> </v>
      </c>
      <c r="D165" s="41"/>
      <c r="E165" s="41"/>
      <c r="J165" s="17">
        <f t="shared" si="11"/>
        <v>0</v>
      </c>
      <c r="K165" s="2" t="str">
        <f t="shared" si="12"/>
        <v xml:space="preserve"> </v>
      </c>
      <c r="L165" s="2" t="str">
        <f t="shared" si="13"/>
        <v xml:space="preserve"> </v>
      </c>
      <c r="M165" s="2" t="str">
        <f t="shared" si="14"/>
        <v xml:space="preserve"> </v>
      </c>
    </row>
    <row r="166" spans="1:13" x14ac:dyDescent="0.25">
      <c r="A166" s="42" t="str">
        <f t="shared" si="10"/>
        <v xml:space="preserve"> </v>
      </c>
      <c r="D166" s="41"/>
      <c r="E166" s="41"/>
      <c r="J166" s="17">
        <f t="shared" si="11"/>
        <v>0</v>
      </c>
      <c r="K166" s="2" t="str">
        <f t="shared" si="12"/>
        <v xml:space="preserve"> </v>
      </c>
      <c r="L166" s="2" t="str">
        <f t="shared" si="13"/>
        <v xml:space="preserve"> </v>
      </c>
      <c r="M166" s="2" t="str">
        <f t="shared" si="14"/>
        <v xml:space="preserve"> </v>
      </c>
    </row>
    <row r="167" spans="1:13" x14ac:dyDescent="0.25">
      <c r="A167" s="42" t="str">
        <f t="shared" si="10"/>
        <v xml:space="preserve"> </v>
      </c>
      <c r="D167" s="41"/>
      <c r="E167" s="41"/>
      <c r="J167" s="17">
        <f t="shared" si="11"/>
        <v>0</v>
      </c>
      <c r="K167" s="2" t="str">
        <f t="shared" si="12"/>
        <v xml:space="preserve"> </v>
      </c>
      <c r="L167" s="2" t="str">
        <f t="shared" si="13"/>
        <v xml:space="preserve"> </v>
      </c>
      <c r="M167" s="2" t="str">
        <f t="shared" si="14"/>
        <v xml:space="preserve"> </v>
      </c>
    </row>
    <row r="168" spans="1:13" x14ac:dyDescent="0.25">
      <c r="A168" s="42" t="str">
        <f t="shared" si="10"/>
        <v xml:space="preserve"> </v>
      </c>
      <c r="D168" s="41"/>
      <c r="E168" s="41"/>
      <c r="J168" s="17">
        <f t="shared" si="11"/>
        <v>0</v>
      </c>
      <c r="K168" s="2" t="str">
        <f t="shared" si="12"/>
        <v xml:space="preserve"> </v>
      </c>
      <c r="L168" s="2" t="str">
        <f t="shared" si="13"/>
        <v xml:space="preserve"> </v>
      </c>
      <c r="M168" s="2" t="str">
        <f t="shared" si="14"/>
        <v xml:space="preserve"> </v>
      </c>
    </row>
    <row r="169" spans="1:13" x14ac:dyDescent="0.25">
      <c r="A169" s="42" t="str">
        <f t="shared" si="10"/>
        <v xml:space="preserve"> </v>
      </c>
      <c r="D169" s="41"/>
      <c r="E169" s="41"/>
      <c r="J169" s="17">
        <f t="shared" si="11"/>
        <v>0</v>
      </c>
      <c r="K169" s="2" t="str">
        <f t="shared" si="12"/>
        <v xml:space="preserve"> </v>
      </c>
      <c r="L169" s="2" t="str">
        <f t="shared" si="13"/>
        <v xml:space="preserve"> </v>
      </c>
      <c r="M169" s="2" t="str">
        <f t="shared" si="14"/>
        <v xml:space="preserve"> </v>
      </c>
    </row>
    <row r="170" spans="1:13" x14ac:dyDescent="0.25">
      <c r="A170" s="42" t="str">
        <f t="shared" si="10"/>
        <v xml:space="preserve"> </v>
      </c>
      <c r="D170" s="41"/>
      <c r="E170" s="41"/>
      <c r="J170" s="17">
        <f t="shared" si="11"/>
        <v>0</v>
      </c>
      <c r="K170" s="2" t="str">
        <f t="shared" si="12"/>
        <v xml:space="preserve"> </v>
      </c>
      <c r="L170" s="2" t="str">
        <f t="shared" si="13"/>
        <v xml:space="preserve"> </v>
      </c>
      <c r="M170" s="2" t="str">
        <f t="shared" si="14"/>
        <v xml:space="preserve"> </v>
      </c>
    </row>
    <row r="171" spans="1:13" x14ac:dyDescent="0.25">
      <c r="A171" s="42" t="str">
        <f t="shared" si="10"/>
        <v xml:space="preserve"> </v>
      </c>
      <c r="D171" s="41"/>
      <c r="E171" s="41"/>
      <c r="J171" s="17">
        <f t="shared" si="11"/>
        <v>0</v>
      </c>
      <c r="K171" s="2" t="str">
        <f t="shared" si="12"/>
        <v xml:space="preserve"> </v>
      </c>
      <c r="L171" s="2" t="str">
        <f t="shared" si="13"/>
        <v xml:space="preserve"> </v>
      </c>
      <c r="M171" s="2" t="str">
        <f t="shared" si="14"/>
        <v xml:space="preserve"> </v>
      </c>
    </row>
    <row r="172" spans="1:13" x14ac:dyDescent="0.25">
      <c r="A172" s="42" t="str">
        <f t="shared" si="10"/>
        <v xml:space="preserve"> </v>
      </c>
      <c r="D172" s="41"/>
      <c r="E172" s="41"/>
      <c r="J172" s="17">
        <f t="shared" si="11"/>
        <v>0</v>
      </c>
      <c r="K172" s="2" t="str">
        <f t="shared" si="12"/>
        <v xml:space="preserve"> </v>
      </c>
      <c r="L172" s="2" t="str">
        <f t="shared" si="13"/>
        <v xml:space="preserve"> </v>
      </c>
      <c r="M172" s="2" t="str">
        <f t="shared" si="14"/>
        <v xml:space="preserve"> </v>
      </c>
    </row>
    <row r="173" spans="1:13" x14ac:dyDescent="0.25">
      <c r="A173" s="42" t="str">
        <f t="shared" si="10"/>
        <v xml:space="preserve"> </v>
      </c>
      <c r="D173" s="41"/>
      <c r="E173" s="41"/>
      <c r="J173" s="17">
        <f t="shared" si="11"/>
        <v>0</v>
      </c>
      <c r="K173" s="2" t="str">
        <f t="shared" si="12"/>
        <v xml:space="preserve"> </v>
      </c>
      <c r="L173" s="2" t="str">
        <f t="shared" si="13"/>
        <v xml:space="preserve"> </v>
      </c>
      <c r="M173" s="2" t="str">
        <f t="shared" si="14"/>
        <v xml:space="preserve"> </v>
      </c>
    </row>
    <row r="174" spans="1:13" x14ac:dyDescent="0.25">
      <c r="A174" s="42" t="str">
        <f t="shared" si="10"/>
        <v xml:space="preserve"> </v>
      </c>
      <c r="D174" s="41"/>
      <c r="E174" s="41"/>
      <c r="J174" s="17">
        <f t="shared" si="11"/>
        <v>0</v>
      </c>
      <c r="K174" s="2" t="str">
        <f t="shared" si="12"/>
        <v xml:space="preserve"> </v>
      </c>
      <c r="L174" s="2" t="str">
        <f t="shared" si="13"/>
        <v xml:space="preserve"> </v>
      </c>
      <c r="M174" s="2" t="str">
        <f t="shared" si="14"/>
        <v xml:space="preserve"> </v>
      </c>
    </row>
    <row r="175" spans="1:13" x14ac:dyDescent="0.25">
      <c r="A175" s="42" t="str">
        <f t="shared" si="10"/>
        <v xml:space="preserve"> </v>
      </c>
      <c r="D175" s="41"/>
      <c r="E175" s="41"/>
      <c r="J175" s="17">
        <f t="shared" si="11"/>
        <v>0</v>
      </c>
      <c r="K175" s="2" t="str">
        <f t="shared" si="12"/>
        <v xml:space="preserve"> </v>
      </c>
      <c r="L175" s="2" t="str">
        <f t="shared" si="13"/>
        <v xml:space="preserve"> </v>
      </c>
      <c r="M175" s="2" t="str">
        <f t="shared" si="14"/>
        <v xml:space="preserve"> </v>
      </c>
    </row>
    <row r="176" spans="1:13" x14ac:dyDescent="0.25">
      <c r="A176" s="42" t="str">
        <f t="shared" si="10"/>
        <v xml:space="preserve"> </v>
      </c>
      <c r="D176" s="41"/>
      <c r="E176" s="41"/>
      <c r="J176" s="17">
        <f t="shared" si="11"/>
        <v>0</v>
      </c>
      <c r="K176" s="2" t="str">
        <f t="shared" si="12"/>
        <v xml:space="preserve"> </v>
      </c>
      <c r="L176" s="2" t="str">
        <f t="shared" si="13"/>
        <v xml:space="preserve"> </v>
      </c>
      <c r="M176" s="2" t="str">
        <f t="shared" si="14"/>
        <v xml:space="preserve"> </v>
      </c>
    </row>
    <row r="177" spans="1:13" x14ac:dyDescent="0.25">
      <c r="A177" s="42" t="str">
        <f t="shared" si="10"/>
        <v xml:space="preserve"> </v>
      </c>
      <c r="D177" s="41"/>
      <c r="E177" s="41"/>
      <c r="J177" s="17">
        <f t="shared" si="11"/>
        <v>0</v>
      </c>
      <c r="K177" s="2" t="str">
        <f t="shared" si="12"/>
        <v xml:space="preserve"> </v>
      </c>
      <c r="L177" s="2" t="str">
        <f t="shared" si="13"/>
        <v xml:space="preserve"> </v>
      </c>
      <c r="M177" s="2" t="str">
        <f t="shared" si="14"/>
        <v xml:space="preserve"> </v>
      </c>
    </row>
    <row r="178" spans="1:13" x14ac:dyDescent="0.25">
      <c r="A178" s="42" t="str">
        <f t="shared" si="10"/>
        <v xml:space="preserve"> </v>
      </c>
      <c r="D178" s="41"/>
      <c r="E178" s="41"/>
      <c r="J178" s="17">
        <f t="shared" si="11"/>
        <v>0</v>
      </c>
      <c r="K178" s="2" t="str">
        <f t="shared" si="12"/>
        <v xml:space="preserve"> </v>
      </c>
      <c r="L178" s="2" t="str">
        <f t="shared" si="13"/>
        <v xml:space="preserve"> </v>
      </c>
      <c r="M178" s="2" t="str">
        <f t="shared" si="14"/>
        <v xml:space="preserve"> </v>
      </c>
    </row>
    <row r="179" spans="1:13" x14ac:dyDescent="0.25">
      <c r="A179" s="42" t="str">
        <f t="shared" si="10"/>
        <v xml:space="preserve"> </v>
      </c>
      <c r="D179" s="41"/>
      <c r="E179" s="41"/>
      <c r="J179" s="17">
        <f t="shared" si="11"/>
        <v>0</v>
      </c>
      <c r="K179" s="2" t="str">
        <f t="shared" si="12"/>
        <v xml:space="preserve"> </v>
      </c>
      <c r="L179" s="2" t="str">
        <f t="shared" si="13"/>
        <v xml:space="preserve"> </v>
      </c>
      <c r="M179" s="2" t="str">
        <f t="shared" si="14"/>
        <v xml:space="preserve"> </v>
      </c>
    </row>
    <row r="180" spans="1:13" x14ac:dyDescent="0.25">
      <c r="A180" s="42" t="str">
        <f t="shared" si="10"/>
        <v xml:space="preserve"> </v>
      </c>
      <c r="D180" s="41"/>
      <c r="E180" s="41"/>
      <c r="J180" s="17">
        <f t="shared" si="11"/>
        <v>0</v>
      </c>
      <c r="K180" s="2" t="str">
        <f t="shared" si="12"/>
        <v xml:space="preserve"> </v>
      </c>
      <c r="L180" s="2" t="str">
        <f t="shared" si="13"/>
        <v xml:space="preserve"> </v>
      </c>
      <c r="M180" s="2" t="str">
        <f t="shared" si="14"/>
        <v xml:space="preserve"> </v>
      </c>
    </row>
    <row r="181" spans="1:13" x14ac:dyDescent="0.25">
      <c r="A181" s="42" t="str">
        <f t="shared" si="10"/>
        <v xml:space="preserve"> </v>
      </c>
      <c r="D181" s="41"/>
      <c r="E181" s="41"/>
      <c r="J181" s="17">
        <f t="shared" si="11"/>
        <v>0</v>
      </c>
      <c r="K181" s="2" t="str">
        <f t="shared" si="12"/>
        <v xml:space="preserve"> </v>
      </c>
      <c r="L181" s="2" t="str">
        <f t="shared" si="13"/>
        <v xml:space="preserve"> </v>
      </c>
      <c r="M181" s="2" t="str">
        <f t="shared" si="14"/>
        <v xml:space="preserve"> </v>
      </c>
    </row>
    <row r="182" spans="1:13" x14ac:dyDescent="0.25">
      <c r="A182" s="42" t="str">
        <f t="shared" si="10"/>
        <v xml:space="preserve"> </v>
      </c>
      <c r="D182" s="41"/>
      <c r="E182" s="41"/>
      <c r="J182" s="17">
        <f t="shared" si="11"/>
        <v>0</v>
      </c>
      <c r="K182" s="2" t="str">
        <f t="shared" si="12"/>
        <v xml:space="preserve"> </v>
      </c>
      <c r="L182" s="2" t="str">
        <f t="shared" si="13"/>
        <v xml:space="preserve"> </v>
      </c>
      <c r="M182" s="2" t="str">
        <f t="shared" si="14"/>
        <v xml:space="preserve"> </v>
      </c>
    </row>
    <row r="183" spans="1:13" x14ac:dyDescent="0.25">
      <c r="A183" s="42" t="str">
        <f t="shared" si="10"/>
        <v xml:space="preserve"> </v>
      </c>
      <c r="D183" s="41"/>
      <c r="E183" s="41"/>
      <c r="J183" s="17">
        <f t="shared" si="11"/>
        <v>0</v>
      </c>
      <c r="K183" s="2" t="str">
        <f t="shared" si="12"/>
        <v xml:space="preserve"> </v>
      </c>
      <c r="L183" s="2" t="str">
        <f t="shared" si="13"/>
        <v xml:space="preserve"> </v>
      </c>
      <c r="M183" s="2" t="str">
        <f t="shared" si="14"/>
        <v xml:space="preserve"> </v>
      </c>
    </row>
    <row r="184" spans="1:13" x14ac:dyDescent="0.25">
      <c r="A184" s="42" t="str">
        <f t="shared" si="10"/>
        <v xml:space="preserve"> </v>
      </c>
      <c r="D184" s="41"/>
      <c r="E184" s="41"/>
      <c r="J184" s="17">
        <f t="shared" si="11"/>
        <v>0</v>
      </c>
      <c r="K184" s="2" t="str">
        <f t="shared" si="12"/>
        <v xml:space="preserve"> </v>
      </c>
      <c r="L184" s="2" t="str">
        <f t="shared" si="13"/>
        <v xml:space="preserve"> </v>
      </c>
      <c r="M184" s="2" t="str">
        <f t="shared" si="14"/>
        <v xml:space="preserve"> </v>
      </c>
    </row>
    <row r="185" spans="1:13" x14ac:dyDescent="0.25">
      <c r="A185" s="42" t="str">
        <f t="shared" si="10"/>
        <v xml:space="preserve"> </v>
      </c>
      <c r="D185" s="41"/>
      <c r="E185" s="41"/>
      <c r="J185" s="17">
        <f t="shared" si="11"/>
        <v>0</v>
      </c>
      <c r="K185" s="2" t="str">
        <f t="shared" si="12"/>
        <v xml:space="preserve"> </v>
      </c>
      <c r="L185" s="2" t="str">
        <f t="shared" si="13"/>
        <v xml:space="preserve"> </v>
      </c>
      <c r="M185" s="2" t="str">
        <f t="shared" si="14"/>
        <v xml:space="preserve"> </v>
      </c>
    </row>
    <row r="186" spans="1:13" x14ac:dyDescent="0.25">
      <c r="A186" s="42" t="str">
        <f t="shared" si="10"/>
        <v xml:space="preserve"> </v>
      </c>
      <c r="D186" s="41"/>
      <c r="E186" s="41"/>
      <c r="J186" s="17">
        <f t="shared" si="11"/>
        <v>0</v>
      </c>
      <c r="K186" s="2" t="str">
        <f t="shared" si="12"/>
        <v xml:space="preserve"> </v>
      </c>
      <c r="L186" s="2" t="str">
        <f t="shared" si="13"/>
        <v xml:space="preserve"> </v>
      </c>
      <c r="M186" s="2" t="str">
        <f t="shared" si="14"/>
        <v xml:space="preserve"> </v>
      </c>
    </row>
    <row r="187" spans="1:13" x14ac:dyDescent="0.25">
      <c r="A187" s="42" t="str">
        <f t="shared" si="10"/>
        <v xml:space="preserve"> </v>
      </c>
      <c r="D187" s="41"/>
      <c r="E187" s="41"/>
      <c r="J187" s="17">
        <f t="shared" si="11"/>
        <v>0</v>
      </c>
      <c r="K187" s="2" t="str">
        <f t="shared" si="12"/>
        <v xml:space="preserve"> </v>
      </c>
      <c r="L187" s="2" t="str">
        <f t="shared" si="13"/>
        <v xml:space="preserve"> </v>
      </c>
      <c r="M187" s="2" t="str">
        <f t="shared" si="14"/>
        <v xml:space="preserve"> </v>
      </c>
    </row>
    <row r="188" spans="1:13" x14ac:dyDescent="0.25">
      <c r="A188" s="42" t="str">
        <f t="shared" si="10"/>
        <v xml:space="preserve"> </v>
      </c>
      <c r="D188" s="41"/>
      <c r="E188" s="41"/>
      <c r="J188" s="17">
        <f t="shared" si="11"/>
        <v>0</v>
      </c>
      <c r="K188" s="2" t="str">
        <f t="shared" si="12"/>
        <v xml:space="preserve"> </v>
      </c>
      <c r="L188" s="2" t="str">
        <f t="shared" si="13"/>
        <v xml:space="preserve"> </v>
      </c>
      <c r="M188" s="2" t="str">
        <f t="shared" si="14"/>
        <v xml:space="preserve"> </v>
      </c>
    </row>
    <row r="189" spans="1:13" x14ac:dyDescent="0.25">
      <c r="A189" s="42" t="str">
        <f t="shared" si="10"/>
        <v xml:space="preserve"> </v>
      </c>
      <c r="D189" s="41"/>
      <c r="E189" s="41"/>
      <c r="J189" s="17">
        <f t="shared" si="11"/>
        <v>0</v>
      </c>
      <c r="K189" s="2" t="str">
        <f t="shared" si="12"/>
        <v xml:space="preserve"> </v>
      </c>
      <c r="L189" s="2" t="str">
        <f t="shared" si="13"/>
        <v xml:space="preserve"> </v>
      </c>
      <c r="M189" s="2" t="str">
        <f t="shared" si="14"/>
        <v xml:space="preserve"> </v>
      </c>
    </row>
    <row r="190" spans="1:13" x14ac:dyDescent="0.25">
      <c r="A190" s="42" t="str">
        <f t="shared" si="10"/>
        <v xml:space="preserve"> </v>
      </c>
      <c r="D190" s="41"/>
      <c r="E190" s="41"/>
      <c r="J190" s="17">
        <f t="shared" si="11"/>
        <v>0</v>
      </c>
      <c r="K190" s="2" t="str">
        <f t="shared" si="12"/>
        <v xml:space="preserve"> </v>
      </c>
      <c r="L190" s="2" t="str">
        <f t="shared" si="13"/>
        <v xml:space="preserve"> </v>
      </c>
      <c r="M190" s="2" t="str">
        <f t="shared" si="14"/>
        <v xml:space="preserve"> </v>
      </c>
    </row>
    <row r="191" spans="1:13" x14ac:dyDescent="0.25">
      <c r="A191" s="42" t="str">
        <f t="shared" si="10"/>
        <v xml:space="preserve"> </v>
      </c>
      <c r="D191" s="41"/>
      <c r="E191" s="41"/>
      <c r="J191" s="17">
        <f t="shared" si="11"/>
        <v>0</v>
      </c>
      <c r="K191" s="2" t="str">
        <f t="shared" si="12"/>
        <v xml:space="preserve"> </v>
      </c>
      <c r="L191" s="2" t="str">
        <f t="shared" si="13"/>
        <v xml:space="preserve"> </v>
      </c>
      <c r="M191" s="2" t="str">
        <f t="shared" si="14"/>
        <v xml:space="preserve"> </v>
      </c>
    </row>
    <row r="192" spans="1:13" x14ac:dyDescent="0.25">
      <c r="A192" s="42" t="str">
        <f t="shared" si="10"/>
        <v xml:space="preserve"> </v>
      </c>
      <c r="D192" s="41"/>
      <c r="E192" s="41"/>
      <c r="J192" s="17">
        <f t="shared" si="11"/>
        <v>0</v>
      </c>
      <c r="K192" s="2" t="str">
        <f t="shared" si="12"/>
        <v xml:space="preserve"> </v>
      </c>
      <c r="L192" s="2" t="str">
        <f t="shared" si="13"/>
        <v xml:space="preserve"> </v>
      </c>
      <c r="M192" s="2" t="str">
        <f t="shared" si="14"/>
        <v xml:space="preserve"> </v>
      </c>
    </row>
    <row r="193" spans="1:13" x14ac:dyDescent="0.25">
      <c r="A193" s="42" t="str">
        <f t="shared" si="10"/>
        <v xml:space="preserve"> </v>
      </c>
      <c r="D193" s="41"/>
      <c r="E193" s="41"/>
      <c r="J193" s="17">
        <f t="shared" si="11"/>
        <v>0</v>
      </c>
      <c r="K193" s="2" t="str">
        <f t="shared" si="12"/>
        <v xml:space="preserve"> </v>
      </c>
      <c r="L193" s="2" t="str">
        <f t="shared" si="13"/>
        <v xml:space="preserve"> </v>
      </c>
      <c r="M193" s="2" t="str">
        <f t="shared" si="14"/>
        <v xml:space="preserve"> </v>
      </c>
    </row>
    <row r="194" spans="1:13" x14ac:dyDescent="0.25">
      <c r="A194" s="42" t="str">
        <f t="shared" si="10"/>
        <v xml:space="preserve"> </v>
      </c>
      <c r="D194" s="41"/>
      <c r="E194" s="41"/>
      <c r="J194" s="17">
        <f t="shared" si="11"/>
        <v>0</v>
      </c>
      <c r="K194" s="2" t="str">
        <f t="shared" si="12"/>
        <v xml:space="preserve"> </v>
      </c>
      <c r="L194" s="2" t="str">
        <f t="shared" si="13"/>
        <v xml:space="preserve"> </v>
      </c>
      <c r="M194" s="2" t="str">
        <f t="shared" si="14"/>
        <v xml:space="preserve"> </v>
      </c>
    </row>
    <row r="195" spans="1:13" x14ac:dyDescent="0.25">
      <c r="A195" s="42" t="str">
        <f t="shared" si="10"/>
        <v xml:space="preserve"> </v>
      </c>
      <c r="D195" s="41"/>
      <c r="E195" s="41"/>
      <c r="J195" s="17">
        <f t="shared" si="11"/>
        <v>0</v>
      </c>
      <c r="K195" s="2" t="str">
        <f t="shared" si="12"/>
        <v xml:space="preserve"> </v>
      </c>
      <c r="L195" s="2" t="str">
        <f t="shared" si="13"/>
        <v xml:space="preserve"> </v>
      </c>
      <c r="M195" s="2" t="str">
        <f t="shared" si="14"/>
        <v xml:space="preserve"> </v>
      </c>
    </row>
    <row r="196" spans="1:13" x14ac:dyDescent="0.25">
      <c r="A196" s="42" t="str">
        <f t="shared" si="10"/>
        <v xml:space="preserve"> </v>
      </c>
      <c r="D196" s="41"/>
      <c r="E196" s="41"/>
      <c r="J196" s="17">
        <f t="shared" si="11"/>
        <v>0</v>
      </c>
      <c r="K196" s="2" t="str">
        <f t="shared" si="12"/>
        <v xml:space="preserve"> </v>
      </c>
      <c r="L196" s="2" t="str">
        <f t="shared" si="13"/>
        <v xml:space="preserve"> </v>
      </c>
      <c r="M196" s="2" t="str">
        <f t="shared" si="14"/>
        <v xml:space="preserve"> </v>
      </c>
    </row>
    <row r="197" spans="1:13" x14ac:dyDescent="0.25">
      <c r="A197" s="42" t="str">
        <f t="shared" si="10"/>
        <v xml:space="preserve"> </v>
      </c>
      <c r="D197" s="41"/>
      <c r="E197" s="41"/>
      <c r="J197" s="17">
        <f t="shared" si="11"/>
        <v>0</v>
      </c>
      <c r="K197" s="2" t="str">
        <f t="shared" si="12"/>
        <v xml:space="preserve"> </v>
      </c>
      <c r="L197" s="2" t="str">
        <f t="shared" si="13"/>
        <v xml:space="preserve"> </v>
      </c>
      <c r="M197" s="2" t="str">
        <f t="shared" si="14"/>
        <v xml:space="preserve"> </v>
      </c>
    </row>
    <row r="198" spans="1:13" x14ac:dyDescent="0.25">
      <c r="A198" s="42" t="str">
        <f t="shared" si="10"/>
        <v xml:space="preserve"> </v>
      </c>
      <c r="D198" s="41"/>
      <c r="E198" s="41"/>
      <c r="J198" s="17">
        <f t="shared" si="11"/>
        <v>0</v>
      </c>
      <c r="K198" s="2" t="str">
        <f t="shared" si="12"/>
        <v xml:space="preserve"> </v>
      </c>
      <c r="L198" s="2" t="str">
        <f t="shared" si="13"/>
        <v xml:space="preserve"> </v>
      </c>
      <c r="M198" s="2" t="str">
        <f t="shared" si="14"/>
        <v xml:space="preserve"> </v>
      </c>
    </row>
    <row r="199" spans="1:13" x14ac:dyDescent="0.25">
      <c r="A199" s="42" t="str">
        <f t="shared" si="10"/>
        <v xml:space="preserve"> </v>
      </c>
      <c r="D199" s="41"/>
      <c r="E199" s="41"/>
      <c r="J199" s="17">
        <f t="shared" si="11"/>
        <v>0</v>
      </c>
      <c r="K199" s="2" t="str">
        <f t="shared" si="12"/>
        <v xml:space="preserve"> </v>
      </c>
      <c r="L199" s="2" t="str">
        <f t="shared" si="13"/>
        <v xml:space="preserve"> </v>
      </c>
      <c r="M199" s="2" t="str">
        <f t="shared" si="14"/>
        <v xml:space="preserve"> </v>
      </c>
    </row>
    <row r="200" spans="1:13" x14ac:dyDescent="0.25">
      <c r="A200" s="42" t="str">
        <f t="shared" si="10"/>
        <v xml:space="preserve"> </v>
      </c>
      <c r="D200" s="41"/>
      <c r="E200" s="41"/>
      <c r="J200" s="17">
        <f t="shared" si="11"/>
        <v>0</v>
      </c>
      <c r="K200" s="2" t="str">
        <f t="shared" si="12"/>
        <v xml:space="preserve"> </v>
      </c>
      <c r="L200" s="2" t="str">
        <f t="shared" si="13"/>
        <v xml:space="preserve"> </v>
      </c>
      <c r="M200" s="2" t="str">
        <f t="shared" si="14"/>
        <v xml:space="preserve"> </v>
      </c>
    </row>
    <row r="201" spans="1:13" x14ac:dyDescent="0.25">
      <c r="A201" s="42" t="str">
        <f t="shared" si="10"/>
        <v xml:space="preserve"> </v>
      </c>
      <c r="D201" s="41"/>
      <c r="E201" s="41"/>
      <c r="J201" s="17">
        <f t="shared" si="11"/>
        <v>0</v>
      </c>
      <c r="K201" s="2" t="str">
        <f t="shared" si="12"/>
        <v xml:space="preserve"> </v>
      </c>
      <c r="L201" s="2" t="str">
        <f t="shared" si="13"/>
        <v xml:space="preserve"> </v>
      </c>
      <c r="M201" s="2" t="str">
        <f t="shared" si="14"/>
        <v xml:space="preserve"> </v>
      </c>
    </row>
    <row r="202" spans="1:13" x14ac:dyDescent="0.25">
      <c r="A202" s="42" t="str">
        <f t="shared" si="10"/>
        <v xml:space="preserve"> </v>
      </c>
      <c r="D202" s="41"/>
      <c r="E202" s="41"/>
      <c r="J202" s="17">
        <f t="shared" si="11"/>
        <v>0</v>
      </c>
      <c r="K202" s="2" t="str">
        <f t="shared" si="12"/>
        <v xml:space="preserve"> </v>
      </c>
      <c r="L202" s="2" t="str">
        <f t="shared" si="13"/>
        <v xml:space="preserve"> </v>
      </c>
      <c r="M202" s="2" t="str">
        <f t="shared" si="14"/>
        <v xml:space="preserve"> </v>
      </c>
    </row>
    <row r="203" spans="1:13" x14ac:dyDescent="0.25">
      <c r="A203" s="42" t="str">
        <f t="shared" si="10"/>
        <v xml:space="preserve"> </v>
      </c>
      <c r="D203" s="41"/>
      <c r="E203" s="41"/>
      <c r="J203" s="17">
        <f t="shared" si="11"/>
        <v>0</v>
      </c>
      <c r="K203" s="2" t="str">
        <f t="shared" si="12"/>
        <v xml:space="preserve"> </v>
      </c>
      <c r="L203" s="2" t="str">
        <f t="shared" si="13"/>
        <v xml:space="preserve"> </v>
      </c>
      <c r="M203" s="2" t="str">
        <f t="shared" si="14"/>
        <v xml:space="preserve"> </v>
      </c>
    </row>
    <row r="204" spans="1:13" x14ac:dyDescent="0.25">
      <c r="A204" s="42" t="str">
        <f t="shared" si="10"/>
        <v xml:space="preserve"> </v>
      </c>
      <c r="D204" s="41"/>
      <c r="E204" s="41"/>
      <c r="J204" s="17">
        <f t="shared" si="11"/>
        <v>0</v>
      </c>
      <c r="K204" s="2" t="str">
        <f t="shared" si="12"/>
        <v xml:space="preserve"> </v>
      </c>
      <c r="L204" s="2" t="str">
        <f t="shared" si="13"/>
        <v xml:space="preserve"> </v>
      </c>
      <c r="M204" s="2" t="str">
        <f t="shared" si="14"/>
        <v xml:space="preserve"> </v>
      </c>
    </row>
    <row r="205" spans="1:13" x14ac:dyDescent="0.25">
      <c r="A205" s="42" t="str">
        <f t="shared" si="10"/>
        <v xml:space="preserve"> </v>
      </c>
      <c r="D205" s="41"/>
      <c r="E205" s="41"/>
      <c r="J205" s="17">
        <f t="shared" si="11"/>
        <v>0</v>
      </c>
      <c r="K205" s="2" t="str">
        <f t="shared" si="12"/>
        <v xml:space="preserve"> </v>
      </c>
      <c r="L205" s="2" t="str">
        <f t="shared" si="13"/>
        <v xml:space="preserve"> </v>
      </c>
      <c r="M205" s="2" t="str">
        <f t="shared" si="14"/>
        <v xml:space="preserve"> </v>
      </c>
    </row>
    <row r="206" spans="1:13" x14ac:dyDescent="0.25">
      <c r="A206" s="42" t="str">
        <f t="shared" si="10"/>
        <v xml:space="preserve"> </v>
      </c>
      <c r="D206" s="41"/>
      <c r="E206" s="41"/>
      <c r="J206" s="17">
        <f t="shared" si="11"/>
        <v>0</v>
      </c>
      <c r="K206" s="2" t="str">
        <f t="shared" si="12"/>
        <v xml:space="preserve"> </v>
      </c>
      <c r="L206" s="2" t="str">
        <f t="shared" si="13"/>
        <v xml:space="preserve"> </v>
      </c>
      <c r="M206" s="2" t="str">
        <f t="shared" si="14"/>
        <v xml:space="preserve"> </v>
      </c>
    </row>
    <row r="207" spans="1:13" x14ac:dyDescent="0.25">
      <c r="A207" s="42" t="str">
        <f t="shared" ref="A207:A270" si="15">IF(COUNTIF(K207:M207,"ERROR")&gt;0,"ERROR"," ")</f>
        <v xml:space="preserve"> </v>
      </c>
      <c r="D207" s="41"/>
      <c r="E207" s="41"/>
      <c r="J207" s="17">
        <f t="shared" ref="J207:J270" si="16">F207-G207+H207-I207</f>
        <v>0</v>
      </c>
      <c r="K207" s="2" t="str">
        <f t="shared" si="12"/>
        <v xml:space="preserve"> </v>
      </c>
      <c r="L207" s="2" t="str">
        <f t="shared" si="13"/>
        <v xml:space="preserve"> </v>
      </c>
      <c r="M207" s="2" t="str">
        <f t="shared" si="14"/>
        <v xml:space="preserve"> </v>
      </c>
    </row>
    <row r="208" spans="1:13" x14ac:dyDescent="0.25">
      <c r="A208" s="42" t="str">
        <f t="shared" si="15"/>
        <v xml:space="preserve"> </v>
      </c>
      <c r="D208" s="41"/>
      <c r="E208" s="41"/>
      <c r="J208" s="17">
        <f t="shared" si="16"/>
        <v>0</v>
      </c>
      <c r="K208" s="2" t="str">
        <f t="shared" ref="K208:K271" si="17">IF(COUNTA(D208:E208)=2,"ERROR"," ")</f>
        <v xml:space="preserve"> </v>
      </c>
      <c r="L208" s="2" t="str">
        <f t="shared" ref="L208:L271" si="18">IF(D208=0," ",IF(COUNTIF(ProfitLoss,D208)&gt;0," ","ERROR"))</f>
        <v xml:space="preserve"> </v>
      </c>
      <c r="M208" s="2" t="str">
        <f t="shared" ref="M208:M271" si="19">IF(E208=0," ",IF(COUNTIF(BalanceSheet,E208)&gt;0," ","ERROR"))</f>
        <v xml:space="preserve"> </v>
      </c>
    </row>
    <row r="209" spans="1:13" x14ac:dyDescent="0.25">
      <c r="A209" s="42" t="str">
        <f t="shared" si="15"/>
        <v xml:space="preserve"> </v>
      </c>
      <c r="D209" s="41"/>
      <c r="E209" s="41"/>
      <c r="J209" s="17">
        <f t="shared" si="16"/>
        <v>0</v>
      </c>
      <c r="K209" s="2" t="str">
        <f t="shared" si="17"/>
        <v xml:space="preserve"> </v>
      </c>
      <c r="L209" s="2" t="str">
        <f t="shared" si="18"/>
        <v xml:space="preserve"> </v>
      </c>
      <c r="M209" s="2" t="str">
        <f t="shared" si="19"/>
        <v xml:space="preserve"> </v>
      </c>
    </row>
    <row r="210" spans="1:13" x14ac:dyDescent="0.25">
      <c r="A210" s="42" t="str">
        <f t="shared" si="15"/>
        <v xml:space="preserve"> </v>
      </c>
      <c r="D210" s="41"/>
      <c r="E210" s="41"/>
      <c r="J210" s="17">
        <f t="shared" si="16"/>
        <v>0</v>
      </c>
      <c r="K210" s="2" t="str">
        <f t="shared" si="17"/>
        <v xml:space="preserve"> </v>
      </c>
      <c r="L210" s="2" t="str">
        <f t="shared" si="18"/>
        <v xml:space="preserve"> </v>
      </c>
      <c r="M210" s="2" t="str">
        <f t="shared" si="19"/>
        <v xml:space="preserve"> </v>
      </c>
    </row>
    <row r="211" spans="1:13" x14ac:dyDescent="0.25">
      <c r="A211" s="42" t="str">
        <f t="shared" si="15"/>
        <v xml:space="preserve"> </v>
      </c>
      <c r="D211" s="41"/>
      <c r="E211" s="41"/>
      <c r="J211" s="17">
        <f t="shared" si="16"/>
        <v>0</v>
      </c>
      <c r="K211" s="2" t="str">
        <f t="shared" si="17"/>
        <v xml:space="preserve"> </v>
      </c>
      <c r="L211" s="2" t="str">
        <f t="shared" si="18"/>
        <v xml:space="preserve"> </v>
      </c>
      <c r="M211" s="2" t="str">
        <f t="shared" si="19"/>
        <v xml:space="preserve"> </v>
      </c>
    </row>
    <row r="212" spans="1:13" x14ac:dyDescent="0.25">
      <c r="A212" s="42" t="str">
        <f t="shared" si="15"/>
        <v xml:space="preserve"> </v>
      </c>
      <c r="D212" s="41"/>
      <c r="E212" s="41"/>
      <c r="J212" s="17">
        <f t="shared" si="16"/>
        <v>0</v>
      </c>
      <c r="K212" s="2" t="str">
        <f t="shared" si="17"/>
        <v xml:space="preserve"> </v>
      </c>
      <c r="L212" s="2" t="str">
        <f t="shared" si="18"/>
        <v xml:space="preserve"> </v>
      </c>
      <c r="M212" s="2" t="str">
        <f t="shared" si="19"/>
        <v xml:space="preserve"> </v>
      </c>
    </row>
    <row r="213" spans="1:13" x14ac:dyDescent="0.25">
      <c r="A213" s="42" t="str">
        <f t="shared" si="15"/>
        <v xml:space="preserve"> </v>
      </c>
      <c r="D213" s="41"/>
      <c r="E213" s="41"/>
      <c r="J213" s="17">
        <f t="shared" si="16"/>
        <v>0</v>
      </c>
      <c r="K213" s="2" t="str">
        <f t="shared" si="17"/>
        <v xml:space="preserve"> </v>
      </c>
      <c r="L213" s="2" t="str">
        <f t="shared" si="18"/>
        <v xml:space="preserve"> </v>
      </c>
      <c r="M213" s="2" t="str">
        <f t="shared" si="19"/>
        <v xml:space="preserve"> </v>
      </c>
    </row>
    <row r="214" spans="1:13" x14ac:dyDescent="0.25">
      <c r="A214" s="42" t="str">
        <f t="shared" si="15"/>
        <v xml:space="preserve"> </v>
      </c>
      <c r="D214" s="41"/>
      <c r="E214" s="41"/>
      <c r="J214" s="17">
        <f t="shared" si="16"/>
        <v>0</v>
      </c>
      <c r="K214" s="2" t="str">
        <f t="shared" si="17"/>
        <v xml:space="preserve"> </v>
      </c>
      <c r="L214" s="2" t="str">
        <f t="shared" si="18"/>
        <v xml:space="preserve"> </v>
      </c>
      <c r="M214" s="2" t="str">
        <f t="shared" si="19"/>
        <v xml:space="preserve"> </v>
      </c>
    </row>
    <row r="215" spans="1:13" x14ac:dyDescent="0.25">
      <c r="A215" s="42" t="str">
        <f t="shared" si="15"/>
        <v xml:space="preserve"> </v>
      </c>
      <c r="D215" s="41"/>
      <c r="E215" s="41"/>
      <c r="J215" s="17">
        <f t="shared" si="16"/>
        <v>0</v>
      </c>
      <c r="K215" s="2" t="str">
        <f t="shared" si="17"/>
        <v xml:space="preserve"> </v>
      </c>
      <c r="L215" s="2" t="str">
        <f t="shared" si="18"/>
        <v xml:space="preserve"> </v>
      </c>
      <c r="M215" s="2" t="str">
        <f t="shared" si="19"/>
        <v xml:space="preserve"> </v>
      </c>
    </row>
    <row r="216" spans="1:13" x14ac:dyDescent="0.25">
      <c r="A216" s="42" t="str">
        <f t="shared" si="15"/>
        <v xml:space="preserve"> </v>
      </c>
      <c r="D216" s="41"/>
      <c r="E216" s="41"/>
      <c r="J216" s="17">
        <f t="shared" si="16"/>
        <v>0</v>
      </c>
      <c r="K216" s="2" t="str">
        <f t="shared" si="17"/>
        <v xml:space="preserve"> </v>
      </c>
      <c r="L216" s="2" t="str">
        <f t="shared" si="18"/>
        <v xml:space="preserve"> </v>
      </c>
      <c r="M216" s="2" t="str">
        <f t="shared" si="19"/>
        <v xml:space="preserve"> </v>
      </c>
    </row>
    <row r="217" spans="1:13" x14ac:dyDescent="0.25">
      <c r="A217" s="42" t="str">
        <f t="shared" si="15"/>
        <v xml:space="preserve"> </v>
      </c>
      <c r="D217" s="41"/>
      <c r="E217" s="41"/>
      <c r="J217" s="17">
        <f t="shared" si="16"/>
        <v>0</v>
      </c>
      <c r="K217" s="2" t="str">
        <f t="shared" si="17"/>
        <v xml:space="preserve"> </v>
      </c>
      <c r="L217" s="2" t="str">
        <f t="shared" si="18"/>
        <v xml:space="preserve"> </v>
      </c>
      <c r="M217" s="2" t="str">
        <f t="shared" si="19"/>
        <v xml:space="preserve"> </v>
      </c>
    </row>
    <row r="218" spans="1:13" x14ac:dyDescent="0.25">
      <c r="A218" s="42" t="str">
        <f t="shared" si="15"/>
        <v xml:space="preserve"> </v>
      </c>
      <c r="D218" s="41"/>
      <c r="E218" s="41"/>
      <c r="J218" s="17">
        <f t="shared" si="16"/>
        <v>0</v>
      </c>
      <c r="K218" s="2" t="str">
        <f t="shared" si="17"/>
        <v xml:space="preserve"> </v>
      </c>
      <c r="L218" s="2" t="str">
        <f t="shared" si="18"/>
        <v xml:space="preserve"> </v>
      </c>
      <c r="M218" s="2" t="str">
        <f t="shared" si="19"/>
        <v xml:space="preserve"> </v>
      </c>
    </row>
    <row r="219" spans="1:13" x14ac:dyDescent="0.25">
      <c r="A219" s="42" t="str">
        <f t="shared" si="15"/>
        <v xml:space="preserve"> </v>
      </c>
      <c r="D219" s="41"/>
      <c r="E219" s="41"/>
      <c r="J219" s="17">
        <f t="shared" si="16"/>
        <v>0</v>
      </c>
      <c r="K219" s="2" t="str">
        <f t="shared" si="17"/>
        <v xml:space="preserve"> </v>
      </c>
      <c r="L219" s="2" t="str">
        <f t="shared" si="18"/>
        <v xml:space="preserve"> </v>
      </c>
      <c r="M219" s="2" t="str">
        <f t="shared" si="19"/>
        <v xml:space="preserve"> </v>
      </c>
    </row>
    <row r="220" spans="1:13" x14ac:dyDescent="0.25">
      <c r="A220" s="42" t="str">
        <f t="shared" si="15"/>
        <v xml:space="preserve"> </v>
      </c>
      <c r="D220" s="41"/>
      <c r="E220" s="41"/>
      <c r="J220" s="17">
        <f t="shared" si="16"/>
        <v>0</v>
      </c>
      <c r="K220" s="2" t="str">
        <f t="shared" si="17"/>
        <v xml:space="preserve"> </v>
      </c>
      <c r="L220" s="2" t="str">
        <f t="shared" si="18"/>
        <v xml:space="preserve"> </v>
      </c>
      <c r="M220" s="2" t="str">
        <f t="shared" si="19"/>
        <v xml:space="preserve"> </v>
      </c>
    </row>
    <row r="221" spans="1:13" x14ac:dyDescent="0.25">
      <c r="A221" s="42" t="str">
        <f t="shared" si="15"/>
        <v xml:space="preserve"> </v>
      </c>
      <c r="D221" s="41"/>
      <c r="E221" s="41"/>
      <c r="J221" s="17">
        <f t="shared" si="16"/>
        <v>0</v>
      </c>
      <c r="K221" s="2" t="str">
        <f t="shared" si="17"/>
        <v xml:space="preserve"> </v>
      </c>
      <c r="L221" s="2" t="str">
        <f t="shared" si="18"/>
        <v xml:space="preserve"> </v>
      </c>
      <c r="M221" s="2" t="str">
        <f t="shared" si="19"/>
        <v xml:space="preserve"> </v>
      </c>
    </row>
    <row r="222" spans="1:13" x14ac:dyDescent="0.25">
      <c r="A222" s="42" t="str">
        <f t="shared" si="15"/>
        <v xml:space="preserve"> </v>
      </c>
      <c r="D222" s="41"/>
      <c r="E222" s="41"/>
      <c r="J222" s="17">
        <f t="shared" si="16"/>
        <v>0</v>
      </c>
      <c r="K222" s="2" t="str">
        <f t="shared" si="17"/>
        <v xml:space="preserve"> </v>
      </c>
      <c r="L222" s="2" t="str">
        <f t="shared" si="18"/>
        <v xml:space="preserve"> </v>
      </c>
      <c r="M222" s="2" t="str">
        <f t="shared" si="19"/>
        <v xml:space="preserve"> </v>
      </c>
    </row>
    <row r="223" spans="1:13" x14ac:dyDescent="0.25">
      <c r="A223" s="42" t="str">
        <f t="shared" si="15"/>
        <v xml:space="preserve"> </v>
      </c>
      <c r="D223" s="41"/>
      <c r="E223" s="41"/>
      <c r="J223" s="17">
        <f t="shared" si="16"/>
        <v>0</v>
      </c>
      <c r="K223" s="2" t="str">
        <f t="shared" si="17"/>
        <v xml:space="preserve"> </v>
      </c>
      <c r="L223" s="2" t="str">
        <f t="shared" si="18"/>
        <v xml:space="preserve"> </v>
      </c>
      <c r="M223" s="2" t="str">
        <f t="shared" si="19"/>
        <v xml:space="preserve"> </v>
      </c>
    </row>
    <row r="224" spans="1:13" x14ac:dyDescent="0.25">
      <c r="A224" s="42" t="str">
        <f t="shared" si="15"/>
        <v xml:space="preserve"> </v>
      </c>
      <c r="D224" s="41"/>
      <c r="E224" s="41"/>
      <c r="J224" s="17">
        <f t="shared" si="16"/>
        <v>0</v>
      </c>
      <c r="K224" s="2" t="str">
        <f t="shared" si="17"/>
        <v xml:space="preserve"> </v>
      </c>
      <c r="L224" s="2" t="str">
        <f t="shared" si="18"/>
        <v xml:space="preserve"> </v>
      </c>
      <c r="M224" s="2" t="str">
        <f t="shared" si="19"/>
        <v xml:space="preserve"> </v>
      </c>
    </row>
    <row r="225" spans="1:13" x14ac:dyDescent="0.25">
      <c r="A225" s="42" t="str">
        <f t="shared" si="15"/>
        <v xml:space="preserve"> </v>
      </c>
      <c r="D225" s="41"/>
      <c r="E225" s="41"/>
      <c r="J225" s="17">
        <f t="shared" si="16"/>
        <v>0</v>
      </c>
      <c r="K225" s="2" t="str">
        <f t="shared" si="17"/>
        <v xml:space="preserve"> </v>
      </c>
      <c r="L225" s="2" t="str">
        <f t="shared" si="18"/>
        <v xml:space="preserve"> </v>
      </c>
      <c r="M225" s="2" t="str">
        <f t="shared" si="19"/>
        <v xml:space="preserve"> </v>
      </c>
    </row>
    <row r="226" spans="1:13" x14ac:dyDescent="0.25">
      <c r="A226" s="42" t="str">
        <f t="shared" si="15"/>
        <v xml:space="preserve"> </v>
      </c>
      <c r="D226" s="41"/>
      <c r="E226" s="41"/>
      <c r="J226" s="17">
        <f t="shared" si="16"/>
        <v>0</v>
      </c>
      <c r="K226" s="2" t="str">
        <f t="shared" si="17"/>
        <v xml:space="preserve"> </v>
      </c>
      <c r="L226" s="2" t="str">
        <f t="shared" si="18"/>
        <v xml:space="preserve"> </v>
      </c>
      <c r="M226" s="2" t="str">
        <f t="shared" si="19"/>
        <v xml:space="preserve"> </v>
      </c>
    </row>
    <row r="227" spans="1:13" x14ac:dyDescent="0.25">
      <c r="A227" s="42" t="str">
        <f t="shared" si="15"/>
        <v xml:space="preserve"> </v>
      </c>
      <c r="D227" s="41"/>
      <c r="E227" s="41"/>
      <c r="J227" s="17">
        <f t="shared" si="16"/>
        <v>0</v>
      </c>
      <c r="K227" s="2" t="str">
        <f t="shared" si="17"/>
        <v xml:space="preserve"> </v>
      </c>
      <c r="L227" s="2" t="str">
        <f t="shared" si="18"/>
        <v xml:space="preserve"> </v>
      </c>
      <c r="M227" s="2" t="str">
        <f t="shared" si="19"/>
        <v xml:space="preserve"> </v>
      </c>
    </row>
    <row r="228" spans="1:13" x14ac:dyDescent="0.25">
      <c r="A228" s="42" t="str">
        <f t="shared" si="15"/>
        <v xml:space="preserve"> </v>
      </c>
      <c r="D228" s="41"/>
      <c r="E228" s="41"/>
      <c r="J228" s="17">
        <f t="shared" si="16"/>
        <v>0</v>
      </c>
      <c r="K228" s="2" t="str">
        <f t="shared" si="17"/>
        <v xml:space="preserve"> </v>
      </c>
      <c r="L228" s="2" t="str">
        <f t="shared" si="18"/>
        <v xml:space="preserve"> </v>
      </c>
      <c r="M228" s="2" t="str">
        <f t="shared" si="19"/>
        <v xml:space="preserve"> </v>
      </c>
    </row>
    <row r="229" spans="1:13" x14ac:dyDescent="0.25">
      <c r="A229" s="42" t="str">
        <f t="shared" si="15"/>
        <v xml:space="preserve"> </v>
      </c>
      <c r="D229" s="41"/>
      <c r="E229" s="41"/>
      <c r="J229" s="17">
        <f t="shared" si="16"/>
        <v>0</v>
      </c>
      <c r="K229" s="2" t="str">
        <f t="shared" si="17"/>
        <v xml:space="preserve"> </v>
      </c>
      <c r="L229" s="2" t="str">
        <f t="shared" si="18"/>
        <v xml:space="preserve"> </v>
      </c>
      <c r="M229" s="2" t="str">
        <f t="shared" si="19"/>
        <v xml:space="preserve"> </v>
      </c>
    </row>
    <row r="230" spans="1:13" x14ac:dyDescent="0.25">
      <c r="A230" s="42" t="str">
        <f t="shared" si="15"/>
        <v xml:space="preserve"> </v>
      </c>
      <c r="D230" s="41"/>
      <c r="E230" s="41"/>
      <c r="J230" s="17">
        <f t="shared" si="16"/>
        <v>0</v>
      </c>
      <c r="K230" s="2" t="str">
        <f t="shared" si="17"/>
        <v xml:space="preserve"> </v>
      </c>
      <c r="L230" s="2" t="str">
        <f t="shared" si="18"/>
        <v xml:space="preserve"> </v>
      </c>
      <c r="M230" s="2" t="str">
        <f t="shared" si="19"/>
        <v xml:space="preserve"> </v>
      </c>
    </row>
    <row r="231" spans="1:13" x14ac:dyDescent="0.25">
      <c r="A231" s="42" t="str">
        <f t="shared" si="15"/>
        <v xml:space="preserve"> </v>
      </c>
      <c r="D231" s="41"/>
      <c r="E231" s="41"/>
      <c r="J231" s="17">
        <f t="shared" si="16"/>
        <v>0</v>
      </c>
      <c r="K231" s="2" t="str">
        <f t="shared" si="17"/>
        <v xml:space="preserve"> </v>
      </c>
      <c r="L231" s="2" t="str">
        <f t="shared" si="18"/>
        <v xml:space="preserve"> </v>
      </c>
      <c r="M231" s="2" t="str">
        <f t="shared" si="19"/>
        <v xml:space="preserve"> </v>
      </c>
    </row>
    <row r="232" spans="1:13" x14ac:dyDescent="0.25">
      <c r="A232" s="42" t="str">
        <f t="shared" si="15"/>
        <v xml:space="preserve"> </v>
      </c>
      <c r="D232" s="41"/>
      <c r="E232" s="41"/>
      <c r="J232" s="17">
        <f t="shared" si="16"/>
        <v>0</v>
      </c>
      <c r="K232" s="2" t="str">
        <f t="shared" si="17"/>
        <v xml:space="preserve"> </v>
      </c>
      <c r="L232" s="2" t="str">
        <f t="shared" si="18"/>
        <v xml:space="preserve"> </v>
      </c>
      <c r="M232" s="2" t="str">
        <f t="shared" si="19"/>
        <v xml:space="preserve"> </v>
      </c>
    </row>
    <row r="233" spans="1:13" x14ac:dyDescent="0.25">
      <c r="A233" s="42" t="str">
        <f t="shared" si="15"/>
        <v xml:space="preserve"> </v>
      </c>
      <c r="D233" s="41"/>
      <c r="E233" s="41"/>
      <c r="J233" s="17">
        <f t="shared" si="16"/>
        <v>0</v>
      </c>
      <c r="K233" s="2" t="str">
        <f t="shared" si="17"/>
        <v xml:space="preserve"> </v>
      </c>
      <c r="L233" s="2" t="str">
        <f t="shared" si="18"/>
        <v xml:space="preserve"> </v>
      </c>
      <c r="M233" s="2" t="str">
        <f t="shared" si="19"/>
        <v xml:space="preserve"> </v>
      </c>
    </row>
    <row r="234" spans="1:13" x14ac:dyDescent="0.25">
      <c r="A234" s="42" t="str">
        <f t="shared" si="15"/>
        <v xml:space="preserve"> </v>
      </c>
      <c r="D234" s="41"/>
      <c r="E234" s="41"/>
      <c r="J234" s="17">
        <f t="shared" si="16"/>
        <v>0</v>
      </c>
      <c r="K234" s="2" t="str">
        <f t="shared" si="17"/>
        <v xml:space="preserve"> </v>
      </c>
      <c r="L234" s="2" t="str">
        <f t="shared" si="18"/>
        <v xml:space="preserve"> </v>
      </c>
      <c r="M234" s="2" t="str">
        <f t="shared" si="19"/>
        <v xml:space="preserve"> </v>
      </c>
    </row>
    <row r="235" spans="1:13" x14ac:dyDescent="0.25">
      <c r="A235" s="42" t="str">
        <f t="shared" si="15"/>
        <v xml:space="preserve"> </v>
      </c>
      <c r="D235" s="41"/>
      <c r="E235" s="41"/>
      <c r="J235" s="17">
        <f t="shared" si="16"/>
        <v>0</v>
      </c>
      <c r="K235" s="2" t="str">
        <f t="shared" si="17"/>
        <v xml:space="preserve"> </v>
      </c>
      <c r="L235" s="2" t="str">
        <f t="shared" si="18"/>
        <v xml:space="preserve"> </v>
      </c>
      <c r="M235" s="2" t="str">
        <f t="shared" si="19"/>
        <v xml:space="preserve"> </v>
      </c>
    </row>
    <row r="236" spans="1:13" x14ac:dyDescent="0.25">
      <c r="A236" s="42" t="str">
        <f t="shared" si="15"/>
        <v xml:space="preserve"> </v>
      </c>
      <c r="D236" s="41"/>
      <c r="E236" s="41"/>
      <c r="J236" s="17">
        <f t="shared" si="16"/>
        <v>0</v>
      </c>
      <c r="K236" s="2" t="str">
        <f t="shared" si="17"/>
        <v xml:space="preserve"> </v>
      </c>
      <c r="L236" s="2" t="str">
        <f t="shared" si="18"/>
        <v xml:space="preserve"> </v>
      </c>
      <c r="M236" s="2" t="str">
        <f t="shared" si="19"/>
        <v xml:space="preserve"> </v>
      </c>
    </row>
    <row r="237" spans="1:13" x14ac:dyDescent="0.25">
      <c r="A237" s="42" t="str">
        <f t="shared" si="15"/>
        <v xml:space="preserve"> </v>
      </c>
      <c r="D237" s="41"/>
      <c r="E237" s="41"/>
      <c r="J237" s="17">
        <f t="shared" si="16"/>
        <v>0</v>
      </c>
      <c r="K237" s="2" t="str">
        <f t="shared" si="17"/>
        <v xml:space="preserve"> </v>
      </c>
      <c r="L237" s="2" t="str">
        <f t="shared" si="18"/>
        <v xml:space="preserve"> </v>
      </c>
      <c r="M237" s="2" t="str">
        <f t="shared" si="19"/>
        <v xml:space="preserve"> </v>
      </c>
    </row>
    <row r="238" spans="1:13" x14ac:dyDescent="0.25">
      <c r="A238" s="42" t="str">
        <f t="shared" si="15"/>
        <v xml:space="preserve"> </v>
      </c>
      <c r="D238" s="41"/>
      <c r="E238" s="41"/>
      <c r="J238" s="17">
        <f t="shared" si="16"/>
        <v>0</v>
      </c>
      <c r="K238" s="2" t="str">
        <f t="shared" si="17"/>
        <v xml:space="preserve"> </v>
      </c>
      <c r="L238" s="2" t="str">
        <f t="shared" si="18"/>
        <v xml:space="preserve"> </v>
      </c>
      <c r="M238" s="2" t="str">
        <f t="shared" si="19"/>
        <v xml:space="preserve"> </v>
      </c>
    </row>
    <row r="239" spans="1:13" x14ac:dyDescent="0.25">
      <c r="A239" s="42" t="str">
        <f t="shared" si="15"/>
        <v xml:space="preserve"> </v>
      </c>
      <c r="D239" s="41"/>
      <c r="E239" s="41"/>
      <c r="J239" s="17">
        <f t="shared" si="16"/>
        <v>0</v>
      </c>
      <c r="K239" s="2" t="str">
        <f t="shared" si="17"/>
        <v xml:space="preserve"> </v>
      </c>
      <c r="L239" s="2" t="str">
        <f t="shared" si="18"/>
        <v xml:space="preserve"> </v>
      </c>
      <c r="M239" s="2" t="str">
        <f t="shared" si="19"/>
        <v xml:space="preserve"> </v>
      </c>
    </row>
    <row r="240" spans="1:13" x14ac:dyDescent="0.25">
      <c r="A240" s="42" t="str">
        <f t="shared" si="15"/>
        <v xml:space="preserve"> </v>
      </c>
      <c r="D240" s="41"/>
      <c r="E240" s="41"/>
      <c r="J240" s="17">
        <f t="shared" si="16"/>
        <v>0</v>
      </c>
      <c r="K240" s="2" t="str">
        <f t="shared" si="17"/>
        <v xml:space="preserve"> </v>
      </c>
      <c r="L240" s="2" t="str">
        <f t="shared" si="18"/>
        <v xml:space="preserve"> </v>
      </c>
      <c r="M240" s="2" t="str">
        <f t="shared" si="19"/>
        <v xml:space="preserve"> </v>
      </c>
    </row>
    <row r="241" spans="1:13" x14ac:dyDescent="0.25">
      <c r="A241" s="42" t="str">
        <f t="shared" si="15"/>
        <v xml:space="preserve"> </v>
      </c>
      <c r="D241" s="41"/>
      <c r="E241" s="41"/>
      <c r="J241" s="17">
        <f t="shared" si="16"/>
        <v>0</v>
      </c>
      <c r="K241" s="2" t="str">
        <f t="shared" si="17"/>
        <v xml:space="preserve"> </v>
      </c>
      <c r="L241" s="2" t="str">
        <f t="shared" si="18"/>
        <v xml:space="preserve"> </v>
      </c>
      <c r="M241" s="2" t="str">
        <f t="shared" si="19"/>
        <v xml:space="preserve"> </v>
      </c>
    </row>
    <row r="242" spans="1:13" x14ac:dyDescent="0.25">
      <c r="A242" s="42" t="str">
        <f t="shared" si="15"/>
        <v xml:space="preserve"> </v>
      </c>
      <c r="D242" s="41"/>
      <c r="E242" s="41"/>
      <c r="J242" s="17">
        <f t="shared" si="16"/>
        <v>0</v>
      </c>
      <c r="K242" s="2" t="str">
        <f t="shared" si="17"/>
        <v xml:space="preserve"> </v>
      </c>
      <c r="L242" s="2" t="str">
        <f t="shared" si="18"/>
        <v xml:space="preserve"> </v>
      </c>
      <c r="M242" s="2" t="str">
        <f t="shared" si="19"/>
        <v xml:space="preserve"> </v>
      </c>
    </row>
    <row r="243" spans="1:13" x14ac:dyDescent="0.25">
      <c r="A243" s="42" t="str">
        <f t="shared" si="15"/>
        <v xml:space="preserve"> </v>
      </c>
      <c r="D243" s="41"/>
      <c r="E243" s="41"/>
      <c r="J243" s="17">
        <f t="shared" si="16"/>
        <v>0</v>
      </c>
      <c r="K243" s="2" t="str">
        <f t="shared" si="17"/>
        <v xml:space="preserve"> </v>
      </c>
      <c r="L243" s="2" t="str">
        <f t="shared" si="18"/>
        <v xml:space="preserve"> </v>
      </c>
      <c r="M243" s="2" t="str">
        <f t="shared" si="19"/>
        <v xml:space="preserve"> </v>
      </c>
    </row>
    <row r="244" spans="1:13" x14ac:dyDescent="0.25">
      <c r="A244" s="42" t="str">
        <f t="shared" si="15"/>
        <v xml:space="preserve"> </v>
      </c>
      <c r="D244" s="41"/>
      <c r="E244" s="41"/>
      <c r="J244" s="17">
        <f t="shared" si="16"/>
        <v>0</v>
      </c>
      <c r="K244" s="2" t="str">
        <f t="shared" si="17"/>
        <v xml:space="preserve"> </v>
      </c>
      <c r="L244" s="2" t="str">
        <f t="shared" si="18"/>
        <v xml:space="preserve"> </v>
      </c>
      <c r="M244" s="2" t="str">
        <f t="shared" si="19"/>
        <v xml:space="preserve"> </v>
      </c>
    </row>
    <row r="245" spans="1:13" x14ac:dyDescent="0.25">
      <c r="A245" s="42" t="str">
        <f t="shared" si="15"/>
        <v xml:space="preserve"> </v>
      </c>
      <c r="D245" s="41"/>
      <c r="E245" s="41"/>
      <c r="J245" s="17">
        <f t="shared" si="16"/>
        <v>0</v>
      </c>
      <c r="K245" s="2" t="str">
        <f t="shared" si="17"/>
        <v xml:space="preserve"> </v>
      </c>
      <c r="L245" s="2" t="str">
        <f t="shared" si="18"/>
        <v xml:space="preserve"> </v>
      </c>
      <c r="M245" s="2" t="str">
        <f t="shared" si="19"/>
        <v xml:space="preserve"> </v>
      </c>
    </row>
    <row r="246" spans="1:13" x14ac:dyDescent="0.25">
      <c r="A246" s="42" t="str">
        <f t="shared" si="15"/>
        <v xml:space="preserve"> </v>
      </c>
      <c r="D246" s="41"/>
      <c r="E246" s="41"/>
      <c r="J246" s="17">
        <f t="shared" si="16"/>
        <v>0</v>
      </c>
      <c r="K246" s="2" t="str">
        <f t="shared" si="17"/>
        <v xml:space="preserve"> </v>
      </c>
      <c r="L246" s="2" t="str">
        <f t="shared" si="18"/>
        <v xml:space="preserve"> </v>
      </c>
      <c r="M246" s="2" t="str">
        <f t="shared" si="19"/>
        <v xml:space="preserve"> </v>
      </c>
    </row>
    <row r="247" spans="1:13" x14ac:dyDescent="0.25">
      <c r="A247" s="42" t="str">
        <f t="shared" si="15"/>
        <v xml:space="preserve"> </v>
      </c>
      <c r="D247" s="41"/>
      <c r="E247" s="41"/>
      <c r="J247" s="17">
        <f t="shared" si="16"/>
        <v>0</v>
      </c>
      <c r="K247" s="2" t="str">
        <f t="shared" si="17"/>
        <v xml:space="preserve"> </v>
      </c>
      <c r="L247" s="2" t="str">
        <f t="shared" si="18"/>
        <v xml:space="preserve"> </v>
      </c>
      <c r="M247" s="2" t="str">
        <f t="shared" si="19"/>
        <v xml:space="preserve"> </v>
      </c>
    </row>
    <row r="248" spans="1:13" x14ac:dyDescent="0.25">
      <c r="A248" s="42" t="str">
        <f t="shared" si="15"/>
        <v xml:space="preserve"> </v>
      </c>
      <c r="D248" s="41"/>
      <c r="E248" s="41"/>
      <c r="J248" s="17">
        <f t="shared" si="16"/>
        <v>0</v>
      </c>
      <c r="K248" s="2" t="str">
        <f t="shared" si="17"/>
        <v xml:space="preserve"> </v>
      </c>
      <c r="L248" s="2" t="str">
        <f t="shared" si="18"/>
        <v xml:space="preserve"> </v>
      </c>
      <c r="M248" s="2" t="str">
        <f t="shared" si="19"/>
        <v xml:space="preserve"> </v>
      </c>
    </row>
    <row r="249" spans="1:13" x14ac:dyDescent="0.25">
      <c r="A249" s="42" t="str">
        <f t="shared" si="15"/>
        <v xml:space="preserve"> </v>
      </c>
      <c r="D249" s="41"/>
      <c r="E249" s="41"/>
      <c r="J249" s="17">
        <f t="shared" si="16"/>
        <v>0</v>
      </c>
      <c r="K249" s="2" t="str">
        <f t="shared" si="17"/>
        <v xml:space="preserve"> </v>
      </c>
      <c r="L249" s="2" t="str">
        <f t="shared" si="18"/>
        <v xml:space="preserve"> </v>
      </c>
      <c r="M249" s="2" t="str">
        <f t="shared" si="19"/>
        <v xml:space="preserve"> </v>
      </c>
    </row>
    <row r="250" spans="1:13" x14ac:dyDescent="0.25">
      <c r="A250" s="42" t="str">
        <f t="shared" si="15"/>
        <v xml:space="preserve"> </v>
      </c>
      <c r="D250" s="41"/>
      <c r="E250" s="41"/>
      <c r="J250" s="17">
        <f t="shared" si="16"/>
        <v>0</v>
      </c>
      <c r="K250" s="2" t="str">
        <f t="shared" si="17"/>
        <v xml:space="preserve"> </v>
      </c>
      <c r="L250" s="2" t="str">
        <f t="shared" si="18"/>
        <v xml:space="preserve"> </v>
      </c>
      <c r="M250" s="2" t="str">
        <f t="shared" si="19"/>
        <v xml:space="preserve"> </v>
      </c>
    </row>
    <row r="251" spans="1:13" x14ac:dyDescent="0.25">
      <c r="A251" s="42" t="str">
        <f t="shared" si="15"/>
        <v xml:space="preserve"> </v>
      </c>
      <c r="D251" s="41"/>
      <c r="E251" s="41"/>
      <c r="J251" s="17">
        <f t="shared" si="16"/>
        <v>0</v>
      </c>
      <c r="K251" s="2" t="str">
        <f t="shared" si="17"/>
        <v xml:space="preserve"> </v>
      </c>
      <c r="L251" s="2" t="str">
        <f t="shared" si="18"/>
        <v xml:space="preserve"> </v>
      </c>
      <c r="M251" s="2" t="str">
        <f t="shared" si="19"/>
        <v xml:space="preserve"> </v>
      </c>
    </row>
    <row r="252" spans="1:13" x14ac:dyDescent="0.25">
      <c r="A252" s="42" t="str">
        <f t="shared" si="15"/>
        <v xml:space="preserve"> </v>
      </c>
      <c r="D252" s="41"/>
      <c r="E252" s="41"/>
      <c r="J252" s="17">
        <f t="shared" si="16"/>
        <v>0</v>
      </c>
      <c r="K252" s="2" t="str">
        <f t="shared" si="17"/>
        <v xml:space="preserve"> </v>
      </c>
      <c r="L252" s="2" t="str">
        <f t="shared" si="18"/>
        <v xml:space="preserve"> </v>
      </c>
      <c r="M252" s="2" t="str">
        <f t="shared" si="19"/>
        <v xml:space="preserve"> </v>
      </c>
    </row>
    <row r="253" spans="1:13" x14ac:dyDescent="0.25">
      <c r="A253" s="42" t="str">
        <f t="shared" si="15"/>
        <v xml:space="preserve"> </v>
      </c>
      <c r="D253" s="41"/>
      <c r="E253" s="41"/>
      <c r="J253" s="17">
        <f t="shared" si="16"/>
        <v>0</v>
      </c>
      <c r="K253" s="2" t="str">
        <f t="shared" si="17"/>
        <v xml:space="preserve"> </v>
      </c>
      <c r="L253" s="2" t="str">
        <f t="shared" si="18"/>
        <v xml:space="preserve"> </v>
      </c>
      <c r="M253" s="2" t="str">
        <f t="shared" si="19"/>
        <v xml:space="preserve"> </v>
      </c>
    </row>
    <row r="254" spans="1:13" x14ac:dyDescent="0.25">
      <c r="A254" s="42" t="str">
        <f t="shared" si="15"/>
        <v xml:space="preserve"> </v>
      </c>
      <c r="D254" s="41"/>
      <c r="E254" s="41"/>
      <c r="J254" s="17">
        <f t="shared" si="16"/>
        <v>0</v>
      </c>
      <c r="K254" s="2" t="str">
        <f t="shared" si="17"/>
        <v xml:space="preserve"> </v>
      </c>
      <c r="L254" s="2" t="str">
        <f t="shared" si="18"/>
        <v xml:space="preserve"> </v>
      </c>
      <c r="M254" s="2" t="str">
        <f t="shared" si="19"/>
        <v xml:space="preserve"> </v>
      </c>
    </row>
    <row r="255" spans="1:13" x14ac:dyDescent="0.25">
      <c r="A255" s="42" t="str">
        <f t="shared" si="15"/>
        <v xml:space="preserve"> </v>
      </c>
      <c r="D255" s="41"/>
      <c r="E255" s="41"/>
      <c r="J255" s="17">
        <f t="shared" si="16"/>
        <v>0</v>
      </c>
      <c r="K255" s="2" t="str">
        <f t="shared" si="17"/>
        <v xml:space="preserve"> </v>
      </c>
      <c r="L255" s="2" t="str">
        <f t="shared" si="18"/>
        <v xml:space="preserve"> </v>
      </c>
      <c r="M255" s="2" t="str">
        <f t="shared" si="19"/>
        <v xml:space="preserve"> </v>
      </c>
    </row>
    <row r="256" spans="1:13" x14ac:dyDescent="0.25">
      <c r="A256" s="42" t="str">
        <f t="shared" si="15"/>
        <v xml:space="preserve"> </v>
      </c>
      <c r="D256" s="41"/>
      <c r="E256" s="41"/>
      <c r="J256" s="17">
        <f t="shared" si="16"/>
        <v>0</v>
      </c>
      <c r="K256" s="2" t="str">
        <f t="shared" si="17"/>
        <v xml:space="preserve"> </v>
      </c>
      <c r="L256" s="2" t="str">
        <f t="shared" si="18"/>
        <v xml:space="preserve"> </v>
      </c>
      <c r="M256" s="2" t="str">
        <f t="shared" si="19"/>
        <v xml:space="preserve"> </v>
      </c>
    </row>
    <row r="257" spans="1:13" x14ac:dyDescent="0.25">
      <c r="A257" s="42" t="str">
        <f t="shared" si="15"/>
        <v xml:space="preserve"> </v>
      </c>
      <c r="D257" s="41"/>
      <c r="E257" s="41"/>
      <c r="J257" s="17">
        <f t="shared" si="16"/>
        <v>0</v>
      </c>
      <c r="K257" s="2" t="str">
        <f t="shared" si="17"/>
        <v xml:space="preserve"> </v>
      </c>
      <c r="L257" s="2" t="str">
        <f t="shared" si="18"/>
        <v xml:space="preserve"> </v>
      </c>
      <c r="M257" s="2" t="str">
        <f t="shared" si="19"/>
        <v xml:space="preserve"> </v>
      </c>
    </row>
    <row r="258" spans="1:13" x14ac:dyDescent="0.25">
      <c r="A258" s="42" t="str">
        <f t="shared" si="15"/>
        <v xml:space="preserve"> </v>
      </c>
      <c r="D258" s="41"/>
      <c r="E258" s="41"/>
      <c r="J258" s="17">
        <f t="shared" si="16"/>
        <v>0</v>
      </c>
      <c r="K258" s="2" t="str">
        <f t="shared" si="17"/>
        <v xml:space="preserve"> </v>
      </c>
      <c r="L258" s="2" t="str">
        <f t="shared" si="18"/>
        <v xml:space="preserve"> </v>
      </c>
      <c r="M258" s="2" t="str">
        <f t="shared" si="19"/>
        <v xml:space="preserve"> </v>
      </c>
    </row>
    <row r="259" spans="1:13" x14ac:dyDescent="0.25">
      <c r="A259" s="42" t="str">
        <f t="shared" si="15"/>
        <v xml:space="preserve"> </v>
      </c>
      <c r="D259" s="41"/>
      <c r="E259" s="41"/>
      <c r="J259" s="17">
        <f t="shared" si="16"/>
        <v>0</v>
      </c>
      <c r="K259" s="2" t="str">
        <f t="shared" si="17"/>
        <v xml:space="preserve"> </v>
      </c>
      <c r="L259" s="2" t="str">
        <f t="shared" si="18"/>
        <v xml:space="preserve"> </v>
      </c>
      <c r="M259" s="2" t="str">
        <f t="shared" si="19"/>
        <v xml:space="preserve"> </v>
      </c>
    </row>
    <row r="260" spans="1:13" x14ac:dyDescent="0.25">
      <c r="A260" s="42" t="str">
        <f t="shared" si="15"/>
        <v xml:space="preserve"> </v>
      </c>
      <c r="D260" s="41"/>
      <c r="E260" s="41"/>
      <c r="J260" s="17">
        <f t="shared" si="16"/>
        <v>0</v>
      </c>
      <c r="K260" s="2" t="str">
        <f t="shared" si="17"/>
        <v xml:space="preserve"> </v>
      </c>
      <c r="L260" s="2" t="str">
        <f t="shared" si="18"/>
        <v xml:space="preserve"> </v>
      </c>
      <c r="M260" s="2" t="str">
        <f t="shared" si="19"/>
        <v xml:space="preserve"> </v>
      </c>
    </row>
    <row r="261" spans="1:13" x14ac:dyDescent="0.25">
      <c r="A261" s="42" t="str">
        <f t="shared" si="15"/>
        <v xml:space="preserve"> </v>
      </c>
      <c r="D261" s="41"/>
      <c r="E261" s="41"/>
      <c r="J261" s="17">
        <f t="shared" si="16"/>
        <v>0</v>
      </c>
      <c r="K261" s="2" t="str">
        <f t="shared" si="17"/>
        <v xml:space="preserve"> </v>
      </c>
      <c r="L261" s="2" t="str">
        <f t="shared" si="18"/>
        <v xml:space="preserve"> </v>
      </c>
      <c r="M261" s="2" t="str">
        <f t="shared" si="19"/>
        <v xml:space="preserve"> </v>
      </c>
    </row>
    <row r="262" spans="1:13" x14ac:dyDescent="0.25">
      <c r="A262" s="42" t="str">
        <f t="shared" si="15"/>
        <v xml:space="preserve"> </v>
      </c>
      <c r="D262" s="41"/>
      <c r="E262" s="41"/>
      <c r="J262" s="17">
        <f t="shared" si="16"/>
        <v>0</v>
      </c>
      <c r="K262" s="2" t="str">
        <f t="shared" si="17"/>
        <v xml:space="preserve"> </v>
      </c>
      <c r="L262" s="2" t="str">
        <f t="shared" si="18"/>
        <v xml:space="preserve"> </v>
      </c>
      <c r="M262" s="2" t="str">
        <f t="shared" si="19"/>
        <v xml:space="preserve"> </v>
      </c>
    </row>
    <row r="263" spans="1:13" x14ac:dyDescent="0.25">
      <c r="A263" s="42" t="str">
        <f t="shared" si="15"/>
        <v xml:space="preserve"> </v>
      </c>
      <c r="D263" s="41"/>
      <c r="E263" s="41"/>
      <c r="J263" s="17">
        <f t="shared" si="16"/>
        <v>0</v>
      </c>
      <c r="K263" s="2" t="str">
        <f t="shared" si="17"/>
        <v xml:space="preserve"> </v>
      </c>
      <c r="L263" s="2" t="str">
        <f t="shared" si="18"/>
        <v xml:space="preserve"> </v>
      </c>
      <c r="M263" s="2" t="str">
        <f t="shared" si="19"/>
        <v xml:space="preserve"> </v>
      </c>
    </row>
    <row r="264" spans="1:13" x14ac:dyDescent="0.25">
      <c r="A264" s="42" t="str">
        <f t="shared" si="15"/>
        <v xml:space="preserve"> </v>
      </c>
      <c r="D264" s="41"/>
      <c r="E264" s="41"/>
      <c r="J264" s="17">
        <f t="shared" si="16"/>
        <v>0</v>
      </c>
      <c r="K264" s="2" t="str">
        <f t="shared" si="17"/>
        <v xml:space="preserve"> </v>
      </c>
      <c r="L264" s="2" t="str">
        <f t="shared" si="18"/>
        <v xml:space="preserve"> </v>
      </c>
      <c r="M264" s="2" t="str">
        <f t="shared" si="19"/>
        <v xml:space="preserve"> </v>
      </c>
    </row>
    <row r="265" spans="1:13" x14ac:dyDescent="0.25">
      <c r="A265" s="42" t="str">
        <f t="shared" si="15"/>
        <v xml:space="preserve"> </v>
      </c>
      <c r="D265" s="41"/>
      <c r="E265" s="41"/>
      <c r="J265" s="17">
        <f t="shared" si="16"/>
        <v>0</v>
      </c>
      <c r="K265" s="2" t="str">
        <f t="shared" si="17"/>
        <v xml:space="preserve"> </v>
      </c>
      <c r="L265" s="2" t="str">
        <f t="shared" si="18"/>
        <v xml:space="preserve"> </v>
      </c>
      <c r="M265" s="2" t="str">
        <f t="shared" si="19"/>
        <v xml:space="preserve"> </v>
      </c>
    </row>
    <row r="266" spans="1:13" x14ac:dyDescent="0.25">
      <c r="A266" s="42" t="str">
        <f t="shared" si="15"/>
        <v xml:space="preserve"> </v>
      </c>
      <c r="D266" s="41"/>
      <c r="E266" s="41"/>
      <c r="J266" s="17">
        <f t="shared" si="16"/>
        <v>0</v>
      </c>
      <c r="K266" s="2" t="str">
        <f t="shared" si="17"/>
        <v xml:space="preserve"> </v>
      </c>
      <c r="L266" s="2" t="str">
        <f t="shared" si="18"/>
        <v xml:space="preserve"> </v>
      </c>
      <c r="M266" s="2" t="str">
        <f t="shared" si="19"/>
        <v xml:space="preserve"> </v>
      </c>
    </row>
    <row r="267" spans="1:13" x14ac:dyDescent="0.25">
      <c r="A267" s="42" t="str">
        <f t="shared" si="15"/>
        <v xml:space="preserve"> </v>
      </c>
      <c r="D267" s="41"/>
      <c r="E267" s="41"/>
      <c r="J267" s="17">
        <f t="shared" si="16"/>
        <v>0</v>
      </c>
      <c r="K267" s="2" t="str">
        <f t="shared" si="17"/>
        <v xml:space="preserve"> </v>
      </c>
      <c r="L267" s="2" t="str">
        <f t="shared" si="18"/>
        <v xml:space="preserve"> </v>
      </c>
      <c r="M267" s="2" t="str">
        <f t="shared" si="19"/>
        <v xml:space="preserve"> </v>
      </c>
    </row>
    <row r="268" spans="1:13" x14ac:dyDescent="0.25">
      <c r="A268" s="42" t="str">
        <f t="shared" si="15"/>
        <v xml:space="preserve"> </v>
      </c>
      <c r="D268" s="41"/>
      <c r="E268" s="41"/>
      <c r="J268" s="17">
        <f t="shared" si="16"/>
        <v>0</v>
      </c>
      <c r="K268" s="2" t="str">
        <f t="shared" si="17"/>
        <v xml:space="preserve"> </v>
      </c>
      <c r="L268" s="2" t="str">
        <f t="shared" si="18"/>
        <v xml:space="preserve"> </v>
      </c>
      <c r="M268" s="2" t="str">
        <f t="shared" si="19"/>
        <v xml:space="preserve"> </v>
      </c>
    </row>
    <row r="269" spans="1:13" x14ac:dyDescent="0.25">
      <c r="A269" s="42" t="str">
        <f t="shared" si="15"/>
        <v xml:space="preserve"> </v>
      </c>
      <c r="D269" s="41"/>
      <c r="E269" s="41"/>
      <c r="J269" s="17">
        <f t="shared" si="16"/>
        <v>0</v>
      </c>
      <c r="K269" s="2" t="str">
        <f t="shared" si="17"/>
        <v xml:space="preserve"> </v>
      </c>
      <c r="L269" s="2" t="str">
        <f t="shared" si="18"/>
        <v xml:space="preserve"> </v>
      </c>
      <c r="M269" s="2" t="str">
        <f t="shared" si="19"/>
        <v xml:space="preserve"> </v>
      </c>
    </row>
    <row r="270" spans="1:13" x14ac:dyDescent="0.25">
      <c r="A270" s="42" t="str">
        <f t="shared" si="15"/>
        <v xml:space="preserve"> </v>
      </c>
      <c r="D270" s="41"/>
      <c r="E270" s="41"/>
      <c r="J270" s="17">
        <f t="shared" si="16"/>
        <v>0</v>
      </c>
      <c r="K270" s="2" t="str">
        <f t="shared" si="17"/>
        <v xml:space="preserve"> </v>
      </c>
      <c r="L270" s="2" t="str">
        <f t="shared" si="18"/>
        <v xml:space="preserve"> </v>
      </c>
      <c r="M270" s="2" t="str">
        <f t="shared" si="19"/>
        <v xml:space="preserve"> </v>
      </c>
    </row>
    <row r="271" spans="1:13" x14ac:dyDescent="0.25">
      <c r="A271" s="42" t="str">
        <f t="shared" ref="A271:A334" si="20">IF(COUNTIF(K271:M271,"ERROR")&gt;0,"ERROR"," ")</f>
        <v xml:space="preserve"> </v>
      </c>
      <c r="D271" s="41"/>
      <c r="E271" s="41"/>
      <c r="J271" s="17">
        <f t="shared" ref="J271:J334" si="21">F271-G271+H271-I271</f>
        <v>0</v>
      </c>
      <c r="K271" s="2" t="str">
        <f t="shared" si="17"/>
        <v xml:space="preserve"> </v>
      </c>
      <c r="L271" s="2" t="str">
        <f t="shared" si="18"/>
        <v xml:space="preserve"> </v>
      </c>
      <c r="M271" s="2" t="str">
        <f t="shared" si="19"/>
        <v xml:space="preserve"> </v>
      </c>
    </row>
    <row r="272" spans="1:13" x14ac:dyDescent="0.25">
      <c r="A272" s="42" t="str">
        <f t="shared" si="20"/>
        <v xml:space="preserve"> </v>
      </c>
      <c r="D272" s="41"/>
      <c r="E272" s="41"/>
      <c r="J272" s="17">
        <f t="shared" si="21"/>
        <v>0</v>
      </c>
      <c r="K272" s="2" t="str">
        <f t="shared" ref="K272:K335" si="22">IF(COUNTA(D272:E272)=2,"ERROR"," ")</f>
        <v xml:space="preserve"> </v>
      </c>
      <c r="L272" s="2" t="str">
        <f t="shared" ref="L272:L335" si="23">IF(D272=0," ",IF(COUNTIF(ProfitLoss,D272)&gt;0," ","ERROR"))</f>
        <v xml:space="preserve"> </v>
      </c>
      <c r="M272" s="2" t="str">
        <f t="shared" ref="M272:M335" si="24">IF(E272=0," ",IF(COUNTIF(BalanceSheet,E272)&gt;0," ","ERROR"))</f>
        <v xml:space="preserve"> </v>
      </c>
    </row>
    <row r="273" spans="1:13" x14ac:dyDescent="0.25">
      <c r="A273" s="42" t="str">
        <f t="shared" si="20"/>
        <v xml:space="preserve"> </v>
      </c>
      <c r="D273" s="41"/>
      <c r="E273" s="41"/>
      <c r="J273" s="17">
        <f t="shared" si="21"/>
        <v>0</v>
      </c>
      <c r="K273" s="2" t="str">
        <f t="shared" si="22"/>
        <v xml:space="preserve"> </v>
      </c>
      <c r="L273" s="2" t="str">
        <f t="shared" si="23"/>
        <v xml:space="preserve"> </v>
      </c>
      <c r="M273" s="2" t="str">
        <f t="shared" si="24"/>
        <v xml:space="preserve"> </v>
      </c>
    </row>
    <row r="274" spans="1:13" x14ac:dyDescent="0.25">
      <c r="A274" s="42" t="str">
        <f t="shared" si="20"/>
        <v xml:space="preserve"> </v>
      </c>
      <c r="D274" s="41"/>
      <c r="E274" s="41"/>
      <c r="J274" s="17">
        <f t="shared" si="21"/>
        <v>0</v>
      </c>
      <c r="K274" s="2" t="str">
        <f t="shared" si="22"/>
        <v xml:space="preserve"> </v>
      </c>
      <c r="L274" s="2" t="str">
        <f t="shared" si="23"/>
        <v xml:space="preserve"> </v>
      </c>
      <c r="M274" s="2" t="str">
        <f t="shared" si="24"/>
        <v xml:space="preserve"> </v>
      </c>
    </row>
    <row r="275" spans="1:13" x14ac:dyDescent="0.25">
      <c r="A275" s="42" t="str">
        <f t="shared" si="20"/>
        <v xml:space="preserve"> </v>
      </c>
      <c r="D275" s="41"/>
      <c r="E275" s="41"/>
      <c r="J275" s="17">
        <f t="shared" si="21"/>
        <v>0</v>
      </c>
      <c r="K275" s="2" t="str">
        <f t="shared" si="22"/>
        <v xml:space="preserve"> </v>
      </c>
      <c r="L275" s="2" t="str">
        <f t="shared" si="23"/>
        <v xml:space="preserve"> </v>
      </c>
      <c r="M275" s="2" t="str">
        <f t="shared" si="24"/>
        <v xml:space="preserve"> </v>
      </c>
    </row>
    <row r="276" spans="1:13" x14ac:dyDescent="0.25">
      <c r="A276" s="42" t="str">
        <f t="shared" si="20"/>
        <v xml:space="preserve"> </v>
      </c>
      <c r="D276" s="41"/>
      <c r="E276" s="41"/>
      <c r="J276" s="17">
        <f t="shared" si="21"/>
        <v>0</v>
      </c>
      <c r="K276" s="2" t="str">
        <f t="shared" si="22"/>
        <v xml:space="preserve"> </v>
      </c>
      <c r="L276" s="2" t="str">
        <f t="shared" si="23"/>
        <v xml:space="preserve"> </v>
      </c>
      <c r="M276" s="2" t="str">
        <f t="shared" si="24"/>
        <v xml:space="preserve"> </v>
      </c>
    </row>
    <row r="277" spans="1:13" x14ac:dyDescent="0.25">
      <c r="A277" s="42" t="str">
        <f t="shared" si="20"/>
        <v xml:space="preserve"> </v>
      </c>
      <c r="D277" s="41"/>
      <c r="E277" s="41"/>
      <c r="J277" s="17">
        <f t="shared" si="21"/>
        <v>0</v>
      </c>
      <c r="K277" s="2" t="str">
        <f t="shared" si="22"/>
        <v xml:space="preserve"> </v>
      </c>
      <c r="L277" s="2" t="str">
        <f t="shared" si="23"/>
        <v xml:space="preserve"> </v>
      </c>
      <c r="M277" s="2" t="str">
        <f t="shared" si="24"/>
        <v xml:space="preserve"> </v>
      </c>
    </row>
    <row r="278" spans="1:13" x14ac:dyDescent="0.25">
      <c r="A278" s="42" t="str">
        <f t="shared" si="20"/>
        <v xml:space="preserve"> </v>
      </c>
      <c r="D278" s="41"/>
      <c r="E278" s="41"/>
      <c r="J278" s="17">
        <f t="shared" si="21"/>
        <v>0</v>
      </c>
      <c r="K278" s="2" t="str">
        <f t="shared" si="22"/>
        <v xml:space="preserve"> </v>
      </c>
      <c r="L278" s="2" t="str">
        <f t="shared" si="23"/>
        <v xml:space="preserve"> </v>
      </c>
      <c r="M278" s="2" t="str">
        <f t="shared" si="24"/>
        <v xml:space="preserve"> </v>
      </c>
    </row>
    <row r="279" spans="1:13" x14ac:dyDescent="0.25">
      <c r="A279" s="42" t="str">
        <f t="shared" si="20"/>
        <v xml:space="preserve"> </v>
      </c>
      <c r="D279" s="41"/>
      <c r="E279" s="41"/>
      <c r="J279" s="17">
        <f t="shared" si="21"/>
        <v>0</v>
      </c>
      <c r="K279" s="2" t="str">
        <f t="shared" si="22"/>
        <v xml:space="preserve"> </v>
      </c>
      <c r="L279" s="2" t="str">
        <f t="shared" si="23"/>
        <v xml:space="preserve"> </v>
      </c>
      <c r="M279" s="2" t="str">
        <f t="shared" si="24"/>
        <v xml:space="preserve"> </v>
      </c>
    </row>
    <row r="280" spans="1:13" x14ac:dyDescent="0.25">
      <c r="A280" s="42" t="str">
        <f t="shared" si="20"/>
        <v xml:space="preserve"> </v>
      </c>
      <c r="D280" s="41"/>
      <c r="E280" s="41"/>
      <c r="J280" s="17">
        <f t="shared" si="21"/>
        <v>0</v>
      </c>
      <c r="K280" s="2" t="str">
        <f t="shared" si="22"/>
        <v xml:space="preserve"> </v>
      </c>
      <c r="L280" s="2" t="str">
        <f t="shared" si="23"/>
        <v xml:space="preserve"> </v>
      </c>
      <c r="M280" s="2" t="str">
        <f t="shared" si="24"/>
        <v xml:space="preserve"> </v>
      </c>
    </row>
    <row r="281" spans="1:13" x14ac:dyDescent="0.25">
      <c r="A281" s="42" t="str">
        <f t="shared" si="20"/>
        <v xml:space="preserve"> </v>
      </c>
      <c r="D281" s="41"/>
      <c r="E281" s="41"/>
      <c r="J281" s="17">
        <f t="shared" si="21"/>
        <v>0</v>
      </c>
      <c r="K281" s="2" t="str">
        <f t="shared" si="22"/>
        <v xml:space="preserve"> </v>
      </c>
      <c r="L281" s="2" t="str">
        <f t="shared" si="23"/>
        <v xml:space="preserve"> </v>
      </c>
      <c r="M281" s="2" t="str">
        <f t="shared" si="24"/>
        <v xml:space="preserve"> </v>
      </c>
    </row>
    <row r="282" spans="1:13" x14ac:dyDescent="0.25">
      <c r="A282" s="42" t="str">
        <f t="shared" si="20"/>
        <v xml:space="preserve"> </v>
      </c>
      <c r="D282" s="41"/>
      <c r="E282" s="41"/>
      <c r="J282" s="17">
        <f t="shared" si="21"/>
        <v>0</v>
      </c>
      <c r="K282" s="2" t="str">
        <f t="shared" si="22"/>
        <v xml:space="preserve"> </v>
      </c>
      <c r="L282" s="2" t="str">
        <f t="shared" si="23"/>
        <v xml:space="preserve"> </v>
      </c>
      <c r="M282" s="2" t="str">
        <f t="shared" si="24"/>
        <v xml:space="preserve"> </v>
      </c>
    </row>
    <row r="283" spans="1:13" x14ac:dyDescent="0.25">
      <c r="A283" s="42" t="str">
        <f t="shared" si="20"/>
        <v xml:space="preserve"> </v>
      </c>
      <c r="D283" s="41"/>
      <c r="E283" s="41"/>
      <c r="J283" s="17">
        <f t="shared" si="21"/>
        <v>0</v>
      </c>
      <c r="K283" s="2" t="str">
        <f t="shared" si="22"/>
        <v xml:space="preserve"> </v>
      </c>
      <c r="L283" s="2" t="str">
        <f t="shared" si="23"/>
        <v xml:space="preserve"> </v>
      </c>
      <c r="M283" s="2" t="str">
        <f t="shared" si="24"/>
        <v xml:space="preserve"> </v>
      </c>
    </row>
    <row r="284" spans="1:13" x14ac:dyDescent="0.25">
      <c r="A284" s="42" t="str">
        <f t="shared" si="20"/>
        <v xml:space="preserve"> </v>
      </c>
      <c r="D284" s="41"/>
      <c r="E284" s="41"/>
      <c r="J284" s="17">
        <f t="shared" si="21"/>
        <v>0</v>
      </c>
      <c r="K284" s="2" t="str">
        <f t="shared" si="22"/>
        <v xml:space="preserve"> </v>
      </c>
      <c r="L284" s="2" t="str">
        <f t="shared" si="23"/>
        <v xml:space="preserve"> </v>
      </c>
      <c r="M284" s="2" t="str">
        <f t="shared" si="24"/>
        <v xml:space="preserve"> </v>
      </c>
    </row>
    <row r="285" spans="1:13" x14ac:dyDescent="0.25">
      <c r="A285" s="42" t="str">
        <f t="shared" si="20"/>
        <v xml:space="preserve"> </v>
      </c>
      <c r="D285" s="41"/>
      <c r="E285" s="41"/>
      <c r="J285" s="17">
        <f t="shared" si="21"/>
        <v>0</v>
      </c>
      <c r="K285" s="2" t="str">
        <f t="shared" si="22"/>
        <v xml:space="preserve"> </v>
      </c>
      <c r="L285" s="2" t="str">
        <f t="shared" si="23"/>
        <v xml:space="preserve"> </v>
      </c>
      <c r="M285" s="2" t="str">
        <f t="shared" si="24"/>
        <v xml:space="preserve"> </v>
      </c>
    </row>
    <row r="286" spans="1:13" x14ac:dyDescent="0.25">
      <c r="A286" s="42" t="str">
        <f t="shared" si="20"/>
        <v xml:space="preserve"> </v>
      </c>
      <c r="D286" s="41"/>
      <c r="E286" s="41"/>
      <c r="J286" s="17">
        <f t="shared" si="21"/>
        <v>0</v>
      </c>
      <c r="K286" s="2" t="str">
        <f t="shared" si="22"/>
        <v xml:space="preserve"> </v>
      </c>
      <c r="L286" s="2" t="str">
        <f t="shared" si="23"/>
        <v xml:space="preserve"> </v>
      </c>
      <c r="M286" s="2" t="str">
        <f t="shared" si="24"/>
        <v xml:space="preserve"> </v>
      </c>
    </row>
    <row r="287" spans="1:13" x14ac:dyDescent="0.25">
      <c r="A287" s="42" t="str">
        <f t="shared" si="20"/>
        <v xml:space="preserve"> </v>
      </c>
      <c r="D287" s="41"/>
      <c r="E287" s="41"/>
      <c r="J287" s="17">
        <f t="shared" si="21"/>
        <v>0</v>
      </c>
      <c r="K287" s="2" t="str">
        <f t="shared" si="22"/>
        <v xml:space="preserve"> </v>
      </c>
      <c r="L287" s="2" t="str">
        <f t="shared" si="23"/>
        <v xml:space="preserve"> </v>
      </c>
      <c r="M287" s="2" t="str">
        <f t="shared" si="24"/>
        <v xml:space="preserve"> </v>
      </c>
    </row>
    <row r="288" spans="1:13" x14ac:dyDescent="0.25">
      <c r="A288" s="42" t="str">
        <f t="shared" si="20"/>
        <v xml:space="preserve"> </v>
      </c>
      <c r="D288" s="41"/>
      <c r="E288" s="41"/>
      <c r="J288" s="17">
        <f t="shared" si="21"/>
        <v>0</v>
      </c>
      <c r="K288" s="2" t="str">
        <f t="shared" si="22"/>
        <v xml:space="preserve"> </v>
      </c>
      <c r="L288" s="2" t="str">
        <f t="shared" si="23"/>
        <v xml:space="preserve"> </v>
      </c>
      <c r="M288" s="2" t="str">
        <f t="shared" si="24"/>
        <v xml:space="preserve"> </v>
      </c>
    </row>
    <row r="289" spans="1:13" x14ac:dyDescent="0.25">
      <c r="A289" s="42" t="str">
        <f t="shared" si="20"/>
        <v xml:space="preserve"> </v>
      </c>
      <c r="D289" s="41"/>
      <c r="E289" s="41"/>
      <c r="J289" s="17">
        <f t="shared" si="21"/>
        <v>0</v>
      </c>
      <c r="K289" s="2" t="str">
        <f t="shared" si="22"/>
        <v xml:space="preserve"> </v>
      </c>
      <c r="L289" s="2" t="str">
        <f t="shared" si="23"/>
        <v xml:space="preserve"> </v>
      </c>
      <c r="M289" s="2" t="str">
        <f t="shared" si="24"/>
        <v xml:space="preserve"> </v>
      </c>
    </row>
    <row r="290" spans="1:13" x14ac:dyDescent="0.25">
      <c r="A290" s="42" t="str">
        <f t="shared" si="20"/>
        <v xml:space="preserve"> </v>
      </c>
      <c r="D290" s="41"/>
      <c r="E290" s="41"/>
      <c r="J290" s="17">
        <f t="shared" si="21"/>
        <v>0</v>
      </c>
      <c r="K290" s="2" t="str">
        <f t="shared" si="22"/>
        <v xml:space="preserve"> </v>
      </c>
      <c r="L290" s="2" t="str">
        <f t="shared" si="23"/>
        <v xml:space="preserve"> </v>
      </c>
      <c r="M290" s="2" t="str">
        <f t="shared" si="24"/>
        <v xml:space="preserve"> </v>
      </c>
    </row>
    <row r="291" spans="1:13" x14ac:dyDescent="0.25">
      <c r="A291" s="42" t="str">
        <f t="shared" si="20"/>
        <v xml:space="preserve"> </v>
      </c>
      <c r="D291" s="41"/>
      <c r="E291" s="41"/>
      <c r="J291" s="17">
        <f t="shared" si="21"/>
        <v>0</v>
      </c>
      <c r="K291" s="2" t="str">
        <f t="shared" si="22"/>
        <v xml:space="preserve"> </v>
      </c>
      <c r="L291" s="2" t="str">
        <f t="shared" si="23"/>
        <v xml:space="preserve"> </v>
      </c>
      <c r="M291" s="2" t="str">
        <f t="shared" si="24"/>
        <v xml:space="preserve"> </v>
      </c>
    </row>
    <row r="292" spans="1:13" x14ac:dyDescent="0.25">
      <c r="A292" s="42" t="str">
        <f t="shared" si="20"/>
        <v xml:space="preserve"> </v>
      </c>
      <c r="D292" s="41"/>
      <c r="E292" s="41"/>
      <c r="J292" s="17">
        <f t="shared" si="21"/>
        <v>0</v>
      </c>
      <c r="K292" s="2" t="str">
        <f t="shared" si="22"/>
        <v xml:space="preserve"> </v>
      </c>
      <c r="L292" s="2" t="str">
        <f t="shared" si="23"/>
        <v xml:space="preserve"> </v>
      </c>
      <c r="M292" s="2" t="str">
        <f t="shared" si="24"/>
        <v xml:space="preserve"> </v>
      </c>
    </row>
    <row r="293" spans="1:13" x14ac:dyDescent="0.25">
      <c r="A293" s="42" t="str">
        <f t="shared" si="20"/>
        <v xml:space="preserve"> </v>
      </c>
      <c r="D293" s="41"/>
      <c r="E293" s="41"/>
      <c r="J293" s="17">
        <f t="shared" si="21"/>
        <v>0</v>
      </c>
      <c r="K293" s="2" t="str">
        <f t="shared" si="22"/>
        <v xml:space="preserve"> </v>
      </c>
      <c r="L293" s="2" t="str">
        <f t="shared" si="23"/>
        <v xml:space="preserve"> </v>
      </c>
      <c r="M293" s="2" t="str">
        <f t="shared" si="24"/>
        <v xml:space="preserve"> </v>
      </c>
    </row>
    <row r="294" spans="1:13" x14ac:dyDescent="0.25">
      <c r="A294" s="42" t="str">
        <f t="shared" si="20"/>
        <v xml:space="preserve"> </v>
      </c>
      <c r="D294" s="41"/>
      <c r="E294" s="41"/>
      <c r="J294" s="17">
        <f t="shared" si="21"/>
        <v>0</v>
      </c>
      <c r="K294" s="2" t="str">
        <f t="shared" si="22"/>
        <v xml:space="preserve"> </v>
      </c>
      <c r="L294" s="2" t="str">
        <f t="shared" si="23"/>
        <v xml:space="preserve"> </v>
      </c>
      <c r="M294" s="2" t="str">
        <f t="shared" si="24"/>
        <v xml:space="preserve"> </v>
      </c>
    </row>
    <row r="295" spans="1:13" x14ac:dyDescent="0.25">
      <c r="A295" s="42" t="str">
        <f t="shared" si="20"/>
        <v xml:space="preserve"> </v>
      </c>
      <c r="D295" s="41"/>
      <c r="E295" s="41"/>
      <c r="J295" s="17">
        <f t="shared" si="21"/>
        <v>0</v>
      </c>
      <c r="K295" s="2" t="str">
        <f t="shared" si="22"/>
        <v xml:space="preserve"> </v>
      </c>
      <c r="L295" s="2" t="str">
        <f t="shared" si="23"/>
        <v xml:space="preserve"> </v>
      </c>
      <c r="M295" s="2" t="str">
        <f t="shared" si="24"/>
        <v xml:space="preserve"> </v>
      </c>
    </row>
    <row r="296" spans="1:13" x14ac:dyDescent="0.25">
      <c r="A296" s="42" t="str">
        <f t="shared" si="20"/>
        <v xml:space="preserve"> </v>
      </c>
      <c r="D296" s="41"/>
      <c r="E296" s="41"/>
      <c r="J296" s="17">
        <f t="shared" si="21"/>
        <v>0</v>
      </c>
      <c r="K296" s="2" t="str">
        <f t="shared" si="22"/>
        <v xml:space="preserve"> </v>
      </c>
      <c r="L296" s="2" t="str">
        <f t="shared" si="23"/>
        <v xml:space="preserve"> </v>
      </c>
      <c r="M296" s="2" t="str">
        <f t="shared" si="24"/>
        <v xml:space="preserve"> </v>
      </c>
    </row>
    <row r="297" spans="1:13" x14ac:dyDescent="0.25">
      <c r="A297" s="42" t="str">
        <f t="shared" si="20"/>
        <v xml:space="preserve"> </v>
      </c>
      <c r="D297" s="41"/>
      <c r="E297" s="41"/>
      <c r="J297" s="17">
        <f t="shared" si="21"/>
        <v>0</v>
      </c>
      <c r="K297" s="2" t="str">
        <f t="shared" si="22"/>
        <v xml:space="preserve"> </v>
      </c>
      <c r="L297" s="2" t="str">
        <f t="shared" si="23"/>
        <v xml:space="preserve"> </v>
      </c>
      <c r="M297" s="2" t="str">
        <f t="shared" si="24"/>
        <v xml:space="preserve"> </v>
      </c>
    </row>
    <row r="298" spans="1:13" x14ac:dyDescent="0.25">
      <c r="A298" s="42" t="str">
        <f t="shared" si="20"/>
        <v xml:space="preserve"> </v>
      </c>
      <c r="D298" s="41"/>
      <c r="E298" s="41"/>
      <c r="J298" s="17">
        <f t="shared" si="21"/>
        <v>0</v>
      </c>
      <c r="K298" s="2" t="str">
        <f t="shared" si="22"/>
        <v xml:space="preserve"> </v>
      </c>
      <c r="L298" s="2" t="str">
        <f t="shared" si="23"/>
        <v xml:space="preserve"> </v>
      </c>
      <c r="M298" s="2" t="str">
        <f t="shared" si="24"/>
        <v xml:space="preserve"> </v>
      </c>
    </row>
    <row r="299" spans="1:13" x14ac:dyDescent="0.25">
      <c r="A299" s="42" t="str">
        <f t="shared" si="20"/>
        <v xml:space="preserve"> </v>
      </c>
      <c r="D299" s="41"/>
      <c r="E299" s="41"/>
      <c r="J299" s="17">
        <f t="shared" si="21"/>
        <v>0</v>
      </c>
      <c r="K299" s="2" t="str">
        <f t="shared" si="22"/>
        <v xml:space="preserve"> </v>
      </c>
      <c r="L299" s="2" t="str">
        <f t="shared" si="23"/>
        <v xml:space="preserve"> </v>
      </c>
      <c r="M299" s="2" t="str">
        <f t="shared" si="24"/>
        <v xml:space="preserve"> </v>
      </c>
    </row>
    <row r="300" spans="1:13" x14ac:dyDescent="0.25">
      <c r="A300" s="42" t="str">
        <f t="shared" si="20"/>
        <v xml:space="preserve"> </v>
      </c>
      <c r="D300" s="41"/>
      <c r="E300" s="41"/>
      <c r="J300" s="17">
        <f t="shared" si="21"/>
        <v>0</v>
      </c>
      <c r="K300" s="2" t="str">
        <f t="shared" si="22"/>
        <v xml:space="preserve"> </v>
      </c>
      <c r="L300" s="2" t="str">
        <f t="shared" si="23"/>
        <v xml:space="preserve"> </v>
      </c>
      <c r="M300" s="2" t="str">
        <f t="shared" si="24"/>
        <v xml:space="preserve"> </v>
      </c>
    </row>
    <row r="301" spans="1:13" x14ac:dyDescent="0.25">
      <c r="A301" s="42" t="str">
        <f t="shared" si="20"/>
        <v xml:space="preserve"> </v>
      </c>
      <c r="D301" s="41"/>
      <c r="E301" s="41"/>
      <c r="J301" s="17">
        <f t="shared" si="21"/>
        <v>0</v>
      </c>
      <c r="K301" s="2" t="str">
        <f t="shared" si="22"/>
        <v xml:space="preserve"> </v>
      </c>
      <c r="L301" s="2" t="str">
        <f t="shared" si="23"/>
        <v xml:space="preserve"> </v>
      </c>
      <c r="M301" s="2" t="str">
        <f t="shared" si="24"/>
        <v xml:space="preserve"> </v>
      </c>
    </row>
    <row r="302" spans="1:13" x14ac:dyDescent="0.25">
      <c r="A302" s="42" t="str">
        <f t="shared" si="20"/>
        <v xml:space="preserve"> </v>
      </c>
      <c r="D302" s="41"/>
      <c r="E302" s="41"/>
      <c r="J302" s="17">
        <f t="shared" si="21"/>
        <v>0</v>
      </c>
      <c r="K302" s="2" t="str">
        <f t="shared" si="22"/>
        <v xml:space="preserve"> </v>
      </c>
      <c r="L302" s="2" t="str">
        <f t="shared" si="23"/>
        <v xml:space="preserve"> </v>
      </c>
      <c r="M302" s="2" t="str">
        <f t="shared" si="24"/>
        <v xml:space="preserve"> </v>
      </c>
    </row>
    <row r="303" spans="1:13" x14ac:dyDescent="0.25">
      <c r="A303" s="42" t="str">
        <f t="shared" si="20"/>
        <v xml:space="preserve"> </v>
      </c>
      <c r="D303" s="41"/>
      <c r="E303" s="41"/>
      <c r="J303" s="17">
        <f t="shared" si="21"/>
        <v>0</v>
      </c>
      <c r="K303" s="2" t="str">
        <f t="shared" si="22"/>
        <v xml:space="preserve"> </v>
      </c>
      <c r="L303" s="2" t="str">
        <f t="shared" si="23"/>
        <v xml:space="preserve"> </v>
      </c>
      <c r="M303" s="2" t="str">
        <f t="shared" si="24"/>
        <v xml:space="preserve"> </v>
      </c>
    </row>
    <row r="304" spans="1:13" x14ac:dyDescent="0.25">
      <c r="A304" s="42" t="str">
        <f t="shared" si="20"/>
        <v xml:space="preserve"> </v>
      </c>
      <c r="D304" s="41"/>
      <c r="E304" s="41"/>
      <c r="J304" s="17">
        <f t="shared" si="21"/>
        <v>0</v>
      </c>
      <c r="K304" s="2" t="str">
        <f t="shared" si="22"/>
        <v xml:space="preserve"> </v>
      </c>
      <c r="L304" s="2" t="str">
        <f t="shared" si="23"/>
        <v xml:space="preserve"> </v>
      </c>
      <c r="M304" s="2" t="str">
        <f t="shared" si="24"/>
        <v xml:space="preserve"> </v>
      </c>
    </row>
    <row r="305" spans="1:13" x14ac:dyDescent="0.25">
      <c r="A305" s="42" t="str">
        <f t="shared" si="20"/>
        <v xml:space="preserve"> </v>
      </c>
      <c r="D305" s="41"/>
      <c r="E305" s="41"/>
      <c r="J305" s="17">
        <f t="shared" si="21"/>
        <v>0</v>
      </c>
      <c r="K305" s="2" t="str">
        <f t="shared" si="22"/>
        <v xml:space="preserve"> </v>
      </c>
      <c r="L305" s="2" t="str">
        <f t="shared" si="23"/>
        <v xml:space="preserve"> </v>
      </c>
      <c r="M305" s="2" t="str">
        <f t="shared" si="24"/>
        <v xml:space="preserve"> </v>
      </c>
    </row>
    <row r="306" spans="1:13" x14ac:dyDescent="0.25">
      <c r="A306" s="42" t="str">
        <f t="shared" si="20"/>
        <v xml:space="preserve"> </v>
      </c>
      <c r="D306" s="41"/>
      <c r="E306" s="41"/>
      <c r="J306" s="17">
        <f t="shared" si="21"/>
        <v>0</v>
      </c>
      <c r="K306" s="2" t="str">
        <f t="shared" si="22"/>
        <v xml:space="preserve"> </v>
      </c>
      <c r="L306" s="2" t="str">
        <f t="shared" si="23"/>
        <v xml:space="preserve"> </v>
      </c>
      <c r="M306" s="2" t="str">
        <f t="shared" si="24"/>
        <v xml:space="preserve"> </v>
      </c>
    </row>
    <row r="307" spans="1:13" x14ac:dyDescent="0.25">
      <c r="A307" s="42" t="str">
        <f t="shared" si="20"/>
        <v xml:space="preserve"> </v>
      </c>
      <c r="D307" s="41"/>
      <c r="E307" s="41"/>
      <c r="J307" s="17">
        <f t="shared" si="21"/>
        <v>0</v>
      </c>
      <c r="K307" s="2" t="str">
        <f t="shared" si="22"/>
        <v xml:space="preserve"> </v>
      </c>
      <c r="L307" s="2" t="str">
        <f t="shared" si="23"/>
        <v xml:space="preserve"> </v>
      </c>
      <c r="M307" s="2" t="str">
        <f t="shared" si="24"/>
        <v xml:space="preserve"> </v>
      </c>
    </row>
    <row r="308" spans="1:13" x14ac:dyDescent="0.25">
      <c r="A308" s="42" t="str">
        <f t="shared" si="20"/>
        <v xml:space="preserve"> </v>
      </c>
      <c r="D308" s="41"/>
      <c r="E308" s="41"/>
      <c r="J308" s="17">
        <f t="shared" si="21"/>
        <v>0</v>
      </c>
      <c r="K308" s="2" t="str">
        <f t="shared" si="22"/>
        <v xml:space="preserve"> </v>
      </c>
      <c r="L308" s="2" t="str">
        <f t="shared" si="23"/>
        <v xml:space="preserve"> </v>
      </c>
      <c r="M308" s="2" t="str">
        <f t="shared" si="24"/>
        <v xml:space="preserve"> </v>
      </c>
    </row>
    <row r="309" spans="1:13" x14ac:dyDescent="0.25">
      <c r="A309" s="42" t="str">
        <f t="shared" si="20"/>
        <v xml:space="preserve"> </v>
      </c>
      <c r="D309" s="41"/>
      <c r="E309" s="41"/>
      <c r="J309" s="17">
        <f t="shared" si="21"/>
        <v>0</v>
      </c>
      <c r="K309" s="2" t="str">
        <f t="shared" si="22"/>
        <v xml:space="preserve"> </v>
      </c>
      <c r="L309" s="2" t="str">
        <f t="shared" si="23"/>
        <v xml:space="preserve"> </v>
      </c>
      <c r="M309" s="2" t="str">
        <f t="shared" si="24"/>
        <v xml:space="preserve"> </v>
      </c>
    </row>
    <row r="310" spans="1:13" x14ac:dyDescent="0.25">
      <c r="A310" s="42" t="str">
        <f t="shared" si="20"/>
        <v xml:space="preserve"> </v>
      </c>
      <c r="D310" s="41"/>
      <c r="E310" s="41"/>
      <c r="J310" s="17">
        <f t="shared" si="21"/>
        <v>0</v>
      </c>
      <c r="K310" s="2" t="str">
        <f t="shared" si="22"/>
        <v xml:space="preserve"> </v>
      </c>
      <c r="L310" s="2" t="str">
        <f t="shared" si="23"/>
        <v xml:space="preserve"> </v>
      </c>
      <c r="M310" s="2" t="str">
        <f t="shared" si="24"/>
        <v xml:space="preserve"> </v>
      </c>
    </row>
    <row r="311" spans="1:13" x14ac:dyDescent="0.25">
      <c r="A311" s="42" t="str">
        <f t="shared" si="20"/>
        <v xml:space="preserve"> </v>
      </c>
      <c r="D311" s="41"/>
      <c r="E311" s="41"/>
      <c r="J311" s="17">
        <f t="shared" si="21"/>
        <v>0</v>
      </c>
      <c r="K311" s="2" t="str">
        <f t="shared" si="22"/>
        <v xml:space="preserve"> </v>
      </c>
      <c r="L311" s="2" t="str">
        <f t="shared" si="23"/>
        <v xml:space="preserve"> </v>
      </c>
      <c r="M311" s="2" t="str">
        <f t="shared" si="24"/>
        <v xml:space="preserve"> </v>
      </c>
    </row>
    <row r="312" spans="1:13" x14ac:dyDescent="0.25">
      <c r="A312" s="42" t="str">
        <f t="shared" si="20"/>
        <v xml:space="preserve"> </v>
      </c>
      <c r="D312" s="41"/>
      <c r="E312" s="41"/>
      <c r="J312" s="17">
        <f t="shared" si="21"/>
        <v>0</v>
      </c>
      <c r="K312" s="2" t="str">
        <f t="shared" si="22"/>
        <v xml:space="preserve"> </v>
      </c>
      <c r="L312" s="2" t="str">
        <f t="shared" si="23"/>
        <v xml:space="preserve"> </v>
      </c>
      <c r="M312" s="2" t="str">
        <f t="shared" si="24"/>
        <v xml:space="preserve"> </v>
      </c>
    </row>
    <row r="313" spans="1:13" x14ac:dyDescent="0.25">
      <c r="A313" s="42" t="str">
        <f t="shared" si="20"/>
        <v xml:space="preserve"> </v>
      </c>
      <c r="D313" s="41"/>
      <c r="E313" s="41"/>
      <c r="J313" s="17">
        <f t="shared" si="21"/>
        <v>0</v>
      </c>
      <c r="K313" s="2" t="str">
        <f t="shared" si="22"/>
        <v xml:space="preserve"> </v>
      </c>
      <c r="L313" s="2" t="str">
        <f t="shared" si="23"/>
        <v xml:space="preserve"> </v>
      </c>
      <c r="M313" s="2" t="str">
        <f t="shared" si="24"/>
        <v xml:space="preserve"> </v>
      </c>
    </row>
    <row r="314" spans="1:13" x14ac:dyDescent="0.25">
      <c r="A314" s="42" t="str">
        <f t="shared" si="20"/>
        <v xml:space="preserve"> </v>
      </c>
      <c r="D314" s="41"/>
      <c r="E314" s="41"/>
      <c r="J314" s="17">
        <f t="shared" si="21"/>
        <v>0</v>
      </c>
      <c r="K314" s="2" t="str">
        <f t="shared" si="22"/>
        <v xml:space="preserve"> </v>
      </c>
      <c r="L314" s="2" t="str">
        <f t="shared" si="23"/>
        <v xml:space="preserve"> </v>
      </c>
      <c r="M314" s="2" t="str">
        <f t="shared" si="24"/>
        <v xml:space="preserve"> </v>
      </c>
    </row>
    <row r="315" spans="1:13" x14ac:dyDescent="0.25">
      <c r="A315" s="42" t="str">
        <f t="shared" si="20"/>
        <v xml:space="preserve"> </v>
      </c>
      <c r="D315" s="41"/>
      <c r="E315" s="41"/>
      <c r="J315" s="17">
        <f t="shared" si="21"/>
        <v>0</v>
      </c>
      <c r="K315" s="2" t="str">
        <f t="shared" si="22"/>
        <v xml:space="preserve"> </v>
      </c>
      <c r="L315" s="2" t="str">
        <f t="shared" si="23"/>
        <v xml:space="preserve"> </v>
      </c>
      <c r="M315" s="2" t="str">
        <f t="shared" si="24"/>
        <v xml:space="preserve"> </v>
      </c>
    </row>
    <row r="316" spans="1:13" x14ac:dyDescent="0.25">
      <c r="A316" s="42" t="str">
        <f t="shared" si="20"/>
        <v xml:space="preserve"> </v>
      </c>
      <c r="D316" s="41"/>
      <c r="E316" s="41"/>
      <c r="J316" s="17">
        <f t="shared" si="21"/>
        <v>0</v>
      </c>
      <c r="K316" s="2" t="str">
        <f t="shared" si="22"/>
        <v xml:space="preserve"> </v>
      </c>
      <c r="L316" s="2" t="str">
        <f t="shared" si="23"/>
        <v xml:space="preserve"> </v>
      </c>
      <c r="M316" s="2" t="str">
        <f t="shared" si="24"/>
        <v xml:space="preserve"> </v>
      </c>
    </row>
    <row r="317" spans="1:13" x14ac:dyDescent="0.25">
      <c r="A317" s="42" t="str">
        <f t="shared" si="20"/>
        <v xml:space="preserve"> </v>
      </c>
      <c r="D317" s="41"/>
      <c r="E317" s="41"/>
      <c r="J317" s="17">
        <f t="shared" si="21"/>
        <v>0</v>
      </c>
      <c r="K317" s="2" t="str">
        <f t="shared" si="22"/>
        <v xml:space="preserve"> </v>
      </c>
      <c r="L317" s="2" t="str">
        <f t="shared" si="23"/>
        <v xml:space="preserve"> </v>
      </c>
      <c r="M317" s="2" t="str">
        <f t="shared" si="24"/>
        <v xml:space="preserve"> </v>
      </c>
    </row>
    <row r="318" spans="1:13" x14ac:dyDescent="0.25">
      <c r="A318" s="42" t="str">
        <f t="shared" si="20"/>
        <v xml:space="preserve"> </v>
      </c>
      <c r="D318" s="41"/>
      <c r="E318" s="41"/>
      <c r="J318" s="17">
        <f t="shared" si="21"/>
        <v>0</v>
      </c>
      <c r="K318" s="2" t="str">
        <f t="shared" si="22"/>
        <v xml:space="preserve"> </v>
      </c>
      <c r="L318" s="2" t="str">
        <f t="shared" si="23"/>
        <v xml:space="preserve"> </v>
      </c>
      <c r="M318" s="2" t="str">
        <f t="shared" si="24"/>
        <v xml:space="preserve"> </v>
      </c>
    </row>
    <row r="319" spans="1:13" x14ac:dyDescent="0.25">
      <c r="A319" s="42" t="str">
        <f t="shared" si="20"/>
        <v xml:space="preserve"> </v>
      </c>
      <c r="D319" s="41"/>
      <c r="E319" s="41"/>
      <c r="J319" s="17">
        <f t="shared" si="21"/>
        <v>0</v>
      </c>
      <c r="K319" s="2" t="str">
        <f t="shared" si="22"/>
        <v xml:space="preserve"> </v>
      </c>
      <c r="L319" s="2" t="str">
        <f t="shared" si="23"/>
        <v xml:space="preserve"> </v>
      </c>
      <c r="M319" s="2" t="str">
        <f t="shared" si="24"/>
        <v xml:space="preserve"> </v>
      </c>
    </row>
    <row r="320" spans="1:13" x14ac:dyDescent="0.25">
      <c r="A320" s="42" t="str">
        <f t="shared" si="20"/>
        <v xml:space="preserve"> </v>
      </c>
      <c r="D320" s="41"/>
      <c r="E320" s="41"/>
      <c r="J320" s="17">
        <f t="shared" si="21"/>
        <v>0</v>
      </c>
      <c r="K320" s="2" t="str">
        <f t="shared" si="22"/>
        <v xml:space="preserve"> </v>
      </c>
      <c r="L320" s="2" t="str">
        <f t="shared" si="23"/>
        <v xml:space="preserve"> </v>
      </c>
      <c r="M320" s="2" t="str">
        <f t="shared" si="24"/>
        <v xml:space="preserve"> </v>
      </c>
    </row>
    <row r="321" spans="1:13" x14ac:dyDescent="0.25">
      <c r="A321" s="42" t="str">
        <f t="shared" si="20"/>
        <v xml:space="preserve"> </v>
      </c>
      <c r="D321" s="41"/>
      <c r="E321" s="41"/>
      <c r="J321" s="17">
        <f t="shared" si="21"/>
        <v>0</v>
      </c>
      <c r="K321" s="2" t="str">
        <f t="shared" si="22"/>
        <v xml:space="preserve"> </v>
      </c>
      <c r="L321" s="2" t="str">
        <f t="shared" si="23"/>
        <v xml:space="preserve"> </v>
      </c>
      <c r="M321" s="2" t="str">
        <f t="shared" si="24"/>
        <v xml:space="preserve"> </v>
      </c>
    </row>
    <row r="322" spans="1:13" x14ac:dyDescent="0.25">
      <c r="A322" s="42" t="str">
        <f t="shared" si="20"/>
        <v xml:space="preserve"> </v>
      </c>
      <c r="D322" s="41"/>
      <c r="E322" s="41"/>
      <c r="J322" s="17">
        <f t="shared" si="21"/>
        <v>0</v>
      </c>
      <c r="K322" s="2" t="str">
        <f t="shared" si="22"/>
        <v xml:space="preserve"> </v>
      </c>
      <c r="L322" s="2" t="str">
        <f t="shared" si="23"/>
        <v xml:space="preserve"> </v>
      </c>
      <c r="M322" s="2" t="str">
        <f t="shared" si="24"/>
        <v xml:space="preserve"> </v>
      </c>
    </row>
    <row r="323" spans="1:13" x14ac:dyDescent="0.25">
      <c r="A323" s="42" t="str">
        <f t="shared" si="20"/>
        <v xml:space="preserve"> </v>
      </c>
      <c r="D323" s="41"/>
      <c r="E323" s="41"/>
      <c r="J323" s="17">
        <f t="shared" si="21"/>
        <v>0</v>
      </c>
      <c r="K323" s="2" t="str">
        <f t="shared" si="22"/>
        <v xml:space="preserve"> </v>
      </c>
      <c r="L323" s="2" t="str">
        <f t="shared" si="23"/>
        <v xml:space="preserve"> </v>
      </c>
      <c r="M323" s="2" t="str">
        <f t="shared" si="24"/>
        <v xml:space="preserve"> </v>
      </c>
    </row>
    <row r="324" spans="1:13" x14ac:dyDescent="0.25">
      <c r="A324" s="42" t="str">
        <f t="shared" si="20"/>
        <v xml:space="preserve"> </v>
      </c>
      <c r="D324" s="41"/>
      <c r="E324" s="41"/>
      <c r="J324" s="17">
        <f t="shared" si="21"/>
        <v>0</v>
      </c>
      <c r="K324" s="2" t="str">
        <f t="shared" si="22"/>
        <v xml:space="preserve"> </v>
      </c>
      <c r="L324" s="2" t="str">
        <f t="shared" si="23"/>
        <v xml:space="preserve"> </v>
      </c>
      <c r="M324" s="2" t="str">
        <f t="shared" si="24"/>
        <v xml:space="preserve"> </v>
      </c>
    </row>
    <row r="325" spans="1:13" x14ac:dyDescent="0.25">
      <c r="A325" s="42" t="str">
        <f t="shared" si="20"/>
        <v xml:space="preserve"> </v>
      </c>
      <c r="D325" s="41"/>
      <c r="E325" s="41"/>
      <c r="J325" s="17">
        <f t="shared" si="21"/>
        <v>0</v>
      </c>
      <c r="K325" s="2" t="str">
        <f t="shared" si="22"/>
        <v xml:space="preserve"> </v>
      </c>
      <c r="L325" s="2" t="str">
        <f t="shared" si="23"/>
        <v xml:space="preserve"> </v>
      </c>
      <c r="M325" s="2" t="str">
        <f t="shared" si="24"/>
        <v xml:space="preserve"> </v>
      </c>
    </row>
    <row r="326" spans="1:13" x14ac:dyDescent="0.25">
      <c r="A326" s="42" t="str">
        <f t="shared" si="20"/>
        <v xml:space="preserve"> </v>
      </c>
      <c r="D326" s="41"/>
      <c r="E326" s="41"/>
      <c r="J326" s="17">
        <f t="shared" si="21"/>
        <v>0</v>
      </c>
      <c r="K326" s="2" t="str">
        <f t="shared" si="22"/>
        <v xml:space="preserve"> </v>
      </c>
      <c r="L326" s="2" t="str">
        <f t="shared" si="23"/>
        <v xml:space="preserve"> </v>
      </c>
      <c r="M326" s="2" t="str">
        <f t="shared" si="24"/>
        <v xml:space="preserve"> </v>
      </c>
    </row>
    <row r="327" spans="1:13" x14ac:dyDescent="0.25">
      <c r="A327" s="42" t="str">
        <f t="shared" si="20"/>
        <v xml:space="preserve"> </v>
      </c>
      <c r="D327" s="41"/>
      <c r="E327" s="41"/>
      <c r="J327" s="17">
        <f t="shared" si="21"/>
        <v>0</v>
      </c>
      <c r="K327" s="2" t="str">
        <f t="shared" si="22"/>
        <v xml:space="preserve"> </v>
      </c>
      <c r="L327" s="2" t="str">
        <f t="shared" si="23"/>
        <v xml:space="preserve"> </v>
      </c>
      <c r="M327" s="2" t="str">
        <f t="shared" si="24"/>
        <v xml:space="preserve"> </v>
      </c>
    </row>
    <row r="328" spans="1:13" x14ac:dyDescent="0.25">
      <c r="A328" s="42" t="str">
        <f t="shared" si="20"/>
        <v xml:space="preserve"> </v>
      </c>
      <c r="D328" s="41"/>
      <c r="E328" s="41"/>
      <c r="J328" s="17">
        <f t="shared" si="21"/>
        <v>0</v>
      </c>
      <c r="K328" s="2" t="str">
        <f t="shared" si="22"/>
        <v xml:space="preserve"> </v>
      </c>
      <c r="L328" s="2" t="str">
        <f t="shared" si="23"/>
        <v xml:space="preserve"> </v>
      </c>
      <c r="M328" s="2" t="str">
        <f t="shared" si="24"/>
        <v xml:space="preserve"> </v>
      </c>
    </row>
    <row r="329" spans="1:13" x14ac:dyDescent="0.25">
      <c r="A329" s="42" t="str">
        <f t="shared" si="20"/>
        <v xml:space="preserve"> </v>
      </c>
      <c r="D329" s="41"/>
      <c r="E329" s="41"/>
      <c r="J329" s="17">
        <f t="shared" si="21"/>
        <v>0</v>
      </c>
      <c r="K329" s="2" t="str">
        <f t="shared" si="22"/>
        <v xml:space="preserve"> </v>
      </c>
      <c r="L329" s="2" t="str">
        <f t="shared" si="23"/>
        <v xml:space="preserve"> </v>
      </c>
      <c r="M329" s="2" t="str">
        <f t="shared" si="24"/>
        <v xml:space="preserve"> </v>
      </c>
    </row>
    <row r="330" spans="1:13" x14ac:dyDescent="0.25">
      <c r="A330" s="42" t="str">
        <f t="shared" si="20"/>
        <v xml:space="preserve"> </v>
      </c>
      <c r="D330" s="41"/>
      <c r="E330" s="41"/>
      <c r="J330" s="17">
        <f t="shared" si="21"/>
        <v>0</v>
      </c>
      <c r="K330" s="2" t="str">
        <f t="shared" si="22"/>
        <v xml:space="preserve"> </v>
      </c>
      <c r="L330" s="2" t="str">
        <f t="shared" si="23"/>
        <v xml:space="preserve"> </v>
      </c>
      <c r="M330" s="2" t="str">
        <f t="shared" si="24"/>
        <v xml:space="preserve"> </v>
      </c>
    </row>
    <row r="331" spans="1:13" x14ac:dyDescent="0.25">
      <c r="A331" s="42" t="str">
        <f t="shared" si="20"/>
        <v xml:space="preserve"> </v>
      </c>
      <c r="D331" s="41"/>
      <c r="E331" s="41"/>
      <c r="J331" s="17">
        <f t="shared" si="21"/>
        <v>0</v>
      </c>
      <c r="K331" s="2" t="str">
        <f t="shared" si="22"/>
        <v xml:space="preserve"> </v>
      </c>
      <c r="L331" s="2" t="str">
        <f t="shared" si="23"/>
        <v xml:space="preserve"> </v>
      </c>
      <c r="M331" s="2" t="str">
        <f t="shared" si="24"/>
        <v xml:space="preserve"> </v>
      </c>
    </row>
    <row r="332" spans="1:13" x14ac:dyDescent="0.25">
      <c r="A332" s="42" t="str">
        <f t="shared" si="20"/>
        <v xml:space="preserve"> </v>
      </c>
      <c r="D332" s="41"/>
      <c r="E332" s="41"/>
      <c r="J332" s="17">
        <f t="shared" si="21"/>
        <v>0</v>
      </c>
      <c r="K332" s="2" t="str">
        <f t="shared" si="22"/>
        <v xml:space="preserve"> </v>
      </c>
      <c r="L332" s="2" t="str">
        <f t="shared" si="23"/>
        <v xml:space="preserve"> </v>
      </c>
      <c r="M332" s="2" t="str">
        <f t="shared" si="24"/>
        <v xml:space="preserve"> </v>
      </c>
    </row>
    <row r="333" spans="1:13" x14ac:dyDescent="0.25">
      <c r="A333" s="42" t="str">
        <f t="shared" si="20"/>
        <v xml:space="preserve"> </v>
      </c>
      <c r="D333" s="41"/>
      <c r="E333" s="41"/>
      <c r="J333" s="17">
        <f t="shared" si="21"/>
        <v>0</v>
      </c>
      <c r="K333" s="2" t="str">
        <f t="shared" si="22"/>
        <v xml:space="preserve"> </v>
      </c>
      <c r="L333" s="2" t="str">
        <f t="shared" si="23"/>
        <v xml:space="preserve"> </v>
      </c>
      <c r="M333" s="2" t="str">
        <f t="shared" si="24"/>
        <v xml:space="preserve"> </v>
      </c>
    </row>
    <row r="334" spans="1:13" x14ac:dyDescent="0.25">
      <c r="A334" s="42" t="str">
        <f t="shared" si="20"/>
        <v xml:space="preserve"> </v>
      </c>
      <c r="D334" s="41"/>
      <c r="E334" s="41"/>
      <c r="J334" s="17">
        <f t="shared" si="21"/>
        <v>0</v>
      </c>
      <c r="K334" s="2" t="str">
        <f t="shared" si="22"/>
        <v xml:space="preserve"> </v>
      </c>
      <c r="L334" s="2" t="str">
        <f t="shared" si="23"/>
        <v xml:space="preserve"> </v>
      </c>
      <c r="M334" s="2" t="str">
        <f t="shared" si="24"/>
        <v xml:space="preserve"> </v>
      </c>
    </row>
    <row r="335" spans="1:13" x14ac:dyDescent="0.25">
      <c r="A335" s="42" t="str">
        <f t="shared" ref="A335:A398" si="25">IF(COUNTIF(K335:M335,"ERROR")&gt;0,"ERROR"," ")</f>
        <v xml:space="preserve"> </v>
      </c>
      <c r="D335" s="41"/>
      <c r="E335" s="41"/>
      <c r="J335" s="17">
        <f t="shared" ref="J335:J396" si="26">F335-G335+H335-I335</f>
        <v>0</v>
      </c>
      <c r="K335" s="2" t="str">
        <f t="shared" si="22"/>
        <v xml:space="preserve"> </v>
      </c>
      <c r="L335" s="2" t="str">
        <f t="shared" si="23"/>
        <v xml:space="preserve"> </v>
      </c>
      <c r="M335" s="2" t="str">
        <f t="shared" si="24"/>
        <v xml:space="preserve"> </v>
      </c>
    </row>
    <row r="336" spans="1:13" x14ac:dyDescent="0.25">
      <c r="A336" s="42" t="str">
        <f t="shared" si="25"/>
        <v xml:space="preserve"> </v>
      </c>
      <c r="D336" s="41"/>
      <c r="E336" s="41"/>
      <c r="J336" s="17">
        <f t="shared" si="26"/>
        <v>0</v>
      </c>
      <c r="K336" s="2" t="str">
        <f t="shared" ref="K336:K399" si="27">IF(COUNTA(D336:E336)=2,"ERROR"," ")</f>
        <v xml:space="preserve"> </v>
      </c>
      <c r="L336" s="2" t="str">
        <f t="shared" ref="L336:L399" si="28">IF(D336=0," ",IF(COUNTIF(ProfitLoss,D336)&gt;0," ","ERROR"))</f>
        <v xml:space="preserve"> </v>
      </c>
      <c r="M336" s="2" t="str">
        <f t="shared" ref="M336:M399" si="29">IF(E336=0," ",IF(COUNTIF(BalanceSheet,E336)&gt;0," ","ERROR"))</f>
        <v xml:space="preserve"> </v>
      </c>
    </row>
    <row r="337" spans="1:13" x14ac:dyDescent="0.25">
      <c r="A337" s="42" t="str">
        <f t="shared" si="25"/>
        <v xml:space="preserve"> </v>
      </c>
      <c r="D337" s="41"/>
      <c r="E337" s="41"/>
      <c r="J337" s="17">
        <f t="shared" si="26"/>
        <v>0</v>
      </c>
      <c r="K337" s="2" t="str">
        <f t="shared" si="27"/>
        <v xml:space="preserve"> </v>
      </c>
      <c r="L337" s="2" t="str">
        <f t="shared" si="28"/>
        <v xml:space="preserve"> </v>
      </c>
      <c r="M337" s="2" t="str">
        <f t="shared" si="29"/>
        <v xml:space="preserve"> </v>
      </c>
    </row>
    <row r="338" spans="1:13" x14ac:dyDescent="0.25">
      <c r="A338" s="42" t="str">
        <f t="shared" si="25"/>
        <v xml:space="preserve"> </v>
      </c>
      <c r="D338" s="41"/>
      <c r="E338" s="41"/>
      <c r="J338" s="17">
        <f t="shared" si="26"/>
        <v>0</v>
      </c>
      <c r="K338" s="2" t="str">
        <f t="shared" si="27"/>
        <v xml:space="preserve"> </v>
      </c>
      <c r="L338" s="2" t="str">
        <f t="shared" si="28"/>
        <v xml:space="preserve"> </v>
      </c>
      <c r="M338" s="2" t="str">
        <f t="shared" si="29"/>
        <v xml:space="preserve"> </v>
      </c>
    </row>
    <row r="339" spans="1:13" x14ac:dyDescent="0.25">
      <c r="A339" s="42" t="str">
        <f t="shared" si="25"/>
        <v xml:space="preserve"> </v>
      </c>
      <c r="D339" s="41"/>
      <c r="E339" s="41"/>
      <c r="J339" s="17">
        <f t="shared" si="26"/>
        <v>0</v>
      </c>
      <c r="K339" s="2" t="str">
        <f t="shared" si="27"/>
        <v xml:space="preserve"> </v>
      </c>
      <c r="L339" s="2" t="str">
        <f t="shared" si="28"/>
        <v xml:space="preserve"> </v>
      </c>
      <c r="M339" s="2" t="str">
        <f t="shared" si="29"/>
        <v xml:space="preserve"> </v>
      </c>
    </row>
    <row r="340" spans="1:13" x14ac:dyDescent="0.25">
      <c r="A340" s="42" t="str">
        <f t="shared" si="25"/>
        <v xml:space="preserve"> </v>
      </c>
      <c r="D340" s="41"/>
      <c r="E340" s="41"/>
      <c r="J340" s="17">
        <f t="shared" si="26"/>
        <v>0</v>
      </c>
      <c r="K340" s="2" t="str">
        <f t="shared" si="27"/>
        <v xml:space="preserve"> </v>
      </c>
      <c r="L340" s="2" t="str">
        <f t="shared" si="28"/>
        <v xml:space="preserve"> </v>
      </c>
      <c r="M340" s="2" t="str">
        <f t="shared" si="29"/>
        <v xml:space="preserve"> </v>
      </c>
    </row>
    <row r="341" spans="1:13" x14ac:dyDescent="0.25">
      <c r="A341" s="42" t="str">
        <f t="shared" si="25"/>
        <v xml:space="preserve"> </v>
      </c>
      <c r="D341" s="41"/>
      <c r="E341" s="41"/>
      <c r="J341" s="17">
        <f t="shared" si="26"/>
        <v>0</v>
      </c>
      <c r="K341" s="2" t="str">
        <f t="shared" si="27"/>
        <v xml:space="preserve"> </v>
      </c>
      <c r="L341" s="2" t="str">
        <f t="shared" si="28"/>
        <v xml:space="preserve"> </v>
      </c>
      <c r="M341" s="2" t="str">
        <f t="shared" si="29"/>
        <v xml:space="preserve"> </v>
      </c>
    </row>
    <row r="342" spans="1:13" x14ac:dyDescent="0.25">
      <c r="A342" s="42" t="str">
        <f t="shared" si="25"/>
        <v xml:space="preserve"> </v>
      </c>
      <c r="D342" s="41"/>
      <c r="E342" s="41"/>
      <c r="J342" s="17">
        <f t="shared" si="26"/>
        <v>0</v>
      </c>
      <c r="K342" s="2" t="str">
        <f t="shared" si="27"/>
        <v xml:space="preserve"> </v>
      </c>
      <c r="L342" s="2" t="str">
        <f t="shared" si="28"/>
        <v xml:space="preserve"> </v>
      </c>
      <c r="M342" s="2" t="str">
        <f t="shared" si="29"/>
        <v xml:space="preserve"> </v>
      </c>
    </row>
    <row r="343" spans="1:13" x14ac:dyDescent="0.25">
      <c r="A343" s="42" t="str">
        <f t="shared" si="25"/>
        <v xml:space="preserve"> </v>
      </c>
      <c r="D343" s="41"/>
      <c r="E343" s="41"/>
      <c r="J343" s="17">
        <f t="shared" si="26"/>
        <v>0</v>
      </c>
      <c r="K343" s="2" t="str">
        <f t="shared" si="27"/>
        <v xml:space="preserve"> </v>
      </c>
      <c r="L343" s="2" t="str">
        <f t="shared" si="28"/>
        <v xml:space="preserve"> </v>
      </c>
      <c r="M343" s="2" t="str">
        <f t="shared" si="29"/>
        <v xml:space="preserve"> </v>
      </c>
    </row>
    <row r="344" spans="1:13" x14ac:dyDescent="0.25">
      <c r="A344" s="42" t="str">
        <f t="shared" si="25"/>
        <v xml:space="preserve"> </v>
      </c>
      <c r="D344" s="41"/>
      <c r="E344" s="41"/>
      <c r="J344" s="17">
        <f t="shared" si="26"/>
        <v>0</v>
      </c>
      <c r="K344" s="2" t="str">
        <f t="shared" si="27"/>
        <v xml:space="preserve"> </v>
      </c>
      <c r="L344" s="2" t="str">
        <f t="shared" si="28"/>
        <v xml:space="preserve"> </v>
      </c>
      <c r="M344" s="2" t="str">
        <f t="shared" si="29"/>
        <v xml:space="preserve"> </v>
      </c>
    </row>
    <row r="345" spans="1:13" x14ac:dyDescent="0.25">
      <c r="A345" s="42" t="str">
        <f t="shared" si="25"/>
        <v xml:space="preserve"> </v>
      </c>
      <c r="D345" s="41"/>
      <c r="E345" s="41"/>
      <c r="J345" s="17">
        <f t="shared" si="26"/>
        <v>0</v>
      </c>
      <c r="K345" s="2" t="str">
        <f t="shared" si="27"/>
        <v xml:space="preserve"> </v>
      </c>
      <c r="L345" s="2" t="str">
        <f t="shared" si="28"/>
        <v xml:space="preserve"> </v>
      </c>
      <c r="M345" s="2" t="str">
        <f t="shared" si="29"/>
        <v xml:space="preserve"> </v>
      </c>
    </row>
    <row r="346" spans="1:13" x14ac:dyDescent="0.25">
      <c r="A346" s="42" t="str">
        <f t="shared" si="25"/>
        <v xml:space="preserve"> </v>
      </c>
      <c r="D346" s="41"/>
      <c r="E346" s="41"/>
      <c r="J346" s="17">
        <f t="shared" si="26"/>
        <v>0</v>
      </c>
      <c r="K346" s="2" t="str">
        <f t="shared" si="27"/>
        <v xml:space="preserve"> </v>
      </c>
      <c r="L346" s="2" t="str">
        <f t="shared" si="28"/>
        <v xml:space="preserve"> </v>
      </c>
      <c r="M346" s="2" t="str">
        <f t="shared" si="29"/>
        <v xml:space="preserve"> </v>
      </c>
    </row>
    <row r="347" spans="1:13" x14ac:dyDescent="0.25">
      <c r="A347" s="42" t="str">
        <f t="shared" si="25"/>
        <v xml:space="preserve"> </v>
      </c>
      <c r="D347" s="41"/>
      <c r="E347" s="41"/>
      <c r="J347" s="17">
        <f t="shared" si="26"/>
        <v>0</v>
      </c>
      <c r="K347" s="2" t="str">
        <f t="shared" si="27"/>
        <v xml:space="preserve"> </v>
      </c>
      <c r="L347" s="2" t="str">
        <f t="shared" si="28"/>
        <v xml:space="preserve"> </v>
      </c>
      <c r="M347" s="2" t="str">
        <f t="shared" si="29"/>
        <v xml:space="preserve"> </v>
      </c>
    </row>
    <row r="348" spans="1:13" x14ac:dyDescent="0.25">
      <c r="A348" s="42" t="str">
        <f t="shared" si="25"/>
        <v xml:space="preserve"> </v>
      </c>
      <c r="D348" s="41"/>
      <c r="E348" s="41"/>
      <c r="J348" s="17">
        <f t="shared" si="26"/>
        <v>0</v>
      </c>
      <c r="K348" s="2" t="str">
        <f t="shared" si="27"/>
        <v xml:space="preserve"> </v>
      </c>
      <c r="L348" s="2" t="str">
        <f t="shared" si="28"/>
        <v xml:space="preserve"> </v>
      </c>
      <c r="M348" s="2" t="str">
        <f t="shared" si="29"/>
        <v xml:space="preserve"> </v>
      </c>
    </row>
    <row r="349" spans="1:13" x14ac:dyDescent="0.25">
      <c r="A349" s="42" t="str">
        <f t="shared" si="25"/>
        <v xml:space="preserve"> </v>
      </c>
      <c r="D349" s="41"/>
      <c r="E349" s="41"/>
      <c r="J349" s="17">
        <f t="shared" si="26"/>
        <v>0</v>
      </c>
      <c r="K349" s="2" t="str">
        <f t="shared" si="27"/>
        <v xml:space="preserve"> </v>
      </c>
      <c r="L349" s="2" t="str">
        <f t="shared" si="28"/>
        <v xml:space="preserve"> </v>
      </c>
      <c r="M349" s="2" t="str">
        <f t="shared" si="29"/>
        <v xml:space="preserve"> </v>
      </c>
    </row>
    <row r="350" spans="1:13" x14ac:dyDescent="0.25">
      <c r="A350" s="42" t="str">
        <f t="shared" si="25"/>
        <v xml:space="preserve"> </v>
      </c>
      <c r="D350" s="41"/>
      <c r="E350" s="41"/>
      <c r="J350" s="17">
        <f t="shared" si="26"/>
        <v>0</v>
      </c>
      <c r="K350" s="2" t="str">
        <f t="shared" si="27"/>
        <v xml:space="preserve"> </v>
      </c>
      <c r="L350" s="2" t="str">
        <f t="shared" si="28"/>
        <v xml:space="preserve"> </v>
      </c>
      <c r="M350" s="2" t="str">
        <f t="shared" si="29"/>
        <v xml:space="preserve"> </v>
      </c>
    </row>
    <row r="351" spans="1:13" x14ac:dyDescent="0.25">
      <c r="A351" s="42" t="str">
        <f t="shared" si="25"/>
        <v xml:space="preserve"> </v>
      </c>
      <c r="D351" s="41"/>
      <c r="E351" s="41"/>
      <c r="J351" s="17">
        <f t="shared" si="26"/>
        <v>0</v>
      </c>
      <c r="K351" s="2" t="str">
        <f t="shared" si="27"/>
        <v xml:space="preserve"> </v>
      </c>
      <c r="L351" s="2" t="str">
        <f t="shared" si="28"/>
        <v xml:space="preserve"> </v>
      </c>
      <c r="M351" s="2" t="str">
        <f t="shared" si="29"/>
        <v xml:space="preserve"> </v>
      </c>
    </row>
    <row r="352" spans="1:13" x14ac:dyDescent="0.25">
      <c r="A352" s="42" t="str">
        <f t="shared" si="25"/>
        <v xml:space="preserve"> </v>
      </c>
      <c r="D352" s="41"/>
      <c r="E352" s="41"/>
      <c r="J352" s="17">
        <f t="shared" si="26"/>
        <v>0</v>
      </c>
      <c r="K352" s="2" t="str">
        <f t="shared" si="27"/>
        <v xml:space="preserve"> </v>
      </c>
      <c r="L352" s="2" t="str">
        <f t="shared" si="28"/>
        <v xml:space="preserve"> </v>
      </c>
      <c r="M352" s="2" t="str">
        <f t="shared" si="29"/>
        <v xml:space="preserve"> </v>
      </c>
    </row>
    <row r="353" spans="1:13" x14ac:dyDescent="0.25">
      <c r="A353" s="42" t="str">
        <f t="shared" si="25"/>
        <v xml:space="preserve"> </v>
      </c>
      <c r="D353" s="41"/>
      <c r="E353" s="41"/>
      <c r="J353" s="17">
        <f t="shared" si="26"/>
        <v>0</v>
      </c>
      <c r="K353" s="2" t="str">
        <f t="shared" si="27"/>
        <v xml:space="preserve"> </v>
      </c>
      <c r="L353" s="2" t="str">
        <f t="shared" si="28"/>
        <v xml:space="preserve"> </v>
      </c>
      <c r="M353" s="2" t="str">
        <f t="shared" si="29"/>
        <v xml:space="preserve"> </v>
      </c>
    </row>
    <row r="354" spans="1:13" x14ac:dyDescent="0.25">
      <c r="A354" s="42" t="str">
        <f t="shared" si="25"/>
        <v xml:space="preserve"> </v>
      </c>
      <c r="D354" s="41"/>
      <c r="E354" s="41"/>
      <c r="J354" s="17">
        <f t="shared" si="26"/>
        <v>0</v>
      </c>
      <c r="K354" s="2" t="str">
        <f t="shared" si="27"/>
        <v xml:space="preserve"> </v>
      </c>
      <c r="L354" s="2" t="str">
        <f t="shared" si="28"/>
        <v xml:space="preserve"> </v>
      </c>
      <c r="M354" s="2" t="str">
        <f t="shared" si="29"/>
        <v xml:space="preserve"> </v>
      </c>
    </row>
    <row r="355" spans="1:13" x14ac:dyDescent="0.25">
      <c r="A355" s="42" t="str">
        <f t="shared" si="25"/>
        <v xml:space="preserve"> </v>
      </c>
      <c r="D355" s="41"/>
      <c r="E355" s="41"/>
      <c r="J355" s="17">
        <f t="shared" si="26"/>
        <v>0</v>
      </c>
      <c r="K355" s="2" t="str">
        <f t="shared" si="27"/>
        <v xml:space="preserve"> </v>
      </c>
      <c r="L355" s="2" t="str">
        <f t="shared" si="28"/>
        <v xml:space="preserve"> </v>
      </c>
      <c r="M355" s="2" t="str">
        <f t="shared" si="29"/>
        <v xml:space="preserve"> </v>
      </c>
    </row>
    <row r="356" spans="1:13" x14ac:dyDescent="0.25">
      <c r="A356" s="42" t="str">
        <f t="shared" si="25"/>
        <v xml:space="preserve"> </v>
      </c>
      <c r="D356" s="41"/>
      <c r="E356" s="41"/>
      <c r="J356" s="17">
        <f t="shared" si="26"/>
        <v>0</v>
      </c>
      <c r="K356" s="2" t="str">
        <f t="shared" si="27"/>
        <v xml:space="preserve"> </v>
      </c>
      <c r="L356" s="2" t="str">
        <f t="shared" si="28"/>
        <v xml:space="preserve"> </v>
      </c>
      <c r="M356" s="2" t="str">
        <f t="shared" si="29"/>
        <v xml:space="preserve"> </v>
      </c>
    </row>
    <row r="357" spans="1:13" x14ac:dyDescent="0.25">
      <c r="A357" s="42" t="str">
        <f t="shared" si="25"/>
        <v xml:space="preserve"> </v>
      </c>
      <c r="D357" s="41"/>
      <c r="E357" s="41"/>
      <c r="J357" s="17">
        <f t="shared" si="26"/>
        <v>0</v>
      </c>
      <c r="K357" s="2" t="str">
        <f t="shared" si="27"/>
        <v xml:space="preserve"> </v>
      </c>
      <c r="L357" s="2" t="str">
        <f t="shared" si="28"/>
        <v xml:space="preserve"> </v>
      </c>
      <c r="M357" s="2" t="str">
        <f t="shared" si="29"/>
        <v xml:space="preserve"> </v>
      </c>
    </row>
    <row r="358" spans="1:13" x14ac:dyDescent="0.25">
      <c r="A358" s="42" t="str">
        <f t="shared" si="25"/>
        <v xml:space="preserve"> </v>
      </c>
      <c r="D358" s="41"/>
      <c r="E358" s="41"/>
      <c r="J358" s="17">
        <f t="shared" si="26"/>
        <v>0</v>
      </c>
      <c r="K358" s="2" t="str">
        <f t="shared" si="27"/>
        <v xml:space="preserve"> </v>
      </c>
      <c r="L358" s="2" t="str">
        <f t="shared" si="28"/>
        <v xml:space="preserve"> </v>
      </c>
      <c r="M358" s="2" t="str">
        <f t="shared" si="29"/>
        <v xml:space="preserve"> </v>
      </c>
    </row>
    <row r="359" spans="1:13" x14ac:dyDescent="0.25">
      <c r="A359" s="42" t="str">
        <f t="shared" si="25"/>
        <v xml:space="preserve"> </v>
      </c>
      <c r="D359" s="41"/>
      <c r="E359" s="41"/>
      <c r="J359" s="17">
        <f t="shared" si="26"/>
        <v>0</v>
      </c>
      <c r="K359" s="2" t="str">
        <f t="shared" si="27"/>
        <v xml:space="preserve"> </v>
      </c>
      <c r="L359" s="2" t="str">
        <f t="shared" si="28"/>
        <v xml:space="preserve"> </v>
      </c>
      <c r="M359" s="2" t="str">
        <f t="shared" si="29"/>
        <v xml:space="preserve"> </v>
      </c>
    </row>
    <row r="360" spans="1:13" x14ac:dyDescent="0.25">
      <c r="A360" s="42" t="str">
        <f t="shared" si="25"/>
        <v xml:space="preserve"> </v>
      </c>
      <c r="D360" s="41"/>
      <c r="E360" s="41"/>
      <c r="J360" s="17">
        <f t="shared" si="26"/>
        <v>0</v>
      </c>
      <c r="K360" s="2" t="str">
        <f t="shared" si="27"/>
        <v xml:space="preserve"> </v>
      </c>
      <c r="L360" s="2" t="str">
        <f t="shared" si="28"/>
        <v xml:space="preserve"> </v>
      </c>
      <c r="M360" s="2" t="str">
        <f t="shared" si="29"/>
        <v xml:space="preserve"> </v>
      </c>
    </row>
    <row r="361" spans="1:13" x14ac:dyDescent="0.25">
      <c r="A361" s="42" t="str">
        <f t="shared" si="25"/>
        <v xml:space="preserve"> </v>
      </c>
      <c r="D361" s="41"/>
      <c r="E361" s="41"/>
      <c r="J361" s="17">
        <f t="shared" si="26"/>
        <v>0</v>
      </c>
      <c r="K361" s="2" t="str">
        <f t="shared" si="27"/>
        <v xml:space="preserve"> </v>
      </c>
      <c r="L361" s="2" t="str">
        <f t="shared" si="28"/>
        <v xml:space="preserve"> </v>
      </c>
      <c r="M361" s="2" t="str">
        <f t="shared" si="29"/>
        <v xml:space="preserve"> </v>
      </c>
    </row>
    <row r="362" spans="1:13" x14ac:dyDescent="0.25">
      <c r="A362" s="42" t="str">
        <f t="shared" si="25"/>
        <v xml:space="preserve"> </v>
      </c>
      <c r="D362" s="41"/>
      <c r="E362" s="41"/>
      <c r="J362" s="17">
        <f t="shared" si="26"/>
        <v>0</v>
      </c>
      <c r="K362" s="2" t="str">
        <f t="shared" si="27"/>
        <v xml:space="preserve"> </v>
      </c>
      <c r="L362" s="2" t="str">
        <f t="shared" si="28"/>
        <v xml:space="preserve"> </v>
      </c>
      <c r="M362" s="2" t="str">
        <f t="shared" si="29"/>
        <v xml:space="preserve"> </v>
      </c>
    </row>
    <row r="363" spans="1:13" x14ac:dyDescent="0.25">
      <c r="A363" s="42" t="str">
        <f t="shared" si="25"/>
        <v xml:space="preserve"> </v>
      </c>
      <c r="D363" s="41"/>
      <c r="E363" s="41"/>
      <c r="J363" s="17">
        <f t="shared" si="26"/>
        <v>0</v>
      </c>
      <c r="K363" s="2" t="str">
        <f t="shared" si="27"/>
        <v xml:space="preserve"> </v>
      </c>
      <c r="L363" s="2" t="str">
        <f t="shared" si="28"/>
        <v xml:space="preserve"> </v>
      </c>
      <c r="M363" s="2" t="str">
        <f t="shared" si="29"/>
        <v xml:space="preserve"> </v>
      </c>
    </row>
    <row r="364" spans="1:13" x14ac:dyDescent="0.25">
      <c r="A364" s="42" t="str">
        <f t="shared" si="25"/>
        <v xml:space="preserve"> </v>
      </c>
      <c r="D364" s="41"/>
      <c r="E364" s="41"/>
      <c r="J364" s="17">
        <f t="shared" si="26"/>
        <v>0</v>
      </c>
      <c r="K364" s="2" t="str">
        <f t="shared" si="27"/>
        <v xml:space="preserve"> </v>
      </c>
      <c r="L364" s="2" t="str">
        <f t="shared" si="28"/>
        <v xml:space="preserve"> </v>
      </c>
      <c r="M364" s="2" t="str">
        <f t="shared" si="29"/>
        <v xml:space="preserve"> </v>
      </c>
    </row>
    <row r="365" spans="1:13" x14ac:dyDescent="0.25">
      <c r="A365" s="42" t="str">
        <f t="shared" si="25"/>
        <v xml:space="preserve"> </v>
      </c>
      <c r="D365" s="41"/>
      <c r="E365" s="41"/>
      <c r="J365" s="17">
        <f t="shared" si="26"/>
        <v>0</v>
      </c>
      <c r="K365" s="2" t="str">
        <f t="shared" si="27"/>
        <v xml:space="preserve"> </v>
      </c>
      <c r="L365" s="2" t="str">
        <f t="shared" si="28"/>
        <v xml:space="preserve"> </v>
      </c>
      <c r="M365" s="2" t="str">
        <f t="shared" si="29"/>
        <v xml:space="preserve"> </v>
      </c>
    </row>
    <row r="366" spans="1:13" x14ac:dyDescent="0.25">
      <c r="A366" s="42" t="str">
        <f t="shared" si="25"/>
        <v xml:space="preserve"> </v>
      </c>
      <c r="D366" s="41"/>
      <c r="E366" s="41"/>
      <c r="J366" s="17">
        <f t="shared" si="26"/>
        <v>0</v>
      </c>
      <c r="K366" s="2" t="str">
        <f t="shared" si="27"/>
        <v xml:space="preserve"> </v>
      </c>
      <c r="L366" s="2" t="str">
        <f t="shared" si="28"/>
        <v xml:space="preserve"> </v>
      </c>
      <c r="M366" s="2" t="str">
        <f t="shared" si="29"/>
        <v xml:space="preserve"> </v>
      </c>
    </row>
    <row r="367" spans="1:13" x14ac:dyDescent="0.25">
      <c r="A367" s="42" t="str">
        <f t="shared" si="25"/>
        <v xml:space="preserve"> </v>
      </c>
      <c r="D367" s="41"/>
      <c r="E367" s="41"/>
      <c r="J367" s="17">
        <f t="shared" si="26"/>
        <v>0</v>
      </c>
      <c r="K367" s="2" t="str">
        <f t="shared" si="27"/>
        <v xml:space="preserve"> </v>
      </c>
      <c r="L367" s="2" t="str">
        <f t="shared" si="28"/>
        <v xml:space="preserve"> </v>
      </c>
      <c r="M367" s="2" t="str">
        <f t="shared" si="29"/>
        <v xml:space="preserve"> </v>
      </c>
    </row>
    <row r="368" spans="1:13" x14ac:dyDescent="0.25">
      <c r="A368" s="42" t="str">
        <f t="shared" si="25"/>
        <v xml:space="preserve"> </v>
      </c>
      <c r="D368" s="41"/>
      <c r="E368" s="41"/>
      <c r="J368" s="17">
        <f t="shared" si="26"/>
        <v>0</v>
      </c>
      <c r="K368" s="2" t="str">
        <f t="shared" si="27"/>
        <v xml:space="preserve"> </v>
      </c>
      <c r="L368" s="2" t="str">
        <f t="shared" si="28"/>
        <v xml:space="preserve"> </v>
      </c>
      <c r="M368" s="2" t="str">
        <f t="shared" si="29"/>
        <v xml:space="preserve"> </v>
      </c>
    </row>
    <row r="369" spans="1:13" x14ac:dyDescent="0.25">
      <c r="A369" s="42" t="str">
        <f t="shared" si="25"/>
        <v xml:space="preserve"> </v>
      </c>
      <c r="D369" s="41"/>
      <c r="E369" s="41"/>
      <c r="J369" s="17">
        <f t="shared" si="26"/>
        <v>0</v>
      </c>
      <c r="K369" s="2" t="str">
        <f t="shared" si="27"/>
        <v xml:space="preserve"> </v>
      </c>
      <c r="L369" s="2" t="str">
        <f t="shared" si="28"/>
        <v xml:space="preserve"> </v>
      </c>
      <c r="M369" s="2" t="str">
        <f t="shared" si="29"/>
        <v xml:space="preserve"> </v>
      </c>
    </row>
    <row r="370" spans="1:13" x14ac:dyDescent="0.25">
      <c r="A370" s="42" t="str">
        <f t="shared" si="25"/>
        <v xml:space="preserve"> </v>
      </c>
      <c r="D370" s="41"/>
      <c r="E370" s="41"/>
      <c r="J370" s="17">
        <f t="shared" si="26"/>
        <v>0</v>
      </c>
      <c r="K370" s="2" t="str">
        <f t="shared" si="27"/>
        <v xml:space="preserve"> </v>
      </c>
      <c r="L370" s="2" t="str">
        <f t="shared" si="28"/>
        <v xml:space="preserve"> </v>
      </c>
      <c r="M370" s="2" t="str">
        <f t="shared" si="29"/>
        <v xml:space="preserve"> </v>
      </c>
    </row>
    <row r="371" spans="1:13" x14ac:dyDescent="0.25">
      <c r="A371" s="42" t="str">
        <f t="shared" si="25"/>
        <v xml:space="preserve"> </v>
      </c>
      <c r="D371" s="41"/>
      <c r="E371" s="41"/>
      <c r="J371" s="17">
        <f t="shared" si="26"/>
        <v>0</v>
      </c>
      <c r="K371" s="2" t="str">
        <f t="shared" si="27"/>
        <v xml:space="preserve"> </v>
      </c>
      <c r="L371" s="2" t="str">
        <f t="shared" si="28"/>
        <v xml:space="preserve"> </v>
      </c>
      <c r="M371" s="2" t="str">
        <f t="shared" si="29"/>
        <v xml:space="preserve"> </v>
      </c>
    </row>
    <row r="372" spans="1:13" x14ac:dyDescent="0.25">
      <c r="A372" s="42" t="str">
        <f t="shared" si="25"/>
        <v xml:space="preserve"> </v>
      </c>
      <c r="D372" s="41"/>
      <c r="E372" s="41"/>
      <c r="J372" s="17">
        <f t="shared" si="26"/>
        <v>0</v>
      </c>
      <c r="K372" s="2" t="str">
        <f t="shared" si="27"/>
        <v xml:space="preserve"> </v>
      </c>
      <c r="L372" s="2" t="str">
        <f t="shared" si="28"/>
        <v xml:space="preserve"> </v>
      </c>
      <c r="M372" s="2" t="str">
        <f t="shared" si="29"/>
        <v xml:space="preserve"> </v>
      </c>
    </row>
    <row r="373" spans="1:13" x14ac:dyDescent="0.25">
      <c r="A373" s="42" t="str">
        <f t="shared" si="25"/>
        <v xml:space="preserve"> </v>
      </c>
      <c r="D373" s="41"/>
      <c r="E373" s="41"/>
      <c r="J373" s="17">
        <f t="shared" si="26"/>
        <v>0</v>
      </c>
      <c r="K373" s="2" t="str">
        <f t="shared" si="27"/>
        <v xml:space="preserve"> </v>
      </c>
      <c r="L373" s="2" t="str">
        <f t="shared" si="28"/>
        <v xml:space="preserve"> </v>
      </c>
      <c r="M373" s="2" t="str">
        <f t="shared" si="29"/>
        <v xml:space="preserve"> </v>
      </c>
    </row>
    <row r="374" spans="1:13" x14ac:dyDescent="0.25">
      <c r="A374" s="42" t="str">
        <f t="shared" si="25"/>
        <v xml:space="preserve"> </v>
      </c>
      <c r="D374" s="41"/>
      <c r="E374" s="41"/>
      <c r="J374" s="17">
        <f t="shared" si="26"/>
        <v>0</v>
      </c>
      <c r="K374" s="2" t="str">
        <f t="shared" si="27"/>
        <v xml:space="preserve"> </v>
      </c>
      <c r="L374" s="2" t="str">
        <f t="shared" si="28"/>
        <v xml:space="preserve"> </v>
      </c>
      <c r="M374" s="2" t="str">
        <f t="shared" si="29"/>
        <v xml:space="preserve"> </v>
      </c>
    </row>
    <row r="375" spans="1:13" x14ac:dyDescent="0.25">
      <c r="A375" s="42" t="str">
        <f t="shared" si="25"/>
        <v xml:space="preserve"> </v>
      </c>
      <c r="D375" s="41"/>
      <c r="E375" s="41"/>
      <c r="J375" s="17">
        <f t="shared" si="26"/>
        <v>0</v>
      </c>
      <c r="K375" s="2" t="str">
        <f t="shared" si="27"/>
        <v xml:space="preserve"> </v>
      </c>
      <c r="L375" s="2" t="str">
        <f t="shared" si="28"/>
        <v xml:space="preserve"> </v>
      </c>
      <c r="M375" s="2" t="str">
        <f t="shared" si="29"/>
        <v xml:space="preserve"> </v>
      </c>
    </row>
    <row r="376" spans="1:13" x14ac:dyDescent="0.25">
      <c r="A376" s="42" t="str">
        <f t="shared" si="25"/>
        <v xml:space="preserve"> </v>
      </c>
      <c r="D376" s="41"/>
      <c r="E376" s="41"/>
      <c r="J376" s="17">
        <f t="shared" si="26"/>
        <v>0</v>
      </c>
      <c r="K376" s="2" t="str">
        <f t="shared" si="27"/>
        <v xml:space="preserve"> </v>
      </c>
      <c r="L376" s="2" t="str">
        <f t="shared" si="28"/>
        <v xml:space="preserve"> </v>
      </c>
      <c r="M376" s="2" t="str">
        <f t="shared" si="29"/>
        <v xml:space="preserve"> </v>
      </c>
    </row>
    <row r="377" spans="1:13" x14ac:dyDescent="0.25">
      <c r="A377" s="42" t="str">
        <f t="shared" si="25"/>
        <v xml:space="preserve"> </v>
      </c>
      <c r="D377" s="41"/>
      <c r="E377" s="41"/>
      <c r="J377" s="17">
        <f t="shared" si="26"/>
        <v>0</v>
      </c>
      <c r="K377" s="2" t="str">
        <f t="shared" si="27"/>
        <v xml:space="preserve"> </v>
      </c>
      <c r="L377" s="2" t="str">
        <f t="shared" si="28"/>
        <v xml:space="preserve"> </v>
      </c>
      <c r="M377" s="2" t="str">
        <f t="shared" si="29"/>
        <v xml:space="preserve"> </v>
      </c>
    </row>
    <row r="378" spans="1:13" x14ac:dyDescent="0.25">
      <c r="A378" s="42" t="str">
        <f t="shared" si="25"/>
        <v xml:space="preserve"> </v>
      </c>
      <c r="D378" s="41"/>
      <c r="E378" s="41"/>
      <c r="J378" s="17">
        <f t="shared" si="26"/>
        <v>0</v>
      </c>
      <c r="K378" s="2" t="str">
        <f t="shared" si="27"/>
        <v xml:space="preserve"> </v>
      </c>
      <c r="L378" s="2" t="str">
        <f t="shared" si="28"/>
        <v xml:space="preserve"> </v>
      </c>
      <c r="M378" s="2" t="str">
        <f t="shared" si="29"/>
        <v xml:space="preserve"> </v>
      </c>
    </row>
    <row r="379" spans="1:13" x14ac:dyDescent="0.25">
      <c r="A379" s="42" t="str">
        <f t="shared" si="25"/>
        <v xml:space="preserve"> </v>
      </c>
      <c r="D379" s="41"/>
      <c r="E379" s="41"/>
      <c r="J379" s="17">
        <f t="shared" si="26"/>
        <v>0</v>
      </c>
      <c r="K379" s="2" t="str">
        <f t="shared" si="27"/>
        <v xml:space="preserve"> </v>
      </c>
      <c r="L379" s="2" t="str">
        <f t="shared" si="28"/>
        <v xml:space="preserve"> </v>
      </c>
      <c r="M379" s="2" t="str">
        <f t="shared" si="29"/>
        <v xml:space="preserve"> </v>
      </c>
    </row>
    <row r="380" spans="1:13" x14ac:dyDescent="0.25">
      <c r="A380" s="42" t="str">
        <f t="shared" si="25"/>
        <v xml:space="preserve"> </v>
      </c>
      <c r="D380" s="41"/>
      <c r="E380" s="41"/>
      <c r="J380" s="17">
        <f t="shared" si="26"/>
        <v>0</v>
      </c>
      <c r="K380" s="2" t="str">
        <f t="shared" si="27"/>
        <v xml:space="preserve"> </v>
      </c>
      <c r="L380" s="2" t="str">
        <f t="shared" si="28"/>
        <v xml:space="preserve"> </v>
      </c>
      <c r="M380" s="2" t="str">
        <f t="shared" si="29"/>
        <v xml:space="preserve"> </v>
      </c>
    </row>
    <row r="381" spans="1:13" x14ac:dyDescent="0.25">
      <c r="A381" s="42" t="str">
        <f t="shared" si="25"/>
        <v xml:space="preserve"> </v>
      </c>
      <c r="D381" s="41"/>
      <c r="E381" s="41"/>
      <c r="J381" s="17">
        <f t="shared" si="26"/>
        <v>0</v>
      </c>
      <c r="K381" s="2" t="str">
        <f t="shared" si="27"/>
        <v xml:space="preserve"> </v>
      </c>
      <c r="L381" s="2" t="str">
        <f t="shared" si="28"/>
        <v xml:space="preserve"> </v>
      </c>
      <c r="M381" s="2" t="str">
        <f t="shared" si="29"/>
        <v xml:space="preserve"> </v>
      </c>
    </row>
    <row r="382" spans="1:13" x14ac:dyDescent="0.25">
      <c r="A382" s="42" t="str">
        <f t="shared" si="25"/>
        <v xml:space="preserve"> </v>
      </c>
      <c r="D382" s="41"/>
      <c r="E382" s="41"/>
      <c r="J382" s="17">
        <f t="shared" si="26"/>
        <v>0</v>
      </c>
      <c r="K382" s="2" t="str">
        <f t="shared" si="27"/>
        <v xml:space="preserve"> </v>
      </c>
      <c r="L382" s="2" t="str">
        <f t="shared" si="28"/>
        <v xml:space="preserve"> </v>
      </c>
      <c r="M382" s="2" t="str">
        <f t="shared" si="29"/>
        <v xml:space="preserve"> </v>
      </c>
    </row>
    <row r="383" spans="1:13" x14ac:dyDescent="0.25">
      <c r="A383" s="42" t="str">
        <f t="shared" si="25"/>
        <v xml:space="preserve"> </v>
      </c>
      <c r="D383" s="41"/>
      <c r="E383" s="41"/>
      <c r="J383" s="17">
        <f t="shared" si="26"/>
        <v>0</v>
      </c>
      <c r="K383" s="2" t="str">
        <f t="shared" si="27"/>
        <v xml:space="preserve"> </v>
      </c>
      <c r="L383" s="2" t="str">
        <f t="shared" si="28"/>
        <v xml:space="preserve"> </v>
      </c>
      <c r="M383" s="2" t="str">
        <f t="shared" si="29"/>
        <v xml:space="preserve"> </v>
      </c>
    </row>
    <row r="384" spans="1:13" x14ac:dyDescent="0.25">
      <c r="A384" s="42" t="str">
        <f t="shared" si="25"/>
        <v xml:space="preserve"> </v>
      </c>
      <c r="D384" s="41"/>
      <c r="E384" s="41"/>
      <c r="J384" s="17">
        <f t="shared" si="26"/>
        <v>0</v>
      </c>
      <c r="K384" s="2" t="str">
        <f t="shared" si="27"/>
        <v xml:space="preserve"> </v>
      </c>
      <c r="L384" s="2" t="str">
        <f t="shared" si="28"/>
        <v xml:space="preserve"> </v>
      </c>
      <c r="M384" s="2" t="str">
        <f t="shared" si="29"/>
        <v xml:space="preserve"> </v>
      </c>
    </row>
    <row r="385" spans="1:13" x14ac:dyDescent="0.25">
      <c r="A385" s="42" t="str">
        <f t="shared" si="25"/>
        <v xml:space="preserve"> </v>
      </c>
      <c r="D385" s="41"/>
      <c r="E385" s="41"/>
      <c r="J385" s="17">
        <f t="shared" si="26"/>
        <v>0</v>
      </c>
      <c r="K385" s="2" t="str">
        <f t="shared" si="27"/>
        <v xml:space="preserve"> </v>
      </c>
      <c r="L385" s="2" t="str">
        <f t="shared" si="28"/>
        <v xml:space="preserve"> </v>
      </c>
      <c r="M385" s="2" t="str">
        <f t="shared" si="29"/>
        <v xml:space="preserve"> </v>
      </c>
    </row>
    <row r="386" spans="1:13" x14ac:dyDescent="0.25">
      <c r="A386" s="42" t="str">
        <f t="shared" si="25"/>
        <v xml:space="preserve"> </v>
      </c>
      <c r="D386" s="41"/>
      <c r="E386" s="41"/>
      <c r="J386" s="17">
        <f t="shared" si="26"/>
        <v>0</v>
      </c>
      <c r="K386" s="2" t="str">
        <f t="shared" si="27"/>
        <v xml:space="preserve"> </v>
      </c>
      <c r="L386" s="2" t="str">
        <f t="shared" si="28"/>
        <v xml:space="preserve"> </v>
      </c>
      <c r="M386" s="2" t="str">
        <f t="shared" si="29"/>
        <v xml:space="preserve"> </v>
      </c>
    </row>
    <row r="387" spans="1:13" x14ac:dyDescent="0.25">
      <c r="A387" s="42" t="str">
        <f t="shared" si="25"/>
        <v xml:space="preserve"> </v>
      </c>
      <c r="D387" s="41"/>
      <c r="E387" s="41"/>
      <c r="J387" s="17">
        <f t="shared" si="26"/>
        <v>0</v>
      </c>
      <c r="K387" s="2" t="str">
        <f t="shared" si="27"/>
        <v xml:space="preserve"> </v>
      </c>
      <c r="L387" s="2" t="str">
        <f t="shared" si="28"/>
        <v xml:space="preserve"> </v>
      </c>
      <c r="M387" s="2" t="str">
        <f t="shared" si="29"/>
        <v xml:space="preserve"> </v>
      </c>
    </row>
    <row r="388" spans="1:13" x14ac:dyDescent="0.25">
      <c r="A388" s="42" t="str">
        <f t="shared" si="25"/>
        <v xml:space="preserve"> </v>
      </c>
      <c r="D388" s="41"/>
      <c r="E388" s="41"/>
      <c r="J388" s="17">
        <f t="shared" si="26"/>
        <v>0</v>
      </c>
      <c r="K388" s="2" t="str">
        <f t="shared" si="27"/>
        <v xml:space="preserve"> </v>
      </c>
      <c r="L388" s="2" t="str">
        <f t="shared" si="28"/>
        <v xml:space="preserve"> </v>
      </c>
      <c r="M388" s="2" t="str">
        <f t="shared" si="29"/>
        <v xml:space="preserve"> </v>
      </c>
    </row>
    <row r="389" spans="1:13" x14ac:dyDescent="0.25">
      <c r="A389" s="42" t="str">
        <f t="shared" si="25"/>
        <v xml:space="preserve"> </v>
      </c>
      <c r="D389" s="41"/>
      <c r="E389" s="41"/>
      <c r="J389" s="17">
        <f t="shared" si="26"/>
        <v>0</v>
      </c>
      <c r="K389" s="2" t="str">
        <f t="shared" si="27"/>
        <v xml:space="preserve"> </v>
      </c>
      <c r="L389" s="2" t="str">
        <f t="shared" si="28"/>
        <v xml:space="preserve"> </v>
      </c>
      <c r="M389" s="2" t="str">
        <f t="shared" si="29"/>
        <v xml:space="preserve"> </v>
      </c>
    </row>
    <row r="390" spans="1:13" x14ac:dyDescent="0.25">
      <c r="A390" s="42" t="str">
        <f t="shared" si="25"/>
        <v xml:space="preserve"> </v>
      </c>
      <c r="D390" s="41"/>
      <c r="E390" s="41"/>
      <c r="J390" s="17">
        <f t="shared" si="26"/>
        <v>0</v>
      </c>
      <c r="K390" s="2" t="str">
        <f t="shared" si="27"/>
        <v xml:space="preserve"> </v>
      </c>
      <c r="L390" s="2" t="str">
        <f t="shared" si="28"/>
        <v xml:space="preserve"> </v>
      </c>
      <c r="M390" s="2" t="str">
        <f t="shared" si="29"/>
        <v xml:space="preserve"> </v>
      </c>
    </row>
    <row r="391" spans="1:13" x14ac:dyDescent="0.25">
      <c r="A391" s="42" t="str">
        <f t="shared" si="25"/>
        <v xml:space="preserve"> </v>
      </c>
      <c r="D391" s="41"/>
      <c r="E391" s="41"/>
      <c r="J391" s="17">
        <f t="shared" si="26"/>
        <v>0</v>
      </c>
      <c r="K391" s="2" t="str">
        <f t="shared" si="27"/>
        <v xml:space="preserve"> </v>
      </c>
      <c r="L391" s="2" t="str">
        <f t="shared" si="28"/>
        <v xml:space="preserve"> </v>
      </c>
      <c r="M391" s="2" t="str">
        <f t="shared" si="29"/>
        <v xml:space="preserve"> </v>
      </c>
    </row>
    <row r="392" spans="1:13" x14ac:dyDescent="0.25">
      <c r="A392" s="42" t="str">
        <f t="shared" si="25"/>
        <v xml:space="preserve"> </v>
      </c>
      <c r="D392" s="41"/>
      <c r="E392" s="41"/>
      <c r="J392" s="17">
        <f t="shared" si="26"/>
        <v>0</v>
      </c>
      <c r="K392" s="2" t="str">
        <f t="shared" si="27"/>
        <v xml:space="preserve"> </v>
      </c>
      <c r="L392" s="2" t="str">
        <f t="shared" si="28"/>
        <v xml:space="preserve"> </v>
      </c>
      <c r="M392" s="2" t="str">
        <f t="shared" si="29"/>
        <v xml:space="preserve"> </v>
      </c>
    </row>
    <row r="393" spans="1:13" x14ac:dyDescent="0.25">
      <c r="A393" s="42" t="str">
        <f t="shared" si="25"/>
        <v xml:space="preserve"> </v>
      </c>
      <c r="D393" s="41"/>
      <c r="E393" s="41"/>
      <c r="J393" s="17">
        <f t="shared" si="26"/>
        <v>0</v>
      </c>
      <c r="K393" s="2" t="str">
        <f t="shared" si="27"/>
        <v xml:space="preserve"> </v>
      </c>
      <c r="L393" s="2" t="str">
        <f t="shared" si="28"/>
        <v xml:space="preserve"> </v>
      </c>
      <c r="M393" s="2" t="str">
        <f t="shared" si="29"/>
        <v xml:space="preserve"> </v>
      </c>
    </row>
    <row r="394" spans="1:13" x14ac:dyDescent="0.25">
      <c r="A394" s="42" t="str">
        <f t="shared" si="25"/>
        <v xml:space="preserve"> </v>
      </c>
      <c r="D394" s="41"/>
      <c r="E394" s="41"/>
      <c r="J394" s="17">
        <f t="shared" si="26"/>
        <v>0</v>
      </c>
      <c r="K394" s="2" t="str">
        <f t="shared" si="27"/>
        <v xml:space="preserve"> </v>
      </c>
      <c r="L394" s="2" t="str">
        <f t="shared" si="28"/>
        <v xml:space="preserve"> </v>
      </c>
      <c r="M394" s="2" t="str">
        <f t="shared" si="29"/>
        <v xml:space="preserve"> </v>
      </c>
    </row>
    <row r="395" spans="1:13" x14ac:dyDescent="0.25">
      <c r="A395" s="42" t="str">
        <f t="shared" si="25"/>
        <v xml:space="preserve"> </v>
      </c>
      <c r="D395" s="41"/>
      <c r="E395" s="41"/>
      <c r="J395" s="17">
        <f t="shared" si="26"/>
        <v>0</v>
      </c>
      <c r="K395" s="2" t="str">
        <f t="shared" si="27"/>
        <v xml:space="preserve"> </v>
      </c>
      <c r="L395" s="2" t="str">
        <f t="shared" si="28"/>
        <v xml:space="preserve"> </v>
      </c>
      <c r="M395" s="2" t="str">
        <f t="shared" si="29"/>
        <v xml:space="preserve"> </v>
      </c>
    </row>
    <row r="396" spans="1:13" x14ac:dyDescent="0.25">
      <c r="A396" s="42" t="str">
        <f t="shared" si="25"/>
        <v xml:space="preserve"> </v>
      </c>
      <c r="D396" s="41"/>
      <c r="E396" s="41"/>
      <c r="J396" s="17">
        <f t="shared" si="26"/>
        <v>0</v>
      </c>
      <c r="K396" s="2" t="str">
        <f t="shared" si="27"/>
        <v xml:space="preserve"> </v>
      </c>
      <c r="L396" s="2" t="str">
        <f t="shared" si="28"/>
        <v xml:space="preserve"> </v>
      </c>
      <c r="M396" s="2" t="str">
        <f t="shared" si="29"/>
        <v xml:space="preserve"> </v>
      </c>
    </row>
    <row r="397" spans="1:13" x14ac:dyDescent="0.25">
      <c r="A397" s="42" t="str">
        <f t="shared" si="25"/>
        <v xml:space="preserve"> </v>
      </c>
      <c r="D397" s="41"/>
      <c r="E397" s="41"/>
      <c r="J397" s="17">
        <f t="shared" ref="J397:J450" si="30">F397-G397+H397-I397</f>
        <v>0</v>
      </c>
      <c r="K397" s="2" t="str">
        <f t="shared" si="27"/>
        <v xml:space="preserve"> </v>
      </c>
      <c r="L397" s="2" t="str">
        <f t="shared" si="28"/>
        <v xml:space="preserve"> </v>
      </c>
      <c r="M397" s="2" t="str">
        <f t="shared" si="29"/>
        <v xml:space="preserve"> </v>
      </c>
    </row>
    <row r="398" spans="1:13" x14ac:dyDescent="0.25">
      <c r="A398" s="42" t="str">
        <f t="shared" si="25"/>
        <v xml:space="preserve"> </v>
      </c>
      <c r="D398" s="41"/>
      <c r="E398" s="41"/>
      <c r="J398" s="17">
        <f t="shared" si="30"/>
        <v>0</v>
      </c>
      <c r="K398" s="2" t="str">
        <f t="shared" si="27"/>
        <v xml:space="preserve"> </v>
      </c>
      <c r="L398" s="2" t="str">
        <f t="shared" si="28"/>
        <v xml:space="preserve"> </v>
      </c>
      <c r="M398" s="2" t="str">
        <f t="shared" si="29"/>
        <v xml:space="preserve"> </v>
      </c>
    </row>
    <row r="399" spans="1:13" x14ac:dyDescent="0.25">
      <c r="A399" s="42" t="str">
        <f t="shared" ref="A399:A462" si="31">IF(COUNTIF(K399:M399,"ERROR")&gt;0,"ERROR"," ")</f>
        <v xml:space="preserve"> </v>
      </c>
      <c r="D399" s="41"/>
      <c r="E399" s="41"/>
      <c r="J399" s="17">
        <f t="shared" si="30"/>
        <v>0</v>
      </c>
      <c r="K399" s="2" t="str">
        <f t="shared" si="27"/>
        <v xml:space="preserve"> </v>
      </c>
      <c r="L399" s="2" t="str">
        <f t="shared" si="28"/>
        <v xml:space="preserve"> </v>
      </c>
      <c r="M399" s="2" t="str">
        <f t="shared" si="29"/>
        <v xml:space="preserve"> </v>
      </c>
    </row>
    <row r="400" spans="1:13" x14ac:dyDescent="0.25">
      <c r="A400" s="42" t="str">
        <f t="shared" si="31"/>
        <v xml:space="preserve"> </v>
      </c>
      <c r="D400" s="41"/>
      <c r="E400" s="41"/>
      <c r="J400" s="17">
        <f t="shared" si="30"/>
        <v>0</v>
      </c>
      <c r="K400" s="2" t="str">
        <f t="shared" ref="K400:K463" si="32">IF(COUNTA(D400:E400)=2,"ERROR"," ")</f>
        <v xml:space="preserve"> </v>
      </c>
      <c r="L400" s="2" t="str">
        <f t="shared" ref="L400:L463" si="33">IF(D400=0," ",IF(COUNTIF(ProfitLoss,D400)&gt;0," ","ERROR"))</f>
        <v xml:space="preserve"> </v>
      </c>
      <c r="M400" s="2" t="str">
        <f t="shared" ref="M400:M463" si="34">IF(E400=0," ",IF(COUNTIF(BalanceSheet,E400)&gt;0," ","ERROR"))</f>
        <v xml:space="preserve"> </v>
      </c>
    </row>
    <row r="401" spans="1:13" x14ac:dyDescent="0.25">
      <c r="A401" s="42" t="str">
        <f t="shared" si="31"/>
        <v xml:space="preserve"> </v>
      </c>
      <c r="D401" s="41"/>
      <c r="E401" s="41"/>
      <c r="J401" s="17">
        <f t="shared" si="30"/>
        <v>0</v>
      </c>
      <c r="K401" s="2" t="str">
        <f t="shared" si="32"/>
        <v xml:space="preserve"> </v>
      </c>
      <c r="L401" s="2" t="str">
        <f t="shared" si="33"/>
        <v xml:space="preserve"> </v>
      </c>
      <c r="M401" s="2" t="str">
        <f t="shared" si="34"/>
        <v xml:space="preserve"> </v>
      </c>
    </row>
    <row r="402" spans="1:13" x14ac:dyDescent="0.25">
      <c r="A402" s="42" t="str">
        <f t="shared" si="31"/>
        <v xml:space="preserve"> </v>
      </c>
      <c r="D402" s="41"/>
      <c r="E402" s="41"/>
      <c r="J402" s="17">
        <f t="shared" si="30"/>
        <v>0</v>
      </c>
      <c r="K402" s="2" t="str">
        <f t="shared" si="32"/>
        <v xml:space="preserve"> </v>
      </c>
      <c r="L402" s="2" t="str">
        <f t="shared" si="33"/>
        <v xml:space="preserve"> </v>
      </c>
      <c r="M402" s="2" t="str">
        <f t="shared" si="34"/>
        <v xml:space="preserve"> </v>
      </c>
    </row>
    <row r="403" spans="1:13" x14ac:dyDescent="0.25">
      <c r="A403" s="42" t="str">
        <f t="shared" si="31"/>
        <v xml:space="preserve"> </v>
      </c>
      <c r="D403" s="41"/>
      <c r="E403" s="41"/>
      <c r="J403" s="17">
        <f t="shared" si="30"/>
        <v>0</v>
      </c>
      <c r="K403" s="2" t="str">
        <f t="shared" si="32"/>
        <v xml:space="preserve"> </v>
      </c>
      <c r="L403" s="2" t="str">
        <f t="shared" si="33"/>
        <v xml:space="preserve"> </v>
      </c>
      <c r="M403" s="2" t="str">
        <f t="shared" si="34"/>
        <v xml:space="preserve"> </v>
      </c>
    </row>
    <row r="404" spans="1:13" x14ac:dyDescent="0.25">
      <c r="A404" s="42" t="str">
        <f t="shared" si="31"/>
        <v xml:space="preserve"> </v>
      </c>
      <c r="D404" s="41"/>
      <c r="E404" s="41"/>
      <c r="J404" s="17">
        <f t="shared" si="30"/>
        <v>0</v>
      </c>
      <c r="K404" s="2" t="str">
        <f t="shared" si="32"/>
        <v xml:space="preserve"> </v>
      </c>
      <c r="L404" s="2" t="str">
        <f t="shared" si="33"/>
        <v xml:space="preserve"> </v>
      </c>
      <c r="M404" s="2" t="str">
        <f t="shared" si="34"/>
        <v xml:space="preserve"> </v>
      </c>
    </row>
    <row r="405" spans="1:13" x14ac:dyDescent="0.25">
      <c r="A405" s="42" t="str">
        <f t="shared" si="31"/>
        <v xml:space="preserve"> </v>
      </c>
      <c r="D405" s="41"/>
      <c r="E405" s="41"/>
      <c r="J405" s="17">
        <f t="shared" si="30"/>
        <v>0</v>
      </c>
      <c r="K405" s="2" t="str">
        <f t="shared" si="32"/>
        <v xml:space="preserve"> </v>
      </c>
      <c r="L405" s="2" t="str">
        <f t="shared" si="33"/>
        <v xml:space="preserve"> </v>
      </c>
      <c r="M405" s="2" t="str">
        <f t="shared" si="34"/>
        <v xml:space="preserve"> </v>
      </c>
    </row>
    <row r="406" spans="1:13" x14ac:dyDescent="0.25">
      <c r="A406" s="42" t="str">
        <f t="shared" si="31"/>
        <v xml:space="preserve"> </v>
      </c>
      <c r="D406" s="41"/>
      <c r="E406" s="41"/>
      <c r="J406" s="17">
        <f t="shared" si="30"/>
        <v>0</v>
      </c>
      <c r="K406" s="2" t="str">
        <f t="shared" si="32"/>
        <v xml:space="preserve"> </v>
      </c>
      <c r="L406" s="2" t="str">
        <f t="shared" si="33"/>
        <v xml:space="preserve"> </v>
      </c>
      <c r="M406" s="2" t="str">
        <f t="shared" si="34"/>
        <v xml:space="preserve"> </v>
      </c>
    </row>
    <row r="407" spans="1:13" x14ac:dyDescent="0.25">
      <c r="A407" s="42" t="str">
        <f t="shared" si="31"/>
        <v xml:space="preserve"> </v>
      </c>
      <c r="D407" s="41"/>
      <c r="E407" s="41"/>
      <c r="J407" s="17">
        <f t="shared" si="30"/>
        <v>0</v>
      </c>
      <c r="K407" s="2" t="str">
        <f t="shared" si="32"/>
        <v xml:space="preserve"> </v>
      </c>
      <c r="L407" s="2" t="str">
        <f t="shared" si="33"/>
        <v xml:space="preserve"> </v>
      </c>
      <c r="M407" s="2" t="str">
        <f t="shared" si="34"/>
        <v xml:space="preserve"> </v>
      </c>
    </row>
    <row r="408" spans="1:13" x14ac:dyDescent="0.25">
      <c r="A408" s="42" t="str">
        <f t="shared" si="31"/>
        <v xml:space="preserve"> </v>
      </c>
      <c r="D408" s="41"/>
      <c r="E408" s="41"/>
      <c r="J408" s="17">
        <f t="shared" si="30"/>
        <v>0</v>
      </c>
      <c r="K408" s="2" t="str">
        <f t="shared" si="32"/>
        <v xml:space="preserve"> </v>
      </c>
      <c r="L408" s="2" t="str">
        <f t="shared" si="33"/>
        <v xml:space="preserve"> </v>
      </c>
      <c r="M408" s="2" t="str">
        <f t="shared" si="34"/>
        <v xml:space="preserve"> </v>
      </c>
    </row>
    <row r="409" spans="1:13" x14ac:dyDescent="0.25">
      <c r="A409" s="42" t="str">
        <f t="shared" si="31"/>
        <v xml:space="preserve"> </v>
      </c>
      <c r="D409" s="41"/>
      <c r="E409" s="41"/>
      <c r="J409" s="17">
        <f t="shared" si="30"/>
        <v>0</v>
      </c>
      <c r="K409" s="2" t="str">
        <f t="shared" si="32"/>
        <v xml:space="preserve"> </v>
      </c>
      <c r="L409" s="2" t="str">
        <f t="shared" si="33"/>
        <v xml:space="preserve"> </v>
      </c>
      <c r="M409" s="2" t="str">
        <f t="shared" si="34"/>
        <v xml:space="preserve"> </v>
      </c>
    </row>
    <row r="410" spans="1:13" x14ac:dyDescent="0.25">
      <c r="A410" s="42" t="str">
        <f t="shared" si="31"/>
        <v xml:space="preserve"> </v>
      </c>
      <c r="D410" s="41"/>
      <c r="E410" s="41"/>
      <c r="J410" s="17">
        <f t="shared" si="30"/>
        <v>0</v>
      </c>
      <c r="K410" s="2" t="str">
        <f t="shared" si="32"/>
        <v xml:space="preserve"> </v>
      </c>
      <c r="L410" s="2" t="str">
        <f t="shared" si="33"/>
        <v xml:space="preserve"> </v>
      </c>
      <c r="M410" s="2" t="str">
        <f t="shared" si="34"/>
        <v xml:space="preserve"> </v>
      </c>
    </row>
    <row r="411" spans="1:13" x14ac:dyDescent="0.25">
      <c r="A411" s="42" t="str">
        <f t="shared" si="31"/>
        <v xml:space="preserve"> </v>
      </c>
      <c r="D411" s="41"/>
      <c r="E411" s="41"/>
      <c r="J411" s="17">
        <f t="shared" si="30"/>
        <v>0</v>
      </c>
      <c r="K411" s="2" t="str">
        <f t="shared" si="32"/>
        <v xml:space="preserve"> </v>
      </c>
      <c r="L411" s="2" t="str">
        <f t="shared" si="33"/>
        <v xml:space="preserve"> </v>
      </c>
      <c r="M411" s="2" t="str">
        <f t="shared" si="34"/>
        <v xml:space="preserve"> </v>
      </c>
    </row>
    <row r="412" spans="1:13" x14ac:dyDescent="0.25">
      <c r="A412" s="42" t="str">
        <f t="shared" si="31"/>
        <v xml:space="preserve"> </v>
      </c>
      <c r="D412" s="41"/>
      <c r="E412" s="41"/>
      <c r="J412" s="17">
        <f t="shared" si="30"/>
        <v>0</v>
      </c>
      <c r="K412" s="2" t="str">
        <f t="shared" si="32"/>
        <v xml:space="preserve"> </v>
      </c>
      <c r="L412" s="2" t="str">
        <f t="shared" si="33"/>
        <v xml:space="preserve"> </v>
      </c>
      <c r="M412" s="2" t="str">
        <f t="shared" si="34"/>
        <v xml:space="preserve"> </v>
      </c>
    </row>
    <row r="413" spans="1:13" x14ac:dyDescent="0.25">
      <c r="A413" s="42" t="str">
        <f t="shared" si="31"/>
        <v xml:space="preserve"> </v>
      </c>
      <c r="D413" s="41"/>
      <c r="E413" s="41"/>
      <c r="J413" s="17">
        <f t="shared" si="30"/>
        <v>0</v>
      </c>
      <c r="K413" s="2" t="str">
        <f t="shared" si="32"/>
        <v xml:space="preserve"> </v>
      </c>
      <c r="L413" s="2" t="str">
        <f t="shared" si="33"/>
        <v xml:space="preserve"> </v>
      </c>
      <c r="M413" s="2" t="str">
        <f t="shared" si="34"/>
        <v xml:space="preserve"> </v>
      </c>
    </row>
    <row r="414" spans="1:13" x14ac:dyDescent="0.25">
      <c r="A414" s="42" t="str">
        <f t="shared" si="31"/>
        <v xml:space="preserve"> </v>
      </c>
      <c r="D414" s="41"/>
      <c r="E414" s="41"/>
      <c r="J414" s="17">
        <f t="shared" si="30"/>
        <v>0</v>
      </c>
      <c r="K414" s="2" t="str">
        <f t="shared" si="32"/>
        <v xml:space="preserve"> </v>
      </c>
      <c r="L414" s="2" t="str">
        <f t="shared" si="33"/>
        <v xml:space="preserve"> </v>
      </c>
      <c r="M414" s="2" t="str">
        <f t="shared" si="34"/>
        <v xml:space="preserve"> </v>
      </c>
    </row>
    <row r="415" spans="1:13" x14ac:dyDescent="0.25">
      <c r="A415" s="42" t="str">
        <f t="shared" si="31"/>
        <v xml:space="preserve"> </v>
      </c>
      <c r="D415" s="41"/>
      <c r="E415" s="41"/>
      <c r="J415" s="17">
        <f t="shared" si="30"/>
        <v>0</v>
      </c>
      <c r="K415" s="2" t="str">
        <f t="shared" si="32"/>
        <v xml:space="preserve"> </v>
      </c>
      <c r="L415" s="2" t="str">
        <f t="shared" si="33"/>
        <v xml:space="preserve"> </v>
      </c>
      <c r="M415" s="2" t="str">
        <f t="shared" si="34"/>
        <v xml:space="preserve"> </v>
      </c>
    </row>
    <row r="416" spans="1:13" x14ac:dyDescent="0.25">
      <c r="A416" s="42" t="str">
        <f t="shared" si="31"/>
        <v xml:space="preserve"> </v>
      </c>
      <c r="D416" s="41"/>
      <c r="E416" s="41"/>
      <c r="J416" s="17">
        <f t="shared" si="30"/>
        <v>0</v>
      </c>
      <c r="K416" s="2" t="str">
        <f t="shared" si="32"/>
        <v xml:space="preserve"> </v>
      </c>
      <c r="L416" s="2" t="str">
        <f t="shared" si="33"/>
        <v xml:space="preserve"> </v>
      </c>
      <c r="M416" s="2" t="str">
        <f t="shared" si="34"/>
        <v xml:space="preserve"> </v>
      </c>
    </row>
    <row r="417" spans="1:13" x14ac:dyDescent="0.25">
      <c r="A417" s="42" t="str">
        <f t="shared" si="31"/>
        <v xml:space="preserve"> </v>
      </c>
      <c r="D417" s="41"/>
      <c r="E417" s="41"/>
      <c r="J417" s="17">
        <f t="shared" si="30"/>
        <v>0</v>
      </c>
      <c r="K417" s="2" t="str">
        <f t="shared" si="32"/>
        <v xml:space="preserve"> </v>
      </c>
      <c r="L417" s="2" t="str">
        <f t="shared" si="33"/>
        <v xml:space="preserve"> </v>
      </c>
      <c r="M417" s="2" t="str">
        <f t="shared" si="34"/>
        <v xml:space="preserve"> </v>
      </c>
    </row>
    <row r="418" spans="1:13" x14ac:dyDescent="0.25">
      <c r="A418" s="42" t="str">
        <f t="shared" si="31"/>
        <v xml:space="preserve"> </v>
      </c>
      <c r="D418" s="41"/>
      <c r="E418" s="41"/>
      <c r="J418" s="17">
        <f t="shared" si="30"/>
        <v>0</v>
      </c>
      <c r="K418" s="2" t="str">
        <f t="shared" si="32"/>
        <v xml:space="preserve"> </v>
      </c>
      <c r="L418" s="2" t="str">
        <f t="shared" si="33"/>
        <v xml:space="preserve"> </v>
      </c>
      <c r="M418" s="2" t="str">
        <f t="shared" si="34"/>
        <v xml:space="preserve"> </v>
      </c>
    </row>
    <row r="419" spans="1:13" x14ac:dyDescent="0.25">
      <c r="A419" s="42" t="str">
        <f t="shared" si="31"/>
        <v xml:space="preserve"> </v>
      </c>
      <c r="D419" s="41"/>
      <c r="E419" s="41"/>
      <c r="J419" s="17">
        <f t="shared" si="30"/>
        <v>0</v>
      </c>
      <c r="K419" s="2" t="str">
        <f t="shared" si="32"/>
        <v xml:space="preserve"> </v>
      </c>
      <c r="L419" s="2" t="str">
        <f t="shared" si="33"/>
        <v xml:space="preserve"> </v>
      </c>
      <c r="M419" s="2" t="str">
        <f t="shared" si="34"/>
        <v xml:space="preserve"> </v>
      </c>
    </row>
    <row r="420" spans="1:13" x14ac:dyDescent="0.25">
      <c r="A420" s="42" t="str">
        <f t="shared" si="31"/>
        <v xml:space="preserve"> </v>
      </c>
      <c r="D420" s="41"/>
      <c r="E420" s="41"/>
      <c r="J420" s="17">
        <f t="shared" si="30"/>
        <v>0</v>
      </c>
      <c r="K420" s="2" t="str">
        <f t="shared" si="32"/>
        <v xml:space="preserve"> </v>
      </c>
      <c r="L420" s="2" t="str">
        <f t="shared" si="33"/>
        <v xml:space="preserve"> </v>
      </c>
      <c r="M420" s="2" t="str">
        <f t="shared" si="34"/>
        <v xml:space="preserve"> </v>
      </c>
    </row>
    <row r="421" spans="1:13" x14ac:dyDescent="0.25">
      <c r="A421" s="42" t="str">
        <f t="shared" si="31"/>
        <v xml:space="preserve"> </v>
      </c>
      <c r="D421" s="41"/>
      <c r="E421" s="41"/>
      <c r="J421" s="17">
        <f t="shared" si="30"/>
        <v>0</v>
      </c>
      <c r="K421" s="2" t="str">
        <f t="shared" si="32"/>
        <v xml:space="preserve"> </v>
      </c>
      <c r="L421" s="2" t="str">
        <f t="shared" si="33"/>
        <v xml:space="preserve"> </v>
      </c>
      <c r="M421" s="2" t="str">
        <f t="shared" si="34"/>
        <v xml:space="preserve"> </v>
      </c>
    </row>
    <row r="422" spans="1:13" x14ac:dyDescent="0.25">
      <c r="A422" s="42" t="str">
        <f t="shared" si="31"/>
        <v xml:space="preserve"> </v>
      </c>
      <c r="D422" s="41"/>
      <c r="E422" s="41"/>
      <c r="J422" s="17">
        <f t="shared" si="30"/>
        <v>0</v>
      </c>
      <c r="K422" s="2" t="str">
        <f t="shared" si="32"/>
        <v xml:space="preserve"> </v>
      </c>
      <c r="L422" s="2" t="str">
        <f t="shared" si="33"/>
        <v xml:space="preserve"> </v>
      </c>
      <c r="M422" s="2" t="str">
        <f t="shared" si="34"/>
        <v xml:space="preserve"> </v>
      </c>
    </row>
    <row r="423" spans="1:13" x14ac:dyDescent="0.25">
      <c r="A423" s="42" t="str">
        <f t="shared" si="31"/>
        <v xml:space="preserve"> </v>
      </c>
      <c r="D423" s="41"/>
      <c r="E423" s="41"/>
      <c r="J423" s="17">
        <f t="shared" si="30"/>
        <v>0</v>
      </c>
      <c r="K423" s="2" t="str">
        <f t="shared" si="32"/>
        <v xml:space="preserve"> </v>
      </c>
      <c r="L423" s="2" t="str">
        <f t="shared" si="33"/>
        <v xml:space="preserve"> </v>
      </c>
      <c r="M423" s="2" t="str">
        <f t="shared" si="34"/>
        <v xml:space="preserve"> </v>
      </c>
    </row>
    <row r="424" spans="1:13" x14ac:dyDescent="0.25">
      <c r="A424" s="42" t="str">
        <f t="shared" si="31"/>
        <v xml:space="preserve"> </v>
      </c>
      <c r="D424" s="41"/>
      <c r="E424" s="41"/>
      <c r="J424" s="17">
        <f t="shared" si="30"/>
        <v>0</v>
      </c>
      <c r="K424" s="2" t="str">
        <f t="shared" si="32"/>
        <v xml:space="preserve"> </v>
      </c>
      <c r="L424" s="2" t="str">
        <f t="shared" si="33"/>
        <v xml:space="preserve"> </v>
      </c>
      <c r="M424" s="2" t="str">
        <f t="shared" si="34"/>
        <v xml:space="preserve"> </v>
      </c>
    </row>
    <row r="425" spans="1:13" x14ac:dyDescent="0.25">
      <c r="A425" s="42" t="str">
        <f t="shared" si="31"/>
        <v xml:space="preserve"> </v>
      </c>
      <c r="D425" s="41"/>
      <c r="E425" s="41"/>
      <c r="J425" s="17">
        <f t="shared" si="30"/>
        <v>0</v>
      </c>
      <c r="K425" s="2" t="str">
        <f t="shared" si="32"/>
        <v xml:space="preserve"> </v>
      </c>
      <c r="L425" s="2" t="str">
        <f t="shared" si="33"/>
        <v xml:space="preserve"> </v>
      </c>
      <c r="M425" s="2" t="str">
        <f t="shared" si="34"/>
        <v xml:space="preserve"> </v>
      </c>
    </row>
    <row r="426" spans="1:13" x14ac:dyDescent="0.25">
      <c r="A426" s="42" t="str">
        <f t="shared" si="31"/>
        <v xml:space="preserve"> </v>
      </c>
      <c r="D426" s="41"/>
      <c r="E426" s="41"/>
      <c r="J426" s="17">
        <f t="shared" si="30"/>
        <v>0</v>
      </c>
      <c r="K426" s="2" t="str">
        <f t="shared" si="32"/>
        <v xml:space="preserve"> </v>
      </c>
      <c r="L426" s="2" t="str">
        <f t="shared" si="33"/>
        <v xml:space="preserve"> </v>
      </c>
      <c r="M426" s="2" t="str">
        <f t="shared" si="34"/>
        <v xml:space="preserve"> </v>
      </c>
    </row>
    <row r="427" spans="1:13" x14ac:dyDescent="0.25">
      <c r="A427" s="42" t="str">
        <f t="shared" si="31"/>
        <v xml:space="preserve"> </v>
      </c>
      <c r="D427" s="41"/>
      <c r="E427" s="41"/>
      <c r="J427" s="17">
        <f t="shared" si="30"/>
        <v>0</v>
      </c>
      <c r="K427" s="2" t="str">
        <f t="shared" si="32"/>
        <v xml:space="preserve"> </v>
      </c>
      <c r="L427" s="2" t="str">
        <f t="shared" si="33"/>
        <v xml:space="preserve"> </v>
      </c>
      <c r="M427" s="2" t="str">
        <f t="shared" si="34"/>
        <v xml:space="preserve"> </v>
      </c>
    </row>
    <row r="428" spans="1:13" x14ac:dyDescent="0.25">
      <c r="A428" s="42" t="str">
        <f t="shared" si="31"/>
        <v xml:space="preserve"> </v>
      </c>
      <c r="D428" s="41"/>
      <c r="E428" s="41"/>
      <c r="J428" s="17">
        <f t="shared" si="30"/>
        <v>0</v>
      </c>
      <c r="K428" s="2" t="str">
        <f t="shared" si="32"/>
        <v xml:space="preserve"> </v>
      </c>
      <c r="L428" s="2" t="str">
        <f t="shared" si="33"/>
        <v xml:space="preserve"> </v>
      </c>
      <c r="M428" s="2" t="str">
        <f t="shared" si="34"/>
        <v xml:space="preserve"> </v>
      </c>
    </row>
    <row r="429" spans="1:13" x14ac:dyDescent="0.25">
      <c r="A429" s="42" t="str">
        <f t="shared" si="31"/>
        <v xml:space="preserve"> </v>
      </c>
      <c r="D429" s="41"/>
      <c r="E429" s="41"/>
      <c r="J429" s="17">
        <f t="shared" si="30"/>
        <v>0</v>
      </c>
      <c r="K429" s="2" t="str">
        <f t="shared" si="32"/>
        <v xml:space="preserve"> </v>
      </c>
      <c r="L429" s="2" t="str">
        <f t="shared" si="33"/>
        <v xml:space="preserve"> </v>
      </c>
      <c r="M429" s="2" t="str">
        <f t="shared" si="34"/>
        <v xml:space="preserve"> </v>
      </c>
    </row>
    <row r="430" spans="1:13" x14ac:dyDescent="0.25">
      <c r="A430" s="42" t="str">
        <f t="shared" si="31"/>
        <v xml:space="preserve"> </v>
      </c>
      <c r="D430" s="41"/>
      <c r="E430" s="41"/>
      <c r="J430" s="17">
        <f t="shared" si="30"/>
        <v>0</v>
      </c>
      <c r="K430" s="2" t="str">
        <f t="shared" si="32"/>
        <v xml:space="preserve"> </v>
      </c>
      <c r="L430" s="2" t="str">
        <f t="shared" si="33"/>
        <v xml:space="preserve"> </v>
      </c>
      <c r="M430" s="2" t="str">
        <f t="shared" si="34"/>
        <v xml:space="preserve"> </v>
      </c>
    </row>
    <row r="431" spans="1:13" x14ac:dyDescent="0.25">
      <c r="A431" s="42" t="str">
        <f t="shared" si="31"/>
        <v xml:space="preserve"> </v>
      </c>
      <c r="D431" s="41"/>
      <c r="E431" s="41"/>
      <c r="J431" s="17">
        <f t="shared" si="30"/>
        <v>0</v>
      </c>
      <c r="K431" s="2" t="str">
        <f t="shared" si="32"/>
        <v xml:space="preserve"> </v>
      </c>
      <c r="L431" s="2" t="str">
        <f t="shared" si="33"/>
        <v xml:space="preserve"> </v>
      </c>
      <c r="M431" s="2" t="str">
        <f t="shared" si="34"/>
        <v xml:space="preserve"> </v>
      </c>
    </row>
    <row r="432" spans="1:13" x14ac:dyDescent="0.25">
      <c r="A432" s="42" t="str">
        <f t="shared" si="31"/>
        <v xml:space="preserve"> </v>
      </c>
      <c r="D432" s="41"/>
      <c r="E432" s="41"/>
      <c r="J432" s="17">
        <f t="shared" si="30"/>
        <v>0</v>
      </c>
      <c r="K432" s="2" t="str">
        <f t="shared" si="32"/>
        <v xml:space="preserve"> </v>
      </c>
      <c r="L432" s="2" t="str">
        <f t="shared" si="33"/>
        <v xml:space="preserve"> </v>
      </c>
      <c r="M432" s="2" t="str">
        <f t="shared" si="34"/>
        <v xml:space="preserve"> </v>
      </c>
    </row>
    <row r="433" spans="1:13" x14ac:dyDescent="0.25">
      <c r="A433" s="42" t="str">
        <f t="shared" si="31"/>
        <v xml:space="preserve"> </v>
      </c>
      <c r="D433" s="41"/>
      <c r="E433" s="41"/>
      <c r="J433" s="17">
        <f t="shared" si="30"/>
        <v>0</v>
      </c>
      <c r="K433" s="2" t="str">
        <f t="shared" si="32"/>
        <v xml:space="preserve"> </v>
      </c>
      <c r="L433" s="2" t="str">
        <f t="shared" si="33"/>
        <v xml:space="preserve"> </v>
      </c>
      <c r="M433" s="2" t="str">
        <f t="shared" si="34"/>
        <v xml:space="preserve"> </v>
      </c>
    </row>
    <row r="434" spans="1:13" x14ac:dyDescent="0.25">
      <c r="A434" s="42" t="str">
        <f t="shared" si="31"/>
        <v xml:space="preserve"> </v>
      </c>
      <c r="D434" s="41"/>
      <c r="E434" s="41"/>
      <c r="J434" s="17">
        <f t="shared" si="30"/>
        <v>0</v>
      </c>
      <c r="K434" s="2" t="str">
        <f t="shared" si="32"/>
        <v xml:space="preserve"> </v>
      </c>
      <c r="L434" s="2" t="str">
        <f t="shared" si="33"/>
        <v xml:space="preserve"> </v>
      </c>
      <c r="M434" s="2" t="str">
        <f t="shared" si="34"/>
        <v xml:space="preserve"> </v>
      </c>
    </row>
    <row r="435" spans="1:13" x14ac:dyDescent="0.25">
      <c r="A435" s="42" t="str">
        <f t="shared" si="31"/>
        <v xml:space="preserve"> </v>
      </c>
      <c r="D435" s="41"/>
      <c r="E435" s="41"/>
      <c r="J435" s="17">
        <f t="shared" si="30"/>
        <v>0</v>
      </c>
      <c r="K435" s="2" t="str">
        <f t="shared" si="32"/>
        <v xml:space="preserve"> </v>
      </c>
      <c r="L435" s="2" t="str">
        <f t="shared" si="33"/>
        <v xml:space="preserve"> </v>
      </c>
      <c r="M435" s="2" t="str">
        <f t="shared" si="34"/>
        <v xml:space="preserve"> </v>
      </c>
    </row>
    <row r="436" spans="1:13" x14ac:dyDescent="0.25">
      <c r="A436" s="42" t="str">
        <f t="shared" si="31"/>
        <v xml:space="preserve"> </v>
      </c>
      <c r="D436" s="41"/>
      <c r="E436" s="41"/>
      <c r="J436" s="17">
        <f t="shared" si="30"/>
        <v>0</v>
      </c>
      <c r="K436" s="2" t="str">
        <f t="shared" si="32"/>
        <v xml:space="preserve"> </v>
      </c>
      <c r="L436" s="2" t="str">
        <f t="shared" si="33"/>
        <v xml:space="preserve"> </v>
      </c>
      <c r="M436" s="2" t="str">
        <f t="shared" si="34"/>
        <v xml:space="preserve"> </v>
      </c>
    </row>
    <row r="437" spans="1:13" x14ac:dyDescent="0.25">
      <c r="A437" s="42" t="str">
        <f t="shared" si="31"/>
        <v xml:space="preserve"> </v>
      </c>
      <c r="D437" s="41"/>
      <c r="E437" s="41"/>
      <c r="J437" s="17">
        <f t="shared" si="30"/>
        <v>0</v>
      </c>
      <c r="K437" s="2" t="str">
        <f t="shared" si="32"/>
        <v xml:space="preserve"> </v>
      </c>
      <c r="L437" s="2" t="str">
        <f t="shared" si="33"/>
        <v xml:space="preserve"> </v>
      </c>
      <c r="M437" s="2" t="str">
        <f t="shared" si="34"/>
        <v xml:space="preserve"> </v>
      </c>
    </row>
    <row r="438" spans="1:13" x14ac:dyDescent="0.25">
      <c r="A438" s="42" t="str">
        <f t="shared" si="31"/>
        <v xml:space="preserve"> </v>
      </c>
      <c r="D438" s="41"/>
      <c r="E438" s="41"/>
      <c r="J438" s="17">
        <f t="shared" si="30"/>
        <v>0</v>
      </c>
      <c r="K438" s="2" t="str">
        <f t="shared" si="32"/>
        <v xml:space="preserve"> </v>
      </c>
      <c r="L438" s="2" t="str">
        <f t="shared" si="33"/>
        <v xml:space="preserve"> </v>
      </c>
      <c r="M438" s="2" t="str">
        <f t="shared" si="34"/>
        <v xml:space="preserve"> </v>
      </c>
    </row>
    <row r="439" spans="1:13" x14ac:dyDescent="0.25">
      <c r="A439" s="42" t="str">
        <f t="shared" si="31"/>
        <v xml:space="preserve"> </v>
      </c>
      <c r="D439" s="41"/>
      <c r="E439" s="41"/>
      <c r="J439" s="17">
        <f t="shared" si="30"/>
        <v>0</v>
      </c>
      <c r="K439" s="2" t="str">
        <f t="shared" si="32"/>
        <v xml:space="preserve"> </v>
      </c>
      <c r="L439" s="2" t="str">
        <f t="shared" si="33"/>
        <v xml:space="preserve"> </v>
      </c>
      <c r="M439" s="2" t="str">
        <f t="shared" si="34"/>
        <v xml:space="preserve"> </v>
      </c>
    </row>
    <row r="440" spans="1:13" x14ac:dyDescent="0.25">
      <c r="A440" s="42" t="str">
        <f t="shared" si="31"/>
        <v xml:space="preserve"> </v>
      </c>
      <c r="D440" s="41"/>
      <c r="E440" s="41"/>
      <c r="J440" s="17">
        <f t="shared" si="30"/>
        <v>0</v>
      </c>
      <c r="K440" s="2" t="str">
        <f t="shared" si="32"/>
        <v xml:space="preserve"> </v>
      </c>
      <c r="L440" s="2" t="str">
        <f t="shared" si="33"/>
        <v xml:space="preserve"> </v>
      </c>
      <c r="M440" s="2" t="str">
        <f t="shared" si="34"/>
        <v xml:space="preserve"> </v>
      </c>
    </row>
    <row r="441" spans="1:13" x14ac:dyDescent="0.25">
      <c r="A441" s="42" t="str">
        <f t="shared" si="31"/>
        <v xml:space="preserve"> </v>
      </c>
      <c r="D441" s="41"/>
      <c r="E441" s="41"/>
      <c r="J441" s="17">
        <f t="shared" si="30"/>
        <v>0</v>
      </c>
      <c r="K441" s="2" t="str">
        <f t="shared" si="32"/>
        <v xml:space="preserve"> </v>
      </c>
      <c r="L441" s="2" t="str">
        <f t="shared" si="33"/>
        <v xml:space="preserve"> </v>
      </c>
      <c r="M441" s="2" t="str">
        <f t="shared" si="34"/>
        <v xml:space="preserve"> </v>
      </c>
    </row>
    <row r="442" spans="1:13" x14ac:dyDescent="0.25">
      <c r="A442" s="42" t="str">
        <f t="shared" si="31"/>
        <v xml:space="preserve"> </v>
      </c>
      <c r="D442" s="41"/>
      <c r="E442" s="41"/>
      <c r="J442" s="17">
        <f t="shared" si="30"/>
        <v>0</v>
      </c>
      <c r="K442" s="2" t="str">
        <f t="shared" si="32"/>
        <v xml:space="preserve"> </v>
      </c>
      <c r="L442" s="2" t="str">
        <f t="shared" si="33"/>
        <v xml:space="preserve"> </v>
      </c>
      <c r="M442" s="2" t="str">
        <f t="shared" si="34"/>
        <v xml:space="preserve"> </v>
      </c>
    </row>
    <row r="443" spans="1:13" x14ac:dyDescent="0.25">
      <c r="A443" s="42" t="str">
        <f t="shared" si="31"/>
        <v xml:space="preserve"> </v>
      </c>
      <c r="D443" s="41"/>
      <c r="E443" s="41"/>
      <c r="J443" s="17">
        <f t="shared" si="30"/>
        <v>0</v>
      </c>
      <c r="K443" s="2" t="str">
        <f t="shared" si="32"/>
        <v xml:space="preserve"> </v>
      </c>
      <c r="L443" s="2" t="str">
        <f t="shared" si="33"/>
        <v xml:space="preserve"> </v>
      </c>
      <c r="M443" s="2" t="str">
        <f t="shared" si="34"/>
        <v xml:space="preserve"> </v>
      </c>
    </row>
    <row r="444" spans="1:13" x14ac:dyDescent="0.25">
      <c r="A444" s="42" t="str">
        <f t="shared" si="31"/>
        <v xml:space="preserve"> </v>
      </c>
      <c r="D444" s="41"/>
      <c r="E444" s="41"/>
      <c r="J444" s="17">
        <f t="shared" si="30"/>
        <v>0</v>
      </c>
      <c r="K444" s="2" t="str">
        <f t="shared" si="32"/>
        <v xml:space="preserve"> </v>
      </c>
      <c r="L444" s="2" t="str">
        <f t="shared" si="33"/>
        <v xml:space="preserve"> </v>
      </c>
      <c r="M444" s="2" t="str">
        <f t="shared" si="34"/>
        <v xml:space="preserve"> </v>
      </c>
    </row>
    <row r="445" spans="1:13" x14ac:dyDescent="0.25">
      <c r="A445" s="42" t="str">
        <f t="shared" si="31"/>
        <v xml:space="preserve"> </v>
      </c>
      <c r="D445" s="41"/>
      <c r="E445" s="41"/>
      <c r="J445" s="17">
        <f t="shared" si="30"/>
        <v>0</v>
      </c>
      <c r="K445" s="2" t="str">
        <f t="shared" si="32"/>
        <v xml:space="preserve"> </v>
      </c>
      <c r="L445" s="2" t="str">
        <f t="shared" si="33"/>
        <v xml:space="preserve"> </v>
      </c>
      <c r="M445" s="2" t="str">
        <f t="shared" si="34"/>
        <v xml:space="preserve"> </v>
      </c>
    </row>
    <row r="446" spans="1:13" x14ac:dyDescent="0.25">
      <c r="A446" s="42" t="str">
        <f t="shared" si="31"/>
        <v xml:space="preserve"> </v>
      </c>
      <c r="D446" s="41"/>
      <c r="E446" s="41"/>
      <c r="J446" s="17">
        <f t="shared" si="30"/>
        <v>0</v>
      </c>
      <c r="K446" s="2" t="str">
        <f t="shared" si="32"/>
        <v xml:space="preserve"> </v>
      </c>
      <c r="L446" s="2" t="str">
        <f t="shared" si="33"/>
        <v xml:space="preserve"> </v>
      </c>
      <c r="M446" s="2" t="str">
        <f t="shared" si="34"/>
        <v xml:space="preserve"> </v>
      </c>
    </row>
    <row r="447" spans="1:13" x14ac:dyDescent="0.25">
      <c r="A447" s="42" t="str">
        <f t="shared" si="31"/>
        <v xml:space="preserve"> </v>
      </c>
      <c r="D447" s="41"/>
      <c r="E447" s="41"/>
      <c r="J447" s="17">
        <f t="shared" si="30"/>
        <v>0</v>
      </c>
      <c r="K447" s="2" t="str">
        <f t="shared" si="32"/>
        <v xml:space="preserve"> </v>
      </c>
      <c r="L447" s="2" t="str">
        <f t="shared" si="33"/>
        <v xml:space="preserve"> </v>
      </c>
      <c r="M447" s="2" t="str">
        <f t="shared" si="34"/>
        <v xml:space="preserve"> </v>
      </c>
    </row>
    <row r="448" spans="1:13" x14ac:dyDescent="0.25">
      <c r="A448" s="42" t="str">
        <f t="shared" si="31"/>
        <v xml:space="preserve"> </v>
      </c>
      <c r="D448" s="41"/>
      <c r="E448" s="41"/>
      <c r="J448" s="17">
        <f t="shared" si="30"/>
        <v>0</v>
      </c>
      <c r="K448" s="2" t="str">
        <f t="shared" si="32"/>
        <v xml:space="preserve"> </v>
      </c>
      <c r="L448" s="2" t="str">
        <f t="shared" si="33"/>
        <v xml:space="preserve"> </v>
      </c>
      <c r="M448" s="2" t="str">
        <f t="shared" si="34"/>
        <v xml:space="preserve"> </v>
      </c>
    </row>
    <row r="449" spans="1:13" x14ac:dyDescent="0.25">
      <c r="A449" s="42" t="str">
        <f t="shared" si="31"/>
        <v xml:space="preserve"> </v>
      </c>
      <c r="D449" s="41"/>
      <c r="E449" s="41"/>
      <c r="J449" s="17">
        <f t="shared" si="30"/>
        <v>0</v>
      </c>
      <c r="K449" s="2" t="str">
        <f t="shared" si="32"/>
        <v xml:space="preserve"> </v>
      </c>
      <c r="L449" s="2" t="str">
        <f t="shared" si="33"/>
        <v xml:space="preserve"> </v>
      </c>
      <c r="M449" s="2" t="str">
        <f t="shared" si="34"/>
        <v xml:space="preserve"> </v>
      </c>
    </row>
    <row r="450" spans="1:13" x14ac:dyDescent="0.25">
      <c r="A450" s="42" t="str">
        <f t="shared" si="31"/>
        <v xml:space="preserve"> </v>
      </c>
      <c r="D450" s="41"/>
      <c r="E450" s="41"/>
      <c r="J450" s="17">
        <f t="shared" si="30"/>
        <v>0</v>
      </c>
      <c r="K450" s="2" t="str">
        <f t="shared" si="32"/>
        <v xml:space="preserve"> </v>
      </c>
      <c r="L450" s="2" t="str">
        <f t="shared" si="33"/>
        <v xml:space="preserve"> </v>
      </c>
      <c r="M450" s="2" t="str">
        <f t="shared" si="34"/>
        <v xml:space="preserve"> </v>
      </c>
    </row>
    <row r="451" spans="1:13" x14ac:dyDescent="0.25">
      <c r="A451" s="42" t="str">
        <f t="shared" si="31"/>
        <v xml:space="preserve"> </v>
      </c>
      <c r="D451" s="41"/>
      <c r="E451" s="41"/>
      <c r="J451" s="17">
        <f t="shared" ref="J451:J482" si="35">F451-G451+H451-I451</f>
        <v>0</v>
      </c>
      <c r="K451" s="2" t="str">
        <f t="shared" si="32"/>
        <v xml:space="preserve"> </v>
      </c>
      <c r="L451" s="2" t="str">
        <f t="shared" si="33"/>
        <v xml:space="preserve"> </v>
      </c>
      <c r="M451" s="2" t="str">
        <f t="shared" si="34"/>
        <v xml:space="preserve"> </v>
      </c>
    </row>
    <row r="452" spans="1:13" x14ac:dyDescent="0.25">
      <c r="A452" s="42" t="str">
        <f t="shared" si="31"/>
        <v xml:space="preserve"> </v>
      </c>
      <c r="D452" s="41"/>
      <c r="E452" s="41"/>
      <c r="J452" s="17">
        <f t="shared" si="35"/>
        <v>0</v>
      </c>
      <c r="K452" s="2" t="str">
        <f t="shared" si="32"/>
        <v xml:space="preserve"> </v>
      </c>
      <c r="L452" s="2" t="str">
        <f t="shared" si="33"/>
        <v xml:space="preserve"> </v>
      </c>
      <c r="M452" s="2" t="str">
        <f t="shared" si="34"/>
        <v xml:space="preserve"> </v>
      </c>
    </row>
    <row r="453" spans="1:13" x14ac:dyDescent="0.25">
      <c r="A453" s="42" t="str">
        <f t="shared" si="31"/>
        <v xml:space="preserve"> </v>
      </c>
      <c r="D453" s="41"/>
      <c r="E453" s="41"/>
      <c r="J453" s="17">
        <f t="shared" si="35"/>
        <v>0</v>
      </c>
      <c r="K453" s="2" t="str">
        <f t="shared" si="32"/>
        <v xml:space="preserve"> </v>
      </c>
      <c r="L453" s="2" t="str">
        <f t="shared" si="33"/>
        <v xml:space="preserve"> </v>
      </c>
      <c r="M453" s="2" t="str">
        <f t="shared" si="34"/>
        <v xml:space="preserve"> </v>
      </c>
    </row>
    <row r="454" spans="1:13" x14ac:dyDescent="0.25">
      <c r="A454" s="42" t="str">
        <f t="shared" si="31"/>
        <v xml:space="preserve"> </v>
      </c>
      <c r="D454" s="41"/>
      <c r="E454" s="41"/>
      <c r="J454" s="17">
        <f t="shared" si="35"/>
        <v>0</v>
      </c>
      <c r="K454" s="2" t="str">
        <f t="shared" si="32"/>
        <v xml:space="preserve"> </v>
      </c>
      <c r="L454" s="2" t="str">
        <f t="shared" si="33"/>
        <v xml:space="preserve"> </v>
      </c>
      <c r="M454" s="2" t="str">
        <f t="shared" si="34"/>
        <v xml:space="preserve"> </v>
      </c>
    </row>
    <row r="455" spans="1:13" x14ac:dyDescent="0.25">
      <c r="A455" s="42" t="str">
        <f t="shared" si="31"/>
        <v xml:space="preserve"> </v>
      </c>
      <c r="D455" s="41"/>
      <c r="E455" s="41"/>
      <c r="J455" s="17">
        <f t="shared" si="35"/>
        <v>0</v>
      </c>
      <c r="K455" s="2" t="str">
        <f t="shared" si="32"/>
        <v xml:space="preserve"> </v>
      </c>
      <c r="L455" s="2" t="str">
        <f t="shared" si="33"/>
        <v xml:space="preserve"> </v>
      </c>
      <c r="M455" s="2" t="str">
        <f t="shared" si="34"/>
        <v xml:space="preserve"> </v>
      </c>
    </row>
    <row r="456" spans="1:13" x14ac:dyDescent="0.25">
      <c r="A456" s="42" t="str">
        <f t="shared" si="31"/>
        <v xml:space="preserve"> </v>
      </c>
      <c r="D456" s="41"/>
      <c r="E456" s="41"/>
      <c r="J456" s="17">
        <f t="shared" si="35"/>
        <v>0</v>
      </c>
      <c r="K456" s="2" t="str">
        <f t="shared" si="32"/>
        <v xml:space="preserve"> </v>
      </c>
      <c r="L456" s="2" t="str">
        <f t="shared" si="33"/>
        <v xml:space="preserve"> </v>
      </c>
      <c r="M456" s="2" t="str">
        <f t="shared" si="34"/>
        <v xml:space="preserve"> </v>
      </c>
    </row>
    <row r="457" spans="1:13" x14ac:dyDescent="0.25">
      <c r="A457" s="42" t="str">
        <f t="shared" si="31"/>
        <v xml:space="preserve"> </v>
      </c>
      <c r="D457" s="41"/>
      <c r="E457" s="41"/>
      <c r="J457" s="17">
        <f t="shared" si="35"/>
        <v>0</v>
      </c>
      <c r="K457" s="2" t="str">
        <f t="shared" si="32"/>
        <v xml:space="preserve"> </v>
      </c>
      <c r="L457" s="2" t="str">
        <f t="shared" si="33"/>
        <v xml:space="preserve"> </v>
      </c>
      <c r="M457" s="2" t="str">
        <f t="shared" si="34"/>
        <v xml:space="preserve"> </v>
      </c>
    </row>
    <row r="458" spans="1:13" x14ac:dyDescent="0.25">
      <c r="A458" s="42" t="str">
        <f t="shared" si="31"/>
        <v xml:space="preserve"> </v>
      </c>
      <c r="D458" s="41"/>
      <c r="E458" s="41"/>
      <c r="J458" s="17">
        <f t="shared" si="35"/>
        <v>0</v>
      </c>
      <c r="K458" s="2" t="str">
        <f t="shared" si="32"/>
        <v xml:space="preserve"> </v>
      </c>
      <c r="L458" s="2" t="str">
        <f t="shared" si="33"/>
        <v xml:space="preserve"> </v>
      </c>
      <c r="M458" s="2" t="str">
        <f t="shared" si="34"/>
        <v xml:space="preserve"> </v>
      </c>
    </row>
    <row r="459" spans="1:13" x14ac:dyDescent="0.25">
      <c r="A459" s="42" t="str">
        <f t="shared" si="31"/>
        <v xml:space="preserve"> </v>
      </c>
      <c r="D459" s="41"/>
      <c r="E459" s="41"/>
      <c r="J459" s="17">
        <f t="shared" si="35"/>
        <v>0</v>
      </c>
      <c r="K459" s="2" t="str">
        <f t="shared" si="32"/>
        <v xml:space="preserve"> </v>
      </c>
      <c r="L459" s="2" t="str">
        <f t="shared" si="33"/>
        <v xml:space="preserve"> </v>
      </c>
      <c r="M459" s="2" t="str">
        <f t="shared" si="34"/>
        <v xml:space="preserve"> </v>
      </c>
    </row>
    <row r="460" spans="1:13" x14ac:dyDescent="0.25">
      <c r="A460" s="42" t="str">
        <f t="shared" si="31"/>
        <v xml:space="preserve"> </v>
      </c>
      <c r="D460" s="41"/>
      <c r="E460" s="41"/>
      <c r="J460" s="17">
        <f t="shared" si="35"/>
        <v>0</v>
      </c>
      <c r="K460" s="2" t="str">
        <f t="shared" si="32"/>
        <v xml:space="preserve"> </v>
      </c>
      <c r="L460" s="2" t="str">
        <f t="shared" si="33"/>
        <v xml:space="preserve"> </v>
      </c>
      <c r="M460" s="2" t="str">
        <f t="shared" si="34"/>
        <v xml:space="preserve"> </v>
      </c>
    </row>
    <row r="461" spans="1:13" x14ac:dyDescent="0.25">
      <c r="A461" s="42" t="str">
        <f t="shared" si="31"/>
        <v xml:space="preserve"> </v>
      </c>
      <c r="D461" s="41"/>
      <c r="E461" s="41"/>
      <c r="J461" s="17">
        <f t="shared" si="35"/>
        <v>0</v>
      </c>
      <c r="K461" s="2" t="str">
        <f t="shared" si="32"/>
        <v xml:space="preserve"> </v>
      </c>
      <c r="L461" s="2" t="str">
        <f t="shared" si="33"/>
        <v xml:space="preserve"> </v>
      </c>
      <c r="M461" s="2" t="str">
        <f t="shared" si="34"/>
        <v xml:space="preserve"> </v>
      </c>
    </row>
    <row r="462" spans="1:13" x14ac:dyDescent="0.25">
      <c r="A462" s="42" t="str">
        <f t="shared" si="31"/>
        <v xml:space="preserve"> </v>
      </c>
      <c r="D462" s="41"/>
      <c r="E462" s="41"/>
      <c r="J462" s="17">
        <f t="shared" si="35"/>
        <v>0</v>
      </c>
      <c r="K462" s="2" t="str">
        <f t="shared" si="32"/>
        <v xml:space="preserve"> </v>
      </c>
      <c r="L462" s="2" t="str">
        <f t="shared" si="33"/>
        <v xml:space="preserve"> </v>
      </c>
      <c r="M462" s="2" t="str">
        <f t="shared" si="34"/>
        <v xml:space="preserve"> </v>
      </c>
    </row>
    <row r="463" spans="1:13" x14ac:dyDescent="0.25">
      <c r="A463" s="42" t="str">
        <f t="shared" ref="A463:A482" si="36">IF(COUNTIF(K463:M463,"ERROR")&gt;0,"ERROR"," ")</f>
        <v xml:space="preserve"> </v>
      </c>
      <c r="D463" s="41"/>
      <c r="E463" s="41"/>
      <c r="J463" s="17">
        <f t="shared" si="35"/>
        <v>0</v>
      </c>
      <c r="K463" s="2" t="str">
        <f t="shared" si="32"/>
        <v xml:space="preserve"> </v>
      </c>
      <c r="L463" s="2" t="str">
        <f t="shared" si="33"/>
        <v xml:space="preserve"> </v>
      </c>
      <c r="M463" s="2" t="str">
        <f t="shared" si="34"/>
        <v xml:space="preserve"> </v>
      </c>
    </row>
    <row r="464" spans="1:13" x14ac:dyDescent="0.25">
      <c r="A464" s="42" t="str">
        <f t="shared" si="36"/>
        <v xml:space="preserve"> </v>
      </c>
      <c r="D464" s="41"/>
      <c r="E464" s="41"/>
      <c r="J464" s="17">
        <f t="shared" si="35"/>
        <v>0</v>
      </c>
      <c r="K464" s="2" t="str">
        <f t="shared" ref="K464:K482" si="37">IF(COUNTA(D464:E464)=2,"ERROR"," ")</f>
        <v xml:space="preserve"> </v>
      </c>
      <c r="L464" s="2" t="str">
        <f t="shared" ref="L464:L482" si="38">IF(D464=0," ",IF(COUNTIF(ProfitLoss,D464)&gt;0," ","ERROR"))</f>
        <v xml:space="preserve"> </v>
      </c>
      <c r="M464" s="2" t="str">
        <f t="shared" ref="M464:M482" si="39">IF(E464=0," ",IF(COUNTIF(BalanceSheet,E464)&gt;0," ","ERROR"))</f>
        <v xml:space="preserve"> </v>
      </c>
    </row>
    <row r="465" spans="1:13" x14ac:dyDescent="0.25">
      <c r="A465" s="42" t="str">
        <f t="shared" si="36"/>
        <v xml:space="preserve"> </v>
      </c>
      <c r="D465" s="41"/>
      <c r="E465" s="41"/>
      <c r="J465" s="17">
        <f t="shared" si="35"/>
        <v>0</v>
      </c>
      <c r="K465" s="2" t="str">
        <f t="shared" si="37"/>
        <v xml:space="preserve"> </v>
      </c>
      <c r="L465" s="2" t="str">
        <f t="shared" si="38"/>
        <v xml:space="preserve"> </v>
      </c>
      <c r="M465" s="2" t="str">
        <f t="shared" si="39"/>
        <v xml:space="preserve"> </v>
      </c>
    </row>
    <row r="466" spans="1:13" x14ac:dyDescent="0.25">
      <c r="A466" s="42" t="str">
        <f t="shared" si="36"/>
        <v xml:space="preserve"> </v>
      </c>
      <c r="D466" s="41"/>
      <c r="E466" s="41"/>
      <c r="J466" s="17">
        <f t="shared" si="35"/>
        <v>0</v>
      </c>
      <c r="K466" s="2" t="str">
        <f t="shared" si="37"/>
        <v xml:space="preserve"> </v>
      </c>
      <c r="L466" s="2" t="str">
        <f t="shared" si="38"/>
        <v xml:space="preserve"> </v>
      </c>
      <c r="M466" s="2" t="str">
        <f t="shared" si="39"/>
        <v xml:space="preserve"> </v>
      </c>
    </row>
    <row r="467" spans="1:13" x14ac:dyDescent="0.25">
      <c r="A467" s="42" t="str">
        <f t="shared" si="36"/>
        <v xml:space="preserve"> </v>
      </c>
      <c r="D467" s="41"/>
      <c r="E467" s="41"/>
      <c r="J467" s="17">
        <f t="shared" si="35"/>
        <v>0</v>
      </c>
      <c r="K467" s="2" t="str">
        <f t="shared" si="37"/>
        <v xml:space="preserve"> </v>
      </c>
      <c r="L467" s="2" t="str">
        <f t="shared" si="38"/>
        <v xml:space="preserve"> </v>
      </c>
      <c r="M467" s="2" t="str">
        <f t="shared" si="39"/>
        <v xml:space="preserve"> </v>
      </c>
    </row>
    <row r="468" spans="1:13" x14ac:dyDescent="0.25">
      <c r="A468" s="42" t="str">
        <f t="shared" si="36"/>
        <v xml:space="preserve"> </v>
      </c>
      <c r="D468" s="41"/>
      <c r="E468" s="41"/>
      <c r="J468" s="17">
        <f t="shared" si="35"/>
        <v>0</v>
      </c>
      <c r="K468" s="2" t="str">
        <f t="shared" si="37"/>
        <v xml:space="preserve"> </v>
      </c>
      <c r="L468" s="2" t="str">
        <f t="shared" si="38"/>
        <v xml:space="preserve"> </v>
      </c>
      <c r="M468" s="2" t="str">
        <f t="shared" si="39"/>
        <v xml:space="preserve"> </v>
      </c>
    </row>
    <row r="469" spans="1:13" x14ac:dyDescent="0.25">
      <c r="A469" s="42" t="str">
        <f t="shared" si="36"/>
        <v xml:space="preserve"> </v>
      </c>
      <c r="D469" s="41"/>
      <c r="E469" s="41"/>
      <c r="J469" s="17">
        <f t="shared" si="35"/>
        <v>0</v>
      </c>
      <c r="K469" s="2" t="str">
        <f t="shared" si="37"/>
        <v xml:space="preserve"> </v>
      </c>
      <c r="L469" s="2" t="str">
        <f t="shared" si="38"/>
        <v xml:space="preserve"> </v>
      </c>
      <c r="M469" s="2" t="str">
        <f t="shared" si="39"/>
        <v xml:space="preserve"> </v>
      </c>
    </row>
    <row r="470" spans="1:13" x14ac:dyDescent="0.25">
      <c r="A470" s="42" t="str">
        <f t="shared" si="36"/>
        <v xml:space="preserve"> </v>
      </c>
      <c r="D470" s="41"/>
      <c r="E470" s="41"/>
      <c r="J470" s="17">
        <f t="shared" si="35"/>
        <v>0</v>
      </c>
      <c r="K470" s="2" t="str">
        <f t="shared" si="37"/>
        <v xml:space="preserve"> </v>
      </c>
      <c r="L470" s="2" t="str">
        <f t="shared" si="38"/>
        <v xml:space="preserve"> </v>
      </c>
      <c r="M470" s="2" t="str">
        <f t="shared" si="39"/>
        <v xml:space="preserve"> </v>
      </c>
    </row>
    <row r="471" spans="1:13" x14ac:dyDescent="0.25">
      <c r="A471" s="42" t="str">
        <f t="shared" si="36"/>
        <v xml:space="preserve"> </v>
      </c>
      <c r="D471" s="41"/>
      <c r="E471" s="41"/>
      <c r="J471" s="17">
        <f t="shared" si="35"/>
        <v>0</v>
      </c>
      <c r="K471" s="2" t="str">
        <f t="shared" si="37"/>
        <v xml:space="preserve"> </v>
      </c>
      <c r="L471" s="2" t="str">
        <f t="shared" si="38"/>
        <v xml:space="preserve"> </v>
      </c>
      <c r="M471" s="2" t="str">
        <f t="shared" si="39"/>
        <v xml:space="preserve"> </v>
      </c>
    </row>
    <row r="472" spans="1:13" x14ac:dyDescent="0.25">
      <c r="A472" s="42" t="str">
        <f t="shared" si="36"/>
        <v xml:space="preserve"> </v>
      </c>
      <c r="D472" s="41"/>
      <c r="E472" s="41"/>
      <c r="J472" s="17">
        <f t="shared" si="35"/>
        <v>0</v>
      </c>
      <c r="K472" s="2" t="str">
        <f t="shared" si="37"/>
        <v xml:space="preserve"> </v>
      </c>
      <c r="L472" s="2" t="str">
        <f t="shared" si="38"/>
        <v xml:space="preserve"> </v>
      </c>
      <c r="M472" s="2" t="str">
        <f t="shared" si="39"/>
        <v xml:space="preserve"> </v>
      </c>
    </row>
    <row r="473" spans="1:13" x14ac:dyDescent="0.25">
      <c r="A473" s="42" t="str">
        <f t="shared" si="36"/>
        <v xml:space="preserve"> </v>
      </c>
      <c r="D473" s="41"/>
      <c r="E473" s="41"/>
      <c r="J473" s="17">
        <f t="shared" si="35"/>
        <v>0</v>
      </c>
      <c r="K473" s="2" t="str">
        <f t="shared" si="37"/>
        <v xml:space="preserve"> </v>
      </c>
      <c r="L473" s="2" t="str">
        <f t="shared" si="38"/>
        <v xml:space="preserve"> </v>
      </c>
      <c r="M473" s="2" t="str">
        <f t="shared" si="39"/>
        <v xml:space="preserve"> </v>
      </c>
    </row>
    <row r="474" spans="1:13" x14ac:dyDescent="0.25">
      <c r="A474" s="42" t="str">
        <f t="shared" si="36"/>
        <v xml:space="preserve"> </v>
      </c>
      <c r="D474" s="41"/>
      <c r="E474" s="41"/>
      <c r="J474" s="17">
        <f t="shared" si="35"/>
        <v>0</v>
      </c>
      <c r="K474" s="2" t="str">
        <f t="shared" si="37"/>
        <v xml:space="preserve"> </v>
      </c>
      <c r="L474" s="2" t="str">
        <f t="shared" si="38"/>
        <v xml:space="preserve"> </v>
      </c>
      <c r="M474" s="2" t="str">
        <f t="shared" si="39"/>
        <v xml:space="preserve"> </v>
      </c>
    </row>
    <row r="475" spans="1:13" x14ac:dyDescent="0.25">
      <c r="A475" s="42" t="str">
        <f t="shared" si="36"/>
        <v xml:space="preserve"> </v>
      </c>
      <c r="D475" s="41"/>
      <c r="E475" s="41"/>
      <c r="J475" s="17">
        <f t="shared" si="35"/>
        <v>0</v>
      </c>
      <c r="K475" s="2" t="str">
        <f t="shared" si="37"/>
        <v xml:space="preserve"> </v>
      </c>
      <c r="L475" s="2" t="str">
        <f t="shared" si="38"/>
        <v xml:space="preserve"> </v>
      </c>
      <c r="M475" s="2" t="str">
        <f t="shared" si="39"/>
        <v xml:space="preserve"> </v>
      </c>
    </row>
    <row r="476" spans="1:13" x14ac:dyDescent="0.25">
      <c r="A476" s="42" t="str">
        <f t="shared" si="36"/>
        <v xml:space="preserve"> </v>
      </c>
      <c r="D476" s="41"/>
      <c r="E476" s="41"/>
      <c r="J476" s="17">
        <f t="shared" si="35"/>
        <v>0</v>
      </c>
      <c r="K476" s="2" t="str">
        <f t="shared" si="37"/>
        <v xml:space="preserve"> </v>
      </c>
      <c r="L476" s="2" t="str">
        <f t="shared" si="38"/>
        <v xml:space="preserve"> </v>
      </c>
      <c r="M476" s="2" t="str">
        <f t="shared" si="39"/>
        <v xml:space="preserve"> </v>
      </c>
    </row>
    <row r="477" spans="1:13" x14ac:dyDescent="0.25">
      <c r="A477" s="42" t="str">
        <f t="shared" si="36"/>
        <v xml:space="preserve"> </v>
      </c>
      <c r="D477" s="41"/>
      <c r="E477" s="41"/>
      <c r="J477" s="17">
        <f t="shared" si="35"/>
        <v>0</v>
      </c>
      <c r="K477" s="2" t="str">
        <f t="shared" si="37"/>
        <v xml:space="preserve"> </v>
      </c>
      <c r="L477" s="2" t="str">
        <f t="shared" si="38"/>
        <v xml:space="preserve"> </v>
      </c>
      <c r="M477" s="2" t="str">
        <f t="shared" si="39"/>
        <v xml:space="preserve"> </v>
      </c>
    </row>
    <row r="478" spans="1:13" x14ac:dyDescent="0.25">
      <c r="A478" s="42" t="str">
        <f t="shared" si="36"/>
        <v xml:space="preserve"> </v>
      </c>
      <c r="D478" s="41"/>
      <c r="E478" s="41"/>
      <c r="J478" s="17">
        <f t="shared" si="35"/>
        <v>0</v>
      </c>
      <c r="K478" s="2" t="str">
        <f t="shared" si="37"/>
        <v xml:space="preserve"> </v>
      </c>
      <c r="L478" s="2" t="str">
        <f t="shared" si="38"/>
        <v xml:space="preserve"> </v>
      </c>
      <c r="M478" s="2" t="str">
        <f t="shared" si="39"/>
        <v xml:space="preserve"> </v>
      </c>
    </row>
    <row r="479" spans="1:13" x14ac:dyDescent="0.25">
      <c r="A479" s="42" t="str">
        <f t="shared" si="36"/>
        <v xml:space="preserve"> </v>
      </c>
      <c r="D479" s="41"/>
      <c r="E479" s="41"/>
      <c r="J479" s="17">
        <f t="shared" si="35"/>
        <v>0</v>
      </c>
      <c r="K479" s="2" t="str">
        <f t="shared" si="37"/>
        <v xml:space="preserve"> </v>
      </c>
      <c r="L479" s="2" t="str">
        <f t="shared" si="38"/>
        <v xml:space="preserve"> </v>
      </c>
      <c r="M479" s="2" t="str">
        <f t="shared" si="39"/>
        <v xml:space="preserve"> </v>
      </c>
    </row>
    <row r="480" spans="1:13" x14ac:dyDescent="0.25">
      <c r="A480" s="42" t="str">
        <f t="shared" si="36"/>
        <v xml:space="preserve"> </v>
      </c>
      <c r="D480" s="41"/>
      <c r="E480" s="41"/>
      <c r="J480" s="17">
        <f t="shared" si="35"/>
        <v>0</v>
      </c>
      <c r="K480" s="2" t="str">
        <f t="shared" si="37"/>
        <v xml:space="preserve"> </v>
      </c>
      <c r="L480" s="2" t="str">
        <f t="shared" si="38"/>
        <v xml:space="preserve"> </v>
      </c>
      <c r="M480" s="2" t="str">
        <f t="shared" si="39"/>
        <v xml:space="preserve"> </v>
      </c>
    </row>
    <row r="481" spans="1:13" x14ac:dyDescent="0.25">
      <c r="A481" s="42" t="str">
        <f t="shared" si="36"/>
        <v xml:space="preserve"> </v>
      </c>
      <c r="D481" s="41"/>
      <c r="E481" s="41"/>
      <c r="J481" s="17">
        <f t="shared" si="35"/>
        <v>0</v>
      </c>
      <c r="K481" s="2" t="str">
        <f t="shared" si="37"/>
        <v xml:space="preserve"> </v>
      </c>
      <c r="L481" s="2" t="str">
        <f t="shared" si="38"/>
        <v xml:space="preserve"> </v>
      </c>
      <c r="M481" s="2" t="str">
        <f t="shared" si="39"/>
        <v xml:space="preserve"> </v>
      </c>
    </row>
    <row r="482" spans="1:13" x14ac:dyDescent="0.25">
      <c r="A482" s="42" t="str">
        <f t="shared" si="36"/>
        <v xml:space="preserve"> </v>
      </c>
      <c r="D482" s="41"/>
      <c r="E482" s="41"/>
      <c r="J482" s="17">
        <f t="shared" si="35"/>
        <v>0</v>
      </c>
      <c r="K482" s="2" t="str">
        <f t="shared" si="37"/>
        <v xml:space="preserve"> </v>
      </c>
      <c r="L482" s="2" t="str">
        <f t="shared" si="38"/>
        <v xml:space="preserve"> </v>
      </c>
      <c r="M482" s="2" t="str">
        <f t="shared" si="39"/>
        <v xml:space="preserve"> </v>
      </c>
    </row>
    <row r="483" spans="1:13" x14ac:dyDescent="0.25">
      <c r="A483" s="42"/>
    </row>
    <row r="484" spans="1:13" ht="16.5" thickBot="1" x14ac:dyDescent="0.3">
      <c r="A484" s="42"/>
      <c r="F484" s="19">
        <f>SUM(F14:F483)</f>
        <v>0</v>
      </c>
      <c r="G484" s="19">
        <f>SUM(G14:G483)</f>
        <v>0</v>
      </c>
      <c r="H484" s="19">
        <f>SUM(H14:H483)</f>
        <v>0</v>
      </c>
      <c r="I484" s="19">
        <f>SUM(I14:I483)</f>
        <v>0</v>
      </c>
    </row>
    <row r="485" spans="1:13" ht="16.5" thickTop="1" x14ac:dyDescent="0.25">
      <c r="A485" s="42"/>
    </row>
    <row r="486" spans="1:13" x14ac:dyDescent="0.25">
      <c r="A486" s="42"/>
      <c r="C486" s="2" t="s">
        <v>319</v>
      </c>
      <c r="F486" s="4">
        <f>G484-F484</f>
        <v>0</v>
      </c>
    </row>
  </sheetData>
  <sheetProtection formatCells="0" formatColumns="0" formatRows="0" insertHyperlinks="0" deleteColumns="0" deleteRows="0" sort="0" autoFilter="0" pivotTables="0"/>
  <mergeCells count="4">
    <mergeCell ref="F11:G11"/>
    <mergeCell ref="H11:I11"/>
    <mergeCell ref="F12:G12"/>
    <mergeCell ref="H12:I12"/>
  </mergeCells>
  <phoneticPr fontId="0" type="noConversion"/>
  <dataValidations count="2">
    <dataValidation type="list" showInputMessage="1" showErrorMessage="1" sqref="D15:D482" xr:uid="{00000000-0002-0000-0B00-000000000000}">
      <formula1>ProfitLoss</formula1>
    </dataValidation>
    <dataValidation type="list" allowBlank="1" showInputMessage="1" showErrorMessage="1" sqref="E15:E482" xr:uid="{00000000-0002-0000-0B00-000001000000}">
      <formula1>BalanceSheet</formula1>
    </dataValidation>
  </dataValidations>
  <pageMargins left="0.75" right="0.75" top="1" bottom="1" header="0.5" footer="0.5"/>
  <pageSetup paperSize="9" scale="45" orientation="portrait" r:id="rId1"/>
  <headerFooter alignWithMargins="0"/>
  <colBreaks count="1" manualBreakCount="1">
    <brk id="10"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161"/>
  <sheetViews>
    <sheetView workbookViewId="0"/>
  </sheetViews>
  <sheetFormatPr defaultRowHeight="12.75" x14ac:dyDescent="0.2"/>
  <cols>
    <col min="3" max="3" width="35.85546875" bestFit="1" customWidth="1"/>
    <col min="8" max="8" width="35.85546875" bestFit="1" customWidth="1"/>
  </cols>
  <sheetData>
    <row r="1" spans="1:5" x14ac:dyDescent="0.2">
      <c r="A1" s="13"/>
    </row>
    <row r="2" spans="1:5" x14ac:dyDescent="0.2">
      <c r="A2" s="13"/>
    </row>
    <row r="3" spans="1:5" x14ac:dyDescent="0.2">
      <c r="A3" s="13"/>
      <c r="B3" s="13"/>
      <c r="C3" s="13"/>
      <c r="D3" s="13"/>
      <c r="E3" s="13"/>
    </row>
    <row r="4" spans="1:5" x14ac:dyDescent="0.2">
      <c r="A4" s="13"/>
      <c r="B4" s="13"/>
      <c r="C4" s="13"/>
      <c r="D4" s="13"/>
    </row>
    <row r="5" spans="1:5" x14ac:dyDescent="0.2">
      <c r="A5" s="13"/>
      <c r="B5" s="13"/>
      <c r="C5" s="13"/>
      <c r="D5" s="13"/>
    </row>
    <row r="6" spans="1:5" x14ac:dyDescent="0.2">
      <c r="A6" s="13"/>
      <c r="B6" s="13"/>
      <c r="C6" s="13"/>
      <c r="D6" s="13"/>
    </row>
    <row r="7" spans="1:5" x14ac:dyDescent="0.2">
      <c r="A7" s="13"/>
      <c r="B7" s="13"/>
      <c r="C7" s="13"/>
      <c r="D7" s="13"/>
    </row>
    <row r="8" spans="1:5" x14ac:dyDescent="0.2">
      <c r="A8" s="13"/>
      <c r="B8" s="13"/>
      <c r="C8" s="13"/>
    </row>
    <row r="9" spans="1:5" x14ac:dyDescent="0.2">
      <c r="A9" s="13"/>
      <c r="B9" s="13"/>
      <c r="C9" s="13"/>
    </row>
    <row r="10" spans="1:5" x14ac:dyDescent="0.2">
      <c r="A10" s="13"/>
      <c r="B10" s="13"/>
      <c r="C10" s="13"/>
    </row>
    <row r="11" spans="1:5" x14ac:dyDescent="0.2">
      <c r="A11" s="13"/>
      <c r="B11" s="13"/>
      <c r="C11" s="13"/>
    </row>
    <row r="12" spans="1:5" x14ac:dyDescent="0.2">
      <c r="A12" s="13"/>
      <c r="B12" s="13"/>
      <c r="C12" s="13"/>
    </row>
    <row r="13" spans="1:5" x14ac:dyDescent="0.2">
      <c r="A13" s="13"/>
      <c r="B13" s="13"/>
      <c r="C13" s="13"/>
    </row>
    <row r="14" spans="1:5" x14ac:dyDescent="0.2">
      <c r="A14" s="13"/>
      <c r="B14" s="13"/>
      <c r="C14" s="13"/>
      <c r="D14" s="13"/>
    </row>
    <row r="15" spans="1:5" x14ac:dyDescent="0.2">
      <c r="A15" s="13"/>
      <c r="B15" s="13"/>
      <c r="C15" s="13"/>
    </row>
    <row r="16" spans="1:5" x14ac:dyDescent="0.2">
      <c r="A16" s="13"/>
      <c r="B16" s="13"/>
      <c r="C16" s="13"/>
    </row>
    <row r="17" spans="1:4" x14ac:dyDescent="0.2">
      <c r="A17" s="13"/>
      <c r="B17" s="13"/>
      <c r="C17" s="13"/>
    </row>
    <row r="18" spans="1:4" x14ac:dyDescent="0.2">
      <c r="A18" s="13"/>
      <c r="B18" s="13"/>
      <c r="C18" s="13"/>
    </row>
    <row r="19" spans="1:4" x14ac:dyDescent="0.2">
      <c r="A19" s="13"/>
      <c r="B19" s="13"/>
      <c r="C19" s="13"/>
    </row>
    <row r="20" spans="1:4" x14ac:dyDescent="0.2">
      <c r="A20" s="13"/>
      <c r="B20" s="13"/>
      <c r="C20" s="13"/>
      <c r="D20" s="13"/>
    </row>
    <row r="21" spans="1:4" x14ac:dyDescent="0.2">
      <c r="A21" s="13"/>
      <c r="B21" s="13"/>
      <c r="C21" s="13"/>
    </row>
    <row r="22" spans="1:4" x14ac:dyDescent="0.2">
      <c r="A22" s="13"/>
      <c r="B22" s="13"/>
      <c r="C22" s="13"/>
    </row>
    <row r="23" spans="1:4" x14ac:dyDescent="0.2">
      <c r="A23" s="13"/>
      <c r="B23" s="13"/>
      <c r="C23" s="13"/>
    </row>
    <row r="24" spans="1:4" x14ac:dyDescent="0.2">
      <c r="A24" s="13"/>
      <c r="B24" s="13"/>
      <c r="C24" s="13"/>
    </row>
    <row r="25" spans="1:4" x14ac:dyDescent="0.2">
      <c r="A25" s="13"/>
      <c r="B25" s="13"/>
      <c r="C25" s="13"/>
    </row>
    <row r="26" spans="1:4" x14ac:dyDescent="0.2">
      <c r="A26" s="13"/>
      <c r="B26" s="13"/>
      <c r="C26" s="13"/>
    </row>
    <row r="27" spans="1:4" x14ac:dyDescent="0.2">
      <c r="A27" s="13"/>
      <c r="B27" s="13"/>
      <c r="C27" s="13"/>
    </row>
    <row r="28" spans="1:4" x14ac:dyDescent="0.2">
      <c r="A28" s="13"/>
      <c r="B28" s="13"/>
      <c r="C28" s="13"/>
    </row>
    <row r="29" spans="1:4" x14ac:dyDescent="0.2">
      <c r="A29" s="13"/>
      <c r="B29" s="13"/>
      <c r="C29" s="13"/>
    </row>
    <row r="30" spans="1:4" x14ac:dyDescent="0.2">
      <c r="A30" s="13"/>
      <c r="B30" s="13"/>
      <c r="C30" s="13"/>
    </row>
    <row r="31" spans="1:4" x14ac:dyDescent="0.2">
      <c r="A31" s="13"/>
      <c r="B31" s="13"/>
      <c r="C31" s="13"/>
    </row>
    <row r="32" spans="1:4" x14ac:dyDescent="0.2">
      <c r="A32" s="13"/>
      <c r="B32" s="13"/>
      <c r="C32" s="13"/>
    </row>
    <row r="33" spans="1:4" x14ac:dyDescent="0.2">
      <c r="A33" s="13"/>
      <c r="B33" s="13"/>
      <c r="C33" s="13"/>
    </row>
    <row r="34" spans="1:4" x14ac:dyDescent="0.2">
      <c r="A34" s="13"/>
      <c r="B34" s="13"/>
      <c r="C34" s="13"/>
    </row>
    <row r="35" spans="1:4" x14ac:dyDescent="0.2">
      <c r="A35" s="13"/>
      <c r="B35" s="13"/>
      <c r="C35" s="13"/>
    </row>
    <row r="36" spans="1:4" x14ac:dyDescent="0.2">
      <c r="A36" s="13"/>
      <c r="B36" s="13"/>
      <c r="C36" s="13"/>
    </row>
    <row r="37" spans="1:4" x14ac:dyDescent="0.2">
      <c r="A37" s="13"/>
      <c r="B37" s="13"/>
      <c r="C37" s="13"/>
      <c r="D37" s="13"/>
    </row>
    <row r="38" spans="1:4" x14ac:dyDescent="0.2">
      <c r="A38" s="13"/>
      <c r="B38" s="13"/>
      <c r="C38" s="13"/>
      <c r="D38" s="13"/>
    </row>
    <row r="39" spans="1:4" x14ac:dyDescent="0.2">
      <c r="A39" s="13"/>
      <c r="B39" s="13"/>
      <c r="C39" s="13"/>
      <c r="D39" s="13"/>
    </row>
    <row r="40" spans="1:4" x14ac:dyDescent="0.2">
      <c r="A40" s="13"/>
      <c r="B40" s="13"/>
      <c r="C40" s="13"/>
      <c r="D40" s="13"/>
    </row>
    <row r="41" spans="1:4" x14ac:dyDescent="0.2">
      <c r="A41" s="13"/>
      <c r="B41" s="13"/>
      <c r="C41" s="13"/>
    </row>
    <row r="42" spans="1:4" x14ac:dyDescent="0.2">
      <c r="A42" s="13"/>
      <c r="B42" s="13"/>
      <c r="C42" s="13"/>
    </row>
    <row r="43" spans="1:4" x14ac:dyDescent="0.2">
      <c r="A43" s="13"/>
      <c r="B43" s="13"/>
      <c r="C43" s="13"/>
      <c r="D43" s="13"/>
    </row>
    <row r="44" spans="1:4" x14ac:dyDescent="0.2">
      <c r="A44" s="13"/>
      <c r="B44" s="13"/>
      <c r="C44" s="13"/>
    </row>
    <row r="45" spans="1:4" x14ac:dyDescent="0.2">
      <c r="A45" s="13"/>
      <c r="B45" s="13"/>
      <c r="C45" s="13"/>
    </row>
    <row r="46" spans="1:4" x14ac:dyDescent="0.2">
      <c r="A46" s="13"/>
      <c r="B46" s="13"/>
      <c r="C46" s="13"/>
      <c r="D46" s="13"/>
    </row>
    <row r="47" spans="1:4" x14ac:dyDescent="0.2">
      <c r="A47" s="13"/>
      <c r="B47" s="13"/>
      <c r="C47" s="13"/>
      <c r="D47" s="13"/>
    </row>
    <row r="48" spans="1:4" x14ac:dyDescent="0.2">
      <c r="A48" s="13"/>
      <c r="B48" s="13"/>
      <c r="C48" s="13"/>
    </row>
    <row r="49" spans="1:4" x14ac:dyDescent="0.2">
      <c r="A49" s="13"/>
      <c r="B49" s="13"/>
      <c r="C49" s="13"/>
    </row>
    <row r="50" spans="1:4" x14ac:dyDescent="0.2">
      <c r="A50" s="13"/>
      <c r="B50" s="13"/>
      <c r="C50" s="13"/>
      <c r="D50" s="13"/>
    </row>
    <row r="51" spans="1:4" x14ac:dyDescent="0.2">
      <c r="A51" s="13"/>
      <c r="B51" s="13"/>
      <c r="C51" s="13"/>
    </row>
    <row r="52" spans="1:4" x14ac:dyDescent="0.2">
      <c r="A52" s="13"/>
      <c r="B52" s="13"/>
      <c r="C52" s="13"/>
    </row>
    <row r="53" spans="1:4" x14ac:dyDescent="0.2">
      <c r="A53" s="13"/>
      <c r="B53" s="13"/>
      <c r="C53" s="13"/>
      <c r="D53" s="13"/>
    </row>
    <row r="54" spans="1:4" x14ac:dyDescent="0.2">
      <c r="A54" s="13"/>
      <c r="B54" s="13"/>
      <c r="C54" s="13"/>
      <c r="D54" s="13"/>
    </row>
    <row r="55" spans="1:4" x14ac:dyDescent="0.2">
      <c r="A55" s="13"/>
      <c r="B55" s="13"/>
      <c r="C55" s="13"/>
    </row>
    <row r="56" spans="1:4" x14ac:dyDescent="0.2">
      <c r="A56" s="13"/>
      <c r="B56" s="13"/>
      <c r="C56" s="13"/>
      <c r="D56" s="13"/>
    </row>
    <row r="57" spans="1:4" x14ac:dyDescent="0.2">
      <c r="A57" s="13"/>
      <c r="B57" s="13"/>
      <c r="C57" s="13"/>
    </row>
    <row r="58" spans="1:4" x14ac:dyDescent="0.2">
      <c r="A58" s="13"/>
      <c r="B58" s="13"/>
      <c r="C58" s="13"/>
      <c r="D58" s="13"/>
    </row>
    <row r="59" spans="1:4" x14ac:dyDescent="0.2">
      <c r="A59" s="13"/>
      <c r="B59" s="13"/>
      <c r="C59" s="13"/>
    </row>
    <row r="60" spans="1:4" x14ac:dyDescent="0.2">
      <c r="A60" s="13"/>
      <c r="B60" s="13"/>
      <c r="C60" s="13"/>
      <c r="D60" s="13"/>
    </row>
    <row r="61" spans="1:4" x14ac:dyDescent="0.2">
      <c r="A61" s="13"/>
      <c r="B61" s="13"/>
      <c r="C61" s="13"/>
    </row>
    <row r="62" spans="1:4" x14ac:dyDescent="0.2">
      <c r="A62" s="13"/>
      <c r="B62" s="13"/>
      <c r="C62" s="13"/>
    </row>
    <row r="63" spans="1:4" x14ac:dyDescent="0.2">
      <c r="A63" s="13"/>
      <c r="B63" s="13"/>
      <c r="C63" s="13"/>
    </row>
    <row r="64" spans="1:4" x14ac:dyDescent="0.2">
      <c r="A64" s="13"/>
      <c r="B64" s="13"/>
      <c r="C64" s="13"/>
      <c r="D64" s="13"/>
    </row>
    <row r="65" spans="1:4" x14ac:dyDescent="0.2">
      <c r="A65" s="13"/>
      <c r="B65" s="13"/>
      <c r="C65" s="13"/>
      <c r="D65" s="13"/>
    </row>
    <row r="66" spans="1:4" x14ac:dyDescent="0.2">
      <c r="A66" s="13"/>
      <c r="B66" s="13"/>
      <c r="C66" s="13"/>
    </row>
    <row r="67" spans="1:4" x14ac:dyDescent="0.2">
      <c r="A67" s="13"/>
      <c r="B67" s="13"/>
      <c r="C67" s="13"/>
    </row>
    <row r="68" spans="1:4" x14ac:dyDescent="0.2">
      <c r="A68" s="13"/>
      <c r="B68" s="13"/>
      <c r="C68" s="13"/>
      <c r="D68" s="13"/>
    </row>
    <row r="69" spans="1:4" x14ac:dyDescent="0.2">
      <c r="A69" s="13"/>
      <c r="B69" s="13"/>
      <c r="C69" s="13"/>
      <c r="D69" s="13"/>
    </row>
    <row r="70" spans="1:4" x14ac:dyDescent="0.2">
      <c r="A70" s="13"/>
      <c r="B70" s="13"/>
      <c r="C70" s="13"/>
    </row>
    <row r="71" spans="1:4" x14ac:dyDescent="0.2">
      <c r="A71" s="13"/>
      <c r="B71" s="13"/>
      <c r="C71" s="13"/>
    </row>
    <row r="72" spans="1:4" x14ac:dyDescent="0.2">
      <c r="A72" s="13"/>
      <c r="B72" s="13"/>
      <c r="C72" s="13"/>
      <c r="D72" s="13"/>
    </row>
    <row r="73" spans="1:4" x14ac:dyDescent="0.2">
      <c r="A73" s="13"/>
      <c r="B73" s="13"/>
      <c r="C73" s="13"/>
    </row>
    <row r="74" spans="1:4" x14ac:dyDescent="0.2">
      <c r="A74" s="13"/>
      <c r="B74" s="13"/>
      <c r="C74" s="13"/>
    </row>
    <row r="75" spans="1:4" x14ac:dyDescent="0.2">
      <c r="A75" s="13"/>
      <c r="B75" s="13"/>
      <c r="C75" s="13"/>
    </row>
    <row r="76" spans="1:4" x14ac:dyDescent="0.2">
      <c r="A76" s="13"/>
      <c r="B76" s="13"/>
      <c r="C76" s="13"/>
    </row>
    <row r="77" spans="1:4" x14ac:dyDescent="0.2">
      <c r="A77" s="13"/>
      <c r="B77" s="13"/>
      <c r="C77" s="13"/>
    </row>
    <row r="78" spans="1:4" x14ac:dyDescent="0.2">
      <c r="A78" s="13"/>
      <c r="B78" s="13"/>
      <c r="C78" s="13"/>
    </row>
    <row r="79" spans="1:4" x14ac:dyDescent="0.2">
      <c r="A79" s="13"/>
      <c r="B79" s="13"/>
      <c r="C79" s="13"/>
    </row>
    <row r="80" spans="1:4" x14ac:dyDescent="0.2">
      <c r="A80" s="13"/>
      <c r="B80" s="13"/>
      <c r="C80" s="13"/>
    </row>
    <row r="81" spans="1:4" x14ac:dyDescent="0.2">
      <c r="A81" s="13"/>
      <c r="B81" s="13"/>
      <c r="C81" s="13"/>
    </row>
    <row r="82" spans="1:4" x14ac:dyDescent="0.2">
      <c r="A82" s="13"/>
      <c r="B82" s="13"/>
      <c r="C82" s="13"/>
      <c r="D82" s="13"/>
    </row>
    <row r="83" spans="1:4" x14ac:dyDescent="0.2">
      <c r="A83" s="13"/>
      <c r="B83" s="13"/>
      <c r="C83" s="13"/>
      <c r="D83" s="13"/>
    </row>
    <row r="84" spans="1:4" x14ac:dyDescent="0.2">
      <c r="A84" s="13"/>
      <c r="B84" s="13"/>
      <c r="C84" s="13"/>
      <c r="D84" s="13"/>
    </row>
    <row r="85" spans="1:4" x14ac:dyDescent="0.2">
      <c r="A85" s="13"/>
      <c r="B85" s="13"/>
      <c r="C85" s="13"/>
    </row>
    <row r="86" spans="1:4" x14ac:dyDescent="0.2">
      <c r="A86" s="13"/>
      <c r="B86" s="13"/>
      <c r="C86" s="13"/>
    </row>
    <row r="87" spans="1:4" x14ac:dyDescent="0.2">
      <c r="A87" s="13"/>
      <c r="B87" s="13"/>
      <c r="C87" s="13"/>
      <c r="D87" s="13"/>
    </row>
    <row r="88" spans="1:4" x14ac:dyDescent="0.2">
      <c r="A88" s="13"/>
      <c r="B88" s="13"/>
      <c r="C88" s="13"/>
      <c r="D88" s="13"/>
    </row>
    <row r="89" spans="1:4" x14ac:dyDescent="0.2">
      <c r="A89" s="13"/>
      <c r="B89" s="13"/>
      <c r="C89" s="13"/>
    </row>
    <row r="90" spans="1:4" x14ac:dyDescent="0.2">
      <c r="A90" s="13"/>
      <c r="B90" s="13"/>
      <c r="C90" s="13"/>
    </row>
    <row r="91" spans="1:4" x14ac:dyDescent="0.2">
      <c r="A91" s="13"/>
      <c r="B91" s="13"/>
      <c r="C91" s="13"/>
    </row>
    <row r="92" spans="1:4" x14ac:dyDescent="0.2">
      <c r="A92" s="13"/>
      <c r="B92" s="13"/>
      <c r="C92" s="13"/>
      <c r="D92" s="13"/>
    </row>
    <row r="93" spans="1:4" x14ac:dyDescent="0.2">
      <c r="A93" s="13"/>
      <c r="B93" s="13"/>
      <c r="C93" s="13"/>
    </row>
    <row r="94" spans="1:4" x14ac:dyDescent="0.2">
      <c r="A94" s="13"/>
      <c r="B94" s="13"/>
      <c r="C94" s="13"/>
    </row>
    <row r="95" spans="1:4" x14ac:dyDescent="0.2">
      <c r="A95" s="13"/>
      <c r="B95" s="13"/>
      <c r="C95" s="13"/>
      <c r="D95" s="13"/>
    </row>
    <row r="96" spans="1:4" x14ac:dyDescent="0.2">
      <c r="A96" s="13"/>
      <c r="B96" s="13"/>
      <c r="C96" s="13"/>
      <c r="D96" s="13"/>
    </row>
    <row r="97" spans="1:9" x14ac:dyDescent="0.2">
      <c r="A97" s="13"/>
      <c r="B97" s="13"/>
      <c r="C97" s="13"/>
    </row>
    <row r="98" spans="1:9" x14ac:dyDescent="0.2">
      <c r="A98" s="13"/>
      <c r="B98" s="13"/>
      <c r="C98" s="13"/>
    </row>
    <row r="99" spans="1:9" x14ac:dyDescent="0.2">
      <c r="A99" s="13"/>
      <c r="B99" s="13"/>
      <c r="C99" s="13"/>
    </row>
    <row r="100" spans="1:9" x14ac:dyDescent="0.2">
      <c r="A100" s="13"/>
      <c r="B100" s="13"/>
      <c r="C100" s="13"/>
    </row>
    <row r="101" spans="1:9" x14ac:dyDescent="0.2">
      <c r="A101" s="13"/>
      <c r="B101" s="13"/>
      <c r="C101" s="13"/>
    </row>
    <row r="102" spans="1:9" x14ac:dyDescent="0.2">
      <c r="A102" s="13"/>
      <c r="B102" s="13"/>
      <c r="C102" s="13"/>
      <c r="D102" s="13"/>
      <c r="G102" s="13"/>
      <c r="H102" s="13"/>
      <c r="I102" s="13"/>
    </row>
    <row r="103" spans="1:9" x14ac:dyDescent="0.2">
      <c r="A103" s="13"/>
      <c r="B103" s="13"/>
      <c r="C103" s="13"/>
      <c r="G103" s="13"/>
      <c r="H103" s="13"/>
    </row>
    <row r="104" spans="1:9" x14ac:dyDescent="0.2">
      <c r="A104" s="13"/>
      <c r="B104" s="13"/>
      <c r="C104" s="13"/>
      <c r="G104" s="13"/>
      <c r="H104" s="13"/>
    </row>
    <row r="105" spans="1:9" x14ac:dyDescent="0.2">
      <c r="A105" s="13"/>
      <c r="B105" s="13"/>
      <c r="C105" s="13"/>
      <c r="G105" s="13"/>
      <c r="H105" s="13"/>
    </row>
    <row r="106" spans="1:9" x14ac:dyDescent="0.2">
      <c r="A106" s="13"/>
      <c r="B106" s="13"/>
      <c r="C106" s="13"/>
      <c r="G106" s="13"/>
      <c r="H106" s="13"/>
    </row>
    <row r="107" spans="1:9" x14ac:dyDescent="0.2">
      <c r="A107" s="13"/>
      <c r="B107" s="13"/>
      <c r="C107" s="13"/>
      <c r="G107" s="13"/>
      <c r="H107" s="13"/>
    </row>
    <row r="108" spans="1:9" x14ac:dyDescent="0.2">
      <c r="A108" s="13"/>
      <c r="B108" s="13"/>
      <c r="C108" s="13"/>
      <c r="G108" s="13"/>
      <c r="H108" s="13"/>
    </row>
    <row r="109" spans="1:9" x14ac:dyDescent="0.2">
      <c r="A109" s="13"/>
      <c r="B109" s="13"/>
      <c r="C109" s="13"/>
      <c r="G109" s="13"/>
      <c r="H109" s="13"/>
    </row>
    <row r="110" spans="1:9" x14ac:dyDescent="0.2">
      <c r="A110" s="13"/>
      <c r="B110" s="13"/>
      <c r="C110" s="13"/>
      <c r="G110" s="13"/>
      <c r="H110" s="13"/>
    </row>
    <row r="111" spans="1:9" x14ac:dyDescent="0.2">
      <c r="A111" s="13"/>
      <c r="B111" s="13"/>
      <c r="C111" s="13"/>
      <c r="G111" s="13"/>
      <c r="H111" s="13"/>
    </row>
    <row r="112" spans="1:9" x14ac:dyDescent="0.2">
      <c r="A112" s="13"/>
      <c r="B112" s="13"/>
      <c r="C112" s="13"/>
      <c r="G112" s="13"/>
      <c r="H112" s="13"/>
    </row>
    <row r="113" spans="1:9" x14ac:dyDescent="0.2">
      <c r="A113" s="13"/>
      <c r="B113" s="13"/>
      <c r="C113" s="13"/>
      <c r="D113" s="13"/>
      <c r="G113" s="13"/>
      <c r="H113" s="13"/>
      <c r="I113" s="13"/>
    </row>
    <row r="114" spans="1:9" x14ac:dyDescent="0.2">
      <c r="A114" s="13"/>
      <c r="B114" s="13"/>
      <c r="C114" s="13"/>
      <c r="G114" s="13"/>
      <c r="H114" s="13"/>
    </row>
    <row r="115" spans="1:9" x14ac:dyDescent="0.2">
      <c r="A115" s="13"/>
      <c r="B115" s="13"/>
      <c r="C115" s="13"/>
      <c r="G115" s="13"/>
      <c r="H115" s="13"/>
    </row>
    <row r="116" spans="1:9" x14ac:dyDescent="0.2">
      <c r="A116" s="13"/>
      <c r="B116" s="13"/>
      <c r="C116" s="13"/>
      <c r="D116" s="13"/>
      <c r="G116" s="13"/>
      <c r="H116" s="13"/>
      <c r="I116" s="13"/>
    </row>
    <row r="117" spans="1:9" x14ac:dyDescent="0.2">
      <c r="A117" s="13"/>
      <c r="B117" s="13"/>
      <c r="C117" s="13"/>
      <c r="G117" s="13"/>
      <c r="H117" s="13"/>
    </row>
    <row r="118" spans="1:9" x14ac:dyDescent="0.2">
      <c r="A118" s="13"/>
      <c r="B118" s="13"/>
      <c r="C118" s="13"/>
      <c r="G118" s="13"/>
      <c r="H118" s="13"/>
    </row>
    <row r="119" spans="1:9" x14ac:dyDescent="0.2">
      <c r="A119" s="13"/>
      <c r="B119" s="13"/>
      <c r="C119" s="13"/>
      <c r="G119" s="13"/>
      <c r="H119" s="13"/>
    </row>
    <row r="120" spans="1:9" x14ac:dyDescent="0.2">
      <c r="A120" s="13"/>
      <c r="B120" s="13"/>
      <c r="C120" s="13"/>
      <c r="G120" s="13"/>
      <c r="H120" s="13"/>
    </row>
    <row r="121" spans="1:9" x14ac:dyDescent="0.2">
      <c r="A121" s="13"/>
      <c r="B121" s="13"/>
      <c r="C121" s="13"/>
      <c r="G121" s="13"/>
      <c r="H121" s="13"/>
    </row>
    <row r="122" spans="1:9" x14ac:dyDescent="0.2">
      <c r="A122" s="13"/>
      <c r="B122" s="13"/>
      <c r="C122" s="13"/>
      <c r="G122" s="13"/>
      <c r="H122" s="13"/>
    </row>
    <row r="123" spans="1:9" x14ac:dyDescent="0.2">
      <c r="A123" s="13"/>
      <c r="B123" s="13"/>
      <c r="C123" s="13"/>
      <c r="G123" s="13"/>
      <c r="H123" s="13"/>
    </row>
    <row r="124" spans="1:9" x14ac:dyDescent="0.2">
      <c r="A124" s="13"/>
      <c r="B124" s="13"/>
      <c r="C124" s="13"/>
      <c r="D124" s="13"/>
      <c r="G124" s="13"/>
      <c r="H124" s="13"/>
      <c r="I124" s="13"/>
    </row>
    <row r="125" spans="1:9" x14ac:dyDescent="0.2">
      <c r="A125" s="13"/>
      <c r="B125" s="13"/>
      <c r="C125" s="13"/>
      <c r="G125" s="13"/>
      <c r="H125" s="13"/>
    </row>
    <row r="126" spans="1:9" x14ac:dyDescent="0.2">
      <c r="A126" s="13"/>
      <c r="B126" s="13"/>
      <c r="C126" s="13"/>
      <c r="D126" s="13"/>
      <c r="G126" s="13"/>
      <c r="H126" s="13"/>
      <c r="I126" s="13"/>
    </row>
    <row r="127" spans="1:9" x14ac:dyDescent="0.2">
      <c r="A127" s="13"/>
      <c r="B127" s="13"/>
      <c r="C127" s="13"/>
      <c r="G127" s="13"/>
      <c r="H127" s="13"/>
    </row>
    <row r="128" spans="1:9" x14ac:dyDescent="0.2">
      <c r="A128" s="13"/>
      <c r="B128" s="13"/>
      <c r="C128" s="13"/>
      <c r="D128" s="13"/>
      <c r="G128" s="13"/>
      <c r="H128" s="13"/>
      <c r="I128" s="13"/>
    </row>
    <row r="129" spans="1:9" x14ac:dyDescent="0.2">
      <c r="A129" s="13"/>
      <c r="B129" s="13"/>
      <c r="C129" s="13"/>
      <c r="G129" s="13"/>
      <c r="H129" s="13"/>
    </row>
    <row r="130" spans="1:9" x14ac:dyDescent="0.2">
      <c r="A130" s="13"/>
      <c r="B130" s="13"/>
      <c r="C130" s="13"/>
      <c r="D130" s="13"/>
      <c r="G130" s="13"/>
      <c r="H130" s="13"/>
      <c r="I130" s="13"/>
    </row>
    <row r="131" spans="1:9" x14ac:dyDescent="0.2">
      <c r="A131" s="13"/>
      <c r="B131" s="13"/>
      <c r="C131" s="13"/>
      <c r="G131" s="13"/>
      <c r="H131" s="13"/>
    </row>
    <row r="132" spans="1:9" x14ac:dyDescent="0.2">
      <c r="A132" s="13"/>
      <c r="B132" s="13"/>
      <c r="C132" s="13"/>
      <c r="D132" s="13"/>
      <c r="G132" s="13"/>
      <c r="H132" s="13"/>
      <c r="I132" s="13"/>
    </row>
    <row r="133" spans="1:9" x14ac:dyDescent="0.2">
      <c r="A133" s="13"/>
      <c r="B133" s="13"/>
      <c r="C133" s="13"/>
      <c r="D133" s="13"/>
      <c r="G133" s="13"/>
      <c r="H133" s="13"/>
      <c r="I133" s="13"/>
    </row>
    <row r="134" spans="1:9" x14ac:dyDescent="0.2">
      <c r="A134" s="13"/>
      <c r="B134" s="13"/>
      <c r="C134" s="13"/>
      <c r="G134" s="13"/>
      <c r="H134" s="13"/>
    </row>
    <row r="135" spans="1:9" x14ac:dyDescent="0.2">
      <c r="A135" s="13"/>
      <c r="B135" s="13"/>
      <c r="C135" s="13"/>
      <c r="D135" s="13"/>
      <c r="G135" s="13"/>
      <c r="H135" s="13"/>
      <c r="I135" s="13"/>
    </row>
    <row r="136" spans="1:9" x14ac:dyDescent="0.2">
      <c r="A136" s="13"/>
      <c r="B136" s="13"/>
      <c r="C136" s="13"/>
      <c r="G136" s="13"/>
      <c r="H136" s="13"/>
    </row>
    <row r="137" spans="1:9" x14ac:dyDescent="0.2">
      <c r="A137" s="13"/>
      <c r="B137" s="13"/>
      <c r="C137" s="13"/>
      <c r="G137" s="13"/>
      <c r="H137" s="13"/>
    </row>
    <row r="138" spans="1:9" x14ac:dyDescent="0.2">
      <c r="A138" s="13"/>
      <c r="B138" s="13"/>
      <c r="C138" s="13"/>
      <c r="D138" s="13"/>
      <c r="G138" s="13"/>
      <c r="H138" s="13"/>
      <c r="I138" s="13"/>
    </row>
    <row r="139" spans="1:9" x14ac:dyDescent="0.2">
      <c r="A139" s="13"/>
      <c r="B139" s="13"/>
      <c r="C139" s="13"/>
      <c r="G139" s="13"/>
      <c r="H139" s="13"/>
    </row>
    <row r="140" spans="1:9" x14ac:dyDescent="0.2">
      <c r="A140" s="13"/>
      <c r="B140" s="13"/>
      <c r="C140" s="13"/>
      <c r="G140" s="13"/>
      <c r="H140" s="13"/>
    </row>
    <row r="141" spans="1:9" x14ac:dyDescent="0.2">
      <c r="A141" s="13"/>
      <c r="B141" s="13"/>
      <c r="C141" s="13"/>
      <c r="D141" s="13"/>
      <c r="G141" s="13"/>
      <c r="H141" s="13"/>
      <c r="I141" s="13"/>
    </row>
    <row r="142" spans="1:9" x14ac:dyDescent="0.2">
      <c r="A142" s="13"/>
      <c r="B142" s="13"/>
      <c r="C142" s="13"/>
      <c r="D142" s="13"/>
      <c r="G142" s="13"/>
      <c r="H142" s="13"/>
      <c r="I142" s="13"/>
    </row>
    <row r="143" spans="1:9" x14ac:dyDescent="0.2">
      <c r="A143" s="13"/>
      <c r="B143" s="13"/>
      <c r="C143" s="13"/>
      <c r="D143" s="13"/>
      <c r="G143" s="13"/>
      <c r="H143" s="13"/>
      <c r="I143" s="13"/>
    </row>
    <row r="144" spans="1:9" x14ac:dyDescent="0.2">
      <c r="A144" s="13"/>
      <c r="B144" s="13"/>
      <c r="C144" s="13"/>
      <c r="G144" s="13"/>
      <c r="H144" s="13"/>
    </row>
    <row r="145" spans="1:9" x14ac:dyDescent="0.2">
      <c r="A145" s="13"/>
      <c r="B145" s="13"/>
      <c r="C145" s="13"/>
      <c r="D145" s="13"/>
      <c r="G145" s="13"/>
      <c r="H145" s="13"/>
      <c r="I145" s="13"/>
    </row>
    <row r="146" spans="1:9" x14ac:dyDescent="0.2">
      <c r="A146" s="13"/>
      <c r="B146" s="13"/>
      <c r="C146" s="13"/>
      <c r="D146" s="13"/>
      <c r="G146" s="13"/>
      <c r="H146" s="13"/>
      <c r="I146" s="13"/>
    </row>
    <row r="147" spans="1:9" x14ac:dyDescent="0.2">
      <c r="A147" s="13"/>
      <c r="B147" s="13"/>
      <c r="C147" s="13"/>
      <c r="G147" s="13"/>
      <c r="H147" s="13"/>
    </row>
    <row r="148" spans="1:9" x14ac:dyDescent="0.2">
      <c r="A148" s="13"/>
      <c r="B148" s="13"/>
      <c r="C148" s="13"/>
      <c r="G148" s="13"/>
      <c r="H148" s="13"/>
    </row>
    <row r="149" spans="1:9" x14ac:dyDescent="0.2">
      <c r="A149" s="13"/>
      <c r="B149" s="13"/>
      <c r="C149" s="13"/>
      <c r="G149" s="13"/>
      <c r="H149" s="13"/>
    </row>
    <row r="150" spans="1:9" x14ac:dyDescent="0.2">
      <c r="A150" s="13"/>
      <c r="B150" s="13"/>
      <c r="C150" s="13"/>
      <c r="D150" s="13"/>
      <c r="G150" s="13"/>
      <c r="H150" s="13"/>
      <c r="I150" s="13"/>
    </row>
    <row r="151" spans="1:9" x14ac:dyDescent="0.2">
      <c r="A151" s="13"/>
      <c r="B151" s="13"/>
      <c r="C151" s="13"/>
      <c r="D151" s="13"/>
      <c r="G151" s="13"/>
      <c r="H151" s="13"/>
      <c r="I151" s="13"/>
    </row>
    <row r="152" spans="1:9" x14ac:dyDescent="0.2">
      <c r="A152" s="13"/>
      <c r="B152" s="13"/>
      <c r="C152" s="13"/>
      <c r="G152" s="13"/>
      <c r="H152" s="13"/>
    </row>
    <row r="153" spans="1:9" x14ac:dyDescent="0.2">
      <c r="A153" s="13"/>
      <c r="B153" s="13"/>
      <c r="C153" s="13"/>
      <c r="G153" s="13"/>
      <c r="H153" s="13"/>
    </row>
    <row r="154" spans="1:9" x14ac:dyDescent="0.2">
      <c r="A154" s="13"/>
      <c r="B154" s="13"/>
      <c r="C154" s="13"/>
      <c r="G154" s="13"/>
      <c r="H154" s="13"/>
    </row>
    <row r="155" spans="1:9" x14ac:dyDescent="0.2">
      <c r="A155" s="13"/>
      <c r="B155" s="13"/>
      <c r="C155" s="13"/>
      <c r="D155" s="13"/>
      <c r="G155" s="13"/>
      <c r="H155" s="13"/>
      <c r="I155" s="13"/>
    </row>
    <row r="156" spans="1:9" x14ac:dyDescent="0.2">
      <c r="A156" s="13"/>
      <c r="B156" s="13"/>
      <c r="C156" s="13"/>
      <c r="G156" s="13"/>
      <c r="H156" s="13"/>
    </row>
    <row r="157" spans="1:9" x14ac:dyDescent="0.2">
      <c r="A157" s="13"/>
      <c r="B157" s="13"/>
      <c r="C157" s="13"/>
      <c r="G157" s="13"/>
      <c r="H157" s="13"/>
    </row>
    <row r="158" spans="1:9" x14ac:dyDescent="0.2">
      <c r="A158" s="13"/>
      <c r="B158" s="13"/>
      <c r="C158" s="13"/>
      <c r="D158" s="13"/>
      <c r="G158" s="13"/>
      <c r="H158" s="13"/>
      <c r="I158" s="13"/>
    </row>
    <row r="159" spans="1:9" x14ac:dyDescent="0.2">
      <c r="A159" s="13"/>
      <c r="B159" s="13"/>
      <c r="C159" s="13"/>
      <c r="D159" s="13"/>
    </row>
    <row r="160" spans="1:9" x14ac:dyDescent="0.2">
      <c r="A160" s="13"/>
      <c r="B160" s="13"/>
      <c r="C160" s="13"/>
    </row>
    <row r="161" spans="1:4" x14ac:dyDescent="0.2">
      <c r="A161" s="13"/>
      <c r="B161" s="13"/>
      <c r="C161" s="13"/>
      <c r="D161" s="13"/>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O2890"/>
  <sheetViews>
    <sheetView zoomScaleNormal="100" workbookViewId="0"/>
  </sheetViews>
  <sheetFormatPr defaultRowHeight="12.75" x14ac:dyDescent="0.2"/>
  <cols>
    <col min="2" max="2" width="17.42578125" customWidth="1"/>
    <col min="5" max="5" width="34.5703125" bestFit="1" customWidth="1"/>
    <col min="12" max="12" width="14.5703125" customWidth="1"/>
    <col min="14" max="14" width="12" customWidth="1"/>
  </cols>
  <sheetData>
    <row r="1" spans="1:8" x14ac:dyDescent="0.2">
      <c r="A1" s="13"/>
    </row>
    <row r="2" spans="1:8" x14ac:dyDescent="0.2">
      <c r="A2" s="13"/>
    </row>
    <row r="3" spans="1:8" x14ac:dyDescent="0.2">
      <c r="A3" s="13"/>
      <c r="B3" s="13"/>
      <c r="C3" s="13"/>
      <c r="D3" s="13"/>
      <c r="E3" s="13"/>
      <c r="F3" s="13"/>
      <c r="G3" s="13"/>
      <c r="H3" s="13"/>
    </row>
    <row r="4" spans="1:8" x14ac:dyDescent="0.2">
      <c r="A4" s="13"/>
      <c r="B4" s="13"/>
      <c r="C4" s="13"/>
      <c r="D4" s="13"/>
      <c r="E4" s="13"/>
    </row>
    <row r="5" spans="1:8" x14ac:dyDescent="0.2">
      <c r="A5" s="13"/>
    </row>
    <row r="6" spans="1:8" x14ac:dyDescent="0.2">
      <c r="A6" s="13"/>
    </row>
    <row r="7" spans="1:8" x14ac:dyDescent="0.2">
      <c r="A7" s="13"/>
      <c r="B7" s="13"/>
      <c r="C7" s="13"/>
      <c r="D7" s="13"/>
      <c r="E7" s="13"/>
      <c r="F7" s="13"/>
    </row>
    <row r="8" spans="1:8" x14ac:dyDescent="0.2">
      <c r="A8" s="13"/>
      <c r="B8" s="13"/>
      <c r="C8" s="13"/>
      <c r="D8" s="13"/>
      <c r="E8" s="13"/>
      <c r="F8" s="13"/>
    </row>
    <row r="9" spans="1:8" x14ac:dyDescent="0.2">
      <c r="A9" s="13"/>
      <c r="B9" s="13"/>
      <c r="C9" s="13"/>
      <c r="D9" s="13"/>
      <c r="E9" s="13"/>
      <c r="F9" s="13"/>
    </row>
    <row r="10" spans="1:8" x14ac:dyDescent="0.2">
      <c r="A10" s="13"/>
      <c r="B10" s="13"/>
      <c r="C10" s="13"/>
      <c r="D10" s="13"/>
      <c r="E10" s="13"/>
      <c r="F10" s="13"/>
    </row>
    <row r="11" spans="1:8" x14ac:dyDescent="0.2">
      <c r="A11" s="13"/>
      <c r="B11" s="13"/>
      <c r="C11" s="13"/>
      <c r="D11" s="13"/>
      <c r="E11" s="13"/>
      <c r="F11" s="13"/>
    </row>
    <row r="12" spans="1:8" x14ac:dyDescent="0.2">
      <c r="A12" s="13"/>
      <c r="B12" s="13"/>
      <c r="C12" s="13"/>
      <c r="D12" s="13"/>
      <c r="E12" s="13"/>
      <c r="F12" s="13"/>
    </row>
    <row r="13" spans="1:8" x14ac:dyDescent="0.2">
      <c r="A13" s="13"/>
      <c r="B13" s="13"/>
      <c r="C13" s="13"/>
      <c r="D13" s="13"/>
      <c r="E13" s="13"/>
      <c r="F13" s="13"/>
    </row>
    <row r="14" spans="1:8" x14ac:dyDescent="0.2">
      <c r="A14" s="13"/>
      <c r="B14" s="13"/>
      <c r="C14" s="13"/>
      <c r="D14" s="13"/>
      <c r="E14" s="13"/>
      <c r="F14" s="13"/>
    </row>
    <row r="15" spans="1:8" x14ac:dyDescent="0.2">
      <c r="A15" s="13"/>
      <c r="B15" s="13"/>
      <c r="C15" s="13"/>
      <c r="D15" s="13"/>
      <c r="E15" s="13"/>
      <c r="F15" s="13"/>
    </row>
    <row r="16" spans="1:8" x14ac:dyDescent="0.2">
      <c r="A16" s="13"/>
      <c r="B16" s="13"/>
      <c r="C16" s="13"/>
      <c r="D16" s="13"/>
      <c r="E16" s="13"/>
      <c r="F16" s="13"/>
    </row>
    <row r="17" spans="1:6" x14ac:dyDescent="0.2">
      <c r="A17" s="13"/>
      <c r="B17" s="13"/>
      <c r="C17" s="13"/>
      <c r="D17" s="13"/>
      <c r="E17" s="13"/>
      <c r="F17" s="13"/>
    </row>
    <row r="18" spans="1:6" x14ac:dyDescent="0.2">
      <c r="A18" s="13"/>
      <c r="B18" s="13"/>
      <c r="C18" s="13"/>
      <c r="D18" s="13"/>
      <c r="E18" s="13"/>
      <c r="F18" s="13"/>
    </row>
    <row r="19" spans="1:6" x14ac:dyDescent="0.2">
      <c r="A19" s="13"/>
      <c r="B19" s="13"/>
      <c r="C19" s="13"/>
      <c r="D19" s="13"/>
      <c r="E19" s="13"/>
      <c r="F19" s="13"/>
    </row>
    <row r="20" spans="1:6" x14ac:dyDescent="0.2">
      <c r="A20" s="13"/>
      <c r="B20" s="13"/>
      <c r="C20" s="13"/>
      <c r="D20" s="13"/>
      <c r="E20" s="13"/>
      <c r="F20" s="13"/>
    </row>
    <row r="21" spans="1:6" x14ac:dyDescent="0.2">
      <c r="A21" s="13"/>
      <c r="B21" s="13"/>
      <c r="C21" s="13"/>
      <c r="D21" s="13"/>
      <c r="E21" s="13"/>
      <c r="F21" s="13"/>
    </row>
    <row r="22" spans="1:6" x14ac:dyDescent="0.2">
      <c r="A22" s="13"/>
      <c r="B22" s="13"/>
      <c r="C22" s="13"/>
      <c r="D22" s="13"/>
      <c r="E22" s="13"/>
      <c r="F22" s="13"/>
    </row>
    <row r="23" spans="1:6" x14ac:dyDescent="0.2">
      <c r="A23" s="13"/>
      <c r="B23" s="13"/>
      <c r="C23" s="13"/>
      <c r="D23" s="13"/>
      <c r="E23" s="13"/>
      <c r="F23" s="13"/>
    </row>
    <row r="24" spans="1:6" x14ac:dyDescent="0.2">
      <c r="A24" s="13"/>
      <c r="B24" s="13"/>
      <c r="C24" s="13"/>
      <c r="D24" s="13"/>
      <c r="E24" s="13"/>
      <c r="F24" s="13"/>
    </row>
    <row r="25" spans="1:6" x14ac:dyDescent="0.2">
      <c r="A25" s="13"/>
      <c r="B25" s="13"/>
      <c r="C25" s="13"/>
      <c r="D25" s="13"/>
      <c r="E25" s="13"/>
      <c r="F25" s="13"/>
    </row>
    <row r="26" spans="1:6" x14ac:dyDescent="0.2">
      <c r="A26" s="13"/>
      <c r="B26" s="13"/>
      <c r="C26" s="13"/>
      <c r="D26" s="13"/>
      <c r="E26" s="13"/>
      <c r="F26" s="13"/>
    </row>
    <row r="27" spans="1:6" x14ac:dyDescent="0.2">
      <c r="A27" s="13"/>
      <c r="B27" s="13"/>
      <c r="C27" s="13"/>
      <c r="D27" s="13"/>
      <c r="E27" s="13"/>
      <c r="F27" s="13"/>
    </row>
    <row r="28" spans="1:6" x14ac:dyDescent="0.2">
      <c r="A28" s="13"/>
      <c r="B28" s="13"/>
      <c r="C28" s="13"/>
      <c r="D28" s="13"/>
      <c r="E28" s="13"/>
      <c r="F28" s="13"/>
    </row>
    <row r="29" spans="1:6" x14ac:dyDescent="0.2">
      <c r="A29" s="13"/>
      <c r="B29" s="13"/>
      <c r="C29" s="13"/>
      <c r="D29" s="13"/>
      <c r="E29" s="13"/>
      <c r="F29" s="13"/>
    </row>
    <row r="30" spans="1:6" x14ac:dyDescent="0.2">
      <c r="A30" s="13"/>
      <c r="B30" s="13"/>
      <c r="C30" s="13"/>
      <c r="D30" s="13"/>
      <c r="E30" s="13"/>
      <c r="F30" s="13"/>
    </row>
    <row r="31" spans="1:6" x14ac:dyDescent="0.2">
      <c r="A31" s="13"/>
      <c r="B31" s="13"/>
      <c r="C31" s="13"/>
      <c r="D31" s="13"/>
      <c r="E31" s="13"/>
      <c r="F31" s="13"/>
    </row>
    <row r="32" spans="1:6" x14ac:dyDescent="0.2">
      <c r="A32" s="13"/>
      <c r="B32" s="13"/>
      <c r="C32" s="13"/>
      <c r="D32" s="13"/>
      <c r="E32" s="13"/>
      <c r="F32" s="13"/>
    </row>
    <row r="33" spans="1:7" x14ac:dyDescent="0.2">
      <c r="A33" s="13"/>
      <c r="B33" s="13"/>
      <c r="C33" s="13"/>
      <c r="D33" s="13"/>
      <c r="E33" s="13"/>
      <c r="F33" s="13"/>
    </row>
    <row r="34" spans="1:7" x14ac:dyDescent="0.2">
      <c r="A34" s="13"/>
      <c r="B34" s="13"/>
      <c r="C34" s="13"/>
      <c r="D34" s="13"/>
      <c r="E34" s="13"/>
      <c r="F34" s="13"/>
    </row>
    <row r="35" spans="1:7" x14ac:dyDescent="0.2">
      <c r="A35" s="13"/>
      <c r="B35" s="13"/>
      <c r="C35" s="13"/>
      <c r="D35" s="13"/>
      <c r="E35" s="13"/>
      <c r="F35" s="13"/>
    </row>
    <row r="36" spans="1:7" x14ac:dyDescent="0.2">
      <c r="A36" s="13"/>
      <c r="B36" s="13"/>
      <c r="C36" s="13"/>
      <c r="D36" s="13"/>
      <c r="E36" s="13"/>
      <c r="F36" s="13"/>
    </row>
    <row r="37" spans="1:7" x14ac:dyDescent="0.2">
      <c r="A37" s="13"/>
      <c r="B37" s="13"/>
      <c r="C37" s="13"/>
      <c r="D37" s="13"/>
      <c r="E37" s="13"/>
      <c r="F37" s="13"/>
    </row>
    <row r="38" spans="1:7" x14ac:dyDescent="0.2">
      <c r="A38" s="13"/>
      <c r="B38" s="13"/>
      <c r="C38" s="13"/>
      <c r="D38" s="13"/>
      <c r="E38" s="13"/>
      <c r="F38" s="13"/>
    </row>
    <row r="39" spans="1:7" x14ac:dyDescent="0.2">
      <c r="A39" s="13"/>
      <c r="B39" s="13"/>
      <c r="C39" s="13"/>
      <c r="D39" s="13"/>
      <c r="E39" s="13"/>
      <c r="F39" s="13"/>
    </row>
    <row r="40" spans="1:7" x14ac:dyDescent="0.2">
      <c r="A40" s="13"/>
      <c r="B40" s="13"/>
      <c r="C40" s="13"/>
      <c r="D40" s="13"/>
      <c r="E40" s="13"/>
      <c r="F40" s="13"/>
    </row>
    <row r="41" spans="1:7" x14ac:dyDescent="0.2">
      <c r="A41" s="13"/>
      <c r="B41" s="13"/>
      <c r="C41" s="13"/>
      <c r="D41" s="13"/>
      <c r="E41" s="13"/>
      <c r="F41" s="13"/>
    </row>
    <row r="42" spans="1:7" x14ac:dyDescent="0.2">
      <c r="A42" s="13"/>
      <c r="B42" s="13"/>
      <c r="C42" s="13"/>
      <c r="D42" s="13"/>
      <c r="E42" s="13"/>
      <c r="F42" s="13"/>
    </row>
    <row r="43" spans="1:7" x14ac:dyDescent="0.2">
      <c r="A43" s="13"/>
      <c r="B43" s="13"/>
      <c r="C43" s="13"/>
      <c r="D43" s="13"/>
      <c r="E43" s="13"/>
      <c r="F43" s="13"/>
    </row>
    <row r="44" spans="1:7" x14ac:dyDescent="0.2">
      <c r="A44" s="13"/>
      <c r="B44" s="13"/>
      <c r="C44" s="13"/>
      <c r="D44" s="13"/>
      <c r="E44" s="13"/>
      <c r="F44" s="13"/>
    </row>
    <row r="45" spans="1:7" x14ac:dyDescent="0.2">
      <c r="A45" s="13"/>
      <c r="B45" s="13"/>
      <c r="C45" s="13"/>
      <c r="D45" s="13"/>
      <c r="E45" s="13"/>
      <c r="F45" s="13"/>
    </row>
    <row r="46" spans="1:7" x14ac:dyDescent="0.2">
      <c r="A46" s="13"/>
      <c r="B46" s="13"/>
      <c r="C46" s="13"/>
      <c r="D46" s="13"/>
      <c r="E46" s="13"/>
      <c r="F46" s="13"/>
    </row>
    <row r="47" spans="1:7" x14ac:dyDescent="0.2">
      <c r="A47" s="13"/>
      <c r="B47" s="13"/>
      <c r="C47" s="13"/>
      <c r="D47" s="13"/>
      <c r="E47" s="13"/>
      <c r="G47" s="13"/>
    </row>
    <row r="48" spans="1:7" x14ac:dyDescent="0.2">
      <c r="A48" s="13"/>
      <c r="B48" s="13"/>
      <c r="C48" s="13"/>
      <c r="D48" s="13"/>
      <c r="E48" s="13"/>
      <c r="F48" s="13"/>
    </row>
    <row r="49" spans="1:7" x14ac:dyDescent="0.2">
      <c r="A49" s="13"/>
      <c r="B49" s="13"/>
      <c r="C49" s="13"/>
      <c r="D49" s="13"/>
      <c r="E49" s="13"/>
      <c r="F49" s="13"/>
    </row>
    <row r="50" spans="1:7" x14ac:dyDescent="0.2">
      <c r="A50" s="13"/>
      <c r="B50" s="13"/>
      <c r="C50" s="13"/>
      <c r="D50" s="13"/>
      <c r="E50" s="13"/>
      <c r="F50" s="13"/>
    </row>
    <row r="51" spans="1:7" x14ac:dyDescent="0.2">
      <c r="A51" s="13"/>
      <c r="B51" s="13"/>
      <c r="C51" s="13"/>
      <c r="D51" s="13"/>
      <c r="E51" s="13"/>
      <c r="G51" s="13"/>
    </row>
    <row r="52" spans="1:7" x14ac:dyDescent="0.2">
      <c r="A52" s="13"/>
      <c r="B52" s="13"/>
      <c r="C52" s="13"/>
      <c r="D52" s="13"/>
      <c r="E52" s="13"/>
      <c r="F52" s="13"/>
    </row>
    <row r="53" spans="1:7" x14ac:dyDescent="0.2">
      <c r="A53" s="13"/>
      <c r="B53" s="13"/>
      <c r="C53" s="13"/>
      <c r="D53" s="13"/>
      <c r="E53" s="13"/>
      <c r="F53" s="13"/>
    </row>
    <row r="54" spans="1:7" x14ac:dyDescent="0.2">
      <c r="A54" s="13"/>
      <c r="B54" s="13"/>
      <c r="C54" s="13"/>
      <c r="D54" s="13"/>
      <c r="E54" s="13"/>
      <c r="F54" s="13"/>
    </row>
    <row r="55" spans="1:7" x14ac:dyDescent="0.2">
      <c r="A55" s="13"/>
      <c r="B55" s="13"/>
      <c r="C55" s="13"/>
      <c r="D55" s="13"/>
      <c r="E55" s="13"/>
      <c r="F55" s="13"/>
    </row>
    <row r="56" spans="1:7" x14ac:dyDescent="0.2">
      <c r="A56" s="13"/>
      <c r="B56" s="13"/>
      <c r="C56" s="13"/>
      <c r="D56" s="13"/>
      <c r="E56" s="13"/>
      <c r="F56" s="13"/>
    </row>
    <row r="57" spans="1:7" x14ac:dyDescent="0.2">
      <c r="A57" s="13"/>
      <c r="B57" s="13"/>
      <c r="C57" s="13"/>
      <c r="D57" s="13"/>
      <c r="E57" s="13"/>
      <c r="F57" s="13"/>
    </row>
    <row r="58" spans="1:7" x14ac:dyDescent="0.2">
      <c r="A58" s="13"/>
      <c r="B58" s="13"/>
      <c r="C58" s="13"/>
      <c r="D58" s="13"/>
      <c r="E58" s="13"/>
      <c r="F58" s="13"/>
    </row>
    <row r="59" spans="1:7" x14ac:dyDescent="0.2">
      <c r="A59" s="13"/>
      <c r="B59" s="13"/>
      <c r="C59" s="13"/>
      <c r="D59" s="13"/>
      <c r="E59" s="13"/>
      <c r="F59" s="13"/>
    </row>
    <row r="60" spans="1:7" x14ac:dyDescent="0.2">
      <c r="A60" s="13"/>
      <c r="B60" s="13"/>
      <c r="C60" s="13"/>
      <c r="D60" s="13"/>
      <c r="E60" s="13"/>
      <c r="F60" s="13"/>
    </row>
    <row r="61" spans="1:7" x14ac:dyDescent="0.2">
      <c r="A61" s="13"/>
      <c r="B61" s="13"/>
      <c r="C61" s="13"/>
      <c r="D61" s="13"/>
      <c r="E61" s="13"/>
      <c r="F61" s="13"/>
    </row>
    <row r="62" spans="1:7" x14ac:dyDescent="0.2">
      <c r="A62" s="13"/>
      <c r="B62" s="13"/>
      <c r="C62" s="13"/>
      <c r="D62" s="13"/>
      <c r="E62" s="13"/>
      <c r="F62" s="13"/>
    </row>
    <row r="63" spans="1:7" x14ac:dyDescent="0.2">
      <c r="A63" s="13"/>
      <c r="B63" s="13"/>
      <c r="C63" s="13"/>
      <c r="D63" s="13"/>
      <c r="E63" s="13"/>
      <c r="F63" s="13"/>
    </row>
    <row r="64" spans="1:7" x14ac:dyDescent="0.2">
      <c r="A64" s="13"/>
      <c r="B64" s="13"/>
      <c r="C64" s="13"/>
      <c r="D64" s="13"/>
      <c r="E64" s="13"/>
      <c r="G64" s="13"/>
    </row>
    <row r="65" spans="1:7" x14ac:dyDescent="0.2">
      <c r="A65" s="13"/>
      <c r="B65" s="13"/>
      <c r="C65" s="13"/>
      <c r="D65" s="13"/>
      <c r="E65" s="13"/>
      <c r="G65" s="13"/>
    </row>
    <row r="66" spans="1:7" x14ac:dyDescent="0.2">
      <c r="A66" s="13"/>
      <c r="B66" s="13"/>
      <c r="C66" s="13"/>
      <c r="D66" s="13"/>
      <c r="E66" s="13"/>
      <c r="F66" s="13"/>
    </row>
    <row r="67" spans="1:7" x14ac:dyDescent="0.2">
      <c r="A67" s="13"/>
      <c r="B67" s="13"/>
      <c r="C67" s="13"/>
      <c r="D67" s="13"/>
      <c r="E67" s="13"/>
      <c r="F67" s="13"/>
    </row>
    <row r="68" spans="1:7" x14ac:dyDescent="0.2">
      <c r="A68" s="13"/>
      <c r="B68" s="13"/>
      <c r="C68" s="13"/>
      <c r="D68" s="13"/>
      <c r="E68" s="13"/>
      <c r="F68" s="13"/>
    </row>
    <row r="69" spans="1:7" x14ac:dyDescent="0.2">
      <c r="A69" s="13"/>
      <c r="B69" s="13"/>
      <c r="C69" s="13"/>
      <c r="D69" s="13"/>
      <c r="E69" s="13"/>
      <c r="F69" s="13"/>
    </row>
    <row r="70" spans="1:7" x14ac:dyDescent="0.2">
      <c r="A70" s="13"/>
      <c r="B70" s="13"/>
      <c r="C70" s="13"/>
      <c r="D70" s="13"/>
      <c r="E70" s="13"/>
      <c r="F70" s="13"/>
    </row>
    <row r="71" spans="1:7" x14ac:dyDescent="0.2">
      <c r="A71" s="13"/>
      <c r="B71" s="13"/>
      <c r="C71" s="13"/>
      <c r="D71" s="13"/>
      <c r="E71" s="13"/>
      <c r="F71" s="13"/>
    </row>
    <row r="72" spans="1:7" x14ac:dyDescent="0.2">
      <c r="A72" s="13"/>
      <c r="B72" s="13"/>
      <c r="C72" s="13"/>
      <c r="D72" s="13"/>
      <c r="E72" s="13"/>
      <c r="F72" s="13"/>
    </row>
    <row r="73" spans="1:7" x14ac:dyDescent="0.2">
      <c r="A73" s="13"/>
      <c r="B73" s="13"/>
      <c r="C73" s="13"/>
      <c r="D73" s="13"/>
      <c r="E73" s="13"/>
      <c r="F73" s="13"/>
    </row>
    <row r="74" spans="1:7" x14ac:dyDescent="0.2">
      <c r="A74" s="13"/>
      <c r="B74" s="13"/>
      <c r="C74" s="13"/>
      <c r="D74" s="13"/>
      <c r="E74" s="13"/>
      <c r="F74" s="13"/>
    </row>
    <row r="75" spans="1:7" x14ac:dyDescent="0.2">
      <c r="A75" s="13"/>
      <c r="B75" s="13"/>
      <c r="C75" s="13"/>
      <c r="D75" s="13"/>
      <c r="E75" s="13"/>
      <c r="F75" s="13"/>
    </row>
    <row r="76" spans="1:7" x14ac:dyDescent="0.2">
      <c r="A76" s="13"/>
      <c r="B76" s="13"/>
      <c r="C76" s="13"/>
      <c r="D76" s="13"/>
      <c r="E76" s="13"/>
      <c r="F76" s="13"/>
    </row>
    <row r="77" spans="1:7" x14ac:dyDescent="0.2">
      <c r="A77" s="13"/>
      <c r="B77" s="13"/>
      <c r="C77" s="13"/>
      <c r="D77" s="13"/>
      <c r="E77" s="13"/>
      <c r="F77" s="13"/>
    </row>
    <row r="78" spans="1:7" x14ac:dyDescent="0.2">
      <c r="A78" s="13"/>
      <c r="B78" s="13"/>
      <c r="C78" s="13"/>
      <c r="D78" s="13"/>
      <c r="E78" s="13"/>
      <c r="F78" s="13"/>
    </row>
    <row r="79" spans="1:7" x14ac:dyDescent="0.2">
      <c r="A79" s="13"/>
      <c r="B79" s="13"/>
      <c r="C79" s="13"/>
      <c r="D79" s="13"/>
      <c r="E79" s="13"/>
      <c r="F79" s="13"/>
    </row>
    <row r="80" spans="1:7" x14ac:dyDescent="0.2">
      <c r="A80" s="13"/>
      <c r="B80" s="13"/>
      <c r="C80" s="13"/>
      <c r="D80" s="13"/>
      <c r="E80" s="13"/>
      <c r="F80" s="13"/>
    </row>
    <row r="81" spans="1:7" x14ac:dyDescent="0.2">
      <c r="A81" s="13"/>
      <c r="B81" s="13"/>
      <c r="C81" s="13"/>
      <c r="D81" s="13"/>
      <c r="E81" s="13"/>
      <c r="G81" s="13"/>
    </row>
    <row r="82" spans="1:7" x14ac:dyDescent="0.2">
      <c r="A82" s="13"/>
      <c r="B82" s="13"/>
      <c r="C82" s="13"/>
      <c r="D82" s="13"/>
      <c r="E82" s="13"/>
      <c r="F82" s="13"/>
    </row>
    <row r="83" spans="1:7" x14ac:dyDescent="0.2">
      <c r="A83" s="13"/>
      <c r="B83" s="13"/>
      <c r="C83" s="13"/>
      <c r="D83" s="13"/>
      <c r="E83" s="13"/>
      <c r="F83" s="13"/>
    </row>
    <row r="84" spans="1:7" x14ac:dyDescent="0.2">
      <c r="A84" s="13"/>
      <c r="B84" s="13"/>
      <c r="C84" s="13"/>
      <c r="D84" s="13"/>
      <c r="E84" s="13"/>
      <c r="F84" s="13"/>
    </row>
    <row r="85" spans="1:7" x14ac:dyDescent="0.2">
      <c r="A85" s="13"/>
      <c r="B85" s="13"/>
      <c r="C85" s="13"/>
      <c r="D85" s="13"/>
      <c r="E85" s="13"/>
      <c r="F85" s="13"/>
    </row>
    <row r="86" spans="1:7" x14ac:dyDescent="0.2">
      <c r="A86" s="13"/>
      <c r="B86" s="13"/>
      <c r="C86" s="13"/>
      <c r="D86" s="13"/>
      <c r="E86" s="13"/>
      <c r="F86" s="13"/>
    </row>
    <row r="87" spans="1:7" x14ac:dyDescent="0.2">
      <c r="A87" s="13"/>
      <c r="B87" s="13"/>
      <c r="C87" s="13"/>
      <c r="D87" s="13"/>
      <c r="E87" s="13"/>
      <c r="F87" s="13"/>
    </row>
    <row r="88" spans="1:7" x14ac:dyDescent="0.2">
      <c r="A88" s="13"/>
      <c r="B88" s="13"/>
      <c r="C88" s="13"/>
      <c r="D88" s="13"/>
      <c r="E88" s="13"/>
      <c r="F88" s="13"/>
    </row>
    <row r="89" spans="1:7" x14ac:dyDescent="0.2">
      <c r="A89" s="13"/>
      <c r="B89" s="13"/>
      <c r="C89" s="13"/>
      <c r="D89" s="13"/>
      <c r="E89" s="13"/>
      <c r="F89" s="13"/>
    </row>
    <row r="90" spans="1:7" x14ac:dyDescent="0.2">
      <c r="A90" s="13"/>
      <c r="B90" s="13"/>
      <c r="C90" s="13"/>
      <c r="D90" s="13"/>
      <c r="E90" s="13"/>
      <c r="F90" s="13"/>
    </row>
    <row r="91" spans="1:7" x14ac:dyDescent="0.2">
      <c r="A91" s="13"/>
      <c r="B91" s="13"/>
      <c r="C91" s="13"/>
      <c r="D91" s="13"/>
      <c r="E91" s="13"/>
      <c r="F91" s="13"/>
    </row>
    <row r="92" spans="1:7" x14ac:dyDescent="0.2">
      <c r="A92" s="13"/>
      <c r="B92" s="13"/>
      <c r="C92" s="13"/>
      <c r="D92" s="13"/>
      <c r="E92" s="13"/>
      <c r="F92" s="13"/>
    </row>
    <row r="93" spans="1:7" x14ac:dyDescent="0.2">
      <c r="A93" s="13"/>
      <c r="B93" s="13"/>
      <c r="C93" s="13"/>
      <c r="D93" s="13"/>
      <c r="E93" s="13"/>
      <c r="F93" s="13"/>
    </row>
    <row r="94" spans="1:7" x14ac:dyDescent="0.2">
      <c r="A94" s="13"/>
      <c r="B94" s="13"/>
      <c r="C94" s="13"/>
      <c r="D94" s="13"/>
      <c r="E94" s="13"/>
      <c r="F94" s="13"/>
    </row>
    <row r="95" spans="1:7" x14ac:dyDescent="0.2">
      <c r="A95" s="13"/>
      <c r="B95" s="13"/>
      <c r="C95" s="13"/>
      <c r="D95" s="13"/>
      <c r="E95" s="13"/>
      <c r="F95" s="13"/>
    </row>
    <row r="96" spans="1:7" x14ac:dyDescent="0.2">
      <c r="A96" s="13"/>
      <c r="B96" s="13"/>
      <c r="C96" s="13"/>
      <c r="D96" s="13"/>
      <c r="E96" s="13"/>
      <c r="F96" s="13"/>
    </row>
    <row r="97" spans="1:6" x14ac:dyDescent="0.2">
      <c r="A97" s="13"/>
      <c r="B97" s="13"/>
      <c r="C97" s="13"/>
      <c r="D97" s="13"/>
      <c r="E97" s="13"/>
      <c r="F97" s="13"/>
    </row>
    <row r="98" spans="1:6" x14ac:dyDescent="0.2">
      <c r="A98" s="13"/>
      <c r="B98" s="13"/>
      <c r="C98" s="13"/>
      <c r="D98" s="13"/>
      <c r="E98" s="13"/>
      <c r="F98" s="13"/>
    </row>
    <row r="99" spans="1:6" x14ac:dyDescent="0.2">
      <c r="A99" s="13"/>
      <c r="B99" s="13"/>
      <c r="C99" s="13"/>
      <c r="D99" s="13"/>
      <c r="E99" s="13"/>
      <c r="F99" s="13"/>
    </row>
    <row r="100" spans="1:6" x14ac:dyDescent="0.2">
      <c r="A100" s="13"/>
      <c r="B100" s="13"/>
      <c r="C100" s="13"/>
      <c r="D100" s="13"/>
      <c r="E100" s="13"/>
      <c r="F100" s="13"/>
    </row>
    <row r="101" spans="1:6" x14ac:dyDescent="0.2">
      <c r="A101" s="13"/>
      <c r="B101" s="13"/>
      <c r="C101" s="13"/>
      <c r="D101" s="13"/>
      <c r="E101" s="13"/>
      <c r="F101" s="13"/>
    </row>
    <row r="102" spans="1:6" x14ac:dyDescent="0.2">
      <c r="A102" s="13"/>
      <c r="B102" s="13"/>
      <c r="C102" s="13"/>
      <c r="D102" s="13"/>
      <c r="E102" s="13"/>
      <c r="F102" s="13"/>
    </row>
    <row r="103" spans="1:6" x14ac:dyDescent="0.2">
      <c r="A103" s="13"/>
      <c r="B103" s="13"/>
      <c r="C103" s="13"/>
      <c r="D103" s="13"/>
      <c r="E103" s="13"/>
      <c r="F103" s="13"/>
    </row>
    <row r="104" spans="1:6" x14ac:dyDescent="0.2">
      <c r="A104" s="13"/>
      <c r="B104" s="13"/>
      <c r="C104" s="13"/>
      <c r="D104" s="13"/>
      <c r="E104" s="13"/>
      <c r="F104" s="13"/>
    </row>
    <row r="105" spans="1:6" x14ac:dyDescent="0.2">
      <c r="A105" s="13"/>
      <c r="B105" s="13"/>
      <c r="C105" s="13"/>
      <c r="D105" s="13"/>
      <c r="E105" s="13"/>
      <c r="F105" s="13"/>
    </row>
    <row r="106" spans="1:6" x14ac:dyDescent="0.2">
      <c r="A106" s="13"/>
      <c r="B106" s="13"/>
      <c r="C106" s="13"/>
      <c r="D106" s="13"/>
      <c r="E106" s="13"/>
      <c r="F106" s="13"/>
    </row>
    <row r="107" spans="1:6" x14ac:dyDescent="0.2">
      <c r="A107" s="13"/>
      <c r="B107" s="13"/>
      <c r="C107" s="13"/>
      <c r="D107" s="13"/>
      <c r="E107" s="13"/>
      <c r="F107" s="13"/>
    </row>
    <row r="108" spans="1:6" x14ac:dyDescent="0.2">
      <c r="A108" s="13"/>
      <c r="B108" s="13"/>
      <c r="C108" s="13"/>
      <c r="D108" s="13"/>
      <c r="E108" s="13"/>
      <c r="F108" s="13"/>
    </row>
    <row r="109" spans="1:6" x14ac:dyDescent="0.2">
      <c r="A109" s="13"/>
      <c r="B109" s="13"/>
      <c r="C109" s="13"/>
      <c r="D109" s="13"/>
      <c r="E109" s="13"/>
      <c r="F109" s="13"/>
    </row>
    <row r="110" spans="1:6" x14ac:dyDescent="0.2">
      <c r="A110" s="13"/>
      <c r="B110" s="13"/>
      <c r="C110" s="13"/>
      <c r="D110" s="13"/>
      <c r="E110" s="13"/>
      <c r="F110" s="13"/>
    </row>
    <row r="111" spans="1:6" x14ac:dyDescent="0.2">
      <c r="A111" s="13"/>
      <c r="B111" s="13"/>
      <c r="C111" s="13"/>
      <c r="D111" s="13"/>
      <c r="E111" s="13"/>
      <c r="F111" s="13"/>
    </row>
    <row r="112" spans="1:6" x14ac:dyDescent="0.2">
      <c r="A112" s="13"/>
      <c r="B112" s="13"/>
      <c r="C112" s="13"/>
      <c r="D112" s="13"/>
      <c r="E112" s="13"/>
      <c r="F112" s="13"/>
    </row>
    <row r="113" spans="1:6" x14ac:dyDescent="0.2">
      <c r="A113" s="13"/>
      <c r="B113" s="13"/>
      <c r="C113" s="13"/>
      <c r="D113" s="13"/>
      <c r="E113" s="13"/>
      <c r="F113" s="13"/>
    </row>
    <row r="114" spans="1:6" x14ac:dyDescent="0.2">
      <c r="A114" s="13"/>
      <c r="B114" s="13"/>
      <c r="C114" s="13"/>
      <c r="D114" s="13"/>
      <c r="E114" s="13"/>
      <c r="F114" s="13"/>
    </row>
    <row r="115" spans="1:6" x14ac:dyDescent="0.2">
      <c r="A115" s="13"/>
      <c r="B115" s="13"/>
      <c r="C115" s="13"/>
      <c r="D115" s="13"/>
      <c r="E115" s="13"/>
      <c r="F115" s="13"/>
    </row>
    <row r="116" spans="1:6" x14ac:dyDescent="0.2">
      <c r="A116" s="13"/>
      <c r="B116" s="13"/>
      <c r="C116" s="13"/>
      <c r="D116" s="13"/>
      <c r="E116" s="13"/>
      <c r="F116" s="13"/>
    </row>
    <row r="117" spans="1:6" x14ac:dyDescent="0.2">
      <c r="A117" s="13"/>
      <c r="B117" s="13"/>
      <c r="C117" s="13"/>
      <c r="D117" s="13"/>
      <c r="E117" s="13"/>
      <c r="F117" s="13"/>
    </row>
    <row r="118" spans="1:6" x14ac:dyDescent="0.2">
      <c r="A118" s="13"/>
      <c r="B118" s="13"/>
      <c r="C118" s="13"/>
      <c r="D118" s="13"/>
      <c r="E118" s="13"/>
      <c r="F118" s="13"/>
    </row>
    <row r="119" spans="1:6" x14ac:dyDescent="0.2">
      <c r="A119" s="13"/>
      <c r="B119" s="13"/>
      <c r="C119" s="13"/>
      <c r="D119" s="13"/>
      <c r="E119" s="13"/>
      <c r="F119" s="13"/>
    </row>
    <row r="120" spans="1:6" x14ac:dyDescent="0.2">
      <c r="A120" s="13"/>
      <c r="B120" s="13"/>
      <c r="C120" s="13"/>
      <c r="D120" s="13"/>
      <c r="E120" s="13"/>
      <c r="F120" s="13"/>
    </row>
    <row r="121" spans="1:6" x14ac:dyDescent="0.2">
      <c r="A121" s="13"/>
      <c r="B121" s="13"/>
      <c r="C121" s="13"/>
      <c r="D121" s="13"/>
      <c r="E121" s="13"/>
      <c r="F121" s="13"/>
    </row>
    <row r="122" spans="1:6" x14ac:dyDescent="0.2">
      <c r="A122" s="13"/>
      <c r="B122" s="13"/>
      <c r="C122" s="13"/>
      <c r="D122" s="13"/>
      <c r="E122" s="13"/>
      <c r="F122" s="13"/>
    </row>
    <row r="123" spans="1:6" x14ac:dyDescent="0.2">
      <c r="A123" s="13"/>
      <c r="B123" s="13"/>
      <c r="C123" s="13"/>
      <c r="D123" s="13"/>
      <c r="E123" s="13"/>
      <c r="F123" s="13"/>
    </row>
    <row r="124" spans="1:6" x14ac:dyDescent="0.2">
      <c r="A124" s="13"/>
      <c r="B124" s="13"/>
      <c r="C124" s="13"/>
      <c r="D124" s="13"/>
      <c r="E124" s="13"/>
      <c r="F124" s="13"/>
    </row>
    <row r="125" spans="1:6" x14ac:dyDescent="0.2">
      <c r="A125" s="13"/>
      <c r="B125" s="13"/>
      <c r="C125" s="13"/>
      <c r="D125" s="13"/>
      <c r="E125" s="13"/>
      <c r="F125" s="13"/>
    </row>
    <row r="126" spans="1:6" x14ac:dyDescent="0.2">
      <c r="A126" s="13"/>
      <c r="B126" s="13"/>
      <c r="C126" s="13"/>
      <c r="D126" s="13"/>
      <c r="E126" s="13"/>
      <c r="F126" s="13"/>
    </row>
    <row r="127" spans="1:6" x14ac:dyDescent="0.2">
      <c r="A127" s="13"/>
      <c r="B127" s="13"/>
      <c r="C127" s="13"/>
      <c r="D127" s="13"/>
      <c r="E127" s="13"/>
      <c r="F127" s="13"/>
    </row>
    <row r="128" spans="1:6" x14ac:dyDescent="0.2">
      <c r="A128" s="13"/>
      <c r="B128" s="13"/>
      <c r="C128" s="13"/>
      <c r="D128" s="13"/>
      <c r="E128" s="13"/>
      <c r="F128" s="13"/>
    </row>
    <row r="129" spans="1:6" x14ac:dyDescent="0.2">
      <c r="A129" s="13"/>
      <c r="B129" s="13"/>
      <c r="C129" s="13"/>
      <c r="D129" s="13"/>
      <c r="E129" s="13"/>
      <c r="F129" s="13"/>
    </row>
    <row r="130" spans="1:6" x14ac:dyDescent="0.2">
      <c r="A130" s="13"/>
      <c r="B130" s="13"/>
      <c r="C130" s="13"/>
      <c r="D130" s="13"/>
      <c r="E130" s="13"/>
      <c r="F130" s="13"/>
    </row>
    <row r="131" spans="1:6" x14ac:dyDescent="0.2">
      <c r="A131" s="13"/>
      <c r="B131" s="13"/>
      <c r="C131" s="13"/>
      <c r="D131" s="13"/>
      <c r="E131" s="13"/>
      <c r="F131" s="13"/>
    </row>
    <row r="132" spans="1:6" x14ac:dyDescent="0.2">
      <c r="A132" s="13"/>
      <c r="B132" s="13"/>
      <c r="C132" s="13"/>
      <c r="D132" s="13"/>
      <c r="E132" s="13"/>
      <c r="F132" s="13"/>
    </row>
    <row r="133" spans="1:6" x14ac:dyDescent="0.2">
      <c r="A133" s="13"/>
      <c r="B133" s="13"/>
      <c r="C133" s="13"/>
      <c r="D133" s="13"/>
      <c r="E133" s="13"/>
      <c r="F133" s="13"/>
    </row>
    <row r="134" spans="1:6" x14ac:dyDescent="0.2">
      <c r="A134" s="13"/>
      <c r="B134" s="13"/>
      <c r="C134" s="13"/>
      <c r="D134" s="13"/>
      <c r="E134" s="13"/>
      <c r="F134" s="13"/>
    </row>
    <row r="135" spans="1:6" x14ac:dyDescent="0.2">
      <c r="A135" s="13"/>
      <c r="B135" s="13"/>
      <c r="C135" s="13"/>
      <c r="D135" s="13"/>
      <c r="E135" s="13"/>
      <c r="F135" s="13"/>
    </row>
    <row r="136" spans="1:6" x14ac:dyDescent="0.2">
      <c r="A136" s="13"/>
      <c r="B136" s="13"/>
      <c r="C136" s="13"/>
      <c r="D136" s="13"/>
      <c r="E136" s="13"/>
      <c r="F136" s="13"/>
    </row>
    <row r="137" spans="1:6" x14ac:dyDescent="0.2">
      <c r="A137" s="13"/>
      <c r="B137" s="13"/>
      <c r="C137" s="13"/>
      <c r="D137" s="13"/>
      <c r="E137" s="13"/>
      <c r="F137" s="13"/>
    </row>
    <row r="138" spans="1:6" x14ac:dyDescent="0.2">
      <c r="A138" s="13"/>
      <c r="B138" s="13"/>
      <c r="C138" s="13"/>
      <c r="D138" s="13"/>
      <c r="E138" s="13"/>
      <c r="F138" s="13"/>
    </row>
    <row r="139" spans="1:6" x14ac:dyDescent="0.2">
      <c r="A139" s="13"/>
      <c r="B139" s="13"/>
      <c r="C139" s="13"/>
      <c r="D139" s="13"/>
      <c r="E139" s="13"/>
      <c r="F139" s="13"/>
    </row>
    <row r="140" spans="1:6" x14ac:dyDescent="0.2">
      <c r="A140" s="13"/>
      <c r="B140" s="13"/>
      <c r="C140" s="13"/>
      <c r="D140" s="13"/>
      <c r="E140" s="13"/>
      <c r="F140" s="13"/>
    </row>
    <row r="141" spans="1:6" x14ac:dyDescent="0.2">
      <c r="A141" s="13"/>
      <c r="B141" s="13"/>
      <c r="C141" s="13"/>
      <c r="D141" s="13"/>
      <c r="E141" s="13"/>
      <c r="F141" s="13"/>
    </row>
    <row r="142" spans="1:6" x14ac:dyDescent="0.2">
      <c r="A142" s="13"/>
      <c r="B142" s="13"/>
      <c r="C142" s="13"/>
      <c r="D142" s="13"/>
      <c r="E142" s="13"/>
      <c r="F142" s="13"/>
    </row>
    <row r="143" spans="1:6" x14ac:dyDescent="0.2">
      <c r="A143" s="13"/>
      <c r="B143" s="13"/>
      <c r="C143" s="13"/>
      <c r="D143" s="13"/>
      <c r="E143" s="13"/>
      <c r="F143" s="13"/>
    </row>
    <row r="144" spans="1:6" x14ac:dyDescent="0.2">
      <c r="A144" s="13"/>
      <c r="B144" s="13"/>
      <c r="C144" s="13"/>
      <c r="D144" s="13"/>
      <c r="E144" s="13"/>
      <c r="F144" s="13"/>
    </row>
    <row r="145" spans="1:7" x14ac:dyDescent="0.2">
      <c r="A145" s="13"/>
      <c r="B145" s="13"/>
      <c r="C145" s="13"/>
      <c r="D145" s="13"/>
      <c r="E145" s="13"/>
      <c r="F145" s="13"/>
    </row>
    <row r="146" spans="1:7" x14ac:dyDescent="0.2">
      <c r="A146" s="13"/>
      <c r="B146" s="13"/>
      <c r="C146" s="13"/>
      <c r="D146" s="13"/>
      <c r="E146" s="13"/>
      <c r="F146" s="13"/>
    </row>
    <row r="147" spans="1:7" x14ac:dyDescent="0.2">
      <c r="A147" s="13"/>
      <c r="B147" s="13"/>
      <c r="C147" s="13"/>
      <c r="D147" s="13"/>
      <c r="E147" s="13"/>
      <c r="F147" s="13"/>
    </row>
    <row r="148" spans="1:7" x14ac:dyDescent="0.2">
      <c r="A148" s="13"/>
      <c r="B148" s="13"/>
      <c r="C148" s="13"/>
      <c r="D148" s="13"/>
      <c r="E148" s="13"/>
      <c r="F148" s="13"/>
    </row>
    <row r="149" spans="1:7" x14ac:dyDescent="0.2">
      <c r="A149" s="13"/>
      <c r="B149" s="13"/>
      <c r="C149" s="13"/>
      <c r="D149" s="13"/>
      <c r="E149" s="13"/>
      <c r="F149" s="13"/>
    </row>
    <row r="150" spans="1:7" x14ac:dyDescent="0.2">
      <c r="A150" s="13"/>
      <c r="B150" s="13"/>
      <c r="C150" s="13"/>
      <c r="D150" s="13"/>
      <c r="E150" s="13"/>
      <c r="F150" s="13"/>
    </row>
    <row r="151" spans="1:7" x14ac:dyDescent="0.2">
      <c r="A151" s="13"/>
      <c r="B151" s="13"/>
      <c r="C151" s="13"/>
      <c r="D151" s="13"/>
      <c r="E151" s="13"/>
      <c r="F151" s="13"/>
    </row>
    <row r="152" spans="1:7" x14ac:dyDescent="0.2">
      <c r="A152" s="13"/>
      <c r="B152" s="13"/>
      <c r="C152" s="13"/>
      <c r="D152" s="13"/>
      <c r="E152" s="13"/>
      <c r="F152" s="13"/>
    </row>
    <row r="153" spans="1:7" x14ac:dyDescent="0.2">
      <c r="A153" s="13"/>
      <c r="B153" s="13"/>
      <c r="C153" s="13"/>
      <c r="D153" s="13"/>
      <c r="E153" s="13"/>
      <c r="F153" s="13"/>
    </row>
    <row r="154" spans="1:7" x14ac:dyDescent="0.2">
      <c r="A154" s="13"/>
      <c r="B154" s="13"/>
      <c r="C154" s="13"/>
      <c r="D154" s="13"/>
      <c r="E154" s="13"/>
      <c r="F154" s="13"/>
    </row>
    <row r="155" spans="1:7" x14ac:dyDescent="0.2">
      <c r="A155" s="13"/>
      <c r="B155" s="13"/>
      <c r="C155" s="13"/>
      <c r="D155" s="13"/>
      <c r="E155" s="13"/>
      <c r="F155" s="13"/>
    </row>
    <row r="156" spans="1:7" x14ac:dyDescent="0.2">
      <c r="A156" s="13"/>
      <c r="B156" s="13"/>
      <c r="C156" s="13"/>
      <c r="D156" s="13"/>
      <c r="E156" s="13"/>
      <c r="F156" s="13"/>
    </row>
    <row r="157" spans="1:7" x14ac:dyDescent="0.2">
      <c r="A157" s="13"/>
      <c r="B157" s="13"/>
      <c r="C157" s="13"/>
      <c r="D157" s="13"/>
      <c r="E157" s="13"/>
      <c r="F157" s="13"/>
    </row>
    <row r="158" spans="1:7" x14ac:dyDescent="0.2">
      <c r="A158" s="13"/>
      <c r="B158" s="13"/>
      <c r="C158" s="13"/>
      <c r="D158" s="13"/>
      <c r="E158" s="13"/>
      <c r="G158" s="13"/>
    </row>
    <row r="159" spans="1:7" x14ac:dyDescent="0.2">
      <c r="A159" s="13"/>
      <c r="B159" s="13"/>
      <c r="C159" s="13"/>
      <c r="D159" s="13"/>
      <c r="E159" s="13"/>
      <c r="F159" s="13"/>
    </row>
    <row r="160" spans="1:7" x14ac:dyDescent="0.2">
      <c r="A160" s="13"/>
      <c r="B160" s="13"/>
      <c r="C160" s="13"/>
      <c r="D160" s="13"/>
      <c r="E160" s="13"/>
      <c r="F160" s="13"/>
    </row>
    <row r="161" spans="1:7" x14ac:dyDescent="0.2">
      <c r="A161" s="13"/>
      <c r="B161" s="13"/>
      <c r="C161" s="13"/>
      <c r="D161" s="13"/>
      <c r="E161" s="13"/>
      <c r="F161" s="13"/>
    </row>
    <row r="162" spans="1:7" x14ac:dyDescent="0.2">
      <c r="A162" s="13"/>
      <c r="B162" s="13"/>
      <c r="C162" s="13"/>
      <c r="D162" s="13"/>
      <c r="E162" s="13"/>
      <c r="F162" s="13"/>
    </row>
    <row r="163" spans="1:7" x14ac:dyDescent="0.2">
      <c r="A163" s="13"/>
      <c r="B163" s="13"/>
      <c r="C163" s="13"/>
      <c r="D163" s="13"/>
      <c r="E163" s="13"/>
      <c r="F163" s="13"/>
    </row>
    <row r="164" spans="1:7" x14ac:dyDescent="0.2">
      <c r="A164" s="13"/>
      <c r="B164" s="13"/>
      <c r="C164" s="13"/>
      <c r="D164" s="13"/>
      <c r="E164" s="13"/>
      <c r="F164" s="13"/>
    </row>
    <row r="165" spans="1:7" x14ac:dyDescent="0.2">
      <c r="A165" s="13"/>
      <c r="B165" s="13"/>
      <c r="C165" s="13"/>
      <c r="D165" s="13"/>
      <c r="E165" s="13"/>
      <c r="F165" s="13"/>
    </row>
    <row r="166" spans="1:7" x14ac:dyDescent="0.2">
      <c r="A166" s="13"/>
      <c r="B166" s="13"/>
      <c r="C166" s="13"/>
      <c r="D166" s="13"/>
      <c r="E166" s="13"/>
      <c r="F166" s="13"/>
    </row>
    <row r="167" spans="1:7" x14ac:dyDescent="0.2">
      <c r="A167" s="13"/>
      <c r="B167" s="13"/>
      <c r="C167" s="13"/>
      <c r="D167" s="13"/>
      <c r="E167" s="13"/>
      <c r="F167" s="13"/>
    </row>
    <row r="168" spans="1:7" x14ac:dyDescent="0.2">
      <c r="A168" s="13"/>
      <c r="B168" s="13"/>
      <c r="C168" s="13"/>
      <c r="D168" s="13"/>
      <c r="E168" s="13"/>
      <c r="F168" s="13"/>
    </row>
    <row r="169" spans="1:7" x14ac:dyDescent="0.2">
      <c r="A169" s="13"/>
      <c r="B169" s="13"/>
      <c r="C169" s="13"/>
      <c r="D169" s="13"/>
      <c r="E169" s="13"/>
      <c r="F169" s="13"/>
    </row>
    <row r="170" spans="1:7" x14ac:dyDescent="0.2">
      <c r="A170" s="13"/>
      <c r="B170" s="13"/>
      <c r="C170" s="13"/>
      <c r="D170" s="13"/>
      <c r="E170" s="13"/>
      <c r="F170" s="13"/>
    </row>
    <row r="171" spans="1:7" x14ac:dyDescent="0.2">
      <c r="A171" s="13"/>
      <c r="B171" s="13"/>
      <c r="C171" s="13"/>
      <c r="D171" s="13"/>
      <c r="E171" s="13"/>
      <c r="G171" s="13"/>
    </row>
    <row r="172" spans="1:7" x14ac:dyDescent="0.2">
      <c r="A172" s="13"/>
      <c r="B172" s="13"/>
      <c r="C172" s="13"/>
      <c r="D172" s="13"/>
      <c r="E172" s="13"/>
      <c r="F172" s="13"/>
    </row>
    <row r="173" spans="1:7" x14ac:dyDescent="0.2">
      <c r="A173" s="13"/>
      <c r="B173" s="13"/>
      <c r="C173" s="13"/>
      <c r="D173" s="13"/>
      <c r="E173" s="13"/>
      <c r="G173" s="13"/>
    </row>
    <row r="174" spans="1:7" x14ac:dyDescent="0.2">
      <c r="A174" s="13"/>
      <c r="B174" s="13"/>
      <c r="C174" s="13"/>
      <c r="D174" s="13"/>
      <c r="E174" s="13"/>
      <c r="G174" s="13"/>
    </row>
    <row r="175" spans="1:7" x14ac:dyDescent="0.2">
      <c r="A175" s="13"/>
      <c r="B175" s="13"/>
      <c r="C175" s="13"/>
      <c r="D175" s="13"/>
      <c r="E175" s="13"/>
      <c r="F175" s="13"/>
    </row>
    <row r="176" spans="1:7" x14ac:dyDescent="0.2">
      <c r="A176" s="13"/>
      <c r="B176" s="13"/>
      <c r="C176" s="13"/>
      <c r="D176" s="13"/>
      <c r="E176" s="13"/>
      <c r="G176" s="13"/>
    </row>
    <row r="177" spans="1:6" x14ac:dyDescent="0.2">
      <c r="A177" s="13"/>
      <c r="B177" s="13"/>
      <c r="C177" s="13"/>
      <c r="D177" s="13"/>
      <c r="E177" s="13"/>
      <c r="F177" s="13"/>
    </row>
    <row r="178" spans="1:6" x14ac:dyDescent="0.2">
      <c r="A178" s="13"/>
      <c r="B178" s="13"/>
      <c r="C178" s="13"/>
      <c r="D178" s="13"/>
      <c r="E178" s="13"/>
      <c r="F178" s="13"/>
    </row>
    <row r="179" spans="1:6" x14ac:dyDescent="0.2">
      <c r="A179" s="13"/>
      <c r="B179" s="13"/>
      <c r="C179" s="13"/>
      <c r="D179" s="13"/>
      <c r="E179" s="13"/>
      <c r="F179" s="13"/>
    </row>
    <row r="180" spans="1:6" x14ac:dyDescent="0.2">
      <c r="A180" s="13"/>
      <c r="B180" s="13"/>
      <c r="C180" s="13"/>
      <c r="D180" s="13"/>
      <c r="E180" s="13"/>
      <c r="F180" s="13"/>
    </row>
    <row r="181" spans="1:6" x14ac:dyDescent="0.2">
      <c r="A181" s="13"/>
      <c r="B181" s="13"/>
      <c r="C181" s="13"/>
      <c r="D181" s="13"/>
      <c r="E181" s="13"/>
      <c r="F181" s="13"/>
    </row>
    <row r="182" spans="1:6" x14ac:dyDescent="0.2">
      <c r="A182" s="13"/>
      <c r="B182" s="13"/>
      <c r="C182" s="13"/>
      <c r="D182" s="13"/>
      <c r="E182" s="13"/>
      <c r="F182" s="13"/>
    </row>
    <row r="183" spans="1:6" x14ac:dyDescent="0.2">
      <c r="A183" s="13"/>
      <c r="B183" s="13"/>
      <c r="C183" s="13"/>
      <c r="D183" s="13"/>
      <c r="E183" s="13"/>
      <c r="F183" s="13"/>
    </row>
    <row r="184" spans="1:6" x14ac:dyDescent="0.2">
      <c r="A184" s="13"/>
      <c r="B184" s="13"/>
      <c r="C184" s="13"/>
      <c r="D184" s="13"/>
      <c r="E184" s="13"/>
      <c r="F184" s="13"/>
    </row>
    <row r="185" spans="1:6" x14ac:dyDescent="0.2">
      <c r="A185" s="13"/>
      <c r="B185" s="13"/>
      <c r="C185" s="13"/>
      <c r="D185" s="13"/>
      <c r="E185" s="13"/>
      <c r="F185" s="13"/>
    </row>
    <row r="186" spans="1:6" x14ac:dyDescent="0.2">
      <c r="A186" s="13"/>
      <c r="B186" s="13"/>
      <c r="C186" s="13"/>
      <c r="D186" s="13"/>
      <c r="E186" s="13"/>
      <c r="F186" s="13"/>
    </row>
    <row r="187" spans="1:6" x14ac:dyDescent="0.2">
      <c r="A187" s="13"/>
      <c r="B187" s="13"/>
      <c r="C187" s="13"/>
      <c r="D187" s="13"/>
      <c r="E187" s="13"/>
      <c r="F187" s="13"/>
    </row>
    <row r="188" spans="1:6" x14ac:dyDescent="0.2">
      <c r="A188" s="13"/>
      <c r="B188" s="13"/>
      <c r="C188" s="13"/>
      <c r="D188" s="13"/>
      <c r="E188" s="13"/>
      <c r="F188" s="13"/>
    </row>
    <row r="189" spans="1:6" x14ac:dyDescent="0.2">
      <c r="A189" s="13"/>
      <c r="B189" s="13"/>
      <c r="C189" s="13"/>
      <c r="D189" s="13"/>
      <c r="E189" s="13"/>
      <c r="F189" s="13"/>
    </row>
    <row r="190" spans="1:6" x14ac:dyDescent="0.2">
      <c r="A190" s="13"/>
      <c r="B190" s="13"/>
      <c r="C190" s="13"/>
      <c r="D190" s="13"/>
      <c r="E190" s="13"/>
      <c r="F190" s="13"/>
    </row>
    <row r="191" spans="1:6" x14ac:dyDescent="0.2">
      <c r="A191" s="13"/>
      <c r="B191" s="13"/>
      <c r="C191" s="13"/>
      <c r="D191" s="13"/>
      <c r="E191" s="13"/>
      <c r="F191" s="13"/>
    </row>
    <row r="192" spans="1:6" x14ac:dyDescent="0.2">
      <c r="A192" s="13"/>
      <c r="B192" s="13"/>
      <c r="C192" s="13"/>
      <c r="D192" s="13"/>
      <c r="E192" s="13"/>
      <c r="F192" s="13"/>
    </row>
    <row r="193" spans="1:7" x14ac:dyDescent="0.2">
      <c r="A193" s="13"/>
      <c r="B193" s="13"/>
      <c r="C193" s="13"/>
      <c r="D193" s="13"/>
      <c r="E193" s="13"/>
      <c r="F193" s="13"/>
    </row>
    <row r="194" spans="1:7" x14ac:dyDescent="0.2">
      <c r="A194" s="13"/>
      <c r="B194" s="13"/>
      <c r="C194" s="13"/>
      <c r="D194" s="13"/>
      <c r="E194" s="13"/>
      <c r="G194" s="13"/>
    </row>
    <row r="195" spans="1:7" x14ac:dyDescent="0.2">
      <c r="A195" s="13"/>
      <c r="B195" s="13"/>
    </row>
    <row r="196" spans="1:7" x14ac:dyDescent="0.2">
      <c r="A196" s="13"/>
    </row>
    <row r="197" spans="1:7" x14ac:dyDescent="0.2">
      <c r="A197" s="13"/>
    </row>
    <row r="198" spans="1:7" x14ac:dyDescent="0.2">
      <c r="A198" s="13"/>
      <c r="B198" s="13"/>
      <c r="C198" s="13"/>
      <c r="D198" s="13"/>
      <c r="E198" s="13"/>
      <c r="F198" s="13"/>
    </row>
    <row r="199" spans="1:7" x14ac:dyDescent="0.2">
      <c r="A199" s="13"/>
      <c r="B199" s="13"/>
      <c r="C199" s="13"/>
      <c r="D199" s="13"/>
      <c r="E199" s="13"/>
      <c r="F199" s="13"/>
    </row>
    <row r="200" spans="1:7" x14ac:dyDescent="0.2">
      <c r="A200" s="13"/>
      <c r="B200" s="13"/>
      <c r="C200" s="13"/>
      <c r="D200" s="13"/>
      <c r="E200" s="13"/>
      <c r="F200" s="13"/>
    </row>
    <row r="201" spans="1:7" x14ac:dyDescent="0.2">
      <c r="A201" s="13"/>
      <c r="B201" s="13"/>
      <c r="C201" s="13"/>
      <c r="D201" s="13"/>
      <c r="E201" s="13"/>
      <c r="F201" s="13"/>
    </row>
    <row r="202" spans="1:7" x14ac:dyDescent="0.2">
      <c r="A202" s="13"/>
      <c r="B202" s="13"/>
      <c r="C202" s="13"/>
      <c r="D202" s="13"/>
      <c r="E202" s="13"/>
      <c r="F202" s="13"/>
    </row>
    <row r="203" spans="1:7" x14ac:dyDescent="0.2">
      <c r="A203" s="13"/>
      <c r="B203" s="13"/>
      <c r="C203" s="13"/>
      <c r="D203" s="13"/>
      <c r="E203" s="13"/>
      <c r="F203" s="13"/>
    </row>
    <row r="204" spans="1:7" x14ac:dyDescent="0.2">
      <c r="A204" s="13"/>
      <c r="B204" s="13"/>
      <c r="C204" s="13"/>
      <c r="D204" s="13"/>
      <c r="E204" s="13"/>
      <c r="F204" s="13"/>
    </row>
    <row r="205" spans="1:7" x14ac:dyDescent="0.2">
      <c r="A205" s="13"/>
      <c r="B205" s="13"/>
      <c r="C205" s="13"/>
      <c r="D205" s="13"/>
      <c r="E205" s="13"/>
      <c r="F205" s="13"/>
    </row>
    <row r="206" spans="1:7" x14ac:dyDescent="0.2">
      <c r="A206" s="13"/>
      <c r="B206" s="13"/>
      <c r="C206" s="13"/>
      <c r="D206" s="13"/>
      <c r="E206" s="13"/>
      <c r="F206" s="13"/>
    </row>
    <row r="207" spans="1:7" x14ac:dyDescent="0.2">
      <c r="A207" s="13"/>
      <c r="B207" s="13"/>
      <c r="C207" s="13"/>
      <c r="D207" s="13"/>
      <c r="E207" s="13"/>
      <c r="F207" s="13"/>
    </row>
    <row r="208" spans="1:7" x14ac:dyDescent="0.2">
      <c r="A208" s="13"/>
      <c r="B208" s="13"/>
      <c r="C208" s="13"/>
      <c r="D208" s="13"/>
      <c r="E208" s="13"/>
      <c r="F208" s="13"/>
    </row>
    <row r="209" spans="1:6" x14ac:dyDescent="0.2">
      <c r="A209" s="13"/>
      <c r="B209" s="13"/>
      <c r="C209" s="13"/>
      <c r="D209" s="13"/>
      <c r="E209" s="13"/>
      <c r="F209" s="13"/>
    </row>
    <row r="210" spans="1:6" x14ac:dyDescent="0.2">
      <c r="A210" s="13"/>
      <c r="B210" s="13"/>
      <c r="C210" s="13"/>
      <c r="D210" s="13"/>
      <c r="E210" s="13"/>
      <c r="F210" s="13"/>
    </row>
    <row r="211" spans="1:6" x14ac:dyDescent="0.2">
      <c r="A211" s="13"/>
      <c r="B211" s="13"/>
      <c r="C211" s="13"/>
      <c r="D211" s="13"/>
      <c r="E211" s="13"/>
      <c r="F211" s="13"/>
    </row>
    <row r="212" spans="1:6" x14ac:dyDescent="0.2">
      <c r="A212" s="13"/>
      <c r="B212" s="13"/>
      <c r="C212" s="13"/>
      <c r="D212" s="13"/>
      <c r="E212" s="13"/>
      <c r="F212" s="13"/>
    </row>
    <row r="213" spans="1:6" x14ac:dyDescent="0.2">
      <c r="A213" s="13"/>
      <c r="B213" s="13"/>
      <c r="C213" s="13"/>
      <c r="D213" s="13"/>
      <c r="E213" s="13"/>
      <c r="F213" s="13"/>
    </row>
    <row r="214" spans="1:6" x14ac:dyDescent="0.2">
      <c r="A214" s="13"/>
      <c r="B214" s="13"/>
      <c r="C214" s="13"/>
      <c r="D214" s="13"/>
      <c r="E214" s="13"/>
      <c r="F214" s="13"/>
    </row>
    <row r="215" spans="1:6" x14ac:dyDescent="0.2">
      <c r="A215" s="13"/>
      <c r="B215" s="13"/>
      <c r="C215" s="13"/>
      <c r="D215" s="13"/>
      <c r="E215" s="13"/>
      <c r="F215" s="13"/>
    </row>
    <row r="216" spans="1:6" x14ac:dyDescent="0.2">
      <c r="A216" s="13"/>
      <c r="B216" s="13"/>
      <c r="C216" s="13"/>
      <c r="D216" s="13"/>
      <c r="E216" s="13"/>
      <c r="F216" s="13"/>
    </row>
    <row r="217" spans="1:6" x14ac:dyDescent="0.2">
      <c r="A217" s="13"/>
      <c r="B217" s="13"/>
      <c r="C217" s="13"/>
      <c r="D217" s="13"/>
      <c r="E217" s="13"/>
      <c r="F217" s="13"/>
    </row>
    <row r="218" spans="1:6" x14ac:dyDescent="0.2">
      <c r="A218" s="13"/>
      <c r="B218" s="13"/>
      <c r="C218" s="13"/>
      <c r="D218" s="13"/>
      <c r="E218" s="13"/>
      <c r="F218" s="13"/>
    </row>
    <row r="219" spans="1:6" x14ac:dyDescent="0.2">
      <c r="A219" s="13"/>
      <c r="B219" s="13"/>
      <c r="C219" s="13"/>
      <c r="D219" s="13"/>
      <c r="E219" s="13"/>
      <c r="F219" s="13"/>
    </row>
    <row r="220" spans="1:6" x14ac:dyDescent="0.2">
      <c r="A220" s="13"/>
      <c r="B220" s="13"/>
      <c r="C220" s="13"/>
      <c r="D220" s="13"/>
      <c r="E220" s="13"/>
      <c r="F220" s="13"/>
    </row>
    <row r="221" spans="1:6" x14ac:dyDescent="0.2">
      <c r="A221" s="13"/>
      <c r="B221" s="13"/>
      <c r="C221" s="13"/>
      <c r="D221" s="13"/>
      <c r="E221" s="13"/>
      <c r="F221" s="13"/>
    </row>
    <row r="222" spans="1:6" x14ac:dyDescent="0.2">
      <c r="A222" s="13"/>
      <c r="B222" s="13"/>
      <c r="C222" s="13"/>
      <c r="D222" s="13"/>
      <c r="E222" s="13"/>
      <c r="F222" s="13"/>
    </row>
    <row r="223" spans="1:6" x14ac:dyDescent="0.2">
      <c r="A223" s="13"/>
      <c r="B223" s="13"/>
      <c r="C223" s="13"/>
      <c r="D223" s="13"/>
      <c r="E223" s="13"/>
      <c r="F223" s="13"/>
    </row>
    <row r="224" spans="1:6" x14ac:dyDescent="0.2">
      <c r="A224" s="13"/>
      <c r="B224" s="13"/>
      <c r="C224" s="13"/>
      <c r="D224" s="13"/>
      <c r="E224" s="13"/>
      <c r="F224" s="13"/>
    </row>
    <row r="225" spans="1:6" x14ac:dyDescent="0.2">
      <c r="A225" s="13"/>
      <c r="B225" s="13"/>
      <c r="C225" s="13"/>
      <c r="D225" s="13"/>
      <c r="E225" s="13"/>
      <c r="F225" s="13"/>
    </row>
    <row r="226" spans="1:6" x14ac:dyDescent="0.2">
      <c r="A226" s="13"/>
      <c r="B226" s="13"/>
      <c r="C226" s="13"/>
      <c r="D226" s="13"/>
      <c r="E226" s="13"/>
      <c r="F226" s="13"/>
    </row>
    <row r="227" spans="1:6" x14ac:dyDescent="0.2">
      <c r="A227" s="13"/>
      <c r="B227" s="13"/>
      <c r="C227" s="13"/>
      <c r="D227" s="13"/>
      <c r="E227" s="13"/>
      <c r="F227" s="13"/>
    </row>
    <row r="228" spans="1:6" x14ac:dyDescent="0.2">
      <c r="A228" s="13"/>
      <c r="B228" s="13"/>
      <c r="C228" s="13"/>
      <c r="D228" s="13"/>
      <c r="E228" s="13"/>
      <c r="F228" s="13"/>
    </row>
    <row r="229" spans="1:6" x14ac:dyDescent="0.2">
      <c r="A229" s="13"/>
      <c r="B229" s="13"/>
      <c r="C229" s="13"/>
      <c r="D229" s="13"/>
      <c r="E229" s="13"/>
      <c r="F229" s="13"/>
    </row>
    <row r="230" spans="1:6" x14ac:dyDescent="0.2">
      <c r="A230" s="13"/>
      <c r="B230" s="13"/>
      <c r="C230" s="13"/>
      <c r="D230" s="13"/>
      <c r="E230" s="13"/>
      <c r="F230" s="13"/>
    </row>
    <row r="231" spans="1:6" x14ac:dyDescent="0.2">
      <c r="A231" s="13"/>
      <c r="B231" s="13"/>
      <c r="C231" s="13"/>
      <c r="D231" s="13"/>
      <c r="E231" s="13"/>
      <c r="F231" s="13"/>
    </row>
    <row r="232" spans="1:6" x14ac:dyDescent="0.2">
      <c r="A232" s="13"/>
      <c r="B232" s="13"/>
      <c r="C232" s="13"/>
      <c r="D232" s="13"/>
      <c r="E232" s="13"/>
      <c r="F232" s="13"/>
    </row>
    <row r="233" spans="1:6" x14ac:dyDescent="0.2">
      <c r="A233" s="13"/>
      <c r="B233" s="13"/>
      <c r="C233" s="13"/>
      <c r="D233" s="13"/>
      <c r="E233" s="13"/>
      <c r="F233" s="13"/>
    </row>
    <row r="234" spans="1:6" x14ac:dyDescent="0.2">
      <c r="A234" s="13"/>
      <c r="B234" s="13"/>
      <c r="C234" s="13"/>
      <c r="D234" s="13"/>
      <c r="E234" s="13"/>
      <c r="F234" s="13"/>
    </row>
    <row r="235" spans="1:6" x14ac:dyDescent="0.2">
      <c r="A235" s="13"/>
      <c r="B235" s="13"/>
      <c r="C235" s="13"/>
      <c r="D235" s="13"/>
      <c r="E235" s="13"/>
      <c r="F235" s="13"/>
    </row>
    <row r="236" spans="1:6" x14ac:dyDescent="0.2">
      <c r="A236" s="13"/>
      <c r="B236" s="13"/>
      <c r="C236" s="13"/>
      <c r="D236" s="13"/>
      <c r="E236" s="13"/>
      <c r="F236" s="13"/>
    </row>
    <row r="237" spans="1:6" x14ac:dyDescent="0.2">
      <c r="A237" s="13"/>
      <c r="B237" s="13"/>
      <c r="C237" s="13"/>
      <c r="D237" s="13"/>
      <c r="E237" s="13"/>
      <c r="F237" s="13"/>
    </row>
    <row r="238" spans="1:6" x14ac:dyDescent="0.2">
      <c r="A238" s="13"/>
      <c r="B238" s="13"/>
      <c r="C238" s="13"/>
      <c r="D238" s="13"/>
      <c r="E238" s="13"/>
      <c r="F238" s="13"/>
    </row>
    <row r="239" spans="1:6" x14ac:dyDescent="0.2">
      <c r="A239" s="13"/>
      <c r="B239" s="13"/>
      <c r="C239" s="13"/>
      <c r="D239" s="13"/>
      <c r="E239" s="13"/>
      <c r="F239" s="13"/>
    </row>
    <row r="240" spans="1:6" x14ac:dyDescent="0.2">
      <c r="A240" s="13"/>
      <c r="B240" s="13"/>
      <c r="C240" s="13"/>
      <c r="D240" s="13"/>
      <c r="E240" s="13"/>
      <c r="F240" s="13"/>
    </row>
    <row r="241" spans="1:7" x14ac:dyDescent="0.2">
      <c r="A241" s="13"/>
      <c r="B241" s="13"/>
      <c r="C241" s="13"/>
      <c r="D241" s="13"/>
      <c r="E241" s="13"/>
      <c r="F241" s="13"/>
    </row>
    <row r="242" spans="1:7" x14ac:dyDescent="0.2">
      <c r="A242" s="13"/>
      <c r="B242" s="13"/>
      <c r="C242" s="13"/>
      <c r="D242" s="13"/>
      <c r="E242" s="13"/>
      <c r="F242" s="13"/>
    </row>
    <row r="243" spans="1:7" x14ac:dyDescent="0.2">
      <c r="A243" s="13"/>
      <c r="B243" s="13"/>
      <c r="C243" s="13"/>
      <c r="D243" s="13"/>
      <c r="E243" s="13"/>
      <c r="F243" s="13"/>
    </row>
    <row r="244" spans="1:7" x14ac:dyDescent="0.2">
      <c r="A244" s="13"/>
      <c r="B244" s="13"/>
      <c r="C244" s="13"/>
      <c r="D244" s="13"/>
      <c r="E244" s="13"/>
      <c r="F244" s="13"/>
    </row>
    <row r="245" spans="1:7" x14ac:dyDescent="0.2">
      <c r="A245" s="13"/>
      <c r="B245" s="13"/>
      <c r="C245" s="13"/>
      <c r="D245" s="13"/>
      <c r="E245" s="13"/>
      <c r="G245" s="13"/>
    </row>
    <row r="246" spans="1:7" x14ac:dyDescent="0.2">
      <c r="A246" s="13"/>
      <c r="B246" s="13"/>
      <c r="C246" s="13"/>
      <c r="D246" s="13"/>
      <c r="E246" s="13"/>
      <c r="F246" s="13"/>
    </row>
    <row r="247" spans="1:7" x14ac:dyDescent="0.2">
      <c r="A247" s="13"/>
      <c r="B247" s="13"/>
      <c r="C247" s="13"/>
      <c r="D247" s="13"/>
      <c r="E247" s="13"/>
      <c r="F247" s="13"/>
    </row>
    <row r="248" spans="1:7" x14ac:dyDescent="0.2">
      <c r="A248" s="13"/>
      <c r="B248" s="13"/>
      <c r="C248" s="13"/>
      <c r="D248" s="13"/>
      <c r="E248" s="13"/>
      <c r="F248" s="13"/>
    </row>
    <row r="249" spans="1:7" x14ac:dyDescent="0.2">
      <c r="A249" s="13"/>
      <c r="B249" s="13"/>
      <c r="C249" s="13"/>
      <c r="D249" s="13"/>
      <c r="E249" s="13"/>
      <c r="F249" s="13"/>
    </row>
    <row r="250" spans="1:7" x14ac:dyDescent="0.2">
      <c r="A250" s="13"/>
      <c r="B250" s="13"/>
      <c r="C250" s="13"/>
      <c r="D250" s="13"/>
      <c r="E250" s="13"/>
      <c r="F250" s="13"/>
    </row>
    <row r="251" spans="1:7" x14ac:dyDescent="0.2">
      <c r="A251" s="13"/>
      <c r="B251" s="13"/>
      <c r="C251" s="13"/>
      <c r="D251" s="13"/>
      <c r="E251" s="13"/>
      <c r="F251" s="13"/>
    </row>
    <row r="252" spans="1:7" x14ac:dyDescent="0.2">
      <c r="A252" s="13"/>
      <c r="B252" s="13"/>
      <c r="C252" s="13"/>
      <c r="D252" s="13"/>
      <c r="E252" s="13"/>
      <c r="F252" s="13"/>
    </row>
    <row r="253" spans="1:7" x14ac:dyDescent="0.2">
      <c r="A253" s="13"/>
      <c r="B253" s="13"/>
      <c r="C253" s="13"/>
      <c r="D253" s="13"/>
      <c r="E253" s="13"/>
      <c r="F253" s="13"/>
    </row>
    <row r="254" spans="1:7" x14ac:dyDescent="0.2">
      <c r="A254" s="13"/>
      <c r="B254" s="13"/>
      <c r="C254" s="13"/>
      <c r="D254" s="13"/>
      <c r="E254" s="13"/>
      <c r="F254" s="13"/>
    </row>
    <row r="255" spans="1:7" x14ac:dyDescent="0.2">
      <c r="A255" s="13"/>
      <c r="B255" s="13"/>
      <c r="C255" s="13"/>
      <c r="D255" s="13"/>
      <c r="E255" s="13"/>
      <c r="F255" s="13"/>
    </row>
    <row r="256" spans="1:7" x14ac:dyDescent="0.2">
      <c r="A256" s="13"/>
      <c r="B256" s="13"/>
      <c r="C256" s="13"/>
      <c r="D256" s="13"/>
      <c r="E256" s="13"/>
      <c r="F256" s="13"/>
    </row>
    <row r="257" spans="1:6" x14ac:dyDescent="0.2">
      <c r="A257" s="13"/>
      <c r="B257" s="13"/>
      <c r="C257" s="13"/>
      <c r="D257" s="13"/>
      <c r="E257" s="13"/>
      <c r="F257" s="13"/>
    </row>
    <row r="258" spans="1:6" x14ac:dyDescent="0.2">
      <c r="A258" s="13"/>
      <c r="B258" s="13"/>
      <c r="C258" s="13"/>
      <c r="D258" s="13"/>
      <c r="E258" s="13"/>
      <c r="F258" s="13"/>
    </row>
    <row r="259" spans="1:6" x14ac:dyDescent="0.2">
      <c r="A259" s="13"/>
      <c r="B259" s="13"/>
      <c r="C259" s="13"/>
      <c r="D259" s="13"/>
      <c r="E259" s="13"/>
      <c r="F259" s="13"/>
    </row>
    <row r="260" spans="1:6" x14ac:dyDescent="0.2">
      <c r="A260" s="13"/>
      <c r="B260" s="13"/>
      <c r="C260" s="13"/>
      <c r="D260" s="13"/>
      <c r="E260" s="13"/>
      <c r="F260" s="13"/>
    </row>
    <row r="261" spans="1:6" x14ac:dyDescent="0.2">
      <c r="A261" s="13"/>
      <c r="B261" s="13"/>
      <c r="C261" s="13"/>
      <c r="D261" s="13"/>
      <c r="E261" s="13"/>
      <c r="F261" s="13"/>
    </row>
    <row r="262" spans="1:6" x14ac:dyDescent="0.2">
      <c r="A262" s="13"/>
      <c r="B262" s="13"/>
      <c r="C262" s="13"/>
      <c r="D262" s="13"/>
      <c r="E262" s="13"/>
      <c r="F262" s="13"/>
    </row>
    <row r="263" spans="1:6" x14ac:dyDescent="0.2">
      <c r="A263" s="13"/>
      <c r="B263" s="13"/>
    </row>
    <row r="264" spans="1:6" x14ac:dyDescent="0.2">
      <c r="A264" s="13"/>
    </row>
    <row r="265" spans="1:6" x14ac:dyDescent="0.2">
      <c r="A265" s="13"/>
    </row>
    <row r="266" spans="1:6" x14ac:dyDescent="0.2">
      <c r="A266" s="13"/>
      <c r="B266" s="13"/>
      <c r="D266" s="13"/>
      <c r="E266" s="13"/>
      <c r="F266" s="13"/>
    </row>
    <row r="267" spans="1:6" x14ac:dyDescent="0.2">
      <c r="A267" s="13"/>
      <c r="B267" s="13"/>
    </row>
    <row r="268" spans="1:6" x14ac:dyDescent="0.2">
      <c r="A268" s="13"/>
    </row>
    <row r="269" spans="1:6" x14ac:dyDescent="0.2">
      <c r="A269" s="13"/>
    </row>
    <row r="270" spans="1:6" x14ac:dyDescent="0.2">
      <c r="A270" s="13"/>
      <c r="B270" s="13"/>
      <c r="D270" s="13"/>
      <c r="E270" s="13"/>
      <c r="F270" s="13"/>
    </row>
    <row r="271" spans="1:6" x14ac:dyDescent="0.2">
      <c r="A271" s="13"/>
      <c r="B271" s="13"/>
    </row>
    <row r="272" spans="1:6" x14ac:dyDescent="0.2">
      <c r="A272" s="13"/>
    </row>
    <row r="273" spans="1:7" x14ac:dyDescent="0.2">
      <c r="A273" s="13"/>
    </row>
    <row r="274" spans="1:7" x14ac:dyDescent="0.2">
      <c r="A274" s="13"/>
      <c r="B274" s="13"/>
      <c r="D274" s="13"/>
      <c r="E274" s="13"/>
      <c r="G274" s="13"/>
    </row>
    <row r="275" spans="1:7" x14ac:dyDescent="0.2">
      <c r="A275" s="13"/>
    </row>
    <row r="276" spans="1:7" x14ac:dyDescent="0.2">
      <c r="A276" s="13"/>
    </row>
    <row r="277" spans="1:7" x14ac:dyDescent="0.2">
      <c r="A277" s="13"/>
    </row>
    <row r="278" spans="1:7" x14ac:dyDescent="0.2">
      <c r="A278" s="13"/>
      <c r="B278" s="13"/>
      <c r="D278" s="13"/>
      <c r="E278" s="13"/>
      <c r="G278" s="13"/>
    </row>
    <row r="279" spans="1:7" x14ac:dyDescent="0.2">
      <c r="A279" s="13"/>
      <c r="B279" s="13"/>
      <c r="D279" s="13"/>
      <c r="E279" s="13"/>
      <c r="G279" s="13"/>
    </row>
    <row r="280" spans="1:7" x14ac:dyDescent="0.2">
      <c r="A280" s="13"/>
      <c r="B280" s="13"/>
      <c r="D280" s="13"/>
      <c r="E280" s="13"/>
      <c r="G280" s="13"/>
    </row>
    <row r="281" spans="1:7" x14ac:dyDescent="0.2">
      <c r="A281" s="13"/>
      <c r="B281" s="13"/>
      <c r="D281" s="13"/>
      <c r="E281" s="13"/>
      <c r="G281" s="13"/>
    </row>
    <row r="282" spans="1:7" x14ac:dyDescent="0.2">
      <c r="A282" s="13"/>
      <c r="B282" s="13"/>
      <c r="D282" s="13"/>
      <c r="E282" s="13"/>
      <c r="G282" s="13"/>
    </row>
    <row r="283" spans="1:7" x14ac:dyDescent="0.2">
      <c r="A283" s="13"/>
      <c r="B283" s="13"/>
      <c r="D283" s="13"/>
      <c r="E283" s="13"/>
      <c r="G283" s="13"/>
    </row>
    <row r="284" spans="1:7" x14ac:dyDescent="0.2">
      <c r="A284" s="13"/>
      <c r="B284" s="13"/>
      <c r="D284" s="13"/>
      <c r="E284" s="13"/>
      <c r="G284" s="13"/>
    </row>
    <row r="285" spans="1:7" x14ac:dyDescent="0.2">
      <c r="A285" s="13"/>
      <c r="B285" s="13"/>
      <c r="D285" s="13"/>
      <c r="E285" s="13"/>
      <c r="G285" s="13"/>
    </row>
    <row r="286" spans="1:7" x14ac:dyDescent="0.2">
      <c r="A286" s="13"/>
      <c r="B286" s="13"/>
      <c r="D286" s="13"/>
      <c r="E286" s="13"/>
      <c r="G286" s="13"/>
    </row>
    <row r="287" spans="1:7" x14ac:dyDescent="0.2">
      <c r="A287" s="13"/>
      <c r="B287" s="13"/>
      <c r="D287" s="13"/>
      <c r="E287" s="13"/>
      <c r="G287" s="13"/>
    </row>
    <row r="288" spans="1:7" x14ac:dyDescent="0.2">
      <c r="A288" s="13"/>
      <c r="B288" s="13"/>
      <c r="D288" s="13"/>
      <c r="E288" s="13"/>
      <c r="G288" s="13"/>
    </row>
    <row r="289" spans="1:7" x14ac:dyDescent="0.2">
      <c r="A289" s="13"/>
      <c r="B289" s="13"/>
      <c r="D289" s="13"/>
      <c r="E289" s="13"/>
      <c r="G289" s="13"/>
    </row>
    <row r="290" spans="1:7" x14ac:dyDescent="0.2">
      <c r="A290" s="13"/>
      <c r="B290" s="13"/>
      <c r="D290" s="13"/>
      <c r="E290" s="13"/>
      <c r="G290" s="13"/>
    </row>
    <row r="291" spans="1:7" x14ac:dyDescent="0.2">
      <c r="A291" s="13"/>
      <c r="B291" s="13"/>
      <c r="D291" s="13"/>
      <c r="E291" s="13"/>
      <c r="G291" s="13"/>
    </row>
    <row r="292" spans="1:7" x14ac:dyDescent="0.2">
      <c r="A292" s="13"/>
      <c r="B292" s="13"/>
      <c r="D292" s="13"/>
      <c r="E292" s="13"/>
      <c r="G292" s="13"/>
    </row>
    <row r="293" spans="1:7" x14ac:dyDescent="0.2">
      <c r="A293" s="13"/>
      <c r="B293" s="13"/>
      <c r="D293" s="13"/>
      <c r="E293" s="13"/>
      <c r="G293" s="13"/>
    </row>
    <row r="294" spans="1:7" x14ac:dyDescent="0.2">
      <c r="A294" s="13"/>
      <c r="B294" s="13"/>
      <c r="D294" s="13"/>
      <c r="E294" s="13"/>
      <c r="G294" s="13"/>
    </row>
    <row r="295" spans="1:7" x14ac:dyDescent="0.2">
      <c r="A295" s="13"/>
      <c r="B295" s="13"/>
      <c r="D295" s="13"/>
      <c r="E295" s="13"/>
      <c r="G295" s="13"/>
    </row>
    <row r="296" spans="1:7" x14ac:dyDescent="0.2">
      <c r="A296" s="13"/>
      <c r="B296" s="13"/>
      <c r="D296" s="13"/>
      <c r="E296" s="13"/>
      <c r="G296" s="13"/>
    </row>
    <row r="297" spans="1:7" x14ac:dyDescent="0.2">
      <c r="A297" s="13"/>
      <c r="B297" s="13"/>
      <c r="D297" s="13"/>
      <c r="E297" s="13"/>
      <c r="G297" s="13"/>
    </row>
    <row r="298" spans="1:7" x14ac:dyDescent="0.2">
      <c r="A298" s="13"/>
      <c r="B298" s="13"/>
      <c r="D298" s="13"/>
      <c r="E298" s="13"/>
      <c r="G298" s="13"/>
    </row>
    <row r="299" spans="1:7" x14ac:dyDescent="0.2">
      <c r="A299" s="13"/>
      <c r="B299" s="13"/>
      <c r="D299" s="13"/>
      <c r="E299" s="13"/>
      <c r="G299" s="13"/>
    </row>
    <row r="300" spans="1:7" x14ac:dyDescent="0.2">
      <c r="A300" s="13"/>
      <c r="B300" s="13"/>
      <c r="D300" s="13"/>
      <c r="E300" s="13"/>
      <c r="G300" s="13"/>
    </row>
    <row r="301" spans="1:7" x14ac:dyDescent="0.2">
      <c r="A301" s="13"/>
      <c r="B301" s="13"/>
      <c r="D301" s="13"/>
      <c r="E301" s="13"/>
      <c r="G301" s="13"/>
    </row>
    <row r="302" spans="1:7" x14ac:dyDescent="0.2">
      <c r="A302" s="13"/>
      <c r="B302" s="13"/>
      <c r="D302" s="13"/>
      <c r="E302" s="13"/>
      <c r="G302" s="13"/>
    </row>
    <row r="303" spans="1:7" x14ac:dyDescent="0.2">
      <c r="A303" s="13"/>
      <c r="B303" s="13"/>
      <c r="D303" s="13"/>
      <c r="E303" s="13"/>
      <c r="G303" s="13"/>
    </row>
    <row r="304" spans="1:7" x14ac:dyDescent="0.2">
      <c r="A304" s="13"/>
      <c r="B304" s="13"/>
      <c r="D304" s="13"/>
      <c r="E304" s="13"/>
      <c r="G304" s="13"/>
    </row>
    <row r="305" spans="1:7" x14ac:dyDescent="0.2">
      <c r="A305" s="13"/>
      <c r="B305" s="13"/>
      <c r="D305" s="13"/>
      <c r="E305" s="13"/>
      <c r="G305" s="13"/>
    </row>
    <row r="306" spans="1:7" x14ac:dyDescent="0.2">
      <c r="A306" s="13"/>
      <c r="B306" s="13"/>
      <c r="D306" s="13"/>
      <c r="E306" s="13"/>
      <c r="G306" s="13"/>
    </row>
    <row r="307" spans="1:7" x14ac:dyDescent="0.2">
      <c r="A307" s="13"/>
      <c r="B307" s="13"/>
      <c r="D307" s="13"/>
      <c r="E307" s="13"/>
      <c r="G307" s="13"/>
    </row>
    <row r="308" spans="1:7" x14ac:dyDescent="0.2">
      <c r="A308" s="13"/>
      <c r="B308" s="13"/>
      <c r="D308" s="13"/>
      <c r="E308" s="13"/>
      <c r="G308" s="13"/>
    </row>
    <row r="309" spans="1:7" x14ac:dyDescent="0.2">
      <c r="A309" s="13"/>
      <c r="B309" s="13"/>
      <c r="D309" s="13"/>
      <c r="E309" s="13"/>
      <c r="G309" s="13"/>
    </row>
    <row r="310" spans="1:7" x14ac:dyDescent="0.2">
      <c r="A310" s="13"/>
      <c r="B310" s="13"/>
      <c r="D310" s="13"/>
      <c r="E310" s="13"/>
      <c r="G310" s="13"/>
    </row>
    <row r="311" spans="1:7" x14ac:dyDescent="0.2">
      <c r="A311" s="13"/>
      <c r="B311" s="13"/>
      <c r="D311" s="13"/>
      <c r="E311" s="13"/>
      <c r="G311" s="13"/>
    </row>
    <row r="312" spans="1:7" x14ac:dyDescent="0.2">
      <c r="A312" s="13"/>
      <c r="B312" s="13"/>
      <c r="D312" s="13"/>
      <c r="E312" s="13"/>
      <c r="G312" s="13"/>
    </row>
    <row r="313" spans="1:7" x14ac:dyDescent="0.2">
      <c r="A313" s="13"/>
      <c r="B313" s="13"/>
      <c r="D313" s="13"/>
      <c r="E313" s="13"/>
      <c r="G313" s="13"/>
    </row>
    <row r="314" spans="1:7" x14ac:dyDescent="0.2">
      <c r="A314" s="13"/>
      <c r="B314" s="13"/>
      <c r="D314" s="13"/>
      <c r="E314" s="13"/>
      <c r="G314" s="13"/>
    </row>
    <row r="315" spans="1:7" x14ac:dyDescent="0.2">
      <c r="A315" s="13"/>
      <c r="B315" s="13"/>
      <c r="D315" s="13"/>
      <c r="E315" s="13"/>
      <c r="G315" s="13"/>
    </row>
    <row r="316" spans="1:7" x14ac:dyDescent="0.2">
      <c r="A316" s="13"/>
    </row>
    <row r="317" spans="1:7" x14ac:dyDescent="0.2">
      <c r="A317" s="13"/>
    </row>
    <row r="318" spans="1:7" x14ac:dyDescent="0.2">
      <c r="A318" s="13"/>
    </row>
    <row r="319" spans="1:7" x14ac:dyDescent="0.2">
      <c r="A319" s="13"/>
      <c r="B319" s="13"/>
      <c r="D319" s="13"/>
      <c r="E319" s="13"/>
      <c r="G319" s="13"/>
    </row>
    <row r="320" spans="1:7" x14ac:dyDescent="0.2">
      <c r="A320" s="13"/>
    </row>
    <row r="321" spans="1:7" x14ac:dyDescent="0.2">
      <c r="A321" s="13"/>
    </row>
    <row r="322" spans="1:7" x14ac:dyDescent="0.2">
      <c r="A322" s="13"/>
    </row>
    <row r="323" spans="1:7" x14ac:dyDescent="0.2">
      <c r="A323" s="13"/>
      <c r="B323" s="13"/>
      <c r="D323" s="13"/>
      <c r="E323" s="13"/>
      <c r="G323" s="13"/>
    </row>
    <row r="324" spans="1:7" x14ac:dyDescent="0.2">
      <c r="A324" s="13"/>
      <c r="B324" s="13"/>
      <c r="D324" s="13"/>
      <c r="E324" s="13"/>
      <c r="G324" s="13"/>
    </row>
    <row r="325" spans="1:7" x14ac:dyDescent="0.2">
      <c r="A325" s="13"/>
    </row>
    <row r="326" spans="1:7" x14ac:dyDescent="0.2">
      <c r="A326" s="13"/>
    </row>
    <row r="327" spans="1:7" x14ac:dyDescent="0.2">
      <c r="A327" s="13"/>
    </row>
    <row r="328" spans="1:7" x14ac:dyDescent="0.2">
      <c r="A328" s="13"/>
      <c r="B328" s="13"/>
      <c r="D328" s="13"/>
      <c r="E328" s="13"/>
      <c r="F328" s="13"/>
    </row>
    <row r="329" spans="1:7" x14ac:dyDescent="0.2">
      <c r="A329" s="13"/>
      <c r="B329" s="13"/>
      <c r="D329" s="13"/>
      <c r="E329" s="13"/>
      <c r="G329" s="13"/>
    </row>
    <row r="330" spans="1:7" x14ac:dyDescent="0.2">
      <c r="A330" s="13"/>
    </row>
    <row r="331" spans="1:7" x14ac:dyDescent="0.2">
      <c r="A331" s="13"/>
    </row>
    <row r="332" spans="1:7" x14ac:dyDescent="0.2">
      <c r="A332" s="13"/>
    </row>
    <row r="333" spans="1:7" x14ac:dyDescent="0.2">
      <c r="A333" s="13"/>
      <c r="B333" s="13"/>
      <c r="C333" s="13"/>
      <c r="D333" s="13"/>
      <c r="E333" s="13"/>
      <c r="F333" s="13"/>
    </row>
    <row r="334" spans="1:7" x14ac:dyDescent="0.2">
      <c r="A334" s="13"/>
      <c r="B334" s="13"/>
      <c r="C334" s="13"/>
      <c r="D334" s="13"/>
      <c r="E334" s="13"/>
      <c r="F334" s="13"/>
    </row>
    <row r="335" spans="1:7" x14ac:dyDescent="0.2">
      <c r="A335" s="13"/>
      <c r="B335" s="13"/>
      <c r="D335" s="13"/>
      <c r="E335" s="13"/>
      <c r="G335" s="13"/>
    </row>
    <row r="336" spans="1:7" x14ac:dyDescent="0.2">
      <c r="A336" s="13"/>
      <c r="B336" s="13"/>
      <c r="D336" s="13"/>
      <c r="E336" s="13"/>
      <c r="F336" s="13"/>
    </row>
    <row r="337" spans="1:7" x14ac:dyDescent="0.2">
      <c r="A337" s="13"/>
      <c r="B337" s="13"/>
      <c r="D337" s="13"/>
      <c r="E337" s="13"/>
      <c r="F337" s="13"/>
    </row>
    <row r="338" spans="1:7" x14ac:dyDescent="0.2">
      <c r="A338" s="13"/>
      <c r="B338" s="13"/>
      <c r="D338" s="13"/>
      <c r="E338" s="13"/>
      <c r="G338" s="13"/>
    </row>
    <row r="339" spans="1:7" x14ac:dyDescent="0.2">
      <c r="A339" s="13"/>
      <c r="B339" s="13"/>
      <c r="D339" s="13"/>
      <c r="E339" s="13"/>
      <c r="G339" s="13"/>
    </row>
    <row r="340" spans="1:7" x14ac:dyDescent="0.2">
      <c r="A340" s="13"/>
      <c r="B340" s="13"/>
      <c r="D340" s="13"/>
      <c r="E340" s="13"/>
      <c r="G340" s="13"/>
    </row>
    <row r="341" spans="1:7" x14ac:dyDescent="0.2">
      <c r="A341" s="13"/>
      <c r="B341" s="13"/>
      <c r="D341" s="13"/>
      <c r="E341" s="13"/>
      <c r="F341" s="13"/>
    </row>
    <row r="342" spans="1:7" x14ac:dyDescent="0.2">
      <c r="A342" s="13"/>
      <c r="B342" s="13"/>
      <c r="D342" s="13"/>
      <c r="E342" s="13"/>
      <c r="G342" s="13"/>
    </row>
    <row r="343" spans="1:7" x14ac:dyDescent="0.2">
      <c r="A343" s="13"/>
      <c r="B343" s="13"/>
      <c r="D343" s="13"/>
      <c r="E343" s="13"/>
      <c r="G343" s="13"/>
    </row>
    <row r="344" spans="1:7" x14ac:dyDescent="0.2">
      <c r="A344" s="13"/>
      <c r="B344" s="13"/>
      <c r="D344" s="13"/>
      <c r="E344" s="13"/>
      <c r="F344" s="13"/>
    </row>
    <row r="345" spans="1:7" x14ac:dyDescent="0.2">
      <c r="A345" s="13"/>
      <c r="B345" s="13"/>
      <c r="D345" s="13"/>
      <c r="E345" s="13"/>
      <c r="G345" s="13"/>
    </row>
    <row r="346" spans="1:7" x14ac:dyDescent="0.2">
      <c r="A346" s="13"/>
      <c r="B346" s="13"/>
      <c r="D346" s="13"/>
      <c r="E346" s="13"/>
      <c r="G346" s="13"/>
    </row>
    <row r="347" spans="1:7" x14ac:dyDescent="0.2">
      <c r="A347" s="13"/>
      <c r="B347" s="13"/>
      <c r="D347" s="13"/>
      <c r="E347" s="13"/>
      <c r="F347" s="13"/>
    </row>
    <row r="348" spans="1:7" x14ac:dyDescent="0.2">
      <c r="A348" s="13"/>
      <c r="B348" s="13"/>
      <c r="D348" s="13"/>
      <c r="E348" s="13"/>
      <c r="F348" s="13"/>
    </row>
    <row r="349" spans="1:7" x14ac:dyDescent="0.2">
      <c r="A349" s="13"/>
      <c r="B349" s="13"/>
      <c r="D349" s="13"/>
      <c r="E349" s="13"/>
      <c r="G349" s="13"/>
    </row>
    <row r="350" spans="1:7" x14ac:dyDescent="0.2">
      <c r="A350" s="13"/>
      <c r="B350" s="13"/>
      <c r="D350" s="13"/>
      <c r="E350" s="13"/>
      <c r="F350" s="13"/>
    </row>
    <row r="351" spans="1:7" x14ac:dyDescent="0.2">
      <c r="A351" s="13"/>
      <c r="B351" s="13"/>
      <c r="D351" s="13"/>
      <c r="E351" s="13"/>
      <c r="F351" s="13"/>
    </row>
    <row r="352" spans="1:7" x14ac:dyDescent="0.2">
      <c r="A352" s="13"/>
      <c r="B352" s="13"/>
      <c r="C352" s="13"/>
      <c r="D352" s="13"/>
      <c r="E352" s="13"/>
      <c r="F352" s="13"/>
    </row>
    <row r="353" spans="1:7" x14ac:dyDescent="0.2">
      <c r="A353" s="13"/>
      <c r="B353" s="13"/>
      <c r="D353" s="13"/>
      <c r="E353" s="13"/>
      <c r="F353" s="13"/>
    </row>
    <row r="354" spans="1:7" x14ac:dyDescent="0.2">
      <c r="A354" s="13"/>
      <c r="B354" s="13"/>
      <c r="D354" s="13"/>
      <c r="E354" s="13"/>
      <c r="G354" s="13"/>
    </row>
    <row r="355" spans="1:7" x14ac:dyDescent="0.2">
      <c r="A355" s="13"/>
    </row>
    <row r="356" spans="1:7" x14ac:dyDescent="0.2">
      <c r="A356" s="13"/>
    </row>
    <row r="357" spans="1:7" x14ac:dyDescent="0.2">
      <c r="A357" s="13"/>
    </row>
    <row r="358" spans="1:7" x14ac:dyDescent="0.2">
      <c r="A358" s="13"/>
      <c r="B358" s="13"/>
      <c r="D358" s="13"/>
      <c r="E358" s="13"/>
      <c r="G358" s="13"/>
    </row>
    <row r="359" spans="1:7" x14ac:dyDescent="0.2">
      <c r="A359" s="13"/>
      <c r="B359" s="13"/>
      <c r="D359" s="13"/>
      <c r="E359" s="13"/>
      <c r="G359" s="13"/>
    </row>
    <row r="360" spans="1:7" x14ac:dyDescent="0.2">
      <c r="A360" s="13"/>
      <c r="B360" s="13"/>
      <c r="D360" s="13"/>
      <c r="E360" s="13"/>
      <c r="G360" s="13"/>
    </row>
    <row r="361" spans="1:7" x14ac:dyDescent="0.2">
      <c r="A361" s="13"/>
      <c r="B361" s="13"/>
      <c r="D361" s="13"/>
      <c r="E361" s="13"/>
      <c r="G361" s="13"/>
    </row>
    <row r="362" spans="1:7" x14ac:dyDescent="0.2">
      <c r="A362" s="13"/>
      <c r="B362" s="13"/>
      <c r="D362" s="13"/>
      <c r="E362" s="13"/>
      <c r="G362" s="13"/>
    </row>
    <row r="363" spans="1:7" x14ac:dyDescent="0.2">
      <c r="A363" s="13"/>
      <c r="B363" s="13"/>
      <c r="D363" s="13"/>
      <c r="E363" s="13"/>
      <c r="G363" s="13"/>
    </row>
    <row r="364" spans="1:7" x14ac:dyDescent="0.2">
      <c r="A364" s="13"/>
      <c r="B364" s="13"/>
      <c r="D364" s="13"/>
      <c r="E364" s="13"/>
      <c r="G364" s="13"/>
    </row>
    <row r="365" spans="1:7" x14ac:dyDescent="0.2">
      <c r="A365" s="13"/>
      <c r="B365" s="13"/>
      <c r="D365" s="13"/>
      <c r="E365" s="13"/>
      <c r="G365" s="13"/>
    </row>
    <row r="366" spans="1:7" x14ac:dyDescent="0.2">
      <c r="A366" s="13"/>
      <c r="B366" s="13"/>
      <c r="D366" s="13"/>
      <c r="E366" s="13"/>
      <c r="G366" s="13"/>
    </row>
    <row r="367" spans="1:7" x14ac:dyDescent="0.2">
      <c r="A367" s="13"/>
      <c r="B367" s="13"/>
      <c r="D367" s="13"/>
      <c r="E367" s="13"/>
      <c r="G367" s="13"/>
    </row>
    <row r="368" spans="1:7" x14ac:dyDescent="0.2">
      <c r="A368" s="13"/>
      <c r="B368" s="13"/>
      <c r="D368" s="13"/>
      <c r="E368" s="13"/>
      <c r="G368" s="13"/>
    </row>
    <row r="369" spans="1:7" x14ac:dyDescent="0.2">
      <c r="A369" s="13"/>
      <c r="B369" s="13"/>
      <c r="D369" s="13"/>
      <c r="E369" s="13"/>
      <c r="G369" s="13"/>
    </row>
    <row r="370" spans="1:7" x14ac:dyDescent="0.2">
      <c r="A370" s="13"/>
      <c r="B370" s="13"/>
      <c r="D370" s="13"/>
      <c r="E370" s="13"/>
      <c r="G370" s="13"/>
    </row>
    <row r="371" spans="1:7" x14ac:dyDescent="0.2">
      <c r="A371" s="13"/>
      <c r="B371" s="13"/>
      <c r="D371" s="13"/>
      <c r="E371" s="13"/>
      <c r="G371" s="13"/>
    </row>
    <row r="372" spans="1:7" x14ac:dyDescent="0.2">
      <c r="A372" s="13"/>
      <c r="B372" s="13"/>
      <c r="D372" s="13"/>
      <c r="E372" s="13"/>
      <c r="G372" s="13"/>
    </row>
    <row r="373" spans="1:7" x14ac:dyDescent="0.2">
      <c r="A373" s="13"/>
      <c r="B373" s="13"/>
      <c r="D373" s="13"/>
      <c r="E373" s="13"/>
      <c r="G373" s="13"/>
    </row>
    <row r="374" spans="1:7" x14ac:dyDescent="0.2">
      <c r="A374" s="13"/>
      <c r="B374" s="13"/>
      <c r="D374" s="13"/>
      <c r="E374" s="13"/>
      <c r="G374" s="13"/>
    </row>
    <row r="375" spans="1:7" x14ac:dyDescent="0.2">
      <c r="A375" s="13"/>
      <c r="B375" s="13"/>
      <c r="D375" s="13"/>
      <c r="E375" s="13"/>
      <c r="G375" s="13"/>
    </row>
    <row r="376" spans="1:7" x14ac:dyDescent="0.2">
      <c r="A376" s="13"/>
      <c r="B376" s="13"/>
      <c r="D376" s="13"/>
      <c r="E376" s="13"/>
      <c r="G376" s="13"/>
    </row>
    <row r="377" spans="1:7" x14ac:dyDescent="0.2">
      <c r="A377" s="13"/>
      <c r="B377" s="13"/>
      <c r="D377" s="13"/>
      <c r="E377" s="13"/>
      <c r="G377" s="13"/>
    </row>
    <row r="378" spans="1:7" x14ac:dyDescent="0.2">
      <c r="A378" s="13"/>
      <c r="B378" s="13"/>
      <c r="D378" s="13"/>
      <c r="E378" s="13"/>
      <c r="G378" s="13"/>
    </row>
    <row r="379" spans="1:7" x14ac:dyDescent="0.2">
      <c r="A379" s="13"/>
      <c r="B379" s="13"/>
      <c r="D379" s="13"/>
      <c r="E379" s="13"/>
      <c r="G379" s="13"/>
    </row>
    <row r="380" spans="1:7" x14ac:dyDescent="0.2">
      <c r="A380" s="13"/>
      <c r="B380" s="13"/>
      <c r="D380" s="13"/>
      <c r="E380" s="13"/>
      <c r="G380" s="13"/>
    </row>
    <row r="381" spans="1:7" x14ac:dyDescent="0.2">
      <c r="A381" s="13"/>
      <c r="B381" s="13"/>
      <c r="D381" s="13"/>
      <c r="E381" s="13"/>
      <c r="G381" s="13"/>
    </row>
    <row r="382" spans="1:7" x14ac:dyDescent="0.2">
      <c r="A382" s="13"/>
      <c r="B382" s="13"/>
      <c r="D382" s="13"/>
      <c r="E382" s="13"/>
      <c r="G382" s="13"/>
    </row>
    <row r="383" spans="1:7" x14ac:dyDescent="0.2">
      <c r="A383" s="13"/>
      <c r="B383" s="13"/>
      <c r="D383" s="13"/>
      <c r="E383" s="13"/>
      <c r="G383" s="13"/>
    </row>
    <row r="384" spans="1:7" x14ac:dyDescent="0.2">
      <c r="A384" s="13"/>
      <c r="B384" s="13"/>
      <c r="D384" s="13"/>
      <c r="E384" s="13"/>
      <c r="G384" s="13"/>
    </row>
    <row r="385" spans="1:7" x14ac:dyDescent="0.2">
      <c r="A385" s="13"/>
      <c r="B385" s="13"/>
      <c r="D385" s="13"/>
      <c r="E385" s="13"/>
      <c r="G385" s="13"/>
    </row>
    <row r="386" spans="1:7" x14ac:dyDescent="0.2">
      <c r="A386" s="13"/>
      <c r="B386" s="13"/>
      <c r="D386" s="13"/>
      <c r="E386" s="13"/>
      <c r="G386" s="13"/>
    </row>
    <row r="387" spans="1:7" x14ac:dyDescent="0.2">
      <c r="A387" s="13"/>
      <c r="B387" s="13"/>
      <c r="D387" s="13"/>
      <c r="E387" s="13"/>
      <c r="G387" s="13"/>
    </row>
    <row r="388" spans="1:7" x14ac:dyDescent="0.2">
      <c r="A388" s="13"/>
      <c r="B388" s="13"/>
      <c r="D388" s="13"/>
      <c r="E388" s="13"/>
      <c r="G388" s="13"/>
    </row>
    <row r="389" spans="1:7" x14ac:dyDescent="0.2">
      <c r="A389" s="13"/>
      <c r="B389" s="13"/>
      <c r="D389" s="13"/>
      <c r="E389" s="13"/>
      <c r="G389" s="13"/>
    </row>
    <row r="390" spans="1:7" x14ac:dyDescent="0.2">
      <c r="A390" s="13"/>
      <c r="B390" s="13"/>
      <c r="D390" s="13"/>
      <c r="E390" s="13"/>
      <c r="G390" s="13"/>
    </row>
    <row r="391" spans="1:7" x14ac:dyDescent="0.2">
      <c r="A391" s="13"/>
    </row>
    <row r="392" spans="1:7" x14ac:dyDescent="0.2">
      <c r="A392" s="13"/>
    </row>
    <row r="393" spans="1:7" x14ac:dyDescent="0.2">
      <c r="A393" s="13"/>
    </row>
    <row r="394" spans="1:7" x14ac:dyDescent="0.2">
      <c r="A394" s="13"/>
      <c r="B394" s="13"/>
      <c r="D394" s="13"/>
      <c r="E394" s="13"/>
      <c r="G394" s="13"/>
    </row>
    <row r="395" spans="1:7" x14ac:dyDescent="0.2">
      <c r="A395" s="13"/>
      <c r="B395" s="13"/>
      <c r="D395" s="13"/>
      <c r="E395" s="13"/>
      <c r="F395" s="13"/>
    </row>
    <row r="396" spans="1:7" x14ac:dyDescent="0.2">
      <c r="A396" s="13"/>
      <c r="B396" s="13"/>
    </row>
    <row r="397" spans="1:7" x14ac:dyDescent="0.2">
      <c r="A397" s="13"/>
    </row>
    <row r="398" spans="1:7" x14ac:dyDescent="0.2">
      <c r="A398" s="13"/>
    </row>
    <row r="399" spans="1:7" x14ac:dyDescent="0.2">
      <c r="A399" s="13"/>
      <c r="B399" s="13"/>
      <c r="D399" s="13"/>
      <c r="E399" s="13"/>
      <c r="G399" s="13"/>
    </row>
    <row r="400" spans="1:7" x14ac:dyDescent="0.2">
      <c r="A400" s="13"/>
      <c r="B400" s="13"/>
      <c r="D400" s="13"/>
      <c r="E400" s="13"/>
      <c r="G400" s="13"/>
    </row>
    <row r="401" spans="1:7" x14ac:dyDescent="0.2">
      <c r="A401" s="13"/>
      <c r="B401" s="13"/>
      <c r="D401" s="13"/>
      <c r="E401" s="13"/>
      <c r="G401" s="13"/>
    </row>
    <row r="402" spans="1:7" x14ac:dyDescent="0.2">
      <c r="A402" s="13"/>
      <c r="B402" s="13"/>
      <c r="D402" s="13"/>
      <c r="E402" s="13"/>
      <c r="G402" s="13"/>
    </row>
    <row r="403" spans="1:7" x14ac:dyDescent="0.2">
      <c r="A403" s="13"/>
      <c r="B403" s="13"/>
      <c r="D403" s="13"/>
      <c r="E403" s="13"/>
      <c r="G403" s="13"/>
    </row>
    <row r="404" spans="1:7" x14ac:dyDescent="0.2">
      <c r="A404" s="13"/>
      <c r="B404" s="13"/>
      <c r="D404" s="13"/>
      <c r="E404" s="13"/>
      <c r="G404" s="13"/>
    </row>
    <row r="405" spans="1:7" x14ac:dyDescent="0.2">
      <c r="A405" s="13"/>
      <c r="B405" s="13"/>
      <c r="D405" s="13"/>
      <c r="E405" s="13"/>
      <c r="G405" s="13"/>
    </row>
    <row r="406" spans="1:7" x14ac:dyDescent="0.2">
      <c r="A406" s="13"/>
      <c r="B406" s="13"/>
      <c r="D406" s="13"/>
      <c r="E406" s="13"/>
      <c r="G406" s="13"/>
    </row>
    <row r="407" spans="1:7" x14ac:dyDescent="0.2">
      <c r="A407" s="13"/>
      <c r="B407" s="13"/>
      <c r="D407" s="13"/>
      <c r="E407" s="13"/>
      <c r="G407" s="13"/>
    </row>
    <row r="408" spans="1:7" x14ac:dyDescent="0.2">
      <c r="A408" s="13"/>
      <c r="B408" s="13"/>
      <c r="D408" s="13"/>
      <c r="E408" s="13"/>
      <c r="G408" s="13"/>
    </row>
    <row r="409" spans="1:7" x14ac:dyDescent="0.2">
      <c r="A409" s="13"/>
    </row>
    <row r="410" spans="1:7" x14ac:dyDescent="0.2">
      <c r="A410" s="13"/>
    </row>
    <row r="411" spans="1:7" x14ac:dyDescent="0.2">
      <c r="A411" s="13"/>
    </row>
    <row r="412" spans="1:7" x14ac:dyDescent="0.2">
      <c r="A412" s="13"/>
      <c r="B412" s="13"/>
      <c r="D412" s="13"/>
      <c r="E412" s="13"/>
      <c r="G412" s="13"/>
    </row>
    <row r="413" spans="1:7" x14ac:dyDescent="0.2">
      <c r="A413" s="13"/>
      <c r="B413" s="13"/>
      <c r="D413" s="13"/>
      <c r="E413" s="13"/>
      <c r="G413" s="13"/>
    </row>
    <row r="414" spans="1:7" x14ac:dyDescent="0.2">
      <c r="A414" s="13"/>
      <c r="B414" s="13"/>
      <c r="D414" s="13"/>
      <c r="E414" s="13"/>
      <c r="G414" s="13"/>
    </row>
    <row r="415" spans="1:7" x14ac:dyDescent="0.2">
      <c r="A415" s="13"/>
      <c r="B415" s="13"/>
      <c r="D415" s="13"/>
      <c r="E415" s="13"/>
      <c r="G415" s="13"/>
    </row>
    <row r="416" spans="1:7" x14ac:dyDescent="0.2">
      <c r="A416" s="13"/>
      <c r="B416" s="13"/>
      <c r="D416" s="13"/>
      <c r="E416" s="13"/>
      <c r="G416" s="13"/>
    </row>
    <row r="417" spans="1:7" x14ac:dyDescent="0.2">
      <c r="A417" s="13"/>
      <c r="B417" s="13"/>
      <c r="D417" s="13"/>
      <c r="E417" s="13"/>
      <c r="G417" s="13"/>
    </row>
    <row r="418" spans="1:7" x14ac:dyDescent="0.2">
      <c r="A418" s="13"/>
      <c r="B418" s="13"/>
      <c r="D418" s="13"/>
      <c r="E418" s="13"/>
      <c r="G418" s="13"/>
    </row>
    <row r="419" spans="1:7" x14ac:dyDescent="0.2">
      <c r="A419" s="13"/>
      <c r="B419" s="13"/>
      <c r="D419" s="13"/>
      <c r="E419" s="13"/>
      <c r="G419" s="13"/>
    </row>
    <row r="420" spans="1:7" x14ac:dyDescent="0.2">
      <c r="A420" s="13"/>
      <c r="B420" s="13"/>
      <c r="D420" s="13"/>
      <c r="E420" s="13"/>
      <c r="G420" s="13"/>
    </row>
    <row r="421" spans="1:7" x14ac:dyDescent="0.2">
      <c r="A421" s="13"/>
      <c r="B421" s="13"/>
      <c r="D421" s="13"/>
      <c r="E421" s="13"/>
      <c r="G421" s="13"/>
    </row>
    <row r="422" spans="1:7" x14ac:dyDescent="0.2">
      <c r="A422" s="13"/>
      <c r="B422" s="13"/>
      <c r="D422" s="13"/>
      <c r="E422" s="13"/>
      <c r="G422" s="13"/>
    </row>
    <row r="423" spans="1:7" x14ac:dyDescent="0.2">
      <c r="A423" s="13"/>
    </row>
    <row r="424" spans="1:7" x14ac:dyDescent="0.2">
      <c r="A424" s="13"/>
    </row>
    <row r="425" spans="1:7" x14ac:dyDescent="0.2">
      <c r="A425" s="13"/>
    </row>
    <row r="426" spans="1:7" x14ac:dyDescent="0.2">
      <c r="A426" s="13"/>
      <c r="B426" s="13"/>
      <c r="D426" s="13"/>
      <c r="E426" s="13"/>
      <c r="G426" s="13"/>
    </row>
    <row r="427" spans="1:7" x14ac:dyDescent="0.2">
      <c r="A427" s="13"/>
      <c r="B427" s="13"/>
      <c r="D427" s="13"/>
      <c r="E427" s="13"/>
      <c r="G427" s="13"/>
    </row>
    <row r="428" spans="1:7" x14ac:dyDescent="0.2">
      <c r="A428" s="13"/>
      <c r="B428" s="13"/>
      <c r="D428" s="13"/>
      <c r="E428" s="13"/>
      <c r="G428" s="13"/>
    </row>
    <row r="429" spans="1:7" x14ac:dyDescent="0.2">
      <c r="A429" s="13"/>
      <c r="B429" s="13"/>
      <c r="D429" s="13"/>
      <c r="E429" s="13"/>
      <c r="G429" s="13"/>
    </row>
    <row r="430" spans="1:7" x14ac:dyDescent="0.2">
      <c r="A430" s="13"/>
    </row>
    <row r="431" spans="1:7" x14ac:dyDescent="0.2">
      <c r="A431" s="13"/>
    </row>
    <row r="432" spans="1:7" x14ac:dyDescent="0.2">
      <c r="A432" s="13"/>
    </row>
    <row r="433" spans="1:7" x14ac:dyDescent="0.2">
      <c r="A433" s="13"/>
      <c r="B433" s="13"/>
      <c r="D433" s="13"/>
      <c r="E433" s="13"/>
      <c r="G433" s="13"/>
    </row>
    <row r="434" spans="1:7" x14ac:dyDescent="0.2">
      <c r="A434" s="13"/>
      <c r="B434" s="13"/>
      <c r="D434" s="13"/>
      <c r="E434" s="13"/>
      <c r="G434" s="13"/>
    </row>
    <row r="435" spans="1:7" x14ac:dyDescent="0.2">
      <c r="A435" s="13"/>
      <c r="B435" s="13"/>
      <c r="D435" s="13"/>
      <c r="E435" s="13"/>
      <c r="G435" s="13"/>
    </row>
    <row r="436" spans="1:7" x14ac:dyDescent="0.2">
      <c r="A436" s="13"/>
      <c r="B436" s="13"/>
      <c r="D436" s="13"/>
      <c r="E436" s="13"/>
      <c r="G436" s="13"/>
    </row>
    <row r="437" spans="1:7" x14ac:dyDescent="0.2">
      <c r="A437" s="13"/>
      <c r="B437" s="13"/>
      <c r="D437" s="13"/>
      <c r="E437" s="13"/>
      <c r="G437" s="13"/>
    </row>
    <row r="438" spans="1:7" x14ac:dyDescent="0.2">
      <c r="A438" s="13"/>
      <c r="B438" s="13"/>
      <c r="D438" s="13"/>
      <c r="E438" s="13"/>
      <c r="G438" s="13"/>
    </row>
    <row r="439" spans="1:7" x14ac:dyDescent="0.2">
      <c r="A439" s="13"/>
      <c r="B439" s="13"/>
      <c r="D439" s="13"/>
      <c r="E439" s="13"/>
      <c r="G439" s="13"/>
    </row>
    <row r="440" spans="1:7" x14ac:dyDescent="0.2">
      <c r="A440" s="13"/>
      <c r="B440" s="13"/>
      <c r="D440" s="13"/>
      <c r="E440" s="13"/>
      <c r="G440" s="13"/>
    </row>
    <row r="441" spans="1:7" x14ac:dyDescent="0.2">
      <c r="A441" s="13"/>
      <c r="B441" s="13"/>
      <c r="D441" s="13"/>
      <c r="E441" s="13"/>
      <c r="G441" s="13"/>
    </row>
    <row r="442" spans="1:7" x14ac:dyDescent="0.2">
      <c r="A442" s="13"/>
      <c r="B442" s="13"/>
      <c r="D442" s="13"/>
      <c r="E442" s="13"/>
      <c r="G442" s="13"/>
    </row>
    <row r="443" spans="1:7" x14ac:dyDescent="0.2">
      <c r="A443" s="13"/>
      <c r="B443" s="13"/>
      <c r="D443" s="13"/>
      <c r="E443" s="13"/>
      <c r="G443" s="13"/>
    </row>
    <row r="444" spans="1:7" x14ac:dyDescent="0.2">
      <c r="A444" s="13"/>
      <c r="B444" s="13"/>
      <c r="D444" s="13"/>
      <c r="E444" s="13"/>
      <c r="G444" s="13"/>
    </row>
    <row r="445" spans="1:7" x14ac:dyDescent="0.2">
      <c r="A445" s="13"/>
    </row>
    <row r="446" spans="1:7" x14ac:dyDescent="0.2">
      <c r="A446" s="13"/>
    </row>
    <row r="447" spans="1:7" x14ac:dyDescent="0.2">
      <c r="A447" s="13"/>
    </row>
    <row r="448" spans="1:7" x14ac:dyDescent="0.2">
      <c r="A448" s="13"/>
      <c r="B448" s="13"/>
      <c r="D448" s="13"/>
      <c r="E448" s="13"/>
      <c r="G448" s="13"/>
    </row>
    <row r="449" spans="1:7" x14ac:dyDescent="0.2">
      <c r="A449" s="13"/>
      <c r="B449" s="13"/>
      <c r="D449" s="13"/>
      <c r="E449" s="13"/>
      <c r="G449" s="13"/>
    </row>
    <row r="450" spans="1:7" x14ac:dyDescent="0.2">
      <c r="A450" s="13"/>
      <c r="B450" s="13"/>
      <c r="D450" s="13"/>
      <c r="E450" s="13"/>
      <c r="G450" s="13"/>
    </row>
    <row r="451" spans="1:7" x14ac:dyDescent="0.2">
      <c r="A451" s="13"/>
      <c r="B451" s="13"/>
      <c r="D451" s="13"/>
      <c r="E451" s="13"/>
      <c r="G451" s="13"/>
    </row>
    <row r="452" spans="1:7" x14ac:dyDescent="0.2">
      <c r="A452" s="13"/>
      <c r="B452" s="13"/>
      <c r="D452" s="13"/>
      <c r="E452" s="13"/>
      <c r="G452" s="13"/>
    </row>
    <row r="453" spans="1:7" x14ac:dyDescent="0.2">
      <c r="A453" s="13"/>
      <c r="B453" s="13"/>
      <c r="D453" s="13"/>
      <c r="E453" s="13"/>
      <c r="G453" s="13"/>
    </row>
    <row r="454" spans="1:7" x14ac:dyDescent="0.2">
      <c r="A454" s="13"/>
      <c r="B454" s="13"/>
      <c r="D454" s="13"/>
      <c r="E454" s="13"/>
      <c r="G454" s="13"/>
    </row>
    <row r="455" spans="1:7" x14ac:dyDescent="0.2">
      <c r="A455" s="13"/>
      <c r="B455" s="13"/>
      <c r="D455" s="13"/>
      <c r="E455" s="13"/>
      <c r="G455" s="13"/>
    </row>
    <row r="456" spans="1:7" x14ac:dyDescent="0.2">
      <c r="A456" s="13"/>
      <c r="B456" s="13"/>
      <c r="D456" s="13"/>
      <c r="E456" s="13"/>
      <c r="G456" s="13"/>
    </row>
    <row r="457" spans="1:7" x14ac:dyDescent="0.2">
      <c r="A457" s="13"/>
      <c r="B457" s="13"/>
      <c r="D457" s="13"/>
      <c r="E457" s="13"/>
      <c r="G457" s="13"/>
    </row>
    <row r="458" spans="1:7" x14ac:dyDescent="0.2">
      <c r="A458" s="13"/>
      <c r="B458" s="13"/>
      <c r="D458" s="13"/>
      <c r="E458" s="13"/>
      <c r="G458" s="13"/>
    </row>
    <row r="459" spans="1:7" x14ac:dyDescent="0.2">
      <c r="A459" s="13"/>
      <c r="B459" s="13"/>
      <c r="D459" s="13"/>
      <c r="E459" s="13"/>
      <c r="G459" s="13"/>
    </row>
    <row r="460" spans="1:7" x14ac:dyDescent="0.2">
      <c r="A460" s="13"/>
      <c r="B460" s="13"/>
      <c r="D460" s="13"/>
      <c r="E460" s="13"/>
      <c r="G460" s="13"/>
    </row>
    <row r="461" spans="1:7" x14ac:dyDescent="0.2">
      <c r="A461" s="13"/>
      <c r="B461" s="13"/>
      <c r="D461" s="13"/>
      <c r="E461" s="13"/>
      <c r="G461" s="13"/>
    </row>
    <row r="462" spans="1:7" x14ac:dyDescent="0.2">
      <c r="A462" s="13"/>
      <c r="B462" s="13"/>
      <c r="D462" s="13"/>
      <c r="E462" s="13"/>
      <c r="G462" s="13"/>
    </row>
    <row r="463" spans="1:7" x14ac:dyDescent="0.2">
      <c r="A463" s="13"/>
    </row>
    <row r="464" spans="1:7" x14ac:dyDescent="0.2">
      <c r="A464" s="13"/>
    </row>
    <row r="465" spans="1:7" x14ac:dyDescent="0.2">
      <c r="A465" s="13"/>
    </row>
    <row r="466" spans="1:7" x14ac:dyDescent="0.2">
      <c r="A466" s="13"/>
      <c r="B466" s="13"/>
      <c r="D466" s="13"/>
      <c r="E466" s="13"/>
      <c r="G466" s="13"/>
    </row>
    <row r="467" spans="1:7" x14ac:dyDescent="0.2">
      <c r="A467" s="13"/>
    </row>
    <row r="468" spans="1:7" x14ac:dyDescent="0.2">
      <c r="A468" s="13"/>
    </row>
    <row r="469" spans="1:7" x14ac:dyDescent="0.2">
      <c r="A469" s="13"/>
    </row>
    <row r="470" spans="1:7" x14ac:dyDescent="0.2">
      <c r="A470" s="13"/>
      <c r="B470" s="13"/>
      <c r="D470" s="13"/>
      <c r="E470" s="13"/>
      <c r="G470" s="13"/>
    </row>
    <row r="471" spans="1:7" x14ac:dyDescent="0.2">
      <c r="A471" s="13"/>
      <c r="B471" s="13"/>
      <c r="D471" s="13"/>
      <c r="E471" s="13"/>
      <c r="G471" s="13"/>
    </row>
    <row r="472" spans="1:7" x14ac:dyDescent="0.2">
      <c r="A472" s="13"/>
      <c r="B472" s="13"/>
      <c r="D472" s="13"/>
      <c r="E472" s="13"/>
      <c r="G472" s="13"/>
    </row>
    <row r="473" spans="1:7" x14ac:dyDescent="0.2">
      <c r="A473" s="13"/>
      <c r="B473" s="13"/>
      <c r="D473" s="13"/>
      <c r="E473" s="13"/>
      <c r="G473" s="13"/>
    </row>
    <row r="474" spans="1:7" x14ac:dyDescent="0.2">
      <c r="A474" s="13"/>
      <c r="B474" s="13"/>
      <c r="D474" s="13"/>
      <c r="E474" s="13"/>
      <c r="G474" s="13"/>
    </row>
    <row r="475" spans="1:7" x14ac:dyDescent="0.2">
      <c r="A475" s="13"/>
    </row>
    <row r="476" spans="1:7" x14ac:dyDescent="0.2">
      <c r="A476" s="13"/>
    </row>
    <row r="477" spans="1:7" x14ac:dyDescent="0.2">
      <c r="A477" s="13"/>
    </row>
    <row r="478" spans="1:7" x14ac:dyDescent="0.2">
      <c r="A478" s="13"/>
      <c r="B478" s="13"/>
      <c r="D478" s="13"/>
      <c r="E478" s="13"/>
      <c r="G478" s="13"/>
    </row>
    <row r="479" spans="1:7" x14ac:dyDescent="0.2">
      <c r="A479" s="13"/>
      <c r="B479" s="13"/>
      <c r="D479" s="13"/>
      <c r="E479" s="13"/>
      <c r="G479" s="13"/>
    </row>
    <row r="480" spans="1:7" x14ac:dyDescent="0.2">
      <c r="A480" s="13"/>
      <c r="B480" s="13"/>
      <c r="D480" s="13"/>
      <c r="E480" s="13"/>
      <c r="G480" s="13"/>
    </row>
    <row r="481" spans="1:7" x14ac:dyDescent="0.2">
      <c r="A481" s="13"/>
      <c r="B481" s="13"/>
      <c r="D481" s="13"/>
      <c r="E481" s="13"/>
      <c r="G481" s="13"/>
    </row>
    <row r="482" spans="1:7" x14ac:dyDescent="0.2">
      <c r="A482" s="13"/>
      <c r="B482" s="13"/>
      <c r="D482" s="13"/>
      <c r="E482" s="13"/>
      <c r="G482" s="13"/>
    </row>
    <row r="483" spans="1:7" x14ac:dyDescent="0.2">
      <c r="A483" s="13"/>
      <c r="B483" s="13"/>
      <c r="D483" s="13"/>
      <c r="E483" s="13"/>
      <c r="G483" s="13"/>
    </row>
    <row r="484" spans="1:7" x14ac:dyDescent="0.2">
      <c r="A484" s="13"/>
      <c r="B484" s="13"/>
      <c r="D484" s="13"/>
      <c r="E484" s="13"/>
      <c r="G484" s="13"/>
    </row>
    <row r="485" spans="1:7" x14ac:dyDescent="0.2">
      <c r="A485" s="13"/>
      <c r="B485" s="13"/>
      <c r="D485" s="13"/>
      <c r="E485" s="13"/>
      <c r="G485" s="13"/>
    </row>
    <row r="486" spans="1:7" x14ac:dyDescent="0.2">
      <c r="A486" s="13"/>
      <c r="B486" s="13"/>
      <c r="D486" s="13"/>
      <c r="E486" s="13"/>
      <c r="G486" s="13"/>
    </row>
    <row r="487" spans="1:7" x14ac:dyDescent="0.2">
      <c r="A487" s="13"/>
      <c r="B487" s="13"/>
      <c r="D487" s="13"/>
      <c r="E487" s="13"/>
      <c r="G487" s="13"/>
    </row>
    <row r="488" spans="1:7" x14ac:dyDescent="0.2">
      <c r="A488" s="13"/>
      <c r="B488" s="13"/>
      <c r="D488" s="13"/>
      <c r="E488" s="13"/>
      <c r="G488" s="13"/>
    </row>
    <row r="489" spans="1:7" x14ac:dyDescent="0.2">
      <c r="A489" s="13"/>
      <c r="B489" s="13"/>
      <c r="D489" s="13"/>
      <c r="E489" s="13"/>
      <c r="G489" s="13"/>
    </row>
    <row r="490" spans="1:7" x14ac:dyDescent="0.2">
      <c r="A490" s="13"/>
      <c r="B490" s="13"/>
      <c r="D490" s="13"/>
      <c r="E490" s="13"/>
      <c r="G490" s="13"/>
    </row>
    <row r="491" spans="1:7" x14ac:dyDescent="0.2">
      <c r="A491" s="13"/>
      <c r="B491" s="13"/>
      <c r="D491" s="13"/>
      <c r="E491" s="13"/>
      <c r="G491" s="13"/>
    </row>
    <row r="492" spans="1:7" x14ac:dyDescent="0.2">
      <c r="A492" s="13"/>
      <c r="B492" s="13"/>
      <c r="D492" s="13"/>
      <c r="E492" s="13"/>
      <c r="G492" s="13"/>
    </row>
    <row r="493" spans="1:7" x14ac:dyDescent="0.2">
      <c r="A493" s="13"/>
      <c r="B493" s="13"/>
      <c r="D493" s="13"/>
      <c r="E493" s="13"/>
      <c r="G493" s="13"/>
    </row>
    <row r="494" spans="1:7" x14ac:dyDescent="0.2">
      <c r="A494" s="13"/>
      <c r="B494" s="13"/>
      <c r="D494" s="13"/>
      <c r="E494" s="13"/>
      <c r="G494" s="13"/>
    </row>
    <row r="495" spans="1:7" x14ac:dyDescent="0.2">
      <c r="A495" s="13"/>
      <c r="B495" s="13"/>
      <c r="D495" s="13"/>
      <c r="E495" s="13"/>
      <c r="G495" s="13"/>
    </row>
    <row r="496" spans="1:7" x14ac:dyDescent="0.2">
      <c r="A496" s="13"/>
      <c r="B496" s="13"/>
      <c r="D496" s="13"/>
      <c r="E496" s="13"/>
      <c r="G496" s="13"/>
    </row>
    <row r="497" spans="1:7" x14ac:dyDescent="0.2">
      <c r="A497" s="13"/>
      <c r="B497" s="13"/>
      <c r="D497" s="13"/>
      <c r="E497" s="13"/>
      <c r="G497" s="13"/>
    </row>
    <row r="498" spans="1:7" x14ac:dyDescent="0.2">
      <c r="A498" s="13"/>
      <c r="B498" s="13"/>
      <c r="D498" s="13"/>
      <c r="E498" s="13"/>
      <c r="G498" s="13"/>
    </row>
    <row r="499" spans="1:7" x14ac:dyDescent="0.2">
      <c r="A499" s="13"/>
      <c r="B499" s="13"/>
      <c r="D499" s="13"/>
      <c r="E499" s="13"/>
      <c r="G499" s="13"/>
    </row>
    <row r="500" spans="1:7" x14ac:dyDescent="0.2">
      <c r="A500" s="13"/>
      <c r="B500" s="13"/>
      <c r="D500" s="13"/>
      <c r="E500" s="13"/>
      <c r="G500" s="13"/>
    </row>
    <row r="501" spans="1:7" x14ac:dyDescent="0.2">
      <c r="A501" s="13"/>
      <c r="B501" s="13"/>
      <c r="D501" s="13"/>
      <c r="E501" s="13"/>
      <c r="G501" s="13"/>
    </row>
    <row r="502" spans="1:7" x14ac:dyDescent="0.2">
      <c r="A502" s="13"/>
      <c r="B502" s="13"/>
      <c r="D502" s="13"/>
      <c r="E502" s="13"/>
      <c r="G502" s="13"/>
    </row>
    <row r="503" spans="1:7" x14ac:dyDescent="0.2">
      <c r="A503" s="13"/>
      <c r="B503" s="13"/>
      <c r="D503" s="13"/>
      <c r="E503" s="13"/>
      <c r="G503" s="13"/>
    </row>
    <row r="504" spans="1:7" x14ac:dyDescent="0.2">
      <c r="A504" s="13"/>
      <c r="B504" s="13"/>
      <c r="D504" s="13"/>
      <c r="E504" s="13"/>
      <c r="G504" s="13"/>
    </row>
    <row r="505" spans="1:7" x14ac:dyDescent="0.2">
      <c r="A505" s="13"/>
    </row>
    <row r="506" spans="1:7" x14ac:dyDescent="0.2">
      <c r="A506" s="13"/>
    </row>
    <row r="507" spans="1:7" x14ac:dyDescent="0.2">
      <c r="A507" s="13"/>
    </row>
    <row r="508" spans="1:7" x14ac:dyDescent="0.2">
      <c r="A508" s="13"/>
      <c r="B508" s="13"/>
      <c r="D508" s="13"/>
      <c r="E508" s="13"/>
      <c r="G508" s="13"/>
    </row>
    <row r="509" spans="1:7" x14ac:dyDescent="0.2">
      <c r="A509" s="13"/>
      <c r="B509" s="13"/>
      <c r="D509" s="13"/>
      <c r="E509" s="13"/>
      <c r="G509" s="13"/>
    </row>
    <row r="510" spans="1:7" x14ac:dyDescent="0.2">
      <c r="A510" s="13"/>
      <c r="B510" s="13"/>
      <c r="D510" s="13"/>
      <c r="E510" s="13"/>
      <c r="G510" s="13"/>
    </row>
    <row r="511" spans="1:7" x14ac:dyDescent="0.2">
      <c r="A511" s="13"/>
      <c r="B511" s="13"/>
      <c r="D511" s="13"/>
      <c r="E511" s="13"/>
      <c r="G511" s="13"/>
    </row>
    <row r="512" spans="1:7" x14ac:dyDescent="0.2">
      <c r="A512" s="13"/>
      <c r="B512" s="13"/>
      <c r="D512" s="13"/>
      <c r="E512" s="13"/>
      <c r="G512" s="13"/>
    </row>
    <row r="513" spans="1:7" x14ac:dyDescent="0.2">
      <c r="A513" s="13"/>
      <c r="B513" s="13"/>
      <c r="D513" s="13"/>
      <c r="E513" s="13"/>
      <c r="G513" s="13"/>
    </row>
    <row r="514" spans="1:7" x14ac:dyDescent="0.2">
      <c r="A514" s="13"/>
      <c r="B514" s="13"/>
      <c r="D514" s="13"/>
      <c r="E514" s="13"/>
      <c r="G514" s="13"/>
    </row>
    <row r="515" spans="1:7" x14ac:dyDescent="0.2">
      <c r="A515" s="13"/>
      <c r="B515" s="13"/>
      <c r="D515" s="13"/>
      <c r="E515" s="13"/>
      <c r="G515" s="13"/>
    </row>
    <row r="516" spans="1:7" x14ac:dyDescent="0.2">
      <c r="A516" s="13"/>
      <c r="B516" s="13"/>
      <c r="D516" s="13"/>
      <c r="E516" s="13"/>
      <c r="G516" s="13"/>
    </row>
    <row r="517" spans="1:7" x14ac:dyDescent="0.2">
      <c r="A517" s="13"/>
      <c r="B517" s="13"/>
      <c r="D517" s="13"/>
      <c r="E517" s="13"/>
      <c r="G517" s="13"/>
    </row>
    <row r="518" spans="1:7" x14ac:dyDescent="0.2">
      <c r="A518" s="13"/>
      <c r="B518" s="13"/>
      <c r="D518" s="13"/>
      <c r="E518" s="13"/>
      <c r="G518" s="13"/>
    </row>
    <row r="519" spans="1:7" x14ac:dyDescent="0.2">
      <c r="A519" s="13"/>
      <c r="B519" s="13"/>
      <c r="D519" s="13"/>
      <c r="E519" s="13"/>
      <c r="G519" s="13"/>
    </row>
    <row r="520" spans="1:7" x14ac:dyDescent="0.2">
      <c r="A520" s="13"/>
      <c r="B520" s="13"/>
      <c r="D520" s="13"/>
      <c r="E520" s="13"/>
      <c r="G520" s="13"/>
    </row>
    <row r="521" spans="1:7" x14ac:dyDescent="0.2">
      <c r="A521" s="13"/>
      <c r="B521" s="13"/>
      <c r="D521" s="13"/>
      <c r="E521" s="13"/>
      <c r="G521" s="13"/>
    </row>
    <row r="522" spans="1:7" x14ac:dyDescent="0.2">
      <c r="A522" s="13"/>
    </row>
    <row r="523" spans="1:7" x14ac:dyDescent="0.2">
      <c r="A523" s="13"/>
    </row>
    <row r="524" spans="1:7" x14ac:dyDescent="0.2">
      <c r="A524" s="13"/>
    </row>
    <row r="525" spans="1:7" x14ac:dyDescent="0.2">
      <c r="A525" s="13"/>
      <c r="B525" s="13"/>
      <c r="D525" s="13"/>
      <c r="E525" s="13"/>
      <c r="G525" s="13"/>
    </row>
    <row r="526" spans="1:7" x14ac:dyDescent="0.2">
      <c r="A526" s="13"/>
    </row>
    <row r="527" spans="1:7" x14ac:dyDescent="0.2">
      <c r="A527" s="13"/>
    </row>
    <row r="528" spans="1:7" x14ac:dyDescent="0.2">
      <c r="A528" s="13"/>
    </row>
    <row r="529" spans="1:7" x14ac:dyDescent="0.2">
      <c r="A529" s="13"/>
      <c r="B529" s="13"/>
      <c r="D529" s="13"/>
      <c r="E529" s="13"/>
      <c r="G529" s="13"/>
    </row>
    <row r="530" spans="1:7" x14ac:dyDescent="0.2">
      <c r="A530" s="13"/>
      <c r="B530" s="13"/>
      <c r="D530" s="13"/>
      <c r="E530" s="13"/>
      <c r="G530" s="13"/>
    </row>
    <row r="531" spans="1:7" x14ac:dyDescent="0.2">
      <c r="A531" s="13"/>
    </row>
    <row r="532" spans="1:7" x14ac:dyDescent="0.2">
      <c r="A532" s="13"/>
    </row>
    <row r="533" spans="1:7" x14ac:dyDescent="0.2">
      <c r="A533" s="13"/>
    </row>
    <row r="534" spans="1:7" x14ac:dyDescent="0.2">
      <c r="A534" s="13"/>
      <c r="B534" s="13"/>
      <c r="D534" s="13"/>
      <c r="E534" s="13"/>
      <c r="G534" s="13"/>
    </row>
    <row r="535" spans="1:7" x14ac:dyDescent="0.2">
      <c r="A535" s="13"/>
      <c r="B535" s="13"/>
      <c r="D535" s="13"/>
      <c r="E535" s="13"/>
      <c r="G535" s="13"/>
    </row>
    <row r="536" spans="1:7" x14ac:dyDescent="0.2">
      <c r="A536" s="13"/>
      <c r="B536" s="13"/>
      <c r="D536" s="13"/>
      <c r="E536" s="13"/>
      <c r="G536" s="13"/>
    </row>
    <row r="537" spans="1:7" x14ac:dyDescent="0.2">
      <c r="A537" s="13"/>
      <c r="B537" s="13"/>
      <c r="D537" s="13"/>
      <c r="E537" s="13"/>
      <c r="G537" s="13"/>
    </row>
    <row r="538" spans="1:7" x14ac:dyDescent="0.2">
      <c r="A538" s="13"/>
      <c r="B538" s="13"/>
      <c r="D538" s="13"/>
      <c r="E538" s="13"/>
      <c r="F538" s="13"/>
    </row>
    <row r="539" spans="1:7" x14ac:dyDescent="0.2">
      <c r="A539" s="13"/>
      <c r="B539" s="13"/>
      <c r="D539" s="13"/>
      <c r="E539" s="13"/>
      <c r="G539" s="13"/>
    </row>
    <row r="540" spans="1:7" x14ac:dyDescent="0.2">
      <c r="A540" s="13"/>
      <c r="B540" s="13"/>
      <c r="D540" s="13"/>
      <c r="E540" s="13"/>
      <c r="G540" s="13"/>
    </row>
    <row r="541" spans="1:7" x14ac:dyDescent="0.2">
      <c r="A541" s="13"/>
      <c r="B541" s="13"/>
      <c r="D541" s="13"/>
      <c r="E541" s="13"/>
      <c r="G541" s="13"/>
    </row>
    <row r="542" spans="1:7" x14ac:dyDescent="0.2">
      <c r="A542" s="13"/>
      <c r="B542" s="13"/>
      <c r="D542" s="13"/>
      <c r="E542" s="13"/>
      <c r="G542" s="13"/>
    </row>
    <row r="543" spans="1:7" x14ac:dyDescent="0.2">
      <c r="A543" s="13"/>
      <c r="B543" s="13"/>
      <c r="D543" s="13"/>
      <c r="E543" s="13"/>
      <c r="G543" s="13"/>
    </row>
    <row r="544" spans="1:7" x14ac:dyDescent="0.2">
      <c r="A544" s="13"/>
      <c r="B544" s="13"/>
      <c r="D544" s="13"/>
      <c r="E544" s="13"/>
      <c r="G544" s="13"/>
    </row>
    <row r="545" spans="1:7" x14ac:dyDescent="0.2">
      <c r="A545" s="13"/>
      <c r="B545" s="13"/>
      <c r="D545" s="13"/>
      <c r="E545" s="13"/>
      <c r="G545" s="13"/>
    </row>
    <row r="546" spans="1:7" x14ac:dyDescent="0.2">
      <c r="A546" s="13"/>
      <c r="B546" s="13"/>
      <c r="D546" s="13"/>
      <c r="E546" s="13"/>
      <c r="G546" s="13"/>
    </row>
    <row r="547" spans="1:7" x14ac:dyDescent="0.2">
      <c r="A547" s="13"/>
      <c r="B547" s="13"/>
      <c r="D547" s="13"/>
      <c r="E547" s="13"/>
      <c r="G547" s="13"/>
    </row>
    <row r="548" spans="1:7" x14ac:dyDescent="0.2">
      <c r="A548" s="13"/>
      <c r="B548" s="13"/>
      <c r="D548" s="13"/>
      <c r="E548" s="13"/>
      <c r="G548" s="13"/>
    </row>
    <row r="549" spans="1:7" x14ac:dyDescent="0.2">
      <c r="A549" s="13"/>
      <c r="B549" s="13"/>
      <c r="D549" s="13"/>
      <c r="E549" s="13"/>
      <c r="G549" s="13"/>
    </row>
    <row r="550" spans="1:7" x14ac:dyDescent="0.2">
      <c r="A550" s="13"/>
      <c r="B550" s="13"/>
      <c r="D550" s="13"/>
      <c r="E550" s="13"/>
      <c r="G550" s="13"/>
    </row>
    <row r="551" spans="1:7" x14ac:dyDescent="0.2">
      <c r="A551" s="13"/>
      <c r="B551" s="13"/>
      <c r="D551" s="13"/>
      <c r="E551" s="13"/>
      <c r="G551" s="13"/>
    </row>
    <row r="552" spans="1:7" x14ac:dyDescent="0.2">
      <c r="A552" s="13"/>
      <c r="B552" s="13"/>
      <c r="D552" s="13"/>
      <c r="E552" s="13"/>
      <c r="G552" s="13"/>
    </row>
    <row r="553" spans="1:7" x14ac:dyDescent="0.2">
      <c r="A553" s="13"/>
      <c r="B553" s="13"/>
      <c r="D553" s="13"/>
      <c r="E553" s="13"/>
      <c r="G553" s="13"/>
    </row>
    <row r="554" spans="1:7" x14ac:dyDescent="0.2">
      <c r="A554" s="13"/>
      <c r="B554" s="13"/>
      <c r="D554" s="13"/>
      <c r="E554" s="13"/>
      <c r="G554" s="13"/>
    </row>
    <row r="555" spans="1:7" x14ac:dyDescent="0.2">
      <c r="A555" s="13"/>
      <c r="B555" s="13"/>
      <c r="D555" s="13"/>
      <c r="E555" s="13"/>
      <c r="G555" s="13"/>
    </row>
    <row r="556" spans="1:7" x14ac:dyDescent="0.2">
      <c r="A556" s="13"/>
      <c r="B556" s="13"/>
      <c r="D556" s="13"/>
      <c r="E556" s="13"/>
      <c r="G556" s="13"/>
    </row>
    <row r="557" spans="1:7" x14ac:dyDescent="0.2">
      <c r="A557" s="13"/>
      <c r="B557" s="13"/>
      <c r="D557" s="13"/>
      <c r="E557" s="13"/>
      <c r="G557" s="13"/>
    </row>
    <row r="558" spans="1:7" x14ac:dyDescent="0.2">
      <c r="A558" s="13"/>
      <c r="B558" s="13"/>
      <c r="D558" s="13"/>
      <c r="E558" s="13"/>
      <c r="G558" s="13"/>
    </row>
    <row r="559" spans="1:7" x14ac:dyDescent="0.2">
      <c r="A559" s="13"/>
      <c r="B559" s="13"/>
      <c r="D559" s="13"/>
      <c r="E559" s="13"/>
      <c r="G559" s="13"/>
    </row>
    <row r="560" spans="1:7" x14ac:dyDescent="0.2">
      <c r="A560" s="13"/>
      <c r="B560" s="13"/>
      <c r="D560" s="13"/>
      <c r="E560" s="13"/>
      <c r="G560" s="13"/>
    </row>
    <row r="561" spans="1:7" x14ac:dyDescent="0.2">
      <c r="A561" s="13"/>
    </row>
    <row r="562" spans="1:7" x14ac:dyDescent="0.2">
      <c r="A562" s="13"/>
    </row>
    <row r="563" spans="1:7" x14ac:dyDescent="0.2">
      <c r="A563" s="13"/>
    </row>
    <row r="564" spans="1:7" x14ac:dyDescent="0.2">
      <c r="A564" s="13"/>
      <c r="B564" s="13"/>
      <c r="D564" s="13"/>
      <c r="E564" s="13"/>
      <c r="G564" s="13"/>
    </row>
    <row r="565" spans="1:7" x14ac:dyDescent="0.2">
      <c r="A565" s="13"/>
      <c r="B565" s="13"/>
      <c r="D565" s="13"/>
      <c r="E565" s="13"/>
      <c r="G565" s="13"/>
    </row>
    <row r="566" spans="1:7" x14ac:dyDescent="0.2">
      <c r="A566" s="13"/>
      <c r="B566" s="13"/>
      <c r="D566" s="13"/>
      <c r="E566" s="13"/>
      <c r="G566" s="13"/>
    </row>
    <row r="567" spans="1:7" x14ac:dyDescent="0.2">
      <c r="A567" s="13"/>
      <c r="B567" s="13"/>
      <c r="D567" s="13"/>
      <c r="E567" s="13"/>
      <c r="G567" s="13"/>
    </row>
    <row r="568" spans="1:7" x14ac:dyDescent="0.2">
      <c r="A568" s="13"/>
      <c r="B568" s="13"/>
      <c r="D568" s="13"/>
      <c r="E568" s="13"/>
      <c r="G568" s="13"/>
    </row>
    <row r="569" spans="1:7" x14ac:dyDescent="0.2">
      <c r="A569" s="13"/>
      <c r="B569" s="13"/>
      <c r="D569" s="13"/>
      <c r="E569" s="13"/>
      <c r="G569" s="13"/>
    </row>
    <row r="570" spans="1:7" x14ac:dyDescent="0.2">
      <c r="A570" s="13"/>
      <c r="B570" s="13"/>
      <c r="D570" s="13"/>
      <c r="E570" s="13"/>
      <c r="G570" s="13"/>
    </row>
    <row r="571" spans="1:7" x14ac:dyDescent="0.2">
      <c r="A571" s="13"/>
      <c r="B571" s="13"/>
      <c r="D571" s="13"/>
      <c r="E571" s="13"/>
      <c r="G571" s="13"/>
    </row>
    <row r="572" spans="1:7" x14ac:dyDescent="0.2">
      <c r="A572" s="13"/>
      <c r="B572" s="13"/>
      <c r="D572" s="13"/>
      <c r="E572" s="13"/>
      <c r="G572" s="13"/>
    </row>
    <row r="573" spans="1:7" x14ac:dyDescent="0.2">
      <c r="A573" s="13"/>
      <c r="B573" s="13"/>
      <c r="D573" s="13"/>
      <c r="E573" s="13"/>
      <c r="G573" s="13"/>
    </row>
    <row r="574" spans="1:7" x14ac:dyDescent="0.2">
      <c r="A574" s="13"/>
      <c r="B574" s="13"/>
      <c r="D574" s="13"/>
      <c r="E574" s="13"/>
      <c r="G574" s="13"/>
    </row>
    <row r="575" spans="1:7" x14ac:dyDescent="0.2">
      <c r="A575" s="13"/>
    </row>
    <row r="576" spans="1:7" x14ac:dyDescent="0.2">
      <c r="A576" s="13"/>
    </row>
    <row r="577" spans="1:7" x14ac:dyDescent="0.2">
      <c r="A577" s="13"/>
    </row>
    <row r="578" spans="1:7" x14ac:dyDescent="0.2">
      <c r="A578" s="13"/>
      <c r="B578" s="13"/>
      <c r="D578" s="13"/>
      <c r="E578" s="13"/>
      <c r="G578" s="13"/>
    </row>
    <row r="579" spans="1:7" x14ac:dyDescent="0.2">
      <c r="A579" s="13"/>
      <c r="B579" s="13"/>
      <c r="D579" s="13"/>
      <c r="E579" s="13"/>
      <c r="G579" s="13"/>
    </row>
    <row r="580" spans="1:7" x14ac:dyDescent="0.2">
      <c r="A580" s="13"/>
      <c r="B580" s="13"/>
      <c r="D580" s="13"/>
      <c r="E580" s="13"/>
      <c r="G580" s="13"/>
    </row>
    <row r="581" spans="1:7" x14ac:dyDescent="0.2">
      <c r="A581" s="13"/>
      <c r="B581" s="13"/>
      <c r="D581" s="13"/>
      <c r="E581" s="13"/>
      <c r="G581" s="13"/>
    </row>
    <row r="582" spans="1:7" x14ac:dyDescent="0.2">
      <c r="A582" s="13"/>
    </row>
    <row r="583" spans="1:7" x14ac:dyDescent="0.2">
      <c r="A583" s="13"/>
    </row>
    <row r="584" spans="1:7" x14ac:dyDescent="0.2">
      <c r="A584" s="13"/>
    </row>
    <row r="585" spans="1:7" x14ac:dyDescent="0.2">
      <c r="A585" s="13"/>
      <c r="B585" s="13"/>
      <c r="D585" s="13"/>
      <c r="E585" s="13"/>
      <c r="G585" s="13"/>
    </row>
    <row r="586" spans="1:7" x14ac:dyDescent="0.2">
      <c r="A586" s="13"/>
    </row>
    <row r="587" spans="1:7" x14ac:dyDescent="0.2">
      <c r="A587" s="13"/>
    </row>
    <row r="588" spans="1:7" x14ac:dyDescent="0.2">
      <c r="A588" s="13"/>
    </row>
    <row r="589" spans="1:7" x14ac:dyDescent="0.2">
      <c r="A589" s="13"/>
      <c r="B589" s="13"/>
      <c r="D589" s="13"/>
      <c r="E589" s="13"/>
      <c r="G589" s="13"/>
    </row>
    <row r="590" spans="1:7" x14ac:dyDescent="0.2">
      <c r="A590" s="13"/>
      <c r="B590" s="13"/>
      <c r="D590" s="13"/>
      <c r="E590" s="13"/>
      <c r="G590" s="13"/>
    </row>
    <row r="591" spans="1:7" x14ac:dyDescent="0.2">
      <c r="A591" s="13"/>
      <c r="B591" s="13"/>
      <c r="D591" s="13"/>
      <c r="E591" s="13"/>
      <c r="G591" s="13"/>
    </row>
    <row r="592" spans="1:7" x14ac:dyDescent="0.2">
      <c r="A592" s="13"/>
      <c r="B592" s="13"/>
      <c r="D592" s="13"/>
      <c r="E592" s="13"/>
      <c r="G592" s="13"/>
    </row>
    <row r="593" spans="1:7" x14ac:dyDescent="0.2">
      <c r="A593" s="13"/>
      <c r="B593" s="13"/>
      <c r="D593" s="13"/>
      <c r="E593" s="13"/>
      <c r="G593" s="13"/>
    </row>
    <row r="594" spans="1:7" x14ac:dyDescent="0.2">
      <c r="A594" s="13"/>
      <c r="B594" s="13"/>
      <c r="D594" s="13"/>
      <c r="E594" s="13"/>
      <c r="G594" s="13"/>
    </row>
    <row r="595" spans="1:7" x14ac:dyDescent="0.2">
      <c r="A595" s="13"/>
      <c r="B595" s="13"/>
      <c r="D595" s="13"/>
      <c r="E595" s="13"/>
      <c r="G595" s="13"/>
    </row>
    <row r="596" spans="1:7" x14ac:dyDescent="0.2">
      <c r="A596" s="13"/>
      <c r="B596" s="13"/>
      <c r="D596" s="13"/>
      <c r="E596" s="13"/>
      <c r="G596" s="13"/>
    </row>
    <row r="597" spans="1:7" x14ac:dyDescent="0.2">
      <c r="A597" s="13"/>
      <c r="B597" s="13"/>
      <c r="D597" s="13"/>
      <c r="E597" s="13"/>
      <c r="G597" s="13"/>
    </row>
    <row r="598" spans="1:7" x14ac:dyDescent="0.2">
      <c r="A598" s="13"/>
      <c r="B598" s="13"/>
      <c r="D598" s="13"/>
      <c r="E598" s="13"/>
      <c r="G598" s="13"/>
    </row>
    <row r="599" spans="1:7" x14ac:dyDescent="0.2">
      <c r="A599" s="13"/>
      <c r="B599" s="13"/>
      <c r="D599" s="13"/>
      <c r="E599" s="13"/>
      <c r="G599" s="13"/>
    </row>
    <row r="600" spans="1:7" x14ac:dyDescent="0.2">
      <c r="A600" s="13"/>
      <c r="B600" s="13"/>
      <c r="D600" s="13"/>
      <c r="E600" s="13"/>
      <c r="G600" s="13"/>
    </row>
    <row r="601" spans="1:7" x14ac:dyDescent="0.2">
      <c r="A601" s="13"/>
      <c r="B601" s="13"/>
      <c r="D601" s="13"/>
      <c r="E601" s="13"/>
      <c r="G601" s="13"/>
    </row>
    <row r="602" spans="1:7" x14ac:dyDescent="0.2">
      <c r="A602" s="13"/>
      <c r="B602" s="13"/>
      <c r="D602" s="13"/>
      <c r="E602" s="13"/>
      <c r="G602" s="13"/>
    </row>
    <row r="603" spans="1:7" x14ac:dyDescent="0.2">
      <c r="A603" s="13"/>
      <c r="B603" s="13"/>
      <c r="D603" s="13"/>
      <c r="E603" s="13"/>
      <c r="G603" s="13"/>
    </row>
    <row r="604" spans="1:7" x14ac:dyDescent="0.2">
      <c r="A604" s="13"/>
      <c r="B604" s="13"/>
      <c r="D604" s="13"/>
      <c r="E604" s="13"/>
      <c r="G604" s="13"/>
    </row>
    <row r="605" spans="1:7" x14ac:dyDescent="0.2">
      <c r="A605" s="13"/>
      <c r="B605" s="13"/>
      <c r="D605" s="13"/>
      <c r="E605" s="13"/>
      <c r="G605" s="13"/>
    </row>
    <row r="606" spans="1:7" x14ac:dyDescent="0.2">
      <c r="A606" s="13"/>
      <c r="B606" s="13"/>
      <c r="D606" s="13"/>
      <c r="E606" s="13"/>
      <c r="G606" s="13"/>
    </row>
    <row r="607" spans="1:7" x14ac:dyDescent="0.2">
      <c r="A607" s="13"/>
      <c r="B607" s="13"/>
      <c r="D607" s="13"/>
      <c r="E607" s="13"/>
      <c r="G607" s="13"/>
    </row>
    <row r="608" spans="1:7" x14ac:dyDescent="0.2">
      <c r="A608" s="13"/>
      <c r="B608" s="13"/>
      <c r="D608" s="13"/>
      <c r="E608" s="13"/>
      <c r="G608" s="13"/>
    </row>
    <row r="609" spans="1:7" x14ac:dyDescent="0.2">
      <c r="A609" s="13"/>
      <c r="B609" s="13"/>
      <c r="D609" s="13"/>
      <c r="E609" s="13"/>
      <c r="G609" s="13"/>
    </row>
    <row r="610" spans="1:7" x14ac:dyDescent="0.2">
      <c r="A610" s="13"/>
      <c r="B610" s="13"/>
      <c r="D610" s="13"/>
      <c r="E610" s="13"/>
      <c r="G610" s="13"/>
    </row>
    <row r="611" spans="1:7" x14ac:dyDescent="0.2">
      <c r="A611" s="13"/>
      <c r="B611" s="13"/>
      <c r="D611" s="13"/>
      <c r="E611" s="13"/>
      <c r="G611" s="13"/>
    </row>
    <row r="612" spans="1:7" x14ac:dyDescent="0.2">
      <c r="A612" s="13"/>
      <c r="B612" s="13"/>
      <c r="D612" s="13"/>
      <c r="E612" s="13"/>
      <c r="G612" s="13"/>
    </row>
    <row r="613" spans="1:7" x14ac:dyDescent="0.2">
      <c r="A613" s="13"/>
      <c r="B613" s="13"/>
      <c r="D613" s="13"/>
      <c r="E613" s="13"/>
      <c r="G613" s="13"/>
    </row>
    <row r="614" spans="1:7" x14ac:dyDescent="0.2">
      <c r="A614" s="13"/>
      <c r="B614" s="13"/>
      <c r="D614" s="13"/>
      <c r="E614" s="13"/>
      <c r="G614" s="13"/>
    </row>
    <row r="615" spans="1:7" x14ac:dyDescent="0.2">
      <c r="A615" s="13"/>
      <c r="B615" s="13"/>
      <c r="D615" s="13"/>
      <c r="E615" s="13"/>
      <c r="G615" s="13"/>
    </row>
    <row r="616" spans="1:7" x14ac:dyDescent="0.2">
      <c r="A616" s="13"/>
      <c r="B616" s="13"/>
      <c r="D616" s="13"/>
      <c r="E616" s="13"/>
      <c r="G616" s="13"/>
    </row>
    <row r="617" spans="1:7" x14ac:dyDescent="0.2">
      <c r="A617" s="13"/>
      <c r="B617" s="13"/>
      <c r="D617" s="13"/>
      <c r="E617" s="13"/>
      <c r="G617" s="13"/>
    </row>
    <row r="618" spans="1:7" x14ac:dyDescent="0.2">
      <c r="A618" s="13"/>
      <c r="B618" s="13"/>
      <c r="D618" s="13"/>
      <c r="E618" s="13"/>
      <c r="G618" s="13"/>
    </row>
    <row r="619" spans="1:7" x14ac:dyDescent="0.2">
      <c r="A619" s="13"/>
      <c r="B619" s="13"/>
      <c r="D619" s="13"/>
      <c r="E619" s="13"/>
      <c r="G619" s="13"/>
    </row>
    <row r="620" spans="1:7" x14ac:dyDescent="0.2">
      <c r="A620" s="13"/>
      <c r="B620" s="13"/>
      <c r="D620" s="13"/>
      <c r="E620" s="13"/>
      <c r="G620" s="13"/>
    </row>
    <row r="621" spans="1:7" x14ac:dyDescent="0.2">
      <c r="A621" s="13"/>
      <c r="B621" s="13"/>
      <c r="D621" s="13"/>
      <c r="E621" s="13"/>
      <c r="G621" s="13"/>
    </row>
    <row r="622" spans="1:7" x14ac:dyDescent="0.2">
      <c r="A622" s="13"/>
      <c r="B622" s="13"/>
      <c r="D622" s="13"/>
      <c r="E622" s="13"/>
      <c r="G622" s="13"/>
    </row>
    <row r="623" spans="1:7" x14ac:dyDescent="0.2">
      <c r="A623" s="13"/>
      <c r="B623" s="13"/>
      <c r="D623" s="13"/>
      <c r="E623" s="13"/>
      <c r="G623" s="13"/>
    </row>
    <row r="624" spans="1:7" x14ac:dyDescent="0.2">
      <c r="A624" s="13"/>
      <c r="B624" s="13"/>
      <c r="D624" s="13"/>
      <c r="E624" s="13"/>
      <c r="G624" s="13"/>
    </row>
    <row r="625" spans="1:7" x14ac:dyDescent="0.2">
      <c r="A625" s="13"/>
      <c r="B625" s="13"/>
      <c r="D625" s="13"/>
      <c r="E625" s="13"/>
      <c r="G625" s="13"/>
    </row>
    <row r="626" spans="1:7" x14ac:dyDescent="0.2">
      <c r="A626" s="13"/>
      <c r="B626" s="13"/>
      <c r="D626" s="13"/>
      <c r="E626" s="13"/>
      <c r="G626" s="13"/>
    </row>
    <row r="627" spans="1:7" x14ac:dyDescent="0.2">
      <c r="A627" s="13"/>
      <c r="B627" s="13"/>
      <c r="D627" s="13"/>
      <c r="E627" s="13"/>
      <c r="G627" s="13"/>
    </row>
    <row r="628" spans="1:7" x14ac:dyDescent="0.2">
      <c r="A628" s="13"/>
      <c r="B628" s="13"/>
      <c r="D628" s="13"/>
      <c r="E628" s="13"/>
      <c r="G628" s="13"/>
    </row>
    <row r="629" spans="1:7" x14ac:dyDescent="0.2">
      <c r="A629" s="13"/>
      <c r="B629" s="13"/>
      <c r="D629" s="13"/>
      <c r="E629" s="13"/>
      <c r="G629" s="13"/>
    </row>
    <row r="630" spans="1:7" x14ac:dyDescent="0.2">
      <c r="A630" s="13"/>
      <c r="B630" s="13"/>
      <c r="D630" s="13"/>
      <c r="E630" s="13"/>
      <c r="G630" s="13"/>
    </row>
    <row r="631" spans="1:7" x14ac:dyDescent="0.2">
      <c r="A631" s="13"/>
      <c r="B631" s="13"/>
      <c r="D631" s="13"/>
      <c r="E631" s="13"/>
      <c r="G631" s="13"/>
    </row>
    <row r="632" spans="1:7" x14ac:dyDescent="0.2">
      <c r="A632" s="13"/>
      <c r="B632" s="13"/>
      <c r="D632" s="13"/>
      <c r="E632" s="13"/>
      <c r="G632" s="13"/>
    </row>
    <row r="633" spans="1:7" x14ac:dyDescent="0.2">
      <c r="A633" s="13"/>
      <c r="B633" s="13"/>
      <c r="D633" s="13"/>
      <c r="E633" s="13"/>
      <c r="G633" s="13"/>
    </row>
    <row r="634" spans="1:7" x14ac:dyDescent="0.2">
      <c r="A634" s="13"/>
      <c r="B634" s="13"/>
      <c r="D634" s="13"/>
      <c r="E634" s="13"/>
      <c r="G634" s="13"/>
    </row>
    <row r="635" spans="1:7" x14ac:dyDescent="0.2">
      <c r="A635" s="13"/>
      <c r="B635" s="13"/>
      <c r="D635" s="13"/>
      <c r="E635" s="13"/>
      <c r="G635" s="13"/>
    </row>
    <row r="636" spans="1:7" x14ac:dyDescent="0.2">
      <c r="A636" s="13"/>
      <c r="B636" s="13"/>
      <c r="D636" s="13"/>
      <c r="E636" s="13"/>
      <c r="G636" s="13"/>
    </row>
    <row r="637" spans="1:7" x14ac:dyDescent="0.2">
      <c r="A637" s="13"/>
      <c r="B637" s="13"/>
      <c r="D637" s="13"/>
      <c r="E637" s="13"/>
      <c r="G637" s="13"/>
    </row>
    <row r="638" spans="1:7" x14ac:dyDescent="0.2">
      <c r="A638" s="13"/>
      <c r="B638" s="13"/>
      <c r="D638" s="13"/>
      <c r="E638" s="13"/>
      <c r="G638" s="13"/>
    </row>
    <row r="639" spans="1:7" x14ac:dyDescent="0.2">
      <c r="A639" s="13"/>
      <c r="B639" s="13"/>
      <c r="D639" s="13"/>
      <c r="E639" s="13"/>
      <c r="G639" s="13"/>
    </row>
    <row r="640" spans="1:7" x14ac:dyDescent="0.2">
      <c r="A640" s="13"/>
      <c r="B640" s="13"/>
      <c r="D640" s="13"/>
      <c r="E640" s="13"/>
      <c r="G640" s="13"/>
    </row>
    <row r="641" spans="1:7" x14ac:dyDescent="0.2">
      <c r="A641" s="13"/>
    </row>
    <row r="642" spans="1:7" x14ac:dyDescent="0.2">
      <c r="A642" s="13"/>
    </row>
    <row r="643" spans="1:7" x14ac:dyDescent="0.2">
      <c r="A643" s="13"/>
    </row>
    <row r="644" spans="1:7" x14ac:dyDescent="0.2">
      <c r="A644" s="13"/>
      <c r="B644" s="13"/>
      <c r="D644" s="13"/>
      <c r="E644" s="13"/>
      <c r="G644" s="13"/>
    </row>
    <row r="645" spans="1:7" x14ac:dyDescent="0.2">
      <c r="A645" s="13"/>
      <c r="B645" s="13"/>
      <c r="D645" s="13"/>
      <c r="E645" s="13"/>
      <c r="G645" s="13"/>
    </row>
    <row r="646" spans="1:7" x14ac:dyDescent="0.2">
      <c r="A646" s="13"/>
      <c r="B646" s="13"/>
      <c r="D646" s="13"/>
      <c r="E646" s="13"/>
      <c r="G646" s="13"/>
    </row>
    <row r="647" spans="1:7" x14ac:dyDescent="0.2">
      <c r="A647" s="13"/>
      <c r="B647" s="13"/>
      <c r="D647" s="13"/>
      <c r="E647" s="13"/>
      <c r="G647" s="13"/>
    </row>
    <row r="648" spans="1:7" x14ac:dyDescent="0.2">
      <c r="A648" s="13"/>
      <c r="B648" s="13"/>
      <c r="D648" s="13"/>
      <c r="E648" s="13"/>
      <c r="G648" s="13"/>
    </row>
    <row r="649" spans="1:7" x14ac:dyDescent="0.2">
      <c r="A649" s="13"/>
      <c r="B649" s="13"/>
      <c r="D649" s="13"/>
      <c r="E649" s="13"/>
      <c r="G649" s="13"/>
    </row>
    <row r="650" spans="1:7" x14ac:dyDescent="0.2">
      <c r="A650" s="13"/>
      <c r="B650" s="13"/>
      <c r="D650" s="13"/>
      <c r="E650" s="13"/>
      <c r="G650" s="13"/>
    </row>
    <row r="651" spans="1:7" x14ac:dyDescent="0.2">
      <c r="A651" s="13"/>
      <c r="B651" s="13"/>
      <c r="D651" s="13"/>
      <c r="E651" s="13"/>
      <c r="G651" s="13"/>
    </row>
    <row r="652" spans="1:7" x14ac:dyDescent="0.2">
      <c r="A652" s="13"/>
      <c r="B652" s="13"/>
      <c r="D652" s="13"/>
      <c r="E652" s="13"/>
      <c r="G652" s="13"/>
    </row>
    <row r="653" spans="1:7" x14ac:dyDescent="0.2">
      <c r="A653" s="13"/>
      <c r="B653" s="13"/>
      <c r="D653" s="13"/>
      <c r="E653" s="13"/>
      <c r="G653" s="13"/>
    </row>
    <row r="654" spans="1:7" x14ac:dyDescent="0.2">
      <c r="A654" s="13"/>
      <c r="B654" s="13"/>
      <c r="D654" s="13"/>
      <c r="E654" s="13"/>
      <c r="G654" s="13"/>
    </row>
    <row r="655" spans="1:7" x14ac:dyDescent="0.2">
      <c r="A655" s="13"/>
    </row>
    <row r="656" spans="1:7" x14ac:dyDescent="0.2">
      <c r="A656" s="13"/>
    </row>
    <row r="657" spans="1:7" x14ac:dyDescent="0.2">
      <c r="A657" s="13"/>
      <c r="B657" s="13"/>
    </row>
    <row r="658" spans="1:7" x14ac:dyDescent="0.2">
      <c r="A658" s="13"/>
      <c r="B658" s="13"/>
    </row>
    <row r="659" spans="1:7" x14ac:dyDescent="0.2">
      <c r="A659" s="13"/>
    </row>
    <row r="660" spans="1:7" x14ac:dyDescent="0.2">
      <c r="A660" s="13"/>
      <c r="B660" s="13"/>
    </row>
    <row r="661" spans="1:7" x14ac:dyDescent="0.2">
      <c r="A661" s="13"/>
      <c r="B661" s="13"/>
      <c r="D661" s="13"/>
      <c r="E661" s="13"/>
      <c r="F661" s="13"/>
    </row>
    <row r="662" spans="1:7" x14ac:dyDescent="0.2">
      <c r="A662" s="13"/>
      <c r="B662" s="13"/>
      <c r="D662" s="13"/>
      <c r="E662" s="13"/>
      <c r="G662" s="13"/>
    </row>
    <row r="663" spans="1:7" x14ac:dyDescent="0.2">
      <c r="A663" s="13"/>
      <c r="B663" s="13"/>
      <c r="D663" s="13"/>
      <c r="E663" s="13"/>
      <c r="F663" s="13"/>
    </row>
    <row r="664" spans="1:7" x14ac:dyDescent="0.2">
      <c r="A664" s="13"/>
      <c r="B664" s="13"/>
      <c r="D664" s="13"/>
      <c r="E664" s="13"/>
      <c r="G664" s="13"/>
    </row>
    <row r="665" spans="1:7" x14ac:dyDescent="0.2">
      <c r="A665" s="13"/>
      <c r="B665" s="13"/>
      <c r="D665" s="13"/>
      <c r="E665" s="13"/>
      <c r="F665" s="13"/>
    </row>
    <row r="666" spans="1:7" x14ac:dyDescent="0.2">
      <c r="A666" s="13"/>
      <c r="B666" s="13"/>
      <c r="D666" s="13"/>
      <c r="E666" s="13"/>
      <c r="G666" s="13"/>
    </row>
    <row r="667" spans="1:7" x14ac:dyDescent="0.2">
      <c r="A667" s="13"/>
      <c r="B667" s="13"/>
      <c r="D667" s="13"/>
      <c r="E667" s="13"/>
      <c r="G667" s="13"/>
    </row>
    <row r="668" spans="1:7" x14ac:dyDescent="0.2">
      <c r="A668" s="13"/>
      <c r="B668" s="13"/>
      <c r="D668" s="13"/>
      <c r="E668" s="13"/>
      <c r="G668" s="13"/>
    </row>
    <row r="669" spans="1:7" x14ac:dyDescent="0.2">
      <c r="A669" s="13"/>
      <c r="B669" s="13"/>
      <c r="D669" s="13"/>
      <c r="E669" s="13"/>
      <c r="G669" s="13"/>
    </row>
    <row r="670" spans="1:7" x14ac:dyDescent="0.2">
      <c r="A670" s="13"/>
      <c r="B670" s="13"/>
      <c r="D670" s="13"/>
      <c r="E670" s="13"/>
      <c r="F670" s="13"/>
    </row>
    <row r="671" spans="1:7" x14ac:dyDescent="0.2">
      <c r="A671" s="13"/>
      <c r="B671" s="13"/>
    </row>
    <row r="672" spans="1:7" x14ac:dyDescent="0.2">
      <c r="A672" s="13"/>
    </row>
    <row r="673" spans="1:7" x14ac:dyDescent="0.2">
      <c r="A673" s="13"/>
      <c r="B673" s="13"/>
    </row>
    <row r="674" spans="1:7" x14ac:dyDescent="0.2">
      <c r="A674" s="13"/>
      <c r="B674" s="13"/>
      <c r="D674" s="13"/>
      <c r="E674" s="13"/>
      <c r="F674" s="13"/>
    </row>
    <row r="675" spans="1:7" x14ac:dyDescent="0.2">
      <c r="A675" s="13"/>
      <c r="B675" s="13"/>
      <c r="D675" s="13"/>
      <c r="E675" s="13"/>
      <c r="F675" s="13"/>
    </row>
    <row r="676" spans="1:7" x14ac:dyDescent="0.2">
      <c r="A676" s="13"/>
      <c r="B676" s="13"/>
      <c r="D676" s="13"/>
      <c r="E676" s="13"/>
      <c r="F676" s="13"/>
    </row>
    <row r="677" spans="1:7" x14ac:dyDescent="0.2">
      <c r="A677" s="13"/>
      <c r="B677" s="13"/>
      <c r="D677" s="13"/>
      <c r="E677" s="13"/>
      <c r="F677" s="13"/>
    </row>
    <row r="678" spans="1:7" x14ac:dyDescent="0.2">
      <c r="A678" s="13"/>
      <c r="B678" s="13"/>
      <c r="D678" s="13"/>
      <c r="E678" s="13"/>
      <c r="F678" s="13"/>
    </row>
    <row r="679" spans="1:7" x14ac:dyDescent="0.2">
      <c r="A679" s="13"/>
      <c r="B679" s="13"/>
      <c r="D679" s="13"/>
      <c r="E679" s="13"/>
      <c r="G679" s="13"/>
    </row>
    <row r="680" spans="1:7" x14ac:dyDescent="0.2">
      <c r="A680" s="13"/>
      <c r="B680" s="13"/>
      <c r="D680" s="13"/>
      <c r="E680" s="13"/>
      <c r="G680" s="13"/>
    </row>
    <row r="681" spans="1:7" x14ac:dyDescent="0.2">
      <c r="A681" s="13"/>
      <c r="B681" s="13"/>
      <c r="D681" s="13"/>
      <c r="E681" s="13"/>
      <c r="G681" s="13"/>
    </row>
    <row r="682" spans="1:7" x14ac:dyDescent="0.2">
      <c r="A682" s="13"/>
      <c r="B682" s="13"/>
      <c r="D682" s="13"/>
      <c r="E682" s="13"/>
      <c r="F682" s="13"/>
    </row>
    <row r="683" spans="1:7" x14ac:dyDescent="0.2">
      <c r="A683" s="13"/>
      <c r="B683" s="13"/>
      <c r="D683" s="13"/>
      <c r="E683" s="13"/>
      <c r="F683" s="13"/>
    </row>
    <row r="684" spans="1:7" x14ac:dyDescent="0.2">
      <c r="A684" s="13"/>
      <c r="B684" s="13"/>
      <c r="D684" s="13"/>
      <c r="E684" s="13"/>
      <c r="G684" s="13"/>
    </row>
    <row r="685" spans="1:7" x14ac:dyDescent="0.2">
      <c r="A685" s="13"/>
      <c r="B685" s="13"/>
      <c r="D685" s="13"/>
      <c r="E685" s="13"/>
      <c r="F685" s="13"/>
    </row>
    <row r="686" spans="1:7" x14ac:dyDescent="0.2">
      <c r="A686" s="13"/>
      <c r="B686" s="13"/>
      <c r="D686" s="13"/>
      <c r="E686" s="13"/>
      <c r="G686" s="13"/>
    </row>
    <row r="687" spans="1:7" x14ac:dyDescent="0.2">
      <c r="A687" s="13"/>
      <c r="B687" s="13"/>
      <c r="D687" s="13"/>
      <c r="E687" s="13"/>
      <c r="G687" s="13"/>
    </row>
    <row r="688" spans="1:7" x14ac:dyDescent="0.2">
      <c r="A688" s="13"/>
      <c r="B688" s="13"/>
      <c r="D688" s="13"/>
      <c r="E688" s="13"/>
      <c r="F688" s="13"/>
    </row>
    <row r="689" spans="1:7" x14ac:dyDescent="0.2">
      <c r="A689" s="13"/>
      <c r="B689" s="13"/>
      <c r="D689" s="13"/>
      <c r="E689" s="13"/>
      <c r="G689" s="13"/>
    </row>
    <row r="690" spans="1:7" x14ac:dyDescent="0.2">
      <c r="A690" s="13"/>
      <c r="B690" s="13"/>
      <c r="D690" s="13"/>
      <c r="E690" s="13"/>
      <c r="G690" s="13"/>
    </row>
    <row r="691" spans="1:7" x14ac:dyDescent="0.2">
      <c r="A691" s="13"/>
      <c r="B691" s="13"/>
      <c r="D691" s="13"/>
      <c r="E691" s="13"/>
      <c r="G691" s="13"/>
    </row>
    <row r="692" spans="1:7" x14ac:dyDescent="0.2">
      <c r="A692" s="13"/>
      <c r="B692" s="13"/>
      <c r="D692" s="13"/>
      <c r="E692" s="13"/>
      <c r="G692" s="13"/>
    </row>
    <row r="693" spans="1:7" x14ac:dyDescent="0.2">
      <c r="A693" s="13"/>
      <c r="B693" s="13"/>
      <c r="D693" s="13"/>
      <c r="E693" s="13"/>
      <c r="G693" s="13"/>
    </row>
    <row r="694" spans="1:7" x14ac:dyDescent="0.2">
      <c r="A694" s="13"/>
      <c r="B694" s="13"/>
      <c r="D694" s="13"/>
      <c r="E694" s="13"/>
      <c r="G694" s="13"/>
    </row>
    <row r="695" spans="1:7" x14ac:dyDescent="0.2">
      <c r="A695" s="13"/>
      <c r="B695" s="13"/>
      <c r="D695" s="13"/>
      <c r="E695" s="13"/>
      <c r="F695" s="13"/>
    </row>
    <row r="696" spans="1:7" x14ac:dyDescent="0.2">
      <c r="A696" s="13"/>
      <c r="B696" s="13"/>
      <c r="D696" s="13"/>
      <c r="E696" s="13"/>
      <c r="G696" s="13"/>
    </row>
    <row r="697" spans="1:7" x14ac:dyDescent="0.2">
      <c r="A697" s="13"/>
      <c r="B697" s="13"/>
      <c r="D697" s="13"/>
      <c r="E697" s="13"/>
      <c r="F697" s="13"/>
    </row>
    <row r="698" spans="1:7" x14ac:dyDescent="0.2">
      <c r="A698" s="13"/>
      <c r="B698" s="13"/>
      <c r="D698" s="13"/>
      <c r="E698" s="13"/>
      <c r="F698" s="13"/>
    </row>
    <row r="699" spans="1:7" x14ac:dyDescent="0.2">
      <c r="A699" s="13"/>
      <c r="B699" s="13"/>
      <c r="D699" s="13"/>
      <c r="E699" s="13"/>
      <c r="F699" s="13"/>
    </row>
    <row r="700" spans="1:7" x14ac:dyDescent="0.2">
      <c r="A700" s="13"/>
      <c r="B700" s="13"/>
      <c r="D700" s="13"/>
      <c r="E700" s="13"/>
      <c r="G700" s="13"/>
    </row>
    <row r="701" spans="1:7" x14ac:dyDescent="0.2">
      <c r="A701" s="13"/>
      <c r="B701" s="13"/>
      <c r="D701" s="13"/>
      <c r="E701" s="13"/>
      <c r="F701" s="13"/>
    </row>
    <row r="702" spans="1:7" x14ac:dyDescent="0.2">
      <c r="A702" s="13"/>
      <c r="B702" s="13"/>
      <c r="D702" s="13"/>
      <c r="E702" s="13"/>
      <c r="G702" s="13"/>
    </row>
    <row r="703" spans="1:7" x14ac:dyDescent="0.2">
      <c r="A703" s="13"/>
      <c r="B703" s="13"/>
      <c r="D703" s="13"/>
      <c r="E703" s="13"/>
      <c r="G703" s="13"/>
    </row>
    <row r="704" spans="1:7" x14ac:dyDescent="0.2">
      <c r="A704" s="13"/>
      <c r="B704" s="13"/>
      <c r="D704" s="13"/>
      <c r="E704" s="13"/>
      <c r="F704" s="13"/>
    </row>
    <row r="705" spans="1:7" x14ac:dyDescent="0.2">
      <c r="A705" s="13"/>
      <c r="B705" s="13"/>
      <c r="D705" s="13"/>
      <c r="E705" s="13"/>
      <c r="G705" s="13"/>
    </row>
    <row r="706" spans="1:7" x14ac:dyDescent="0.2">
      <c r="A706" s="13"/>
      <c r="B706" s="13"/>
      <c r="D706" s="13"/>
      <c r="E706" s="13"/>
      <c r="F706" s="13"/>
    </row>
    <row r="707" spans="1:7" x14ac:dyDescent="0.2">
      <c r="A707" s="13"/>
      <c r="B707" s="13"/>
    </row>
    <row r="708" spans="1:7" x14ac:dyDescent="0.2">
      <c r="A708" s="13"/>
    </row>
    <row r="709" spans="1:7" x14ac:dyDescent="0.2">
      <c r="A709" s="13"/>
    </row>
    <row r="710" spans="1:7" x14ac:dyDescent="0.2">
      <c r="A710" s="13"/>
      <c r="B710" s="13"/>
      <c r="D710" s="13"/>
      <c r="E710" s="13"/>
      <c r="F710" s="13"/>
    </row>
    <row r="711" spans="1:7" x14ac:dyDescent="0.2">
      <c r="A711" s="13"/>
      <c r="B711" s="13"/>
      <c r="D711" s="13"/>
      <c r="E711" s="13"/>
      <c r="G711" s="13"/>
    </row>
    <row r="712" spans="1:7" x14ac:dyDescent="0.2">
      <c r="A712" s="13"/>
      <c r="B712" s="13"/>
      <c r="D712" s="13"/>
      <c r="E712" s="13"/>
      <c r="F712" s="13"/>
    </row>
    <row r="713" spans="1:7" x14ac:dyDescent="0.2">
      <c r="A713" s="13"/>
      <c r="B713" s="13"/>
      <c r="D713" s="13"/>
      <c r="E713" s="13"/>
      <c r="G713" s="13"/>
    </row>
    <row r="714" spans="1:7" x14ac:dyDescent="0.2">
      <c r="A714" s="13"/>
      <c r="B714" s="13"/>
      <c r="D714" s="13"/>
      <c r="E714" s="13"/>
      <c r="G714" s="13"/>
    </row>
    <row r="715" spans="1:7" x14ac:dyDescent="0.2">
      <c r="A715" s="13"/>
      <c r="B715" s="13"/>
      <c r="D715" s="13"/>
      <c r="E715" s="13"/>
      <c r="F715" s="13"/>
    </row>
    <row r="716" spans="1:7" x14ac:dyDescent="0.2">
      <c r="A716" s="13"/>
      <c r="B716" s="13"/>
      <c r="D716" s="13"/>
      <c r="E716" s="13"/>
      <c r="G716" s="13"/>
    </row>
    <row r="717" spans="1:7" x14ac:dyDescent="0.2">
      <c r="A717" s="13"/>
      <c r="B717" s="13"/>
      <c r="D717" s="13"/>
      <c r="E717" s="13"/>
      <c r="F717" s="13"/>
    </row>
    <row r="718" spans="1:7" x14ac:dyDescent="0.2">
      <c r="A718" s="13"/>
      <c r="B718" s="13"/>
      <c r="D718" s="13"/>
      <c r="E718" s="13"/>
      <c r="G718" s="13"/>
    </row>
    <row r="719" spans="1:7" x14ac:dyDescent="0.2">
      <c r="A719" s="13"/>
    </row>
    <row r="720" spans="1:7" x14ac:dyDescent="0.2">
      <c r="A720" s="13"/>
    </row>
    <row r="721" spans="1:7" x14ac:dyDescent="0.2">
      <c r="A721" s="13"/>
    </row>
    <row r="722" spans="1:7" x14ac:dyDescent="0.2">
      <c r="A722" s="13"/>
      <c r="B722" s="13"/>
      <c r="D722" s="13"/>
      <c r="E722" s="13"/>
      <c r="G722" s="13"/>
    </row>
    <row r="723" spans="1:7" x14ac:dyDescent="0.2">
      <c r="A723" s="13"/>
    </row>
    <row r="724" spans="1:7" x14ac:dyDescent="0.2">
      <c r="A724" s="13"/>
    </row>
    <row r="725" spans="1:7" x14ac:dyDescent="0.2">
      <c r="A725" s="13"/>
    </row>
    <row r="726" spans="1:7" x14ac:dyDescent="0.2">
      <c r="A726" s="13"/>
      <c r="B726" s="13"/>
      <c r="D726" s="13"/>
      <c r="E726" s="13"/>
      <c r="F726" s="13"/>
    </row>
    <row r="727" spans="1:7" x14ac:dyDescent="0.2">
      <c r="A727" s="13"/>
    </row>
    <row r="728" spans="1:7" x14ac:dyDescent="0.2">
      <c r="A728" s="13"/>
    </row>
    <row r="729" spans="1:7" x14ac:dyDescent="0.2">
      <c r="A729" s="13"/>
      <c r="B729" s="13"/>
    </row>
    <row r="730" spans="1:7" x14ac:dyDescent="0.2">
      <c r="A730" s="13"/>
      <c r="B730" s="13"/>
      <c r="D730" s="13"/>
      <c r="E730" s="13"/>
      <c r="G730" s="13"/>
    </row>
    <row r="731" spans="1:7" x14ac:dyDescent="0.2">
      <c r="A731" s="13"/>
      <c r="B731" s="13"/>
      <c r="D731" s="13"/>
      <c r="E731" s="13"/>
      <c r="G731" s="13"/>
    </row>
    <row r="732" spans="1:7" x14ac:dyDescent="0.2">
      <c r="A732" s="13"/>
      <c r="B732" s="13"/>
    </row>
    <row r="733" spans="1:7" x14ac:dyDescent="0.2">
      <c r="A733" s="13"/>
    </row>
    <row r="734" spans="1:7" x14ac:dyDescent="0.2">
      <c r="A734" s="13"/>
    </row>
    <row r="735" spans="1:7" x14ac:dyDescent="0.2">
      <c r="A735" s="13"/>
      <c r="B735" s="13"/>
      <c r="D735" s="13"/>
      <c r="E735" s="13"/>
      <c r="F735" s="13"/>
    </row>
    <row r="736" spans="1:7" x14ac:dyDescent="0.2">
      <c r="A736" s="13"/>
      <c r="B736" s="13"/>
      <c r="D736" s="13"/>
      <c r="E736" s="13"/>
      <c r="G736" s="13"/>
    </row>
    <row r="737" spans="1:7" x14ac:dyDescent="0.2">
      <c r="A737" s="13"/>
      <c r="B737" s="13"/>
      <c r="D737" s="13"/>
      <c r="E737" s="13"/>
      <c r="F737" s="13"/>
    </row>
    <row r="738" spans="1:7" x14ac:dyDescent="0.2">
      <c r="A738" s="13"/>
      <c r="B738" s="13"/>
      <c r="D738" s="13"/>
      <c r="E738" s="13"/>
      <c r="F738" s="13"/>
    </row>
    <row r="739" spans="1:7" x14ac:dyDescent="0.2">
      <c r="A739" s="13"/>
      <c r="B739" s="13"/>
      <c r="D739" s="13"/>
      <c r="E739" s="13"/>
      <c r="F739" s="13"/>
    </row>
    <row r="740" spans="1:7" x14ac:dyDescent="0.2">
      <c r="A740" s="13"/>
      <c r="B740" s="13"/>
      <c r="D740" s="13"/>
      <c r="E740" s="13"/>
      <c r="G740" s="13"/>
    </row>
    <row r="741" spans="1:7" x14ac:dyDescent="0.2">
      <c r="A741" s="13"/>
      <c r="B741" s="13"/>
      <c r="D741" s="13"/>
      <c r="E741" s="13"/>
      <c r="G741" s="13"/>
    </row>
    <row r="742" spans="1:7" x14ac:dyDescent="0.2">
      <c r="A742" s="13"/>
      <c r="B742" s="13"/>
      <c r="D742" s="13"/>
      <c r="E742" s="13"/>
      <c r="G742" s="13"/>
    </row>
    <row r="743" spans="1:7" x14ac:dyDescent="0.2">
      <c r="A743" s="13"/>
      <c r="B743" s="13"/>
      <c r="D743" s="13"/>
      <c r="E743" s="13"/>
      <c r="G743" s="13"/>
    </row>
    <row r="744" spans="1:7" x14ac:dyDescent="0.2">
      <c r="A744" s="13"/>
      <c r="B744" s="13"/>
      <c r="D744" s="13"/>
      <c r="E744" s="13"/>
      <c r="G744" s="13"/>
    </row>
    <row r="745" spans="1:7" x14ac:dyDescent="0.2">
      <c r="A745" s="13"/>
    </row>
    <row r="746" spans="1:7" x14ac:dyDescent="0.2">
      <c r="A746" s="13"/>
    </row>
    <row r="747" spans="1:7" x14ac:dyDescent="0.2">
      <c r="A747" s="13"/>
    </row>
    <row r="748" spans="1:7" x14ac:dyDescent="0.2">
      <c r="A748" s="13"/>
      <c r="B748" s="13"/>
      <c r="D748" s="13"/>
      <c r="E748" s="13"/>
      <c r="F748" s="13"/>
    </row>
    <row r="749" spans="1:7" x14ac:dyDescent="0.2">
      <c r="A749" s="13"/>
      <c r="B749" s="13"/>
      <c r="D749" s="13"/>
      <c r="E749" s="13"/>
      <c r="G749" s="13"/>
    </row>
    <row r="750" spans="1:7" x14ac:dyDescent="0.2">
      <c r="A750" s="13"/>
    </row>
    <row r="751" spans="1:7" x14ac:dyDescent="0.2">
      <c r="A751" s="13"/>
    </row>
    <row r="752" spans="1:7" x14ac:dyDescent="0.2">
      <c r="A752" s="13"/>
    </row>
    <row r="753" spans="1:7" x14ac:dyDescent="0.2">
      <c r="A753" s="13"/>
      <c r="B753" s="13"/>
      <c r="D753" s="13"/>
      <c r="E753" s="13"/>
      <c r="F753" s="13"/>
    </row>
    <row r="754" spans="1:7" x14ac:dyDescent="0.2">
      <c r="A754" s="13"/>
      <c r="B754" s="13"/>
      <c r="D754" s="13"/>
      <c r="E754" s="13"/>
      <c r="G754" s="13"/>
    </row>
    <row r="755" spans="1:7" x14ac:dyDescent="0.2">
      <c r="A755" s="13"/>
    </row>
    <row r="756" spans="1:7" x14ac:dyDescent="0.2">
      <c r="A756" s="13"/>
    </row>
    <row r="757" spans="1:7" x14ac:dyDescent="0.2">
      <c r="A757" s="13"/>
    </row>
    <row r="758" spans="1:7" x14ac:dyDescent="0.2">
      <c r="A758" s="13"/>
      <c r="B758" s="13"/>
      <c r="D758" s="13"/>
      <c r="E758" s="13"/>
      <c r="G758" s="13"/>
    </row>
    <row r="759" spans="1:7" x14ac:dyDescent="0.2">
      <c r="A759" s="13"/>
    </row>
    <row r="760" spans="1:7" x14ac:dyDescent="0.2">
      <c r="A760" s="13"/>
    </row>
    <row r="761" spans="1:7" x14ac:dyDescent="0.2">
      <c r="A761" s="13"/>
    </row>
    <row r="762" spans="1:7" x14ac:dyDescent="0.2">
      <c r="A762" s="13"/>
      <c r="B762" s="13"/>
      <c r="D762" s="13"/>
      <c r="E762" s="13"/>
      <c r="F762" s="13"/>
    </row>
    <row r="763" spans="1:7" x14ac:dyDescent="0.2">
      <c r="A763" s="13"/>
      <c r="B763" s="13"/>
      <c r="D763" s="13"/>
      <c r="E763" s="13"/>
      <c r="G763" s="13"/>
    </row>
    <row r="764" spans="1:7" x14ac:dyDescent="0.2">
      <c r="A764" s="13"/>
    </row>
    <row r="765" spans="1:7" x14ac:dyDescent="0.2">
      <c r="A765" s="13"/>
    </row>
    <row r="766" spans="1:7" x14ac:dyDescent="0.2">
      <c r="A766" s="13"/>
      <c r="B766" s="13"/>
    </row>
    <row r="767" spans="1:7" x14ac:dyDescent="0.2">
      <c r="A767" s="13"/>
      <c r="B767" s="13"/>
    </row>
    <row r="768" spans="1:7" x14ac:dyDescent="0.2">
      <c r="A768" s="13"/>
    </row>
    <row r="769" spans="1:7" x14ac:dyDescent="0.2">
      <c r="A769" s="13"/>
      <c r="B769" s="13"/>
    </row>
    <row r="770" spans="1:7" x14ac:dyDescent="0.2">
      <c r="A770" s="13"/>
      <c r="B770" s="13"/>
      <c r="D770" s="13"/>
      <c r="E770" s="13"/>
      <c r="F770" s="13"/>
    </row>
    <row r="771" spans="1:7" x14ac:dyDescent="0.2">
      <c r="A771" s="13"/>
      <c r="B771" s="13"/>
      <c r="D771" s="13"/>
      <c r="E771" s="13"/>
      <c r="F771" s="13"/>
    </row>
    <row r="772" spans="1:7" x14ac:dyDescent="0.2">
      <c r="A772" s="13"/>
      <c r="B772" s="13"/>
      <c r="D772" s="13"/>
      <c r="E772" s="13"/>
      <c r="G772" s="13"/>
    </row>
    <row r="773" spans="1:7" x14ac:dyDescent="0.2">
      <c r="A773" s="13"/>
      <c r="B773" s="13"/>
      <c r="D773" s="13"/>
      <c r="E773" s="13"/>
      <c r="G773" s="13"/>
    </row>
    <row r="774" spans="1:7" x14ac:dyDescent="0.2">
      <c r="A774" s="13"/>
      <c r="B774" s="13"/>
      <c r="D774" s="13"/>
      <c r="E774" s="13"/>
      <c r="F774" s="13"/>
    </row>
    <row r="775" spans="1:7" x14ac:dyDescent="0.2">
      <c r="A775" s="13"/>
      <c r="B775" s="13"/>
      <c r="D775" s="13"/>
      <c r="E775" s="13"/>
      <c r="G775" s="13"/>
    </row>
    <row r="776" spans="1:7" x14ac:dyDescent="0.2">
      <c r="A776" s="13"/>
      <c r="B776" s="13"/>
      <c r="D776" s="13"/>
      <c r="E776" s="13"/>
      <c r="G776" s="13"/>
    </row>
    <row r="777" spans="1:7" x14ac:dyDescent="0.2">
      <c r="A777" s="13"/>
      <c r="B777" s="13"/>
      <c r="D777" s="13"/>
      <c r="E777" s="13"/>
      <c r="F777" s="13"/>
    </row>
    <row r="778" spans="1:7" x14ac:dyDescent="0.2">
      <c r="A778" s="13"/>
      <c r="B778" s="13"/>
      <c r="D778" s="13"/>
      <c r="E778" s="13"/>
      <c r="G778" s="13"/>
    </row>
    <row r="779" spans="1:7" x14ac:dyDescent="0.2">
      <c r="A779" s="13"/>
      <c r="B779" s="13"/>
      <c r="D779" s="13"/>
      <c r="E779" s="13"/>
      <c r="G779" s="13"/>
    </row>
    <row r="780" spans="1:7" x14ac:dyDescent="0.2">
      <c r="A780" s="13"/>
      <c r="B780" s="13"/>
      <c r="D780" s="13"/>
      <c r="E780" s="13"/>
      <c r="F780" s="13"/>
    </row>
    <row r="781" spans="1:7" x14ac:dyDescent="0.2">
      <c r="A781" s="13"/>
      <c r="B781" s="13"/>
      <c r="D781" s="13"/>
      <c r="E781" s="13"/>
      <c r="G781" s="13"/>
    </row>
    <row r="782" spans="1:7" x14ac:dyDescent="0.2">
      <c r="A782" s="13"/>
      <c r="B782" s="13"/>
    </row>
    <row r="783" spans="1:7" x14ac:dyDescent="0.2">
      <c r="A783" s="13"/>
    </row>
    <row r="784" spans="1:7" x14ac:dyDescent="0.2">
      <c r="A784" s="13"/>
    </row>
    <row r="785" spans="1:6" x14ac:dyDescent="0.2">
      <c r="A785" s="13"/>
      <c r="C785" s="13"/>
    </row>
    <row r="786" spans="1:6" x14ac:dyDescent="0.2">
      <c r="A786" s="13"/>
    </row>
    <row r="787" spans="1:6" x14ac:dyDescent="0.2">
      <c r="A787" s="13"/>
    </row>
    <row r="788" spans="1:6" x14ac:dyDescent="0.2">
      <c r="A788" s="13"/>
      <c r="C788" s="13"/>
    </row>
    <row r="789" spans="1:6" x14ac:dyDescent="0.2">
      <c r="A789" s="13"/>
    </row>
    <row r="790" spans="1:6" x14ac:dyDescent="0.2">
      <c r="A790" s="13"/>
      <c r="B790" s="13"/>
    </row>
    <row r="791" spans="1:6" x14ac:dyDescent="0.2">
      <c r="A791" s="13"/>
      <c r="B791" s="13"/>
    </row>
    <row r="792" spans="1:6" x14ac:dyDescent="0.2">
      <c r="A792" s="13"/>
    </row>
    <row r="793" spans="1:6" x14ac:dyDescent="0.2">
      <c r="A793" s="13"/>
    </row>
    <row r="794" spans="1:6" x14ac:dyDescent="0.2">
      <c r="A794" s="13"/>
      <c r="C794" s="13"/>
    </row>
    <row r="795" spans="1:6" x14ac:dyDescent="0.2">
      <c r="A795" s="13"/>
    </row>
    <row r="796" spans="1:6" x14ac:dyDescent="0.2">
      <c r="A796" s="13"/>
    </row>
    <row r="797" spans="1:6" x14ac:dyDescent="0.2">
      <c r="A797" s="13"/>
      <c r="C797" s="13"/>
    </row>
    <row r="798" spans="1:6" x14ac:dyDescent="0.2">
      <c r="A798" s="13"/>
    </row>
    <row r="799" spans="1:6" x14ac:dyDescent="0.2">
      <c r="A799" s="13"/>
      <c r="B799" s="13"/>
    </row>
    <row r="800" spans="1:6" x14ac:dyDescent="0.2">
      <c r="A800" s="13"/>
      <c r="B800" s="13"/>
      <c r="D800" s="13"/>
      <c r="E800" s="13"/>
      <c r="F800" s="13"/>
    </row>
    <row r="801" spans="1:7" x14ac:dyDescent="0.2">
      <c r="A801" s="13"/>
      <c r="B801" s="13"/>
      <c r="D801" s="13"/>
      <c r="E801" s="13"/>
      <c r="F801" s="13"/>
    </row>
    <row r="802" spans="1:7" x14ac:dyDescent="0.2">
      <c r="A802" s="13"/>
      <c r="B802" s="13"/>
      <c r="D802" s="13"/>
      <c r="E802" s="13"/>
      <c r="G802" s="13"/>
    </row>
    <row r="803" spans="1:7" x14ac:dyDescent="0.2">
      <c r="A803" s="13"/>
      <c r="B803" s="13"/>
      <c r="D803" s="13"/>
      <c r="E803" s="13"/>
      <c r="G803" s="13"/>
    </row>
    <row r="804" spans="1:7" x14ac:dyDescent="0.2">
      <c r="A804" s="13"/>
      <c r="B804" s="13"/>
      <c r="D804" s="13"/>
      <c r="E804" s="13"/>
      <c r="G804" s="13"/>
    </row>
    <row r="805" spans="1:7" x14ac:dyDescent="0.2">
      <c r="A805" s="13"/>
      <c r="B805" s="13"/>
      <c r="D805" s="13"/>
      <c r="E805" s="13"/>
      <c r="G805" s="13"/>
    </row>
    <row r="806" spans="1:7" x14ac:dyDescent="0.2">
      <c r="A806" s="13"/>
      <c r="B806" s="13"/>
      <c r="D806" s="13"/>
      <c r="E806" s="13"/>
      <c r="F806" s="13"/>
    </row>
    <row r="807" spans="1:7" x14ac:dyDescent="0.2">
      <c r="A807" s="13"/>
      <c r="B807" s="13"/>
      <c r="D807" s="13"/>
      <c r="E807" s="13"/>
      <c r="F807" s="13"/>
    </row>
    <row r="808" spans="1:7" x14ac:dyDescent="0.2">
      <c r="A808" s="13"/>
      <c r="B808" s="13"/>
      <c r="D808" s="13"/>
      <c r="E808" s="13"/>
      <c r="G808" s="13"/>
    </row>
    <row r="809" spans="1:7" x14ac:dyDescent="0.2">
      <c r="A809" s="13"/>
      <c r="B809" s="13"/>
    </row>
    <row r="810" spans="1:7" x14ac:dyDescent="0.2">
      <c r="A810" s="13"/>
    </row>
    <row r="811" spans="1:7" x14ac:dyDescent="0.2">
      <c r="A811" s="13"/>
    </row>
    <row r="812" spans="1:7" x14ac:dyDescent="0.2">
      <c r="A812" s="13"/>
      <c r="B812" s="13"/>
      <c r="D812" s="13"/>
      <c r="E812" s="13"/>
      <c r="F812" s="13"/>
    </row>
    <row r="813" spans="1:7" x14ac:dyDescent="0.2">
      <c r="A813" s="13"/>
      <c r="B813" s="13"/>
      <c r="D813" s="13"/>
      <c r="E813" s="13"/>
      <c r="F813" s="13"/>
    </row>
    <row r="814" spans="1:7" x14ac:dyDescent="0.2">
      <c r="A814" s="13"/>
      <c r="B814" s="13"/>
      <c r="D814" s="13"/>
      <c r="E814" s="13"/>
      <c r="F814" s="13"/>
    </row>
    <row r="815" spans="1:7" x14ac:dyDescent="0.2">
      <c r="A815" s="13"/>
      <c r="B815" s="13"/>
      <c r="D815" s="13"/>
      <c r="E815" s="13"/>
      <c r="G815" s="13"/>
    </row>
    <row r="816" spans="1:7" x14ac:dyDescent="0.2">
      <c r="A816" s="13"/>
      <c r="B816" s="13"/>
    </row>
    <row r="817" spans="1:7" x14ac:dyDescent="0.2">
      <c r="A817" s="13"/>
    </row>
    <row r="818" spans="1:7" x14ac:dyDescent="0.2">
      <c r="A818" s="13"/>
    </row>
    <row r="819" spans="1:7" x14ac:dyDescent="0.2">
      <c r="A819" s="13"/>
      <c r="C819" s="13"/>
    </row>
    <row r="820" spans="1:7" x14ac:dyDescent="0.2">
      <c r="A820" s="13"/>
    </row>
    <row r="821" spans="1:7" x14ac:dyDescent="0.2">
      <c r="A821" s="13"/>
      <c r="B821" s="13"/>
    </row>
    <row r="822" spans="1:7" x14ac:dyDescent="0.2">
      <c r="A822" s="13"/>
      <c r="B822" s="13"/>
      <c r="D822" s="13"/>
      <c r="E822" s="13"/>
      <c r="G822" s="13"/>
    </row>
    <row r="823" spans="1:7" x14ac:dyDescent="0.2">
      <c r="A823" s="13"/>
      <c r="B823" s="13"/>
      <c r="D823" s="13"/>
      <c r="E823" s="13"/>
      <c r="G823" s="13"/>
    </row>
    <row r="824" spans="1:7" x14ac:dyDescent="0.2">
      <c r="A824" s="13"/>
      <c r="B824" s="13"/>
      <c r="D824" s="13"/>
      <c r="E824" s="13"/>
      <c r="G824" s="13"/>
    </row>
    <row r="825" spans="1:7" x14ac:dyDescent="0.2">
      <c r="A825" s="13"/>
      <c r="B825" s="13"/>
    </row>
    <row r="826" spans="1:7" x14ac:dyDescent="0.2">
      <c r="A826" s="13"/>
    </row>
    <row r="827" spans="1:7" x14ac:dyDescent="0.2">
      <c r="A827" s="13"/>
    </row>
    <row r="828" spans="1:7" x14ac:dyDescent="0.2">
      <c r="A828" s="13"/>
      <c r="C828" s="13"/>
    </row>
    <row r="829" spans="1:7" x14ac:dyDescent="0.2">
      <c r="A829" s="13"/>
    </row>
    <row r="830" spans="1:7" x14ac:dyDescent="0.2">
      <c r="A830" s="13"/>
      <c r="B830" s="13"/>
    </row>
    <row r="831" spans="1:7" x14ac:dyDescent="0.2">
      <c r="A831" s="13"/>
      <c r="B831" s="13"/>
    </row>
    <row r="832" spans="1:7" x14ac:dyDescent="0.2">
      <c r="A832" s="13"/>
    </row>
    <row r="833" spans="1:7" x14ac:dyDescent="0.2">
      <c r="A833" s="13"/>
    </row>
    <row r="834" spans="1:7" x14ac:dyDescent="0.2">
      <c r="A834" s="13"/>
      <c r="C834" s="13"/>
    </row>
    <row r="835" spans="1:7" x14ac:dyDescent="0.2">
      <c r="A835" s="13"/>
    </row>
    <row r="836" spans="1:7" x14ac:dyDescent="0.2">
      <c r="A836" s="13"/>
    </row>
    <row r="837" spans="1:7" x14ac:dyDescent="0.2">
      <c r="A837" s="13"/>
      <c r="B837" s="13"/>
      <c r="D837" s="13"/>
      <c r="E837" s="13"/>
      <c r="F837" s="13"/>
    </row>
    <row r="838" spans="1:7" x14ac:dyDescent="0.2">
      <c r="A838" s="13"/>
      <c r="B838" s="13"/>
      <c r="D838" s="13"/>
      <c r="E838" s="13"/>
      <c r="F838" s="13"/>
    </row>
    <row r="839" spans="1:7" x14ac:dyDescent="0.2">
      <c r="A839" s="13"/>
      <c r="B839" s="13"/>
      <c r="D839" s="13"/>
      <c r="E839" s="13"/>
      <c r="G839" s="13"/>
    </row>
    <row r="840" spans="1:7" x14ac:dyDescent="0.2">
      <c r="A840" s="13"/>
      <c r="B840" s="13"/>
    </row>
    <row r="841" spans="1:7" x14ac:dyDescent="0.2">
      <c r="A841" s="13"/>
    </row>
    <row r="842" spans="1:7" x14ac:dyDescent="0.2">
      <c r="A842" s="13"/>
    </row>
    <row r="843" spans="1:7" x14ac:dyDescent="0.2">
      <c r="A843" s="13"/>
      <c r="C843" s="13"/>
    </row>
    <row r="844" spans="1:7" x14ac:dyDescent="0.2">
      <c r="A844" s="13"/>
    </row>
    <row r="845" spans="1:7" x14ac:dyDescent="0.2">
      <c r="A845" s="13"/>
    </row>
    <row r="846" spans="1:7" x14ac:dyDescent="0.2">
      <c r="A846" s="13"/>
      <c r="C846" s="13"/>
    </row>
    <row r="847" spans="1:7" x14ac:dyDescent="0.2">
      <c r="A847" s="13"/>
    </row>
    <row r="848" spans="1:7" x14ac:dyDescent="0.2">
      <c r="A848" s="13"/>
    </row>
    <row r="849" spans="1:7" x14ac:dyDescent="0.2">
      <c r="A849" s="13"/>
      <c r="C849" s="13"/>
    </row>
    <row r="850" spans="1:7" x14ac:dyDescent="0.2">
      <c r="A850" s="13"/>
    </row>
    <row r="851" spans="1:7" x14ac:dyDescent="0.2">
      <c r="A851" s="13"/>
      <c r="B851" s="13"/>
    </row>
    <row r="852" spans="1:7" x14ac:dyDescent="0.2">
      <c r="A852" s="13"/>
      <c r="B852" s="13"/>
    </row>
    <row r="853" spans="1:7" x14ac:dyDescent="0.2">
      <c r="A853" s="13"/>
    </row>
    <row r="854" spans="1:7" x14ac:dyDescent="0.2">
      <c r="A854" s="13"/>
      <c r="B854" s="13"/>
    </row>
    <row r="855" spans="1:7" x14ac:dyDescent="0.2">
      <c r="A855" s="13"/>
      <c r="B855" s="13"/>
      <c r="D855" s="13"/>
      <c r="E855" s="13"/>
      <c r="F855" s="13"/>
    </row>
    <row r="856" spans="1:7" x14ac:dyDescent="0.2">
      <c r="A856" s="13"/>
      <c r="B856" s="13"/>
      <c r="D856" s="13"/>
      <c r="E856" s="13"/>
      <c r="F856" s="13"/>
    </row>
    <row r="857" spans="1:7" x14ac:dyDescent="0.2">
      <c r="A857" s="13"/>
      <c r="B857" s="13"/>
      <c r="D857" s="13"/>
      <c r="E857" s="13"/>
      <c r="F857" s="13"/>
    </row>
    <row r="858" spans="1:7" x14ac:dyDescent="0.2">
      <c r="A858" s="13"/>
      <c r="B858" s="13"/>
      <c r="D858" s="13"/>
      <c r="E858" s="13"/>
      <c r="F858" s="13"/>
    </row>
    <row r="859" spans="1:7" x14ac:dyDescent="0.2">
      <c r="A859" s="13"/>
      <c r="B859" s="13"/>
      <c r="D859" s="13"/>
      <c r="E859" s="13"/>
      <c r="G859" s="13"/>
    </row>
    <row r="860" spans="1:7" x14ac:dyDescent="0.2">
      <c r="A860" s="13"/>
      <c r="B860" s="13"/>
      <c r="D860" s="13"/>
      <c r="E860" s="13"/>
      <c r="G860" s="13"/>
    </row>
    <row r="861" spans="1:7" x14ac:dyDescent="0.2">
      <c r="A861" s="13"/>
      <c r="B861" s="13"/>
      <c r="D861" s="13"/>
      <c r="E861" s="13"/>
      <c r="G861" s="13"/>
    </row>
    <row r="862" spans="1:7" x14ac:dyDescent="0.2">
      <c r="A862" s="13"/>
      <c r="B862" s="13"/>
    </row>
    <row r="863" spans="1:7" x14ac:dyDescent="0.2">
      <c r="A863" s="13"/>
    </row>
    <row r="864" spans="1:7" x14ac:dyDescent="0.2">
      <c r="A864" s="13"/>
    </row>
    <row r="865" spans="1:7" x14ac:dyDescent="0.2">
      <c r="A865" s="13"/>
      <c r="B865" s="13"/>
      <c r="D865" s="13"/>
      <c r="E865" s="13"/>
      <c r="G865" s="13"/>
    </row>
    <row r="866" spans="1:7" x14ac:dyDescent="0.2">
      <c r="A866" s="13"/>
      <c r="B866" s="13"/>
      <c r="D866" s="13"/>
      <c r="E866" s="13"/>
      <c r="G866" s="13"/>
    </row>
    <row r="867" spans="1:7" x14ac:dyDescent="0.2">
      <c r="A867" s="13"/>
      <c r="B867" s="13"/>
      <c r="D867" s="13"/>
      <c r="E867" s="13"/>
      <c r="G867" s="13"/>
    </row>
    <row r="868" spans="1:7" x14ac:dyDescent="0.2">
      <c r="A868" s="13"/>
      <c r="B868" s="13"/>
      <c r="D868" s="13"/>
      <c r="E868" s="13"/>
      <c r="G868" s="13"/>
    </row>
    <row r="869" spans="1:7" x14ac:dyDescent="0.2">
      <c r="A869" s="13"/>
      <c r="B869" s="13"/>
      <c r="D869" s="13"/>
      <c r="E869" s="13"/>
      <c r="G869" s="13"/>
    </row>
    <row r="870" spans="1:7" x14ac:dyDescent="0.2">
      <c r="A870" s="13"/>
      <c r="B870" s="13"/>
      <c r="D870" s="13"/>
      <c r="E870" s="13"/>
      <c r="G870" s="13"/>
    </row>
    <row r="871" spans="1:7" x14ac:dyDescent="0.2">
      <c r="A871" s="13"/>
      <c r="B871" s="13"/>
      <c r="D871" s="13"/>
      <c r="E871" s="13"/>
      <c r="G871" s="13"/>
    </row>
    <row r="872" spans="1:7" x14ac:dyDescent="0.2">
      <c r="A872" s="13"/>
      <c r="B872" s="13"/>
      <c r="D872" s="13"/>
      <c r="E872" s="13"/>
      <c r="G872" s="13"/>
    </row>
    <row r="873" spans="1:7" x14ac:dyDescent="0.2">
      <c r="A873" s="13"/>
      <c r="B873" s="13"/>
      <c r="D873" s="13"/>
      <c r="E873" s="13"/>
      <c r="G873" s="13"/>
    </row>
    <row r="874" spans="1:7" x14ac:dyDescent="0.2">
      <c r="A874" s="13"/>
      <c r="B874" s="13"/>
      <c r="D874" s="13"/>
      <c r="E874" s="13"/>
      <c r="G874" s="13"/>
    </row>
    <row r="875" spans="1:7" x14ac:dyDescent="0.2">
      <c r="A875" s="13"/>
      <c r="B875" s="13"/>
      <c r="D875" s="13"/>
      <c r="E875" s="13"/>
      <c r="G875" s="13"/>
    </row>
    <row r="876" spans="1:7" x14ac:dyDescent="0.2">
      <c r="A876" s="13"/>
      <c r="B876" s="13"/>
      <c r="D876" s="13"/>
      <c r="E876" s="13"/>
      <c r="G876" s="13"/>
    </row>
    <row r="877" spans="1:7" x14ac:dyDescent="0.2">
      <c r="A877" s="13"/>
      <c r="B877" s="13"/>
      <c r="D877" s="13"/>
      <c r="E877" s="13"/>
      <c r="G877" s="13"/>
    </row>
    <row r="878" spans="1:7" x14ac:dyDescent="0.2">
      <c r="A878" s="13"/>
      <c r="B878" s="13"/>
      <c r="D878" s="13"/>
      <c r="E878" s="13"/>
      <c r="G878" s="13"/>
    </row>
    <row r="879" spans="1:7" x14ac:dyDescent="0.2">
      <c r="A879" s="13"/>
      <c r="B879" s="13"/>
      <c r="D879" s="13"/>
      <c r="E879" s="13"/>
      <c r="G879" s="13"/>
    </row>
    <row r="880" spans="1:7" x14ac:dyDescent="0.2">
      <c r="A880" s="13"/>
      <c r="B880" s="13"/>
      <c r="D880" s="13"/>
      <c r="E880" s="13"/>
      <c r="G880" s="13"/>
    </row>
    <row r="881" spans="1:7" x14ac:dyDescent="0.2">
      <c r="A881" s="13"/>
      <c r="B881" s="13"/>
      <c r="D881" s="13"/>
      <c r="E881" s="13"/>
      <c r="G881" s="13"/>
    </row>
    <row r="882" spans="1:7" x14ac:dyDescent="0.2">
      <c r="A882" s="13"/>
      <c r="B882" s="13"/>
      <c r="D882" s="13"/>
      <c r="E882" s="13"/>
      <c r="G882" s="13"/>
    </row>
    <row r="883" spans="1:7" x14ac:dyDescent="0.2">
      <c r="A883" s="13"/>
      <c r="B883" s="13"/>
      <c r="D883" s="13"/>
      <c r="E883" s="13"/>
      <c r="G883" s="13"/>
    </row>
    <row r="884" spans="1:7" x14ac:dyDescent="0.2">
      <c r="A884" s="13"/>
      <c r="B884" s="13"/>
      <c r="D884" s="13"/>
      <c r="E884" s="13"/>
      <c r="G884" s="13"/>
    </row>
    <row r="885" spans="1:7" x14ac:dyDescent="0.2">
      <c r="A885" s="13"/>
      <c r="B885" s="13"/>
      <c r="D885" s="13"/>
      <c r="E885" s="13"/>
      <c r="G885" s="13"/>
    </row>
    <row r="886" spans="1:7" x14ac:dyDescent="0.2">
      <c r="A886" s="13"/>
      <c r="B886" s="13"/>
      <c r="D886" s="13"/>
      <c r="E886" s="13"/>
      <c r="G886" s="13"/>
    </row>
    <row r="887" spans="1:7" x14ac:dyDescent="0.2">
      <c r="A887" s="13"/>
    </row>
    <row r="888" spans="1:7" x14ac:dyDescent="0.2">
      <c r="A888" s="13"/>
    </row>
    <row r="889" spans="1:7" x14ac:dyDescent="0.2">
      <c r="A889" s="13"/>
    </row>
    <row r="890" spans="1:7" x14ac:dyDescent="0.2">
      <c r="A890" s="13"/>
      <c r="C890" s="13"/>
    </row>
    <row r="891" spans="1:7" x14ac:dyDescent="0.2">
      <c r="A891" s="13"/>
    </row>
    <row r="892" spans="1:7" x14ac:dyDescent="0.2">
      <c r="A892" s="13"/>
    </row>
    <row r="893" spans="1:7" x14ac:dyDescent="0.2">
      <c r="A893" s="13"/>
      <c r="B893" s="13"/>
      <c r="D893" s="13"/>
      <c r="E893" s="13"/>
      <c r="F893" s="13"/>
    </row>
    <row r="894" spans="1:7" x14ac:dyDescent="0.2">
      <c r="A894" s="13"/>
      <c r="B894" s="13"/>
      <c r="D894" s="13"/>
      <c r="E894" s="13"/>
      <c r="G894" s="13"/>
    </row>
    <row r="895" spans="1:7" x14ac:dyDescent="0.2">
      <c r="A895" s="13"/>
      <c r="B895" s="13"/>
      <c r="D895" s="13"/>
      <c r="E895" s="13"/>
      <c r="F895" s="13"/>
    </row>
    <row r="896" spans="1:7" x14ac:dyDescent="0.2">
      <c r="A896" s="13"/>
      <c r="B896" s="13"/>
      <c r="D896" s="13"/>
      <c r="E896" s="13"/>
      <c r="G896" s="13"/>
    </row>
    <row r="897" spans="1:7" x14ac:dyDescent="0.2">
      <c r="A897" s="13"/>
    </row>
    <row r="898" spans="1:7" x14ac:dyDescent="0.2">
      <c r="A898" s="13"/>
    </row>
    <row r="899" spans="1:7" x14ac:dyDescent="0.2">
      <c r="A899" s="13"/>
      <c r="B899" s="13"/>
    </row>
    <row r="900" spans="1:7" x14ac:dyDescent="0.2">
      <c r="A900" s="13"/>
      <c r="B900" s="13"/>
    </row>
    <row r="901" spans="1:7" x14ac:dyDescent="0.2">
      <c r="A901" s="13"/>
    </row>
    <row r="902" spans="1:7" x14ac:dyDescent="0.2">
      <c r="A902" s="13"/>
      <c r="B902" s="13"/>
    </row>
    <row r="903" spans="1:7" x14ac:dyDescent="0.2">
      <c r="A903" s="13"/>
      <c r="B903" s="13"/>
      <c r="D903" s="13"/>
      <c r="E903" s="13"/>
      <c r="F903" s="13"/>
    </row>
    <row r="904" spans="1:7" x14ac:dyDescent="0.2">
      <c r="A904" s="13"/>
      <c r="B904" s="13"/>
      <c r="D904" s="13"/>
      <c r="E904" s="13"/>
      <c r="G904" s="13"/>
    </row>
    <row r="905" spans="1:7" x14ac:dyDescent="0.2">
      <c r="A905" s="13"/>
      <c r="B905" s="13"/>
    </row>
    <row r="906" spans="1:7" x14ac:dyDescent="0.2">
      <c r="A906" s="13"/>
    </row>
    <row r="907" spans="1:7" x14ac:dyDescent="0.2">
      <c r="A907" s="13"/>
    </row>
    <row r="908" spans="1:7" x14ac:dyDescent="0.2">
      <c r="A908" s="13"/>
      <c r="C908" s="13"/>
    </row>
    <row r="909" spans="1:7" x14ac:dyDescent="0.2">
      <c r="A909" s="13"/>
    </row>
    <row r="910" spans="1:7" x14ac:dyDescent="0.2">
      <c r="A910" s="13"/>
    </row>
    <row r="911" spans="1:7" x14ac:dyDescent="0.2">
      <c r="A911" s="13"/>
      <c r="B911" s="13"/>
      <c r="D911" s="13"/>
      <c r="E911" s="13"/>
      <c r="G911" s="13"/>
    </row>
    <row r="912" spans="1:7" x14ac:dyDescent="0.2">
      <c r="A912" s="13"/>
      <c r="B912" s="13"/>
      <c r="D912" s="13"/>
      <c r="E912" s="13"/>
      <c r="G912" s="13"/>
    </row>
    <row r="913" spans="1:7" x14ac:dyDescent="0.2">
      <c r="A913" s="13"/>
      <c r="B913" s="13"/>
      <c r="D913" s="13"/>
      <c r="E913" s="13"/>
      <c r="G913" s="13"/>
    </row>
    <row r="914" spans="1:7" x14ac:dyDescent="0.2">
      <c r="A914" s="13"/>
      <c r="B914" s="13"/>
      <c r="D914" s="13"/>
      <c r="E914" s="13"/>
      <c r="G914" s="13"/>
    </row>
    <row r="915" spans="1:7" x14ac:dyDescent="0.2">
      <c r="A915" s="13"/>
      <c r="B915" s="13"/>
      <c r="D915" s="13"/>
      <c r="E915" s="13"/>
      <c r="G915" s="13"/>
    </row>
    <row r="916" spans="1:7" x14ac:dyDescent="0.2">
      <c r="A916" s="13"/>
      <c r="B916" s="13"/>
      <c r="D916" s="13"/>
      <c r="E916" s="13"/>
      <c r="G916" s="13"/>
    </row>
    <row r="917" spans="1:7" x14ac:dyDescent="0.2">
      <c r="A917" s="13"/>
      <c r="B917" s="13"/>
      <c r="D917" s="13"/>
      <c r="E917" s="13"/>
      <c r="G917" s="13"/>
    </row>
    <row r="918" spans="1:7" x14ac:dyDescent="0.2">
      <c r="A918" s="13"/>
      <c r="B918" s="13"/>
      <c r="D918" s="13"/>
      <c r="E918" s="13"/>
      <c r="G918" s="13"/>
    </row>
    <row r="919" spans="1:7" x14ac:dyDescent="0.2">
      <c r="A919" s="13"/>
      <c r="B919" s="13"/>
      <c r="D919" s="13"/>
      <c r="E919" s="13"/>
      <c r="G919" s="13"/>
    </row>
    <row r="920" spans="1:7" x14ac:dyDescent="0.2">
      <c r="A920" s="13"/>
      <c r="B920" s="13"/>
      <c r="D920" s="13"/>
      <c r="E920" s="13"/>
      <c r="G920" s="13"/>
    </row>
    <row r="921" spans="1:7" x14ac:dyDescent="0.2">
      <c r="A921" s="13"/>
      <c r="B921" s="13"/>
      <c r="D921" s="13"/>
      <c r="E921" s="13"/>
      <c r="G921" s="13"/>
    </row>
    <row r="922" spans="1:7" x14ac:dyDescent="0.2">
      <c r="A922" s="13"/>
      <c r="B922" s="13"/>
      <c r="D922" s="13"/>
      <c r="E922" s="13"/>
      <c r="G922" s="13"/>
    </row>
    <row r="923" spans="1:7" x14ac:dyDescent="0.2">
      <c r="A923" s="13"/>
      <c r="B923" s="13"/>
      <c r="D923" s="13"/>
      <c r="E923" s="13"/>
      <c r="G923" s="13"/>
    </row>
    <row r="924" spans="1:7" x14ac:dyDescent="0.2">
      <c r="A924" s="13"/>
      <c r="B924" s="13"/>
      <c r="D924" s="13"/>
      <c r="E924" s="13"/>
      <c r="F924" s="13"/>
    </row>
    <row r="925" spans="1:7" x14ac:dyDescent="0.2">
      <c r="A925" s="13"/>
      <c r="B925" s="13"/>
      <c r="D925" s="13"/>
      <c r="E925" s="13"/>
      <c r="G925" s="13"/>
    </row>
    <row r="926" spans="1:7" x14ac:dyDescent="0.2">
      <c r="A926" s="13"/>
      <c r="B926" s="13"/>
      <c r="D926" s="13"/>
      <c r="E926" s="13"/>
      <c r="G926" s="13"/>
    </row>
    <row r="927" spans="1:7" x14ac:dyDescent="0.2">
      <c r="A927" s="13"/>
      <c r="B927" s="13"/>
      <c r="D927" s="13"/>
      <c r="E927" s="13"/>
      <c r="F927" s="13"/>
    </row>
    <row r="928" spans="1:7" x14ac:dyDescent="0.2">
      <c r="A928" s="13"/>
      <c r="B928" s="13"/>
      <c r="D928" s="13"/>
      <c r="E928" s="13"/>
      <c r="F928" s="13"/>
    </row>
    <row r="929" spans="1:7" x14ac:dyDescent="0.2">
      <c r="A929" s="13"/>
      <c r="B929" s="13"/>
      <c r="D929" s="13"/>
      <c r="E929" s="13"/>
      <c r="G929" s="13"/>
    </row>
    <row r="930" spans="1:7" x14ac:dyDescent="0.2">
      <c r="A930" s="13"/>
      <c r="B930" s="13"/>
      <c r="D930" s="13"/>
      <c r="E930" s="13"/>
      <c r="G930" s="13"/>
    </row>
    <row r="931" spans="1:7" x14ac:dyDescent="0.2">
      <c r="A931" s="13"/>
      <c r="B931" s="13"/>
      <c r="D931" s="13"/>
      <c r="E931" s="13"/>
      <c r="G931" s="13"/>
    </row>
    <row r="932" spans="1:7" x14ac:dyDescent="0.2">
      <c r="A932" s="13"/>
      <c r="B932" s="13"/>
      <c r="D932" s="13"/>
      <c r="E932" s="13"/>
      <c r="G932" s="13"/>
    </row>
    <row r="933" spans="1:7" x14ac:dyDescent="0.2">
      <c r="A933" s="13"/>
      <c r="B933" s="13"/>
      <c r="D933" s="13"/>
      <c r="E933" s="13"/>
      <c r="G933" s="13"/>
    </row>
    <row r="934" spans="1:7" x14ac:dyDescent="0.2">
      <c r="A934" s="13"/>
      <c r="B934" s="13"/>
      <c r="D934" s="13"/>
      <c r="E934" s="13"/>
      <c r="G934" s="13"/>
    </row>
    <row r="935" spans="1:7" x14ac:dyDescent="0.2">
      <c r="A935" s="13"/>
      <c r="B935" s="13"/>
      <c r="D935" s="13"/>
      <c r="E935" s="13"/>
      <c r="G935" s="13"/>
    </row>
    <row r="936" spans="1:7" x14ac:dyDescent="0.2">
      <c r="A936" s="13"/>
      <c r="B936" s="13"/>
      <c r="D936" s="13"/>
      <c r="E936" s="13"/>
      <c r="G936" s="13"/>
    </row>
    <row r="937" spans="1:7" x14ac:dyDescent="0.2">
      <c r="A937" s="13"/>
      <c r="B937" s="13"/>
      <c r="D937" s="13"/>
      <c r="E937" s="13"/>
      <c r="G937" s="13"/>
    </row>
    <row r="938" spans="1:7" x14ac:dyDescent="0.2">
      <c r="A938" s="13"/>
      <c r="B938" s="13"/>
      <c r="D938" s="13"/>
      <c r="E938" s="13"/>
      <c r="F938" s="13"/>
    </row>
    <row r="939" spans="1:7" x14ac:dyDescent="0.2">
      <c r="A939" s="13"/>
      <c r="B939" s="13"/>
      <c r="D939" s="13"/>
      <c r="E939" s="13"/>
      <c r="G939" s="13"/>
    </row>
    <row r="940" spans="1:7" x14ac:dyDescent="0.2">
      <c r="A940" s="13"/>
      <c r="B940" s="13"/>
      <c r="D940" s="13"/>
      <c r="E940" s="13"/>
      <c r="G940" s="13"/>
    </row>
    <row r="941" spans="1:7" x14ac:dyDescent="0.2">
      <c r="A941" s="13"/>
      <c r="B941" s="13"/>
      <c r="D941" s="13"/>
      <c r="E941" s="13"/>
      <c r="G941" s="13"/>
    </row>
    <row r="942" spans="1:7" x14ac:dyDescent="0.2">
      <c r="A942" s="13"/>
      <c r="B942" s="13"/>
      <c r="D942" s="13"/>
      <c r="E942" s="13"/>
      <c r="G942" s="13"/>
    </row>
    <row r="943" spans="1:7" x14ac:dyDescent="0.2">
      <c r="A943" s="13"/>
      <c r="B943" s="13"/>
      <c r="D943" s="13"/>
      <c r="E943" s="13"/>
      <c r="G943" s="13"/>
    </row>
    <row r="944" spans="1:7" x14ac:dyDescent="0.2">
      <c r="A944" s="13"/>
      <c r="B944" s="13"/>
      <c r="D944" s="13"/>
      <c r="E944" s="13"/>
      <c r="G944" s="13"/>
    </row>
    <row r="945" spans="1:7" x14ac:dyDescent="0.2">
      <c r="A945" s="13"/>
      <c r="B945" s="13"/>
      <c r="D945" s="13"/>
      <c r="E945" s="13"/>
      <c r="F945" s="13"/>
    </row>
    <row r="946" spans="1:7" x14ac:dyDescent="0.2">
      <c r="A946" s="13"/>
      <c r="B946" s="13"/>
      <c r="D946" s="13"/>
      <c r="E946" s="13"/>
      <c r="F946" s="13"/>
    </row>
    <row r="947" spans="1:7" x14ac:dyDescent="0.2">
      <c r="A947" s="13"/>
      <c r="B947" s="13"/>
      <c r="D947" s="13"/>
      <c r="E947" s="13"/>
      <c r="G947" s="13"/>
    </row>
    <row r="948" spans="1:7" x14ac:dyDescent="0.2">
      <c r="A948" s="13"/>
      <c r="B948" s="13"/>
      <c r="D948" s="13"/>
      <c r="E948" s="13"/>
      <c r="G948" s="13"/>
    </row>
    <row r="949" spans="1:7" x14ac:dyDescent="0.2">
      <c r="A949" s="13"/>
      <c r="B949" s="13"/>
      <c r="D949" s="13"/>
      <c r="E949" s="13"/>
      <c r="G949" s="13"/>
    </row>
    <row r="950" spans="1:7" x14ac:dyDescent="0.2">
      <c r="A950" s="13"/>
      <c r="B950" s="13"/>
      <c r="D950" s="13"/>
      <c r="E950" s="13"/>
      <c r="F950" s="13"/>
    </row>
    <row r="951" spans="1:7" x14ac:dyDescent="0.2">
      <c r="A951" s="13"/>
      <c r="B951" s="13"/>
      <c r="D951" s="13"/>
      <c r="E951" s="13"/>
      <c r="F951" s="13"/>
    </row>
    <row r="952" spans="1:7" x14ac:dyDescent="0.2">
      <c r="A952" s="13"/>
      <c r="B952" s="13"/>
      <c r="D952" s="13"/>
      <c r="E952" s="13"/>
      <c r="G952" s="13"/>
    </row>
    <row r="953" spans="1:7" x14ac:dyDescent="0.2">
      <c r="A953" s="13"/>
      <c r="B953" s="13"/>
      <c r="D953" s="13"/>
      <c r="E953" s="13"/>
      <c r="G953" s="13"/>
    </row>
    <row r="954" spans="1:7" x14ac:dyDescent="0.2">
      <c r="A954" s="13"/>
      <c r="B954" s="13"/>
      <c r="D954" s="13"/>
      <c r="E954" s="13"/>
      <c r="G954" s="13"/>
    </row>
    <row r="955" spans="1:7" x14ac:dyDescent="0.2">
      <c r="A955" s="13"/>
      <c r="B955" s="13"/>
      <c r="D955" s="13"/>
      <c r="E955" s="13"/>
      <c r="G955" s="13"/>
    </row>
    <row r="956" spans="1:7" x14ac:dyDescent="0.2">
      <c r="A956" s="13"/>
      <c r="B956" s="13"/>
      <c r="D956" s="13"/>
      <c r="E956" s="13"/>
      <c r="G956" s="13"/>
    </row>
    <row r="957" spans="1:7" x14ac:dyDescent="0.2">
      <c r="A957" s="13"/>
      <c r="B957" s="13"/>
      <c r="D957" s="13"/>
      <c r="E957" s="13"/>
      <c r="G957" s="13"/>
    </row>
    <row r="958" spans="1:7" x14ac:dyDescent="0.2">
      <c r="A958" s="13"/>
      <c r="B958" s="13"/>
      <c r="D958" s="13"/>
      <c r="E958" s="13"/>
      <c r="F958" s="13"/>
    </row>
    <row r="959" spans="1:7" x14ac:dyDescent="0.2">
      <c r="A959" s="13"/>
      <c r="B959" s="13"/>
      <c r="D959" s="13"/>
      <c r="E959" s="13"/>
      <c r="G959" s="13"/>
    </row>
    <row r="960" spans="1:7" x14ac:dyDescent="0.2">
      <c r="A960" s="13"/>
      <c r="B960" s="13"/>
      <c r="D960" s="13"/>
      <c r="E960" s="13"/>
      <c r="G960" s="13"/>
    </row>
    <row r="961" spans="1:7" x14ac:dyDescent="0.2">
      <c r="A961" s="13"/>
      <c r="B961" s="13"/>
      <c r="D961" s="13"/>
      <c r="E961" s="13"/>
      <c r="G961" s="13"/>
    </row>
    <row r="962" spans="1:7" x14ac:dyDescent="0.2">
      <c r="A962" s="13"/>
      <c r="B962" s="13"/>
      <c r="D962" s="13"/>
      <c r="E962" s="13"/>
      <c r="G962" s="13"/>
    </row>
    <row r="963" spans="1:7" x14ac:dyDescent="0.2">
      <c r="A963" s="13"/>
      <c r="B963" s="13"/>
      <c r="D963" s="13"/>
      <c r="E963" s="13"/>
      <c r="F963" s="13"/>
    </row>
    <row r="964" spans="1:7" x14ac:dyDescent="0.2">
      <c r="A964" s="13"/>
      <c r="B964" s="13"/>
      <c r="D964" s="13"/>
      <c r="E964" s="13"/>
      <c r="F964" s="13"/>
    </row>
    <row r="965" spans="1:7" x14ac:dyDescent="0.2">
      <c r="A965" s="13"/>
      <c r="B965" s="13"/>
      <c r="D965" s="13"/>
      <c r="E965" s="13"/>
      <c r="F965" s="13"/>
    </row>
    <row r="966" spans="1:7" x14ac:dyDescent="0.2">
      <c r="A966" s="13"/>
      <c r="B966" s="13"/>
      <c r="D966" s="13"/>
      <c r="E966" s="13"/>
      <c r="F966" s="13"/>
    </row>
    <row r="967" spans="1:7" x14ac:dyDescent="0.2">
      <c r="A967" s="13"/>
      <c r="B967" s="13"/>
      <c r="D967" s="13"/>
      <c r="E967" s="13"/>
      <c r="G967" s="13"/>
    </row>
    <row r="968" spans="1:7" x14ac:dyDescent="0.2">
      <c r="A968" s="13"/>
      <c r="B968" s="13"/>
      <c r="D968" s="13"/>
      <c r="E968" s="13"/>
      <c r="G968" s="13"/>
    </row>
    <row r="969" spans="1:7" x14ac:dyDescent="0.2">
      <c r="A969" s="13"/>
      <c r="B969" s="13"/>
      <c r="D969" s="13"/>
      <c r="E969" s="13"/>
      <c r="G969" s="13"/>
    </row>
    <row r="970" spans="1:7" x14ac:dyDescent="0.2">
      <c r="A970" s="13"/>
      <c r="B970" s="13"/>
      <c r="D970" s="13"/>
      <c r="E970" s="13"/>
      <c r="G970" s="13"/>
    </row>
    <row r="971" spans="1:7" x14ac:dyDescent="0.2">
      <c r="A971" s="13"/>
      <c r="B971" s="13"/>
      <c r="D971" s="13"/>
      <c r="E971" s="13"/>
      <c r="G971" s="13"/>
    </row>
    <row r="972" spans="1:7" x14ac:dyDescent="0.2">
      <c r="A972" s="13"/>
      <c r="B972" s="13"/>
      <c r="D972" s="13"/>
      <c r="E972" s="13"/>
      <c r="F972" s="13"/>
    </row>
    <row r="973" spans="1:7" x14ac:dyDescent="0.2">
      <c r="A973" s="13"/>
      <c r="B973" s="13"/>
      <c r="D973" s="13"/>
      <c r="E973" s="13"/>
      <c r="G973" s="13"/>
    </row>
    <row r="974" spans="1:7" x14ac:dyDescent="0.2">
      <c r="A974" s="13"/>
      <c r="B974" s="13"/>
      <c r="D974" s="13"/>
      <c r="E974" s="13"/>
      <c r="G974" s="13"/>
    </row>
    <row r="975" spans="1:7" x14ac:dyDescent="0.2">
      <c r="A975" s="13"/>
      <c r="B975" s="13"/>
      <c r="D975" s="13"/>
      <c r="E975" s="13"/>
      <c r="F975" s="13"/>
    </row>
    <row r="976" spans="1:7" x14ac:dyDescent="0.2">
      <c r="A976" s="13"/>
      <c r="B976" s="13"/>
      <c r="D976" s="13"/>
      <c r="E976" s="13"/>
      <c r="G976" s="13"/>
    </row>
    <row r="977" spans="1:7" x14ac:dyDescent="0.2">
      <c r="A977" s="13"/>
      <c r="B977" s="13"/>
      <c r="D977" s="13"/>
      <c r="E977" s="13"/>
      <c r="G977" s="13"/>
    </row>
    <row r="978" spans="1:7" x14ac:dyDescent="0.2">
      <c r="A978" s="13"/>
      <c r="B978" s="13"/>
      <c r="D978" s="13"/>
      <c r="E978" s="13"/>
      <c r="G978" s="13"/>
    </row>
    <row r="979" spans="1:7" x14ac:dyDescent="0.2">
      <c r="A979" s="13"/>
      <c r="B979" s="13"/>
      <c r="D979" s="13"/>
      <c r="E979" s="13"/>
      <c r="G979" s="13"/>
    </row>
    <row r="980" spans="1:7" x14ac:dyDescent="0.2">
      <c r="A980" s="13"/>
      <c r="B980" s="13"/>
      <c r="D980" s="13"/>
      <c r="E980" s="13"/>
      <c r="G980" s="13"/>
    </row>
    <row r="981" spans="1:7" x14ac:dyDescent="0.2">
      <c r="A981" s="13"/>
      <c r="B981" s="13"/>
      <c r="D981" s="13"/>
      <c r="E981" s="13"/>
      <c r="G981" s="13"/>
    </row>
    <row r="982" spans="1:7" x14ac:dyDescent="0.2">
      <c r="A982" s="13"/>
      <c r="B982" s="13"/>
      <c r="D982" s="13"/>
      <c r="E982" s="13"/>
      <c r="F982" s="13"/>
    </row>
    <row r="983" spans="1:7" x14ac:dyDescent="0.2">
      <c r="A983" s="13"/>
      <c r="B983" s="13"/>
      <c r="D983" s="13"/>
      <c r="E983" s="13"/>
      <c r="F983" s="13"/>
    </row>
    <row r="984" spans="1:7" x14ac:dyDescent="0.2">
      <c r="A984" s="13"/>
      <c r="B984" s="13"/>
      <c r="D984" s="13"/>
      <c r="E984" s="13"/>
      <c r="G984" s="13"/>
    </row>
    <row r="985" spans="1:7" x14ac:dyDescent="0.2">
      <c r="A985" s="13"/>
      <c r="B985" s="13"/>
      <c r="D985" s="13"/>
      <c r="E985" s="13"/>
      <c r="G985" s="13"/>
    </row>
    <row r="986" spans="1:7" x14ac:dyDescent="0.2">
      <c r="A986" s="13"/>
      <c r="B986" s="13"/>
      <c r="D986" s="13"/>
      <c r="E986" s="13"/>
      <c r="G986" s="13"/>
    </row>
    <row r="987" spans="1:7" x14ac:dyDescent="0.2">
      <c r="A987" s="13"/>
      <c r="B987" s="13"/>
      <c r="D987" s="13"/>
      <c r="E987" s="13"/>
      <c r="G987" s="13"/>
    </row>
    <row r="988" spans="1:7" x14ac:dyDescent="0.2">
      <c r="A988" s="13"/>
    </row>
    <row r="989" spans="1:7" x14ac:dyDescent="0.2">
      <c r="A989" s="13"/>
    </row>
    <row r="990" spans="1:7" x14ac:dyDescent="0.2">
      <c r="A990" s="13"/>
      <c r="B990" s="13"/>
    </row>
    <row r="991" spans="1:7" x14ac:dyDescent="0.2">
      <c r="A991" s="13"/>
      <c r="B991" s="13"/>
    </row>
    <row r="992" spans="1:7" x14ac:dyDescent="0.2">
      <c r="A992" s="13"/>
    </row>
    <row r="993" spans="1:7" x14ac:dyDescent="0.2">
      <c r="A993" s="13"/>
    </row>
    <row r="994" spans="1:7" x14ac:dyDescent="0.2">
      <c r="A994" s="13"/>
      <c r="C994" s="13"/>
    </row>
    <row r="995" spans="1:7" x14ac:dyDescent="0.2">
      <c r="A995" s="13"/>
    </row>
    <row r="996" spans="1:7" x14ac:dyDescent="0.2">
      <c r="A996" s="13"/>
    </row>
    <row r="997" spans="1:7" x14ac:dyDescent="0.2">
      <c r="A997" s="13"/>
      <c r="B997" s="13"/>
      <c r="D997" s="13"/>
      <c r="E997" s="13"/>
      <c r="F997" s="13"/>
    </row>
    <row r="998" spans="1:7" x14ac:dyDescent="0.2">
      <c r="A998" s="13"/>
      <c r="B998" s="13"/>
      <c r="D998" s="13"/>
      <c r="E998" s="13"/>
      <c r="G998" s="13"/>
    </row>
    <row r="999" spans="1:7" x14ac:dyDescent="0.2">
      <c r="A999" s="13"/>
    </row>
    <row r="1000" spans="1:7" x14ac:dyDescent="0.2">
      <c r="A1000" s="13"/>
    </row>
    <row r="1001" spans="1:7" x14ac:dyDescent="0.2">
      <c r="A1001" s="13"/>
    </row>
    <row r="1002" spans="1:7" x14ac:dyDescent="0.2">
      <c r="A1002" s="13"/>
      <c r="C1002" s="13"/>
    </row>
    <row r="1003" spans="1:7" x14ac:dyDescent="0.2">
      <c r="A1003" s="13"/>
    </row>
    <row r="1004" spans="1:7" x14ac:dyDescent="0.2">
      <c r="A1004" s="13"/>
    </row>
    <row r="1005" spans="1:7" x14ac:dyDescent="0.2">
      <c r="A1005" s="13"/>
      <c r="C1005" s="13"/>
    </row>
    <row r="1006" spans="1:7" x14ac:dyDescent="0.2">
      <c r="A1006" s="13"/>
    </row>
    <row r="1007" spans="1:7" x14ac:dyDescent="0.2">
      <c r="A1007" s="13"/>
    </row>
    <row r="1008" spans="1:7" x14ac:dyDescent="0.2">
      <c r="A1008" s="13"/>
      <c r="C1008" s="13"/>
    </row>
    <row r="1009" spans="1:3" x14ac:dyDescent="0.2">
      <c r="A1009" s="13"/>
    </row>
    <row r="1010" spans="1:3" x14ac:dyDescent="0.2">
      <c r="A1010" s="13"/>
    </row>
    <row r="1011" spans="1:3" x14ac:dyDescent="0.2">
      <c r="A1011" s="13"/>
      <c r="C1011" s="13"/>
    </row>
    <row r="1012" spans="1:3" x14ac:dyDescent="0.2">
      <c r="A1012" s="13"/>
    </row>
    <row r="1013" spans="1:3" x14ac:dyDescent="0.2">
      <c r="A1013" s="13"/>
    </row>
    <row r="1014" spans="1:3" x14ac:dyDescent="0.2">
      <c r="A1014" s="13"/>
      <c r="C1014" s="13"/>
    </row>
    <row r="1015" spans="1:3" x14ac:dyDescent="0.2">
      <c r="A1015" s="13"/>
    </row>
    <row r="1016" spans="1:3" x14ac:dyDescent="0.2">
      <c r="A1016" s="13"/>
    </row>
    <row r="1017" spans="1:3" x14ac:dyDescent="0.2">
      <c r="A1017" s="13"/>
      <c r="C1017" s="13"/>
    </row>
    <row r="1018" spans="1:3" x14ac:dyDescent="0.2">
      <c r="A1018" s="13"/>
    </row>
    <row r="1019" spans="1:3" x14ac:dyDescent="0.2">
      <c r="A1019" s="13"/>
    </row>
    <row r="1020" spans="1:3" x14ac:dyDescent="0.2">
      <c r="A1020" s="13"/>
      <c r="C1020" s="13"/>
    </row>
    <row r="1021" spans="1:3" x14ac:dyDescent="0.2">
      <c r="A1021" s="13"/>
    </row>
    <row r="1022" spans="1:3" x14ac:dyDescent="0.2">
      <c r="A1022" s="13"/>
      <c r="B1022" s="13"/>
    </row>
    <row r="1023" spans="1:3" x14ac:dyDescent="0.2">
      <c r="A1023" s="13"/>
      <c r="B1023" s="13"/>
    </row>
    <row r="1024" spans="1:3" x14ac:dyDescent="0.2">
      <c r="A1024" s="13"/>
    </row>
    <row r="1025" spans="1:7" x14ac:dyDescent="0.2">
      <c r="A1025" s="13"/>
      <c r="B1025" s="13"/>
    </row>
    <row r="1026" spans="1:7" x14ac:dyDescent="0.2">
      <c r="A1026" s="13"/>
      <c r="B1026" s="13"/>
    </row>
    <row r="1027" spans="1:7" x14ac:dyDescent="0.2">
      <c r="A1027" s="13"/>
    </row>
    <row r="1028" spans="1:7" x14ac:dyDescent="0.2">
      <c r="A1028" s="13"/>
    </row>
    <row r="1029" spans="1:7" x14ac:dyDescent="0.2">
      <c r="A1029" s="13"/>
      <c r="B1029" s="13"/>
      <c r="D1029" s="13"/>
      <c r="E1029" s="13"/>
      <c r="F1029" s="13"/>
    </row>
    <row r="1030" spans="1:7" x14ac:dyDescent="0.2">
      <c r="A1030" s="13"/>
      <c r="B1030" s="13"/>
    </row>
    <row r="1031" spans="1:7" x14ac:dyDescent="0.2">
      <c r="A1031" s="13"/>
    </row>
    <row r="1032" spans="1:7" x14ac:dyDescent="0.2">
      <c r="A1032" s="13"/>
    </row>
    <row r="1033" spans="1:7" x14ac:dyDescent="0.2">
      <c r="A1033" s="13"/>
      <c r="C1033" s="13"/>
    </row>
    <row r="1034" spans="1:7" x14ac:dyDescent="0.2">
      <c r="A1034" s="13"/>
    </row>
    <row r="1035" spans="1:7" x14ac:dyDescent="0.2">
      <c r="A1035" s="13"/>
    </row>
    <row r="1036" spans="1:7" x14ac:dyDescent="0.2">
      <c r="A1036" s="13"/>
      <c r="C1036" s="13"/>
    </row>
    <row r="1037" spans="1:7" x14ac:dyDescent="0.2">
      <c r="A1037" s="13"/>
    </row>
    <row r="1038" spans="1:7" x14ac:dyDescent="0.2">
      <c r="A1038" s="13"/>
      <c r="B1038" s="13"/>
    </row>
    <row r="1039" spans="1:7" x14ac:dyDescent="0.2">
      <c r="A1039" s="13"/>
      <c r="B1039" s="13"/>
      <c r="D1039" s="13"/>
      <c r="E1039" s="13"/>
      <c r="G1039" s="13"/>
    </row>
    <row r="1040" spans="1:7" x14ac:dyDescent="0.2">
      <c r="A1040" s="13"/>
      <c r="B1040" s="13"/>
      <c r="D1040" s="13"/>
      <c r="E1040" s="13"/>
      <c r="F1040" s="13"/>
    </row>
    <row r="1041" spans="1:7" x14ac:dyDescent="0.2">
      <c r="A1041" s="13"/>
      <c r="B1041" s="13"/>
      <c r="D1041" s="13"/>
      <c r="E1041" s="13"/>
      <c r="G1041" s="13"/>
    </row>
    <row r="1042" spans="1:7" x14ac:dyDescent="0.2">
      <c r="A1042" s="13"/>
      <c r="B1042" s="13"/>
      <c r="D1042" s="13"/>
      <c r="E1042" s="13"/>
      <c r="G1042" s="13"/>
    </row>
    <row r="1043" spans="1:7" x14ac:dyDescent="0.2">
      <c r="A1043" s="13"/>
      <c r="B1043" s="13"/>
      <c r="D1043" s="13"/>
      <c r="E1043" s="13"/>
      <c r="F1043" s="13"/>
    </row>
    <row r="1044" spans="1:7" x14ac:dyDescent="0.2">
      <c r="A1044" s="13"/>
      <c r="B1044" s="13"/>
      <c r="D1044" s="13"/>
      <c r="E1044" s="13"/>
      <c r="G1044" s="13"/>
    </row>
    <row r="1045" spans="1:7" x14ac:dyDescent="0.2">
      <c r="A1045" s="13"/>
      <c r="B1045" s="13"/>
      <c r="D1045" s="13"/>
      <c r="E1045" s="13"/>
      <c r="F1045" s="13"/>
    </row>
    <row r="1046" spans="1:7" x14ac:dyDescent="0.2">
      <c r="A1046" s="13"/>
      <c r="B1046" s="13"/>
      <c r="D1046" s="13"/>
      <c r="E1046" s="13"/>
      <c r="F1046" s="13"/>
    </row>
    <row r="1047" spans="1:7" x14ac:dyDescent="0.2">
      <c r="A1047" s="13"/>
      <c r="B1047" s="13"/>
      <c r="D1047" s="13"/>
      <c r="E1047" s="13"/>
      <c r="G1047" s="13"/>
    </row>
    <row r="1048" spans="1:7" x14ac:dyDescent="0.2">
      <c r="A1048" s="13"/>
      <c r="B1048" s="13"/>
      <c r="D1048" s="13"/>
      <c r="E1048" s="13"/>
      <c r="G1048" s="13"/>
    </row>
    <row r="1049" spans="1:7" x14ac:dyDescent="0.2">
      <c r="A1049" s="13"/>
      <c r="B1049" s="13"/>
      <c r="D1049" s="13"/>
      <c r="E1049" s="13"/>
      <c r="F1049" s="13"/>
    </row>
    <row r="1050" spans="1:7" x14ac:dyDescent="0.2">
      <c r="A1050" s="13"/>
      <c r="B1050" s="13"/>
      <c r="D1050" s="13"/>
      <c r="E1050" s="13"/>
      <c r="F1050" s="13"/>
    </row>
    <row r="1051" spans="1:7" x14ac:dyDescent="0.2">
      <c r="A1051" s="13"/>
      <c r="B1051" s="13"/>
      <c r="D1051" s="13"/>
      <c r="E1051" s="13"/>
      <c r="F1051" s="13"/>
    </row>
    <row r="1052" spans="1:7" x14ac:dyDescent="0.2">
      <c r="A1052" s="13"/>
      <c r="B1052" s="13"/>
      <c r="D1052" s="13"/>
      <c r="E1052" s="13"/>
      <c r="G1052" s="13"/>
    </row>
    <row r="1053" spans="1:7" x14ac:dyDescent="0.2">
      <c r="A1053" s="13"/>
      <c r="B1053" s="13"/>
      <c r="D1053" s="13"/>
      <c r="E1053" s="13"/>
      <c r="F1053" s="13"/>
    </row>
    <row r="1054" spans="1:7" x14ac:dyDescent="0.2">
      <c r="A1054" s="13"/>
      <c r="B1054" s="13"/>
      <c r="D1054" s="13"/>
      <c r="E1054" s="13"/>
      <c r="F1054" s="13"/>
    </row>
    <row r="1055" spans="1:7" x14ac:dyDescent="0.2">
      <c r="A1055" s="13"/>
      <c r="B1055" s="13"/>
      <c r="D1055" s="13"/>
      <c r="E1055" s="13"/>
      <c r="F1055" s="13"/>
    </row>
    <row r="1056" spans="1:7" x14ac:dyDescent="0.2">
      <c r="A1056" s="13"/>
      <c r="B1056" s="13"/>
      <c r="D1056" s="13"/>
      <c r="E1056" s="13"/>
      <c r="F1056" s="13"/>
    </row>
    <row r="1057" spans="1:7" x14ac:dyDescent="0.2">
      <c r="A1057" s="13"/>
      <c r="B1057" s="13"/>
      <c r="D1057" s="13"/>
      <c r="E1057" s="13"/>
      <c r="F1057" s="13"/>
    </row>
    <row r="1058" spans="1:7" x14ac:dyDescent="0.2">
      <c r="A1058" s="13"/>
      <c r="B1058" s="13"/>
      <c r="D1058" s="13"/>
      <c r="E1058" s="13"/>
      <c r="F1058" s="13"/>
    </row>
    <row r="1059" spans="1:7" x14ac:dyDescent="0.2">
      <c r="A1059" s="13"/>
      <c r="B1059" s="13"/>
      <c r="D1059" s="13"/>
      <c r="E1059" s="13"/>
      <c r="G1059" s="13"/>
    </row>
    <row r="1060" spans="1:7" x14ac:dyDescent="0.2">
      <c r="A1060" s="13"/>
      <c r="B1060" s="13"/>
      <c r="D1060" s="13"/>
      <c r="E1060" s="13"/>
      <c r="F1060" s="13"/>
    </row>
    <row r="1061" spans="1:7" x14ac:dyDescent="0.2">
      <c r="A1061" s="13"/>
      <c r="B1061" s="13"/>
      <c r="D1061" s="13"/>
      <c r="E1061" s="13"/>
      <c r="F1061" s="13"/>
    </row>
    <row r="1062" spans="1:7" x14ac:dyDescent="0.2">
      <c r="A1062" s="13"/>
      <c r="B1062" s="13"/>
      <c r="D1062" s="13"/>
      <c r="E1062" s="13"/>
      <c r="F1062" s="13"/>
    </row>
    <row r="1063" spans="1:7" x14ac:dyDescent="0.2">
      <c r="A1063" s="13"/>
      <c r="B1063" s="13"/>
      <c r="D1063" s="13"/>
      <c r="E1063" s="13"/>
      <c r="G1063" s="13"/>
    </row>
    <row r="1064" spans="1:7" x14ac:dyDescent="0.2">
      <c r="A1064" s="13"/>
      <c r="B1064" s="13"/>
      <c r="D1064" s="13"/>
      <c r="E1064" s="13"/>
      <c r="G1064" s="13"/>
    </row>
    <row r="1065" spans="1:7" x14ac:dyDescent="0.2">
      <c r="A1065" s="13"/>
      <c r="B1065" s="13"/>
      <c r="D1065" s="13"/>
      <c r="E1065" s="13"/>
      <c r="F1065" s="13"/>
    </row>
    <row r="1066" spans="1:7" x14ac:dyDescent="0.2">
      <c r="A1066" s="13"/>
      <c r="B1066" s="13"/>
      <c r="D1066" s="13"/>
      <c r="E1066" s="13"/>
      <c r="F1066" s="13"/>
    </row>
    <row r="1067" spans="1:7" x14ac:dyDescent="0.2">
      <c r="A1067" s="13"/>
      <c r="B1067" s="13"/>
      <c r="D1067" s="13"/>
      <c r="E1067" s="13"/>
      <c r="F1067" s="13"/>
    </row>
    <row r="1068" spans="1:7" x14ac:dyDescent="0.2">
      <c r="A1068" s="13"/>
      <c r="B1068" s="13"/>
      <c r="D1068" s="13"/>
      <c r="E1068" s="13"/>
      <c r="G1068" s="13"/>
    </row>
    <row r="1069" spans="1:7" x14ac:dyDescent="0.2">
      <c r="A1069" s="13"/>
      <c r="B1069" s="13"/>
      <c r="D1069" s="13"/>
      <c r="E1069" s="13"/>
      <c r="G1069" s="13"/>
    </row>
    <row r="1070" spans="1:7" x14ac:dyDescent="0.2">
      <c r="A1070" s="13"/>
      <c r="B1070" s="13"/>
      <c r="D1070" s="13"/>
      <c r="E1070" s="13"/>
      <c r="F1070" s="13"/>
    </row>
    <row r="1071" spans="1:7" x14ac:dyDescent="0.2">
      <c r="A1071" s="13"/>
      <c r="B1071" s="13"/>
      <c r="D1071" s="13"/>
      <c r="E1071" s="13"/>
      <c r="F1071" s="13"/>
    </row>
    <row r="1072" spans="1:7" x14ac:dyDescent="0.2">
      <c r="A1072" s="13"/>
      <c r="B1072" s="13"/>
      <c r="D1072" s="13"/>
      <c r="E1072" s="13"/>
      <c r="G1072" s="13"/>
    </row>
    <row r="1073" spans="1:7" x14ac:dyDescent="0.2">
      <c r="A1073" s="13"/>
      <c r="B1073" s="13"/>
      <c r="D1073" s="13"/>
      <c r="E1073" s="13"/>
      <c r="F1073" s="13"/>
    </row>
    <row r="1074" spans="1:7" x14ac:dyDescent="0.2">
      <c r="A1074" s="13"/>
      <c r="B1074" s="13"/>
      <c r="D1074" s="13"/>
      <c r="E1074" s="13"/>
      <c r="F1074" s="13"/>
    </row>
    <row r="1075" spans="1:7" x14ac:dyDescent="0.2">
      <c r="A1075" s="13"/>
      <c r="B1075" s="13"/>
      <c r="D1075" s="13"/>
      <c r="E1075" s="13"/>
      <c r="F1075" s="13"/>
    </row>
    <row r="1076" spans="1:7" x14ac:dyDescent="0.2">
      <c r="A1076" s="13"/>
      <c r="B1076" s="13"/>
      <c r="D1076" s="13"/>
      <c r="E1076" s="13"/>
      <c r="F1076" s="13"/>
    </row>
    <row r="1077" spans="1:7" x14ac:dyDescent="0.2">
      <c r="A1077" s="13"/>
      <c r="B1077" s="13"/>
      <c r="D1077" s="13"/>
      <c r="E1077" s="13"/>
      <c r="G1077" s="13"/>
    </row>
    <row r="1078" spans="1:7" x14ac:dyDescent="0.2">
      <c r="A1078" s="13"/>
      <c r="B1078" s="13"/>
      <c r="D1078" s="13"/>
      <c r="E1078" s="13"/>
      <c r="F1078" s="13"/>
    </row>
    <row r="1079" spans="1:7" x14ac:dyDescent="0.2">
      <c r="A1079" s="13"/>
      <c r="B1079" s="13"/>
      <c r="D1079" s="13"/>
      <c r="E1079" s="13"/>
      <c r="F1079" s="13"/>
    </row>
    <row r="1080" spans="1:7" x14ac:dyDescent="0.2">
      <c r="A1080" s="13"/>
      <c r="B1080" s="13"/>
      <c r="D1080" s="13"/>
      <c r="E1080" s="13"/>
      <c r="F1080" s="13"/>
    </row>
    <row r="1081" spans="1:7" x14ac:dyDescent="0.2">
      <c r="A1081" s="13"/>
      <c r="B1081" s="13"/>
      <c r="D1081" s="13"/>
      <c r="E1081" s="13"/>
      <c r="G1081" s="13"/>
    </row>
    <row r="1082" spans="1:7" x14ac:dyDescent="0.2">
      <c r="A1082" s="13"/>
      <c r="B1082" s="13"/>
      <c r="D1082" s="13"/>
      <c r="E1082" s="13"/>
      <c r="G1082" s="13"/>
    </row>
    <row r="1083" spans="1:7" x14ac:dyDescent="0.2">
      <c r="A1083" s="13"/>
      <c r="B1083" s="13"/>
      <c r="D1083" s="13"/>
      <c r="E1083" s="13"/>
      <c r="F1083" s="13"/>
    </row>
    <row r="1084" spans="1:7" x14ac:dyDescent="0.2">
      <c r="A1084" s="13"/>
      <c r="B1084" s="13"/>
      <c r="D1084" s="13"/>
      <c r="E1084" s="13"/>
      <c r="F1084" s="13"/>
    </row>
    <row r="1085" spans="1:7" x14ac:dyDescent="0.2">
      <c r="A1085" s="13"/>
      <c r="B1085" s="13"/>
      <c r="D1085" s="13"/>
      <c r="E1085" s="13"/>
      <c r="G1085" s="13"/>
    </row>
    <row r="1086" spans="1:7" x14ac:dyDescent="0.2">
      <c r="A1086" s="13"/>
      <c r="B1086" s="13"/>
      <c r="D1086" s="13"/>
      <c r="E1086" s="13"/>
      <c r="F1086" s="13"/>
    </row>
    <row r="1087" spans="1:7" x14ac:dyDescent="0.2">
      <c r="A1087" s="13"/>
      <c r="B1087" s="13"/>
      <c r="D1087" s="13"/>
      <c r="E1087" s="13"/>
      <c r="G1087" s="13"/>
    </row>
    <row r="1088" spans="1:7" x14ac:dyDescent="0.2">
      <c r="A1088" s="13"/>
      <c r="B1088" s="13"/>
      <c r="D1088" s="13"/>
      <c r="E1088" s="13"/>
      <c r="G1088" s="13"/>
    </row>
    <row r="1089" spans="1:7" x14ac:dyDescent="0.2">
      <c r="A1089" s="13"/>
      <c r="B1089" s="13"/>
      <c r="D1089" s="13"/>
      <c r="E1089" s="13"/>
      <c r="F1089" s="13"/>
    </row>
    <row r="1090" spans="1:7" x14ac:dyDescent="0.2">
      <c r="A1090" s="13"/>
      <c r="B1090" s="13"/>
      <c r="D1090" s="13"/>
      <c r="E1090" s="13"/>
      <c r="F1090" s="13"/>
    </row>
    <row r="1091" spans="1:7" x14ac:dyDescent="0.2">
      <c r="A1091" s="13"/>
      <c r="B1091" s="13"/>
      <c r="D1091" s="13"/>
      <c r="E1091" s="13"/>
      <c r="G1091" s="13"/>
    </row>
    <row r="1092" spans="1:7" x14ac:dyDescent="0.2">
      <c r="A1092" s="13"/>
      <c r="B1092" s="13"/>
      <c r="D1092" s="13"/>
      <c r="E1092" s="13"/>
      <c r="F1092" s="13"/>
    </row>
    <row r="1093" spans="1:7" x14ac:dyDescent="0.2">
      <c r="A1093" s="13"/>
      <c r="B1093" s="13"/>
      <c r="D1093" s="13"/>
      <c r="E1093" s="13"/>
      <c r="F1093" s="13"/>
    </row>
    <row r="1094" spans="1:7" x14ac:dyDescent="0.2">
      <c r="A1094" s="13"/>
      <c r="B1094" s="13"/>
      <c r="D1094" s="13"/>
      <c r="E1094" s="13"/>
      <c r="F1094" s="13"/>
    </row>
    <row r="1095" spans="1:7" x14ac:dyDescent="0.2">
      <c r="A1095" s="13"/>
      <c r="B1095" s="13"/>
      <c r="D1095" s="13"/>
      <c r="E1095" s="13"/>
      <c r="F1095" s="13"/>
    </row>
    <row r="1096" spans="1:7" x14ac:dyDescent="0.2">
      <c r="A1096" s="13"/>
      <c r="B1096" s="13"/>
      <c r="D1096" s="13"/>
      <c r="E1096" s="13"/>
      <c r="G1096" s="13"/>
    </row>
    <row r="1097" spans="1:7" x14ac:dyDescent="0.2">
      <c r="A1097" s="13"/>
      <c r="B1097" s="13"/>
      <c r="D1097" s="13"/>
      <c r="E1097" s="13"/>
      <c r="F1097" s="13"/>
    </row>
    <row r="1098" spans="1:7" x14ac:dyDescent="0.2">
      <c r="A1098" s="13"/>
      <c r="B1098" s="13"/>
      <c r="D1098" s="13"/>
      <c r="E1098" s="13"/>
      <c r="F1098" s="13"/>
    </row>
    <row r="1099" spans="1:7" x14ac:dyDescent="0.2">
      <c r="A1099" s="13"/>
      <c r="B1099" s="13"/>
      <c r="D1099" s="13"/>
      <c r="E1099" s="13"/>
      <c r="G1099" s="13"/>
    </row>
    <row r="1100" spans="1:7" x14ac:dyDescent="0.2">
      <c r="A1100" s="13"/>
      <c r="B1100" s="13"/>
      <c r="D1100" s="13"/>
      <c r="E1100" s="13"/>
      <c r="G1100" s="13"/>
    </row>
    <row r="1101" spans="1:7" x14ac:dyDescent="0.2">
      <c r="A1101" s="13"/>
      <c r="B1101" s="13"/>
      <c r="D1101" s="13"/>
      <c r="E1101" s="13"/>
      <c r="F1101" s="13"/>
    </row>
    <row r="1102" spans="1:7" x14ac:dyDescent="0.2">
      <c r="A1102" s="13"/>
      <c r="B1102" s="13"/>
      <c r="D1102" s="13"/>
      <c r="E1102" s="13"/>
      <c r="F1102" s="13"/>
    </row>
    <row r="1103" spans="1:7" x14ac:dyDescent="0.2">
      <c r="A1103" s="13"/>
      <c r="B1103" s="13"/>
      <c r="D1103" s="13"/>
      <c r="E1103" s="13"/>
      <c r="G1103" s="13"/>
    </row>
    <row r="1104" spans="1:7" x14ac:dyDescent="0.2">
      <c r="A1104" s="13"/>
      <c r="B1104" s="13"/>
      <c r="D1104" s="13"/>
      <c r="E1104" s="13"/>
      <c r="G1104" s="13"/>
    </row>
    <row r="1105" spans="1:7" x14ac:dyDescent="0.2">
      <c r="A1105" s="13"/>
      <c r="B1105" s="13"/>
      <c r="D1105" s="13"/>
      <c r="E1105" s="13"/>
      <c r="F1105" s="13"/>
    </row>
    <row r="1106" spans="1:7" x14ac:dyDescent="0.2">
      <c r="A1106" s="13"/>
      <c r="B1106" s="13"/>
      <c r="D1106" s="13"/>
      <c r="E1106" s="13"/>
      <c r="F1106" s="13"/>
    </row>
    <row r="1107" spans="1:7" x14ac:dyDescent="0.2">
      <c r="A1107" s="13"/>
      <c r="B1107" s="13"/>
      <c r="D1107" s="13"/>
      <c r="E1107" s="13"/>
      <c r="G1107" s="13"/>
    </row>
    <row r="1108" spans="1:7" x14ac:dyDescent="0.2">
      <c r="A1108" s="13"/>
      <c r="B1108" s="13"/>
      <c r="D1108" s="13"/>
      <c r="E1108" s="13"/>
      <c r="F1108" s="13"/>
    </row>
    <row r="1109" spans="1:7" x14ac:dyDescent="0.2">
      <c r="A1109" s="13"/>
      <c r="B1109" s="13"/>
      <c r="D1109" s="13"/>
      <c r="E1109" s="13"/>
      <c r="F1109" s="13"/>
    </row>
    <row r="1110" spans="1:7" x14ac:dyDescent="0.2">
      <c r="A1110" s="13"/>
      <c r="B1110" s="13"/>
      <c r="D1110" s="13"/>
      <c r="E1110" s="13"/>
      <c r="F1110" s="13"/>
    </row>
    <row r="1111" spans="1:7" x14ac:dyDescent="0.2">
      <c r="A1111" s="13"/>
      <c r="B1111" s="13"/>
      <c r="D1111" s="13"/>
      <c r="E1111" s="13"/>
      <c r="F1111" s="13"/>
    </row>
    <row r="1112" spans="1:7" x14ac:dyDescent="0.2">
      <c r="A1112" s="13"/>
      <c r="B1112" s="13"/>
      <c r="D1112" s="13"/>
      <c r="E1112" s="13"/>
      <c r="G1112" s="13"/>
    </row>
    <row r="1113" spans="1:7" x14ac:dyDescent="0.2">
      <c r="A1113" s="13"/>
      <c r="B1113" s="13"/>
      <c r="D1113" s="13"/>
      <c r="E1113" s="13"/>
      <c r="G1113" s="13"/>
    </row>
    <row r="1114" spans="1:7" x14ac:dyDescent="0.2">
      <c r="A1114" s="13"/>
      <c r="B1114" s="13"/>
      <c r="D1114" s="13"/>
      <c r="E1114" s="13"/>
      <c r="F1114" s="13"/>
    </row>
    <row r="1115" spans="1:7" x14ac:dyDescent="0.2">
      <c r="A1115" s="13"/>
      <c r="B1115" s="13"/>
      <c r="D1115" s="13"/>
      <c r="E1115" s="13"/>
      <c r="G1115" s="13"/>
    </row>
    <row r="1116" spans="1:7" x14ac:dyDescent="0.2">
      <c r="A1116" s="13"/>
      <c r="B1116" s="13"/>
      <c r="D1116" s="13"/>
      <c r="E1116" s="13"/>
      <c r="G1116" s="13"/>
    </row>
    <row r="1117" spans="1:7" x14ac:dyDescent="0.2">
      <c r="A1117" s="13"/>
      <c r="B1117" s="13"/>
      <c r="D1117" s="13"/>
      <c r="E1117" s="13"/>
      <c r="G1117" s="13"/>
    </row>
    <row r="1118" spans="1:7" x14ac:dyDescent="0.2">
      <c r="A1118" s="13"/>
      <c r="B1118" s="13"/>
      <c r="D1118" s="13"/>
      <c r="E1118" s="13"/>
      <c r="F1118" s="13"/>
    </row>
    <row r="1119" spans="1:7" x14ac:dyDescent="0.2">
      <c r="A1119" s="13"/>
      <c r="B1119" s="13"/>
      <c r="D1119" s="13"/>
      <c r="E1119" s="13"/>
      <c r="F1119" s="13"/>
    </row>
    <row r="1120" spans="1:7" x14ac:dyDescent="0.2">
      <c r="A1120" s="13"/>
      <c r="B1120" s="13"/>
      <c r="D1120" s="13"/>
      <c r="E1120" s="13"/>
      <c r="F1120" s="13"/>
    </row>
    <row r="1121" spans="1:7" x14ac:dyDescent="0.2">
      <c r="A1121" s="13"/>
      <c r="B1121" s="13"/>
      <c r="D1121" s="13"/>
      <c r="E1121" s="13"/>
      <c r="G1121" s="13"/>
    </row>
    <row r="1122" spans="1:7" x14ac:dyDescent="0.2">
      <c r="A1122" s="13"/>
      <c r="B1122" s="13"/>
      <c r="D1122" s="13"/>
      <c r="E1122" s="13"/>
      <c r="G1122" s="13"/>
    </row>
    <row r="1123" spans="1:7" x14ac:dyDescent="0.2">
      <c r="A1123" s="13"/>
      <c r="B1123" s="13"/>
      <c r="D1123" s="13"/>
      <c r="E1123" s="13"/>
      <c r="F1123" s="13"/>
    </row>
    <row r="1124" spans="1:7" x14ac:dyDescent="0.2">
      <c r="A1124" s="13"/>
      <c r="B1124" s="13"/>
      <c r="D1124" s="13"/>
      <c r="E1124" s="13"/>
      <c r="F1124" s="13"/>
    </row>
    <row r="1125" spans="1:7" x14ac:dyDescent="0.2">
      <c r="A1125" s="13"/>
      <c r="B1125" s="13"/>
      <c r="D1125" s="13"/>
      <c r="E1125" s="13"/>
      <c r="F1125" s="13"/>
    </row>
    <row r="1126" spans="1:7" x14ac:dyDescent="0.2">
      <c r="A1126" s="13"/>
      <c r="B1126" s="13"/>
      <c r="D1126" s="13"/>
      <c r="E1126" s="13"/>
      <c r="F1126" s="13"/>
    </row>
    <row r="1127" spans="1:7" x14ac:dyDescent="0.2">
      <c r="A1127" s="13"/>
      <c r="B1127" s="13"/>
      <c r="D1127" s="13"/>
      <c r="E1127" s="13"/>
      <c r="F1127" s="13"/>
    </row>
    <row r="1128" spans="1:7" x14ac:dyDescent="0.2">
      <c r="A1128" s="13"/>
      <c r="B1128" s="13"/>
      <c r="D1128" s="13"/>
      <c r="E1128" s="13"/>
      <c r="F1128" s="13"/>
    </row>
    <row r="1129" spans="1:7" x14ac:dyDescent="0.2">
      <c r="A1129" s="13"/>
      <c r="B1129" s="13"/>
      <c r="D1129" s="13"/>
      <c r="E1129" s="13"/>
      <c r="F1129" s="13"/>
    </row>
    <row r="1130" spans="1:7" x14ac:dyDescent="0.2">
      <c r="A1130" s="13"/>
      <c r="B1130" s="13"/>
      <c r="D1130" s="13"/>
      <c r="E1130" s="13"/>
      <c r="F1130" s="13"/>
    </row>
    <row r="1131" spans="1:7" x14ac:dyDescent="0.2">
      <c r="A1131" s="13"/>
      <c r="B1131" s="13"/>
      <c r="D1131" s="13"/>
      <c r="E1131" s="13"/>
      <c r="F1131" s="13"/>
    </row>
    <row r="1132" spans="1:7" x14ac:dyDescent="0.2">
      <c r="A1132" s="13"/>
      <c r="B1132" s="13"/>
      <c r="D1132" s="13"/>
      <c r="E1132" s="13"/>
      <c r="F1132" s="13"/>
    </row>
    <row r="1133" spans="1:7" x14ac:dyDescent="0.2">
      <c r="A1133" s="13"/>
      <c r="B1133" s="13"/>
      <c r="D1133" s="13"/>
      <c r="E1133" s="13"/>
      <c r="F1133" s="13"/>
    </row>
    <row r="1134" spans="1:7" x14ac:dyDescent="0.2">
      <c r="A1134" s="13"/>
      <c r="B1134" s="13"/>
      <c r="D1134" s="13"/>
      <c r="E1134" s="13"/>
      <c r="G1134" s="13"/>
    </row>
    <row r="1135" spans="1:7" x14ac:dyDescent="0.2">
      <c r="A1135" s="13"/>
      <c r="B1135" s="13"/>
      <c r="D1135" s="13"/>
      <c r="E1135" s="13"/>
      <c r="F1135" s="13"/>
    </row>
    <row r="1136" spans="1:7" x14ac:dyDescent="0.2">
      <c r="A1136" s="13"/>
      <c r="B1136" s="13"/>
      <c r="D1136" s="13"/>
      <c r="E1136" s="13"/>
      <c r="F1136" s="13"/>
    </row>
    <row r="1137" spans="1:7" x14ac:dyDescent="0.2">
      <c r="A1137" s="13"/>
      <c r="B1137" s="13"/>
      <c r="D1137" s="13"/>
      <c r="E1137" s="13"/>
      <c r="G1137" s="13"/>
    </row>
    <row r="1138" spans="1:7" x14ac:dyDescent="0.2">
      <c r="A1138" s="13"/>
      <c r="B1138" s="13"/>
      <c r="D1138" s="13"/>
      <c r="E1138" s="13"/>
      <c r="F1138" s="13"/>
    </row>
    <row r="1139" spans="1:7" x14ac:dyDescent="0.2">
      <c r="A1139" s="13"/>
      <c r="B1139" s="13"/>
      <c r="D1139" s="13"/>
      <c r="E1139" s="13"/>
      <c r="F1139" s="13"/>
    </row>
    <row r="1140" spans="1:7" x14ac:dyDescent="0.2">
      <c r="A1140" s="13"/>
      <c r="B1140" s="13"/>
      <c r="D1140" s="13"/>
      <c r="E1140" s="13"/>
      <c r="F1140" s="13"/>
    </row>
    <row r="1141" spans="1:7" x14ac:dyDescent="0.2">
      <c r="A1141" s="13"/>
      <c r="B1141" s="13"/>
      <c r="D1141" s="13"/>
      <c r="E1141" s="13"/>
      <c r="G1141" s="13"/>
    </row>
    <row r="1142" spans="1:7" x14ac:dyDescent="0.2">
      <c r="A1142" s="13"/>
      <c r="B1142" s="13"/>
      <c r="D1142" s="13"/>
      <c r="E1142" s="13"/>
      <c r="F1142" s="13"/>
    </row>
    <row r="1143" spans="1:7" x14ac:dyDescent="0.2">
      <c r="A1143" s="13"/>
      <c r="B1143" s="13"/>
      <c r="D1143" s="13"/>
      <c r="E1143" s="13"/>
      <c r="G1143" s="13"/>
    </row>
    <row r="1144" spans="1:7" x14ac:dyDescent="0.2">
      <c r="A1144" s="13"/>
      <c r="B1144" s="13"/>
      <c r="D1144" s="13"/>
      <c r="E1144" s="13"/>
      <c r="G1144" s="13"/>
    </row>
    <row r="1145" spans="1:7" x14ac:dyDescent="0.2">
      <c r="A1145" s="13"/>
      <c r="B1145" s="13"/>
      <c r="D1145" s="13"/>
      <c r="E1145" s="13"/>
      <c r="F1145" s="13"/>
    </row>
    <row r="1146" spans="1:7" x14ac:dyDescent="0.2">
      <c r="A1146" s="13"/>
      <c r="B1146" s="13"/>
      <c r="D1146" s="13"/>
      <c r="E1146" s="13"/>
      <c r="F1146" s="13"/>
    </row>
    <row r="1147" spans="1:7" x14ac:dyDescent="0.2">
      <c r="A1147" s="13"/>
      <c r="B1147" s="13"/>
      <c r="D1147" s="13"/>
      <c r="E1147" s="13"/>
      <c r="F1147" s="13"/>
    </row>
    <row r="1148" spans="1:7" x14ac:dyDescent="0.2">
      <c r="A1148" s="13"/>
      <c r="B1148" s="13"/>
      <c r="D1148" s="13"/>
      <c r="E1148" s="13"/>
      <c r="F1148" s="13"/>
    </row>
    <row r="1149" spans="1:7" x14ac:dyDescent="0.2">
      <c r="A1149" s="13"/>
      <c r="B1149" s="13"/>
      <c r="D1149" s="13"/>
      <c r="E1149" s="13"/>
      <c r="F1149" s="13"/>
    </row>
    <row r="1150" spans="1:7" x14ac:dyDescent="0.2">
      <c r="A1150" s="13"/>
      <c r="B1150" s="13"/>
      <c r="D1150" s="13"/>
      <c r="E1150" s="13"/>
      <c r="F1150" s="13"/>
    </row>
    <row r="1151" spans="1:7" x14ac:dyDescent="0.2">
      <c r="A1151" s="13"/>
      <c r="B1151" s="13"/>
      <c r="D1151" s="13"/>
      <c r="E1151" s="13"/>
      <c r="F1151" s="13"/>
    </row>
    <row r="1152" spans="1:7" x14ac:dyDescent="0.2">
      <c r="A1152" s="13"/>
      <c r="B1152" s="13"/>
      <c r="D1152" s="13"/>
      <c r="E1152" s="13"/>
      <c r="F1152" s="13"/>
    </row>
    <row r="1153" spans="1:7" x14ac:dyDescent="0.2">
      <c r="A1153" s="13"/>
      <c r="B1153" s="13"/>
      <c r="D1153" s="13"/>
      <c r="E1153" s="13"/>
      <c r="F1153" s="13"/>
    </row>
    <row r="1154" spans="1:7" x14ac:dyDescent="0.2">
      <c r="A1154" s="13"/>
      <c r="B1154" s="13"/>
      <c r="D1154" s="13"/>
      <c r="E1154" s="13"/>
      <c r="G1154" s="13"/>
    </row>
    <row r="1155" spans="1:7" x14ac:dyDescent="0.2">
      <c r="A1155" s="13"/>
      <c r="B1155" s="13"/>
      <c r="D1155" s="13"/>
      <c r="E1155" s="13"/>
      <c r="F1155" s="13"/>
    </row>
    <row r="1156" spans="1:7" x14ac:dyDescent="0.2">
      <c r="A1156" s="13"/>
      <c r="B1156" s="13"/>
      <c r="D1156" s="13"/>
      <c r="E1156" s="13"/>
      <c r="F1156" s="13"/>
    </row>
    <row r="1157" spans="1:7" x14ac:dyDescent="0.2">
      <c r="A1157" s="13"/>
      <c r="B1157" s="13"/>
      <c r="D1157" s="13"/>
      <c r="E1157" s="13"/>
      <c r="F1157" s="13"/>
    </row>
    <row r="1158" spans="1:7" x14ac:dyDescent="0.2">
      <c r="A1158" s="13"/>
      <c r="B1158" s="13"/>
      <c r="D1158" s="13"/>
      <c r="E1158" s="13"/>
      <c r="F1158" s="13"/>
    </row>
    <row r="1159" spans="1:7" x14ac:dyDescent="0.2">
      <c r="A1159" s="13"/>
      <c r="B1159" s="13"/>
      <c r="D1159" s="13"/>
      <c r="E1159" s="13"/>
      <c r="F1159" s="13"/>
    </row>
    <row r="1160" spans="1:7" x14ac:dyDescent="0.2">
      <c r="A1160" s="13"/>
      <c r="B1160" s="13"/>
      <c r="D1160" s="13"/>
      <c r="E1160" s="13"/>
      <c r="F1160" s="13"/>
    </row>
    <row r="1161" spans="1:7" x14ac:dyDescent="0.2">
      <c r="A1161" s="13"/>
      <c r="B1161" s="13"/>
      <c r="D1161" s="13"/>
      <c r="E1161" s="13"/>
      <c r="F1161" s="13"/>
    </row>
    <row r="1162" spans="1:7" x14ac:dyDescent="0.2">
      <c r="A1162" s="13"/>
      <c r="B1162" s="13"/>
      <c r="D1162" s="13"/>
      <c r="E1162" s="13"/>
      <c r="G1162" s="13"/>
    </row>
    <row r="1163" spans="1:7" x14ac:dyDescent="0.2">
      <c r="A1163" s="13"/>
      <c r="B1163" s="13"/>
      <c r="D1163" s="13"/>
      <c r="E1163" s="13"/>
      <c r="G1163" s="13"/>
    </row>
    <row r="1164" spans="1:7" x14ac:dyDescent="0.2">
      <c r="A1164" s="13"/>
      <c r="B1164" s="13"/>
      <c r="D1164" s="13"/>
      <c r="E1164" s="13"/>
      <c r="G1164" s="13"/>
    </row>
    <row r="1165" spans="1:7" x14ac:dyDescent="0.2">
      <c r="A1165" s="13"/>
      <c r="B1165" s="13"/>
      <c r="D1165" s="13"/>
      <c r="E1165" s="13"/>
      <c r="F1165" s="13"/>
    </row>
    <row r="1166" spans="1:7" x14ac:dyDescent="0.2">
      <c r="A1166" s="13"/>
      <c r="B1166" s="13"/>
      <c r="D1166" s="13"/>
      <c r="E1166" s="13"/>
      <c r="G1166" s="13"/>
    </row>
    <row r="1167" spans="1:7" x14ac:dyDescent="0.2">
      <c r="A1167" s="13"/>
      <c r="B1167" s="13"/>
      <c r="D1167" s="13"/>
      <c r="E1167" s="13"/>
      <c r="F1167" s="13"/>
    </row>
    <row r="1168" spans="1:7" x14ac:dyDescent="0.2">
      <c r="A1168" s="13"/>
      <c r="B1168" s="13"/>
      <c r="D1168" s="13"/>
      <c r="E1168" s="13"/>
      <c r="F1168" s="13"/>
    </row>
    <row r="1169" spans="1:7" x14ac:dyDescent="0.2">
      <c r="A1169" s="13"/>
      <c r="B1169" s="13"/>
      <c r="D1169" s="13"/>
      <c r="E1169" s="13"/>
      <c r="F1169" s="13"/>
    </row>
    <row r="1170" spans="1:7" x14ac:dyDescent="0.2">
      <c r="A1170" s="13"/>
      <c r="B1170" s="13"/>
      <c r="D1170" s="13"/>
      <c r="E1170" s="13"/>
      <c r="F1170" s="13"/>
    </row>
    <row r="1171" spans="1:7" x14ac:dyDescent="0.2">
      <c r="A1171" s="13"/>
      <c r="B1171" s="13"/>
      <c r="D1171" s="13"/>
      <c r="E1171" s="13"/>
      <c r="F1171" s="13"/>
    </row>
    <row r="1172" spans="1:7" x14ac:dyDescent="0.2">
      <c r="A1172" s="13"/>
      <c r="B1172" s="13"/>
      <c r="D1172" s="13"/>
      <c r="E1172" s="13"/>
      <c r="G1172" s="13"/>
    </row>
    <row r="1173" spans="1:7" x14ac:dyDescent="0.2">
      <c r="A1173" s="13"/>
      <c r="B1173" s="13"/>
    </row>
    <row r="1174" spans="1:7" x14ac:dyDescent="0.2">
      <c r="A1174" s="13"/>
    </row>
    <row r="1175" spans="1:7" x14ac:dyDescent="0.2">
      <c r="A1175" s="13"/>
      <c r="B1175" s="13"/>
    </row>
    <row r="1176" spans="1:7" x14ac:dyDescent="0.2">
      <c r="A1176" s="13"/>
      <c r="B1176" s="13"/>
    </row>
    <row r="1177" spans="1:7" x14ac:dyDescent="0.2">
      <c r="A1177" s="13"/>
    </row>
    <row r="1178" spans="1:7" x14ac:dyDescent="0.2">
      <c r="A1178" s="13"/>
    </row>
    <row r="1179" spans="1:7" x14ac:dyDescent="0.2">
      <c r="A1179" s="13"/>
      <c r="C1179" s="13"/>
    </row>
    <row r="1180" spans="1:7" x14ac:dyDescent="0.2">
      <c r="A1180" s="13"/>
    </row>
    <row r="1181" spans="1:7" x14ac:dyDescent="0.2">
      <c r="A1181" s="13"/>
    </row>
    <row r="1182" spans="1:7" x14ac:dyDescent="0.2">
      <c r="A1182" s="13"/>
      <c r="B1182" s="13"/>
      <c r="D1182" s="13"/>
      <c r="E1182" s="13"/>
      <c r="G1182" s="13"/>
    </row>
    <row r="1183" spans="1:7" x14ac:dyDescent="0.2">
      <c r="A1183" s="13"/>
      <c r="B1183" s="13"/>
      <c r="D1183" s="13"/>
      <c r="E1183" s="13"/>
      <c r="G1183" s="13"/>
    </row>
    <row r="1184" spans="1:7" x14ac:dyDescent="0.2">
      <c r="A1184" s="13"/>
      <c r="B1184" s="13"/>
      <c r="D1184" s="13"/>
      <c r="E1184" s="13"/>
      <c r="G1184" s="13"/>
    </row>
    <row r="1185" spans="1:7" x14ac:dyDescent="0.2">
      <c r="A1185" s="13"/>
      <c r="B1185" s="13"/>
      <c r="D1185" s="13"/>
      <c r="E1185" s="13"/>
      <c r="G1185" s="13"/>
    </row>
    <row r="1186" spans="1:7" x14ac:dyDescent="0.2">
      <c r="A1186" s="13"/>
      <c r="B1186" s="13"/>
      <c r="D1186" s="13"/>
      <c r="E1186" s="13"/>
      <c r="G1186" s="13"/>
    </row>
    <row r="1187" spans="1:7" x14ac:dyDescent="0.2">
      <c r="A1187" s="13"/>
      <c r="B1187" s="13"/>
      <c r="D1187" s="13"/>
      <c r="E1187" s="13"/>
      <c r="G1187" s="13"/>
    </row>
    <row r="1188" spans="1:7" x14ac:dyDescent="0.2">
      <c r="A1188" s="13"/>
      <c r="B1188" s="13"/>
      <c r="D1188" s="13"/>
      <c r="E1188" s="13"/>
      <c r="G1188" s="13"/>
    </row>
    <row r="1189" spans="1:7" x14ac:dyDescent="0.2">
      <c r="A1189" s="13"/>
      <c r="B1189" s="13"/>
      <c r="D1189" s="13"/>
      <c r="E1189" s="13"/>
      <c r="G1189" s="13"/>
    </row>
    <row r="1190" spans="1:7" x14ac:dyDescent="0.2">
      <c r="A1190" s="13"/>
      <c r="B1190" s="13"/>
      <c r="D1190" s="13"/>
      <c r="E1190" s="13"/>
      <c r="G1190" s="13"/>
    </row>
    <row r="1191" spans="1:7" x14ac:dyDescent="0.2">
      <c r="A1191" s="13"/>
      <c r="B1191" s="13"/>
      <c r="D1191" s="13"/>
      <c r="E1191" s="13"/>
      <c r="G1191" s="13"/>
    </row>
    <row r="1192" spans="1:7" x14ac:dyDescent="0.2">
      <c r="A1192" s="13"/>
      <c r="B1192" s="13"/>
      <c r="D1192" s="13"/>
      <c r="E1192" s="13"/>
      <c r="G1192" s="13"/>
    </row>
    <row r="1193" spans="1:7" x14ac:dyDescent="0.2">
      <c r="A1193" s="13"/>
      <c r="B1193" s="13"/>
      <c r="D1193" s="13"/>
      <c r="E1193" s="13"/>
      <c r="G1193" s="13"/>
    </row>
    <row r="1194" spans="1:7" x14ac:dyDescent="0.2">
      <c r="A1194" s="13"/>
    </row>
    <row r="1195" spans="1:7" x14ac:dyDescent="0.2">
      <c r="A1195" s="13"/>
    </row>
    <row r="1196" spans="1:7" x14ac:dyDescent="0.2">
      <c r="A1196" s="13"/>
    </row>
    <row r="1197" spans="1:7" x14ac:dyDescent="0.2">
      <c r="A1197" s="13"/>
      <c r="C1197" s="13"/>
    </row>
    <row r="1198" spans="1:7" x14ac:dyDescent="0.2">
      <c r="A1198" s="13"/>
    </row>
    <row r="1199" spans="1:7" x14ac:dyDescent="0.2">
      <c r="A1199" s="13"/>
      <c r="B1199" s="13"/>
    </row>
    <row r="1200" spans="1:7" x14ac:dyDescent="0.2">
      <c r="A1200" s="13"/>
      <c r="B1200" s="13"/>
    </row>
    <row r="1201" spans="1:7" x14ac:dyDescent="0.2">
      <c r="A1201" s="13"/>
    </row>
    <row r="1202" spans="1:7" x14ac:dyDescent="0.2">
      <c r="A1202" s="13"/>
    </row>
    <row r="1203" spans="1:7" x14ac:dyDescent="0.2">
      <c r="A1203" s="13"/>
      <c r="B1203" s="13"/>
      <c r="D1203" s="13"/>
      <c r="E1203" s="13"/>
      <c r="F1203" s="13"/>
    </row>
    <row r="1204" spans="1:7" x14ac:dyDescent="0.2">
      <c r="A1204" s="13"/>
    </row>
    <row r="1205" spans="1:7" x14ac:dyDescent="0.2">
      <c r="A1205" s="13"/>
    </row>
    <row r="1206" spans="1:7" x14ac:dyDescent="0.2">
      <c r="A1206" s="13"/>
    </row>
    <row r="1207" spans="1:7" x14ac:dyDescent="0.2">
      <c r="A1207" s="13"/>
      <c r="C1207" s="13"/>
    </row>
    <row r="1208" spans="1:7" x14ac:dyDescent="0.2">
      <c r="A1208" s="13"/>
    </row>
    <row r="1209" spans="1:7" x14ac:dyDescent="0.2">
      <c r="A1209" s="13"/>
    </row>
    <row r="1210" spans="1:7" x14ac:dyDescent="0.2">
      <c r="A1210" s="13"/>
      <c r="B1210" s="13"/>
      <c r="D1210" s="13"/>
      <c r="E1210" s="13"/>
      <c r="F1210" s="13"/>
    </row>
    <row r="1211" spans="1:7" x14ac:dyDescent="0.2">
      <c r="A1211" s="13"/>
      <c r="B1211" s="13"/>
      <c r="D1211" s="13"/>
      <c r="E1211" s="13"/>
      <c r="F1211" s="13"/>
    </row>
    <row r="1212" spans="1:7" x14ac:dyDescent="0.2">
      <c r="A1212" s="13"/>
      <c r="B1212" s="13"/>
      <c r="D1212" s="13"/>
      <c r="E1212" s="13"/>
      <c r="F1212" s="13"/>
    </row>
    <row r="1213" spans="1:7" x14ac:dyDescent="0.2">
      <c r="A1213" s="13"/>
      <c r="B1213" s="13"/>
      <c r="D1213" s="13"/>
      <c r="E1213" s="13"/>
      <c r="F1213" s="13"/>
    </row>
    <row r="1214" spans="1:7" x14ac:dyDescent="0.2">
      <c r="A1214" s="13"/>
      <c r="B1214" s="13"/>
      <c r="D1214" s="13"/>
      <c r="E1214" s="13"/>
      <c r="G1214" s="13"/>
    </row>
    <row r="1215" spans="1:7" x14ac:dyDescent="0.2">
      <c r="A1215" s="13"/>
      <c r="B1215" s="13"/>
      <c r="D1215" s="13"/>
      <c r="E1215" s="13"/>
      <c r="F1215" s="13"/>
    </row>
    <row r="1216" spans="1:7" x14ac:dyDescent="0.2">
      <c r="A1216" s="13"/>
      <c r="B1216" s="13"/>
    </row>
    <row r="1217" spans="1:7" x14ac:dyDescent="0.2">
      <c r="A1217" s="13"/>
    </row>
    <row r="1218" spans="1:7" x14ac:dyDescent="0.2">
      <c r="A1218" s="13"/>
    </row>
    <row r="1219" spans="1:7" x14ac:dyDescent="0.2">
      <c r="A1219" s="13"/>
      <c r="B1219" s="13"/>
      <c r="D1219" s="13"/>
      <c r="E1219" s="13"/>
      <c r="F1219" s="13"/>
    </row>
    <row r="1220" spans="1:7" x14ac:dyDescent="0.2">
      <c r="A1220" s="13"/>
      <c r="B1220" s="13"/>
      <c r="D1220" s="13"/>
      <c r="E1220" s="13"/>
      <c r="G1220" s="13"/>
    </row>
    <row r="1221" spans="1:7" x14ac:dyDescent="0.2">
      <c r="A1221" s="13"/>
    </row>
    <row r="1222" spans="1:7" x14ac:dyDescent="0.2">
      <c r="A1222" s="13"/>
    </row>
    <row r="1223" spans="1:7" x14ac:dyDescent="0.2">
      <c r="A1223" s="13"/>
      <c r="B1223" s="13"/>
    </row>
    <row r="1224" spans="1:7" x14ac:dyDescent="0.2">
      <c r="A1224" s="13"/>
      <c r="B1224" s="13"/>
      <c r="D1224" s="13"/>
      <c r="E1224" s="13"/>
      <c r="F1224" s="13"/>
    </row>
    <row r="1225" spans="1:7" x14ac:dyDescent="0.2">
      <c r="A1225" s="13"/>
      <c r="B1225" s="13"/>
      <c r="D1225" s="13"/>
      <c r="E1225" s="13"/>
      <c r="F1225" s="13"/>
    </row>
    <row r="1226" spans="1:7" x14ac:dyDescent="0.2">
      <c r="A1226" s="13"/>
      <c r="B1226" s="13"/>
      <c r="D1226" s="13"/>
      <c r="E1226" s="13"/>
      <c r="G1226" s="13"/>
    </row>
    <row r="1227" spans="1:7" x14ac:dyDescent="0.2">
      <c r="A1227" s="13"/>
      <c r="B1227" s="13"/>
      <c r="D1227" s="13"/>
      <c r="E1227" s="13"/>
      <c r="G1227" s="13"/>
    </row>
    <row r="1228" spans="1:7" x14ac:dyDescent="0.2">
      <c r="A1228" s="13"/>
      <c r="B1228" s="13"/>
      <c r="D1228" s="13"/>
      <c r="E1228" s="13"/>
      <c r="G1228" s="13"/>
    </row>
    <row r="1229" spans="1:7" x14ac:dyDescent="0.2">
      <c r="A1229" s="13"/>
      <c r="B1229" s="13"/>
      <c r="D1229" s="13"/>
      <c r="E1229" s="13"/>
      <c r="F1229" s="13"/>
    </row>
    <row r="1230" spans="1:7" x14ac:dyDescent="0.2">
      <c r="A1230" s="13"/>
      <c r="B1230" s="13"/>
      <c r="D1230" s="13"/>
      <c r="E1230" s="13"/>
      <c r="F1230" s="13"/>
    </row>
    <row r="1231" spans="1:7" x14ac:dyDescent="0.2">
      <c r="A1231" s="13"/>
      <c r="B1231" s="13"/>
    </row>
    <row r="1232" spans="1:7" x14ac:dyDescent="0.2">
      <c r="A1232" s="13"/>
    </row>
    <row r="1233" spans="1:7" x14ac:dyDescent="0.2">
      <c r="A1233" s="13"/>
    </row>
    <row r="1234" spans="1:7" x14ac:dyDescent="0.2">
      <c r="A1234" s="13"/>
      <c r="C1234" s="13"/>
    </row>
    <row r="1235" spans="1:7" x14ac:dyDescent="0.2">
      <c r="A1235" s="13"/>
    </row>
    <row r="1236" spans="1:7" x14ac:dyDescent="0.2">
      <c r="A1236" s="13"/>
    </row>
    <row r="1237" spans="1:7" x14ac:dyDescent="0.2">
      <c r="A1237" s="13"/>
      <c r="C1237" s="13"/>
    </row>
    <row r="1238" spans="1:7" x14ac:dyDescent="0.2">
      <c r="A1238" s="13"/>
    </row>
    <row r="1239" spans="1:7" x14ac:dyDescent="0.2">
      <c r="A1239" s="13"/>
    </row>
    <row r="1240" spans="1:7" x14ac:dyDescent="0.2">
      <c r="A1240" s="13"/>
      <c r="B1240" s="13"/>
      <c r="D1240" s="13"/>
      <c r="E1240" s="13"/>
      <c r="G1240" s="13"/>
    </row>
    <row r="1241" spans="1:7" x14ac:dyDescent="0.2">
      <c r="A1241" s="13"/>
      <c r="B1241" s="13"/>
      <c r="D1241" s="13"/>
      <c r="E1241" s="13"/>
      <c r="G1241" s="13"/>
    </row>
    <row r="1242" spans="1:7" x14ac:dyDescent="0.2">
      <c r="A1242" s="13"/>
      <c r="B1242" s="13"/>
      <c r="D1242" s="13"/>
      <c r="E1242" s="13"/>
      <c r="G1242" s="13"/>
    </row>
    <row r="1243" spans="1:7" x14ac:dyDescent="0.2">
      <c r="A1243" s="13"/>
      <c r="B1243" s="13"/>
      <c r="D1243" s="13"/>
      <c r="E1243" s="13"/>
      <c r="G1243" s="13"/>
    </row>
    <row r="1244" spans="1:7" x14ac:dyDescent="0.2">
      <c r="A1244" s="13"/>
      <c r="B1244" s="13"/>
      <c r="D1244" s="13"/>
      <c r="E1244" s="13"/>
      <c r="G1244" s="13"/>
    </row>
    <row r="1245" spans="1:7" x14ac:dyDescent="0.2">
      <c r="A1245" s="13"/>
      <c r="B1245" s="13"/>
      <c r="D1245" s="13"/>
      <c r="E1245" s="13"/>
      <c r="G1245" s="13"/>
    </row>
    <row r="1246" spans="1:7" x14ac:dyDescent="0.2">
      <c r="A1246" s="13"/>
    </row>
    <row r="1247" spans="1:7" x14ac:dyDescent="0.2">
      <c r="A1247" s="13"/>
    </row>
    <row r="1248" spans="1:7" x14ac:dyDescent="0.2">
      <c r="A1248" s="13"/>
    </row>
    <row r="1249" spans="1:7" x14ac:dyDescent="0.2">
      <c r="A1249" s="13"/>
      <c r="B1249" s="13"/>
      <c r="D1249" s="13"/>
      <c r="E1249" s="13"/>
      <c r="G1249" s="13"/>
    </row>
    <row r="1250" spans="1:7" x14ac:dyDescent="0.2">
      <c r="A1250" s="13"/>
      <c r="B1250" s="13"/>
      <c r="D1250" s="13"/>
      <c r="E1250" s="13"/>
      <c r="G1250" s="13"/>
    </row>
    <row r="1251" spans="1:7" x14ac:dyDescent="0.2">
      <c r="A1251" s="13"/>
    </row>
    <row r="1252" spans="1:7" x14ac:dyDescent="0.2">
      <c r="A1252" s="13"/>
    </row>
    <row r="1253" spans="1:7" x14ac:dyDescent="0.2">
      <c r="A1253" s="13"/>
    </row>
    <row r="1254" spans="1:7" x14ac:dyDescent="0.2">
      <c r="A1254" s="13"/>
      <c r="B1254" s="13"/>
      <c r="D1254" s="13"/>
      <c r="E1254" s="13"/>
      <c r="G1254" s="13"/>
    </row>
    <row r="1255" spans="1:7" x14ac:dyDescent="0.2">
      <c r="A1255" s="13"/>
      <c r="B1255" s="13"/>
      <c r="D1255" s="13"/>
      <c r="E1255" s="13"/>
      <c r="G1255" s="13"/>
    </row>
    <row r="1256" spans="1:7" x14ac:dyDescent="0.2">
      <c r="A1256" s="13"/>
      <c r="B1256" s="13"/>
      <c r="D1256" s="13"/>
      <c r="E1256" s="13"/>
      <c r="G1256" s="13"/>
    </row>
    <row r="1257" spans="1:7" x14ac:dyDescent="0.2">
      <c r="A1257" s="13"/>
      <c r="B1257" s="13"/>
      <c r="D1257" s="13"/>
      <c r="E1257" s="13"/>
      <c r="G1257" s="13"/>
    </row>
    <row r="1258" spans="1:7" x14ac:dyDescent="0.2">
      <c r="A1258" s="13"/>
      <c r="B1258" s="13"/>
      <c r="D1258" s="13"/>
      <c r="E1258" s="13"/>
      <c r="G1258" s="13"/>
    </row>
    <row r="1259" spans="1:7" x14ac:dyDescent="0.2">
      <c r="A1259" s="13"/>
      <c r="B1259" s="13"/>
      <c r="D1259" s="13"/>
      <c r="E1259" s="13"/>
      <c r="G1259" s="13"/>
    </row>
    <row r="1260" spans="1:7" x14ac:dyDescent="0.2">
      <c r="A1260" s="13"/>
      <c r="B1260" s="13"/>
      <c r="D1260" s="13"/>
      <c r="E1260" s="13"/>
      <c r="G1260" s="13"/>
    </row>
    <row r="1261" spans="1:7" x14ac:dyDescent="0.2">
      <c r="A1261" s="13"/>
      <c r="B1261" s="13"/>
      <c r="D1261" s="13"/>
      <c r="E1261" s="13"/>
      <c r="G1261" s="13"/>
    </row>
    <row r="1262" spans="1:7" x14ac:dyDescent="0.2">
      <c r="A1262" s="13"/>
      <c r="B1262" s="13"/>
      <c r="D1262" s="13"/>
      <c r="E1262" s="13"/>
      <c r="G1262" s="13"/>
    </row>
    <row r="1263" spans="1:7" x14ac:dyDescent="0.2">
      <c r="A1263" s="13"/>
      <c r="B1263" s="13"/>
      <c r="D1263" s="13"/>
      <c r="E1263" s="13"/>
      <c r="G1263" s="13"/>
    </row>
    <row r="1264" spans="1:7" x14ac:dyDescent="0.2">
      <c r="A1264" s="13"/>
      <c r="B1264" s="13"/>
      <c r="D1264" s="13"/>
      <c r="E1264" s="13"/>
      <c r="G1264" s="13"/>
    </row>
    <row r="1265" spans="1:7" x14ac:dyDescent="0.2">
      <c r="A1265" s="13"/>
      <c r="B1265" s="13"/>
      <c r="D1265" s="13"/>
      <c r="E1265" s="13"/>
      <c r="G1265" s="13"/>
    </row>
    <row r="1266" spans="1:7" x14ac:dyDescent="0.2">
      <c r="A1266" s="13"/>
    </row>
    <row r="1267" spans="1:7" x14ac:dyDescent="0.2">
      <c r="A1267" s="13"/>
    </row>
    <row r="1268" spans="1:7" x14ac:dyDescent="0.2">
      <c r="A1268" s="13"/>
    </row>
    <row r="1269" spans="1:7" x14ac:dyDescent="0.2">
      <c r="A1269" s="13"/>
      <c r="C1269" s="13"/>
    </row>
    <row r="1270" spans="1:7" x14ac:dyDescent="0.2">
      <c r="A1270" s="13"/>
    </row>
    <row r="1271" spans="1:7" x14ac:dyDescent="0.2">
      <c r="A1271" s="13"/>
    </row>
    <row r="1272" spans="1:7" x14ac:dyDescent="0.2">
      <c r="A1272" s="13"/>
      <c r="C1272" s="13"/>
    </row>
    <row r="1273" spans="1:7" x14ac:dyDescent="0.2">
      <c r="A1273" s="13"/>
    </row>
    <row r="1274" spans="1:7" x14ac:dyDescent="0.2">
      <c r="A1274" s="13"/>
    </row>
    <row r="1275" spans="1:7" x14ac:dyDescent="0.2">
      <c r="A1275" s="13"/>
      <c r="C1275" s="13"/>
    </row>
    <row r="1276" spans="1:7" x14ac:dyDescent="0.2">
      <c r="A1276" s="13"/>
    </row>
    <row r="1277" spans="1:7" x14ac:dyDescent="0.2">
      <c r="A1277" s="13"/>
    </row>
    <row r="1278" spans="1:7" x14ac:dyDescent="0.2">
      <c r="A1278" s="13"/>
      <c r="C1278" s="13"/>
    </row>
    <row r="1279" spans="1:7" x14ac:dyDescent="0.2">
      <c r="A1279" s="13"/>
    </row>
    <row r="1280" spans="1:7" x14ac:dyDescent="0.2">
      <c r="A1280" s="13"/>
    </row>
    <row r="1281" spans="1:3" x14ac:dyDescent="0.2">
      <c r="A1281" s="13"/>
      <c r="C1281" s="13"/>
    </row>
    <row r="1282" spans="1:3" x14ac:dyDescent="0.2">
      <c r="A1282" s="13"/>
    </row>
    <row r="1283" spans="1:3" x14ac:dyDescent="0.2">
      <c r="A1283" s="13"/>
    </row>
    <row r="1284" spans="1:3" x14ac:dyDescent="0.2">
      <c r="A1284" s="13"/>
      <c r="C1284" s="13"/>
    </row>
    <row r="1285" spans="1:3" x14ac:dyDescent="0.2">
      <c r="A1285" s="13"/>
    </row>
    <row r="1286" spans="1:3" x14ac:dyDescent="0.2">
      <c r="A1286" s="13"/>
    </row>
    <row r="1287" spans="1:3" x14ac:dyDescent="0.2">
      <c r="A1287" s="13"/>
      <c r="C1287" s="13"/>
    </row>
    <row r="1288" spans="1:3" x14ac:dyDescent="0.2">
      <c r="A1288" s="13"/>
    </row>
    <row r="1289" spans="1:3" x14ac:dyDescent="0.2">
      <c r="A1289" s="13"/>
    </row>
    <row r="1290" spans="1:3" x14ac:dyDescent="0.2">
      <c r="A1290" s="13"/>
      <c r="C1290" s="13"/>
    </row>
    <row r="1291" spans="1:3" x14ac:dyDescent="0.2">
      <c r="A1291" s="13"/>
    </row>
    <row r="1292" spans="1:3" x14ac:dyDescent="0.2">
      <c r="A1292" s="13"/>
    </row>
    <row r="1293" spans="1:3" x14ac:dyDescent="0.2">
      <c r="A1293" s="13"/>
      <c r="C1293" s="13"/>
    </row>
    <row r="1294" spans="1:3" x14ac:dyDescent="0.2">
      <c r="A1294" s="13"/>
    </row>
    <row r="1295" spans="1:3" x14ac:dyDescent="0.2">
      <c r="A1295" s="13"/>
      <c r="B1295" s="13"/>
    </row>
    <row r="1296" spans="1:3" x14ac:dyDescent="0.2">
      <c r="A1296" s="13"/>
      <c r="B1296" s="13"/>
    </row>
    <row r="1297" spans="1:3" x14ac:dyDescent="0.2">
      <c r="A1297" s="13"/>
    </row>
    <row r="1298" spans="1:3" x14ac:dyDescent="0.2">
      <c r="A1298" s="13"/>
    </row>
    <row r="1299" spans="1:3" x14ac:dyDescent="0.2">
      <c r="A1299" s="13"/>
      <c r="C1299" s="13"/>
    </row>
    <row r="1300" spans="1:3" x14ac:dyDescent="0.2">
      <c r="A1300" s="13"/>
    </row>
    <row r="1301" spans="1:3" x14ac:dyDescent="0.2">
      <c r="A1301" s="13"/>
    </row>
    <row r="1302" spans="1:3" x14ac:dyDescent="0.2">
      <c r="A1302" s="13"/>
      <c r="C1302" s="13"/>
    </row>
    <row r="1303" spans="1:3" x14ac:dyDescent="0.2">
      <c r="A1303" s="13"/>
    </row>
    <row r="1304" spans="1:3" x14ac:dyDescent="0.2">
      <c r="A1304" s="13"/>
      <c r="B1304" s="13"/>
    </row>
    <row r="1305" spans="1:3" x14ac:dyDescent="0.2">
      <c r="A1305" s="13"/>
      <c r="B1305" s="13"/>
    </row>
    <row r="1306" spans="1:3" x14ac:dyDescent="0.2">
      <c r="A1306" s="13"/>
    </row>
    <row r="1307" spans="1:3" x14ac:dyDescent="0.2">
      <c r="A1307" s="13"/>
    </row>
    <row r="1308" spans="1:3" x14ac:dyDescent="0.2">
      <c r="A1308" s="13"/>
      <c r="C1308" s="13"/>
    </row>
    <row r="1309" spans="1:3" x14ac:dyDescent="0.2">
      <c r="A1309" s="13"/>
    </row>
    <row r="1310" spans="1:3" x14ac:dyDescent="0.2">
      <c r="A1310" s="13"/>
    </row>
    <row r="1311" spans="1:3" x14ac:dyDescent="0.2">
      <c r="A1311" s="13"/>
      <c r="C1311" s="13"/>
    </row>
    <row r="1312" spans="1:3" x14ac:dyDescent="0.2">
      <c r="A1312" s="13"/>
    </row>
    <row r="1313" spans="1:7" x14ac:dyDescent="0.2">
      <c r="A1313" s="13"/>
    </row>
    <row r="1314" spans="1:7" x14ac:dyDescent="0.2">
      <c r="A1314" s="13"/>
      <c r="C1314" s="13"/>
    </row>
    <row r="1315" spans="1:7" x14ac:dyDescent="0.2">
      <c r="A1315" s="13"/>
    </row>
    <row r="1316" spans="1:7" x14ac:dyDescent="0.2">
      <c r="A1316" s="13"/>
    </row>
    <row r="1317" spans="1:7" x14ac:dyDescent="0.2">
      <c r="A1317" s="13"/>
      <c r="C1317" s="13"/>
    </row>
    <row r="1318" spans="1:7" x14ac:dyDescent="0.2">
      <c r="A1318" s="13"/>
    </row>
    <row r="1319" spans="1:7" x14ac:dyDescent="0.2">
      <c r="A1319" s="13"/>
    </row>
    <row r="1320" spans="1:7" x14ac:dyDescent="0.2">
      <c r="A1320" s="13"/>
      <c r="B1320" s="13"/>
      <c r="D1320" s="13"/>
      <c r="E1320" s="13"/>
      <c r="G1320" s="13"/>
    </row>
    <row r="1321" spans="1:7" x14ac:dyDescent="0.2">
      <c r="A1321" s="13"/>
      <c r="B1321" s="13"/>
      <c r="D1321" s="13"/>
      <c r="E1321" s="13"/>
      <c r="G1321" s="13"/>
    </row>
    <row r="1322" spans="1:7" x14ac:dyDescent="0.2">
      <c r="A1322" s="13"/>
      <c r="B1322" s="13"/>
      <c r="D1322" s="13"/>
      <c r="E1322" s="13"/>
      <c r="G1322" s="13"/>
    </row>
    <row r="1323" spans="1:7" x14ac:dyDescent="0.2">
      <c r="A1323" s="13"/>
      <c r="B1323" s="13"/>
      <c r="D1323" s="13"/>
      <c r="E1323" s="13"/>
      <c r="G1323" s="13"/>
    </row>
    <row r="1324" spans="1:7" x14ac:dyDescent="0.2">
      <c r="A1324" s="13"/>
      <c r="B1324" s="13"/>
      <c r="D1324" s="13"/>
      <c r="E1324" s="13"/>
      <c r="G1324" s="13"/>
    </row>
    <row r="1325" spans="1:7" x14ac:dyDescent="0.2">
      <c r="A1325" s="13"/>
      <c r="B1325" s="13"/>
      <c r="D1325" s="13"/>
      <c r="E1325" s="13"/>
      <c r="G1325" s="13"/>
    </row>
    <row r="1326" spans="1:7" x14ac:dyDescent="0.2">
      <c r="A1326" s="13"/>
    </row>
    <row r="1327" spans="1:7" x14ac:dyDescent="0.2">
      <c r="A1327" s="13"/>
    </row>
    <row r="1328" spans="1:7" x14ac:dyDescent="0.2">
      <c r="A1328" s="13"/>
    </row>
    <row r="1329" spans="1:3" x14ac:dyDescent="0.2">
      <c r="A1329" s="13"/>
      <c r="C1329" s="13"/>
    </row>
    <row r="1330" spans="1:3" x14ac:dyDescent="0.2">
      <c r="A1330" s="13"/>
    </row>
    <row r="1331" spans="1:3" x14ac:dyDescent="0.2">
      <c r="A1331" s="13"/>
    </row>
    <row r="1332" spans="1:3" x14ac:dyDescent="0.2">
      <c r="A1332" s="13"/>
      <c r="C1332" s="13"/>
    </row>
    <row r="1333" spans="1:3" x14ac:dyDescent="0.2">
      <c r="A1333" s="13"/>
    </row>
    <row r="1334" spans="1:3" x14ac:dyDescent="0.2">
      <c r="A1334" s="13"/>
    </row>
    <row r="1335" spans="1:3" x14ac:dyDescent="0.2">
      <c r="A1335" s="13"/>
      <c r="C1335" s="13"/>
    </row>
    <row r="1336" spans="1:3" x14ac:dyDescent="0.2">
      <c r="A1336" s="13"/>
    </row>
    <row r="1337" spans="1:3" x14ac:dyDescent="0.2">
      <c r="A1337" s="13"/>
    </row>
    <row r="1338" spans="1:3" x14ac:dyDescent="0.2">
      <c r="A1338" s="13"/>
      <c r="C1338" s="13"/>
    </row>
    <row r="1339" spans="1:3" x14ac:dyDescent="0.2">
      <c r="A1339" s="13"/>
    </row>
    <row r="1340" spans="1:3" x14ac:dyDescent="0.2">
      <c r="A1340" s="13"/>
    </row>
    <row r="1341" spans="1:3" x14ac:dyDescent="0.2">
      <c r="A1341" s="13"/>
      <c r="C1341" s="13"/>
    </row>
    <row r="1342" spans="1:3" x14ac:dyDescent="0.2">
      <c r="A1342" s="13"/>
    </row>
    <row r="1343" spans="1:3" x14ac:dyDescent="0.2">
      <c r="A1343" s="13"/>
      <c r="B1343" s="13"/>
    </row>
    <row r="1344" spans="1:3" x14ac:dyDescent="0.2">
      <c r="A1344" s="13"/>
      <c r="B1344" s="13"/>
    </row>
    <row r="1345" spans="1:15" x14ac:dyDescent="0.2">
      <c r="A1345" s="13"/>
    </row>
    <row r="1346" spans="1:15" x14ac:dyDescent="0.2">
      <c r="A1346" s="13"/>
      <c r="J1346" s="51"/>
      <c r="K1346" s="51"/>
      <c r="L1346" s="51"/>
      <c r="M1346" s="51"/>
      <c r="N1346" s="51"/>
      <c r="O1346" s="51"/>
    </row>
    <row r="1347" spans="1:15" x14ac:dyDescent="0.2">
      <c r="A1347" s="13"/>
      <c r="B1347" s="13"/>
      <c r="D1347" s="13"/>
      <c r="E1347" s="13"/>
      <c r="G1347" s="13"/>
    </row>
    <row r="1348" spans="1:15" x14ac:dyDescent="0.2">
      <c r="A1348" s="13"/>
      <c r="B1348" s="13"/>
      <c r="D1348" s="13"/>
      <c r="E1348" s="13"/>
      <c r="G1348" s="13"/>
    </row>
    <row r="1349" spans="1:15" x14ac:dyDescent="0.2">
      <c r="A1349" s="13"/>
      <c r="B1349" s="13"/>
      <c r="D1349" s="13"/>
      <c r="E1349" s="13"/>
      <c r="G1349" s="13"/>
    </row>
    <row r="1350" spans="1:15" x14ac:dyDescent="0.2">
      <c r="A1350" s="13"/>
      <c r="B1350" s="13"/>
      <c r="D1350" s="13"/>
      <c r="E1350" s="13"/>
      <c r="F1350" s="13"/>
    </row>
    <row r="1351" spans="1:15" x14ac:dyDescent="0.2">
      <c r="A1351" s="13"/>
      <c r="B1351" s="13"/>
      <c r="D1351" s="13"/>
      <c r="E1351" s="13"/>
      <c r="G1351" s="13"/>
    </row>
    <row r="1352" spans="1:15" x14ac:dyDescent="0.2">
      <c r="A1352" s="13"/>
      <c r="B1352" s="13"/>
      <c r="D1352" s="13"/>
      <c r="E1352" s="13"/>
      <c r="F1352" s="13"/>
    </row>
    <row r="1353" spans="1:15" x14ac:dyDescent="0.2">
      <c r="A1353" s="13"/>
      <c r="B1353" s="13"/>
      <c r="D1353" s="13"/>
      <c r="E1353" s="13"/>
      <c r="G1353" s="13"/>
    </row>
    <row r="1354" spans="1:15" x14ac:dyDescent="0.2">
      <c r="A1354" s="13"/>
      <c r="B1354" s="13"/>
      <c r="D1354" s="13"/>
      <c r="E1354" s="13"/>
      <c r="F1354" s="13"/>
    </row>
    <row r="1355" spans="1:15" x14ac:dyDescent="0.2">
      <c r="A1355" s="13"/>
      <c r="B1355" s="13"/>
      <c r="D1355" s="13"/>
      <c r="E1355" s="13"/>
      <c r="G1355" s="13"/>
    </row>
    <row r="1356" spans="1:15" x14ac:dyDescent="0.2">
      <c r="A1356" s="13"/>
      <c r="B1356" s="13"/>
      <c r="D1356" s="13"/>
      <c r="E1356" s="13"/>
      <c r="F1356" s="13"/>
    </row>
    <row r="1357" spans="1:15" x14ac:dyDescent="0.2">
      <c r="A1357" s="13"/>
      <c r="B1357" s="13"/>
      <c r="D1357" s="13"/>
      <c r="E1357" s="13"/>
      <c r="F1357" s="13"/>
    </row>
    <row r="1358" spans="1:15" x14ac:dyDescent="0.2">
      <c r="A1358" s="13"/>
      <c r="B1358" s="13"/>
      <c r="D1358" s="13"/>
      <c r="E1358" s="13"/>
      <c r="G1358" s="13"/>
    </row>
    <row r="1359" spans="1:15" x14ac:dyDescent="0.2">
      <c r="A1359" s="13"/>
      <c r="B1359" s="13"/>
      <c r="D1359" s="13"/>
      <c r="E1359" s="13"/>
      <c r="G1359" s="13"/>
    </row>
    <row r="1360" spans="1:15" x14ac:dyDescent="0.2">
      <c r="A1360" s="13"/>
      <c r="B1360" s="13"/>
      <c r="D1360" s="13"/>
      <c r="E1360" s="13"/>
      <c r="F1360" s="13"/>
    </row>
    <row r="1361" spans="1:14" x14ac:dyDescent="0.2">
      <c r="A1361" s="13"/>
      <c r="B1361" s="13"/>
      <c r="D1361" s="13"/>
      <c r="E1361" s="13"/>
      <c r="G1361" s="13"/>
    </row>
    <row r="1362" spans="1:14" x14ac:dyDescent="0.2">
      <c r="A1362" s="13"/>
      <c r="B1362" s="13"/>
      <c r="D1362" s="13"/>
      <c r="E1362" s="13"/>
      <c r="F1362" s="13"/>
    </row>
    <row r="1363" spans="1:14" x14ac:dyDescent="0.2">
      <c r="A1363" s="13"/>
      <c r="B1363" s="13"/>
      <c r="D1363" s="13"/>
      <c r="E1363" s="13"/>
      <c r="G1363" s="13"/>
    </row>
    <row r="1364" spans="1:14" x14ac:dyDescent="0.2">
      <c r="A1364" s="13"/>
      <c r="B1364" s="13"/>
      <c r="D1364" s="13"/>
      <c r="E1364" s="13"/>
      <c r="F1364" s="13"/>
    </row>
    <row r="1365" spans="1:14" x14ac:dyDescent="0.2">
      <c r="A1365" s="13"/>
      <c r="B1365" s="13"/>
      <c r="D1365" s="13"/>
      <c r="E1365" s="13"/>
      <c r="F1365" s="13"/>
    </row>
    <row r="1366" spans="1:14" x14ac:dyDescent="0.2">
      <c r="A1366" s="13"/>
      <c r="B1366" s="13"/>
      <c r="D1366" s="13"/>
      <c r="E1366" s="13"/>
      <c r="G1366" s="13"/>
    </row>
    <row r="1367" spans="1:14" x14ac:dyDescent="0.2">
      <c r="A1367" s="13"/>
      <c r="B1367" s="13"/>
      <c r="D1367" s="13"/>
      <c r="E1367" s="13"/>
      <c r="F1367" s="13"/>
    </row>
    <row r="1368" spans="1:14" x14ac:dyDescent="0.2">
      <c r="A1368" s="13"/>
      <c r="B1368" s="13"/>
      <c r="D1368" s="13"/>
      <c r="E1368" s="13"/>
      <c r="G1368" s="13"/>
    </row>
    <row r="1369" spans="1:14" x14ac:dyDescent="0.2">
      <c r="A1369" s="13"/>
      <c r="B1369" s="13"/>
      <c r="D1369" s="13"/>
      <c r="E1369" s="13"/>
      <c r="F1369" s="13"/>
    </row>
    <row r="1370" spans="1:14" x14ac:dyDescent="0.2">
      <c r="A1370" s="13"/>
    </row>
    <row r="1371" spans="1:14" x14ac:dyDescent="0.2">
      <c r="A1371" s="13"/>
    </row>
    <row r="1372" spans="1:14" x14ac:dyDescent="0.2">
      <c r="A1372" s="13"/>
    </row>
    <row r="1373" spans="1:14" x14ac:dyDescent="0.2">
      <c r="A1373" s="13"/>
      <c r="C1373" s="13"/>
      <c r="L1373" s="34"/>
      <c r="N1373" s="34"/>
    </row>
    <row r="1374" spans="1:14" x14ac:dyDescent="0.2">
      <c r="A1374" s="13"/>
    </row>
    <row r="1375" spans="1:14" x14ac:dyDescent="0.2">
      <c r="A1375" s="13"/>
      <c r="B1375" s="13"/>
    </row>
    <row r="1376" spans="1:14" x14ac:dyDescent="0.2">
      <c r="A1376" s="13"/>
      <c r="B1376" s="13"/>
    </row>
    <row r="1377" spans="1:3" x14ac:dyDescent="0.2">
      <c r="A1377" s="13"/>
    </row>
    <row r="1378" spans="1:3" x14ac:dyDescent="0.2">
      <c r="A1378" s="13"/>
      <c r="B1378" s="13"/>
    </row>
    <row r="1379" spans="1:3" x14ac:dyDescent="0.2">
      <c r="A1379" s="13"/>
      <c r="B1379" s="13"/>
    </row>
    <row r="1380" spans="1:3" x14ac:dyDescent="0.2">
      <c r="A1380" s="13"/>
    </row>
    <row r="1381" spans="1:3" x14ac:dyDescent="0.2">
      <c r="A1381" s="13"/>
      <c r="B1381" s="13"/>
    </row>
    <row r="1382" spans="1:3" x14ac:dyDescent="0.2">
      <c r="A1382" s="13"/>
      <c r="B1382" s="13"/>
    </row>
    <row r="1383" spans="1:3" x14ac:dyDescent="0.2">
      <c r="A1383" s="13"/>
    </row>
    <row r="1384" spans="1:3" x14ac:dyDescent="0.2">
      <c r="A1384" s="13"/>
    </row>
    <row r="1385" spans="1:3" x14ac:dyDescent="0.2">
      <c r="A1385" s="13"/>
      <c r="C1385" s="13"/>
    </row>
    <row r="1386" spans="1:3" x14ac:dyDescent="0.2">
      <c r="A1386" s="13"/>
    </row>
    <row r="1387" spans="1:3" x14ac:dyDescent="0.2">
      <c r="A1387" s="13"/>
      <c r="B1387" s="13"/>
    </row>
    <row r="1388" spans="1:3" x14ac:dyDescent="0.2">
      <c r="A1388" s="13"/>
      <c r="B1388" s="13"/>
    </row>
    <row r="1389" spans="1:3" x14ac:dyDescent="0.2">
      <c r="A1389" s="13"/>
    </row>
    <row r="1390" spans="1:3" x14ac:dyDescent="0.2">
      <c r="A1390" s="13"/>
      <c r="B1390" s="13"/>
    </row>
    <row r="1391" spans="1:3" x14ac:dyDescent="0.2">
      <c r="A1391" s="13"/>
      <c r="B1391" s="13"/>
    </row>
    <row r="1392" spans="1:3" x14ac:dyDescent="0.2">
      <c r="A1392" s="13"/>
    </row>
    <row r="1393" spans="1:7" x14ac:dyDescent="0.2">
      <c r="A1393" s="13"/>
    </row>
    <row r="1394" spans="1:7" x14ac:dyDescent="0.2">
      <c r="A1394" s="13"/>
      <c r="B1394" s="13"/>
      <c r="D1394" s="13"/>
      <c r="E1394" s="13"/>
      <c r="G1394" s="13"/>
    </row>
    <row r="1395" spans="1:7" x14ac:dyDescent="0.2">
      <c r="A1395" s="13"/>
      <c r="B1395" s="13"/>
      <c r="D1395" s="13"/>
      <c r="E1395" s="13"/>
      <c r="G1395" s="13"/>
    </row>
    <row r="1396" spans="1:7" x14ac:dyDescent="0.2">
      <c r="A1396" s="13"/>
      <c r="B1396" s="13"/>
      <c r="D1396" s="13"/>
      <c r="E1396" s="13"/>
      <c r="G1396" s="13"/>
    </row>
    <row r="1397" spans="1:7" x14ac:dyDescent="0.2">
      <c r="A1397" s="13"/>
      <c r="B1397" s="13"/>
      <c r="D1397" s="13"/>
      <c r="E1397" s="13"/>
      <c r="G1397" s="13"/>
    </row>
    <row r="1398" spans="1:7" x14ac:dyDescent="0.2">
      <c r="A1398" s="13"/>
      <c r="B1398" s="13"/>
      <c r="D1398" s="13"/>
      <c r="E1398" s="13"/>
      <c r="G1398" s="13"/>
    </row>
    <row r="1399" spans="1:7" x14ac:dyDescent="0.2">
      <c r="A1399" s="13"/>
      <c r="B1399" s="13"/>
      <c r="D1399" s="13"/>
      <c r="E1399" s="13"/>
      <c r="G1399" s="13"/>
    </row>
    <row r="1400" spans="1:7" x14ac:dyDescent="0.2">
      <c r="A1400" s="13"/>
      <c r="B1400" s="13"/>
      <c r="D1400" s="13"/>
      <c r="E1400" s="13"/>
      <c r="G1400" s="13"/>
    </row>
    <row r="1401" spans="1:7" x14ac:dyDescent="0.2">
      <c r="A1401" s="13"/>
      <c r="B1401" s="13"/>
      <c r="D1401" s="13"/>
      <c r="E1401" s="13"/>
      <c r="G1401" s="13"/>
    </row>
    <row r="1402" spans="1:7" x14ac:dyDescent="0.2">
      <c r="A1402" s="13"/>
      <c r="B1402" s="13"/>
      <c r="D1402" s="13"/>
      <c r="E1402" s="13"/>
      <c r="G1402" s="13"/>
    </row>
    <row r="1403" spans="1:7" x14ac:dyDescent="0.2">
      <c r="A1403" s="13"/>
      <c r="B1403" s="13"/>
      <c r="D1403" s="13"/>
      <c r="E1403" s="13"/>
      <c r="G1403" s="13"/>
    </row>
    <row r="1404" spans="1:7" x14ac:dyDescent="0.2">
      <c r="A1404" s="13"/>
      <c r="B1404" s="13"/>
      <c r="D1404" s="13"/>
      <c r="E1404" s="13"/>
      <c r="G1404" s="13"/>
    </row>
    <row r="1405" spans="1:7" x14ac:dyDescent="0.2">
      <c r="A1405" s="13"/>
      <c r="B1405" s="13"/>
      <c r="D1405" s="13"/>
      <c r="E1405" s="13"/>
      <c r="G1405" s="13"/>
    </row>
    <row r="1406" spans="1:7" x14ac:dyDescent="0.2">
      <c r="A1406" s="13"/>
    </row>
    <row r="1407" spans="1:7" x14ac:dyDescent="0.2">
      <c r="A1407" s="13"/>
    </row>
    <row r="1408" spans="1:7" x14ac:dyDescent="0.2">
      <c r="A1408" s="13"/>
    </row>
    <row r="1409" spans="1:7" x14ac:dyDescent="0.2">
      <c r="A1409" s="13"/>
      <c r="B1409" s="13"/>
      <c r="D1409" s="13"/>
      <c r="E1409" s="13"/>
      <c r="G1409" s="13"/>
    </row>
    <row r="1410" spans="1:7" x14ac:dyDescent="0.2">
      <c r="A1410" s="13"/>
      <c r="B1410" s="13"/>
      <c r="D1410" s="13"/>
      <c r="E1410" s="13"/>
      <c r="G1410" s="13"/>
    </row>
    <row r="1411" spans="1:7" x14ac:dyDescent="0.2">
      <c r="A1411" s="13"/>
      <c r="B1411" s="13"/>
      <c r="D1411" s="13"/>
      <c r="E1411" s="13"/>
      <c r="G1411" s="13"/>
    </row>
    <row r="1412" spans="1:7" x14ac:dyDescent="0.2">
      <c r="A1412" s="13"/>
      <c r="B1412" s="13"/>
      <c r="D1412" s="13"/>
      <c r="E1412" s="13"/>
      <c r="G1412" s="13"/>
    </row>
    <row r="1413" spans="1:7" x14ac:dyDescent="0.2">
      <c r="A1413" s="13"/>
      <c r="B1413" s="13"/>
      <c r="D1413" s="13"/>
      <c r="E1413" s="13"/>
      <c r="G1413" s="13"/>
    </row>
    <row r="1414" spans="1:7" x14ac:dyDescent="0.2">
      <c r="A1414" s="13"/>
      <c r="B1414" s="13"/>
      <c r="D1414" s="13"/>
      <c r="E1414" s="13"/>
      <c r="G1414" s="13"/>
    </row>
    <row r="1415" spans="1:7" x14ac:dyDescent="0.2">
      <c r="A1415" s="13"/>
      <c r="B1415" s="13"/>
      <c r="D1415" s="13"/>
      <c r="E1415" s="13"/>
      <c r="G1415" s="13"/>
    </row>
    <row r="1416" spans="1:7" x14ac:dyDescent="0.2">
      <c r="A1416" s="13"/>
      <c r="B1416" s="13"/>
      <c r="D1416" s="13"/>
      <c r="E1416" s="13"/>
      <c r="G1416" s="13"/>
    </row>
    <row r="1417" spans="1:7" x14ac:dyDescent="0.2">
      <c r="A1417" s="13"/>
      <c r="B1417" s="13"/>
      <c r="D1417" s="13"/>
      <c r="E1417" s="13"/>
      <c r="G1417" s="13"/>
    </row>
    <row r="1418" spans="1:7" x14ac:dyDescent="0.2">
      <c r="A1418" s="13"/>
      <c r="B1418" s="13"/>
      <c r="D1418" s="13"/>
      <c r="E1418" s="13"/>
      <c r="G1418" s="13"/>
    </row>
    <row r="1419" spans="1:7" x14ac:dyDescent="0.2">
      <c r="A1419" s="13"/>
      <c r="B1419" s="13"/>
      <c r="D1419" s="13"/>
      <c r="E1419" s="13"/>
      <c r="G1419" s="13"/>
    </row>
    <row r="1420" spans="1:7" x14ac:dyDescent="0.2">
      <c r="A1420" s="13"/>
      <c r="B1420" s="13"/>
      <c r="D1420" s="13"/>
      <c r="E1420" s="13"/>
      <c r="G1420" s="13"/>
    </row>
    <row r="1421" spans="1:7" x14ac:dyDescent="0.2">
      <c r="A1421" s="13"/>
    </row>
    <row r="1422" spans="1:7" x14ac:dyDescent="0.2">
      <c r="A1422" s="13"/>
    </row>
    <row r="1423" spans="1:7" x14ac:dyDescent="0.2">
      <c r="A1423" s="13"/>
    </row>
    <row r="1424" spans="1:7" x14ac:dyDescent="0.2">
      <c r="A1424" s="13"/>
      <c r="B1424" s="13"/>
      <c r="D1424" s="13"/>
      <c r="E1424" s="13"/>
      <c r="G1424" s="13"/>
    </row>
    <row r="1425" spans="1:7" x14ac:dyDescent="0.2">
      <c r="A1425" s="13"/>
      <c r="B1425" s="13"/>
      <c r="D1425" s="13"/>
      <c r="E1425" s="13"/>
      <c r="G1425" s="13"/>
    </row>
    <row r="1426" spans="1:7" x14ac:dyDescent="0.2">
      <c r="A1426" s="13"/>
      <c r="B1426" s="13"/>
      <c r="D1426" s="13"/>
      <c r="E1426" s="13"/>
      <c r="G1426" s="13"/>
    </row>
    <row r="1427" spans="1:7" x14ac:dyDescent="0.2">
      <c r="A1427" s="13"/>
      <c r="B1427" s="13"/>
      <c r="D1427" s="13"/>
      <c r="E1427" s="13"/>
      <c r="G1427" s="13"/>
    </row>
    <row r="1428" spans="1:7" x14ac:dyDescent="0.2">
      <c r="A1428" s="13"/>
      <c r="B1428" s="13"/>
      <c r="D1428" s="13"/>
      <c r="E1428" s="13"/>
      <c r="G1428" s="13"/>
    </row>
    <row r="1429" spans="1:7" x14ac:dyDescent="0.2">
      <c r="A1429" s="13"/>
      <c r="B1429" s="13"/>
      <c r="D1429" s="13"/>
      <c r="E1429" s="13"/>
      <c r="G1429" s="13"/>
    </row>
    <row r="1430" spans="1:7" x14ac:dyDescent="0.2">
      <c r="A1430" s="13"/>
      <c r="B1430" s="13"/>
      <c r="D1430" s="13"/>
      <c r="E1430" s="13"/>
      <c r="G1430" s="13"/>
    </row>
    <row r="1431" spans="1:7" x14ac:dyDescent="0.2">
      <c r="A1431" s="13"/>
      <c r="B1431" s="13"/>
      <c r="D1431" s="13"/>
      <c r="E1431" s="13"/>
      <c r="G1431" s="13"/>
    </row>
    <row r="1432" spans="1:7" x14ac:dyDescent="0.2">
      <c r="A1432" s="13"/>
      <c r="B1432" s="13"/>
      <c r="D1432" s="13"/>
      <c r="E1432" s="13"/>
      <c r="G1432" s="13"/>
    </row>
    <row r="1433" spans="1:7" x14ac:dyDescent="0.2">
      <c r="A1433" s="13"/>
      <c r="B1433" s="13"/>
      <c r="D1433" s="13"/>
      <c r="E1433" s="13"/>
      <c r="G1433" s="13"/>
    </row>
    <row r="1434" spans="1:7" x14ac:dyDescent="0.2">
      <c r="A1434" s="13"/>
      <c r="B1434" s="13"/>
      <c r="D1434" s="13"/>
      <c r="E1434" s="13"/>
      <c r="G1434" s="13"/>
    </row>
    <row r="1435" spans="1:7" x14ac:dyDescent="0.2">
      <c r="A1435" s="13"/>
      <c r="B1435" s="13"/>
      <c r="D1435" s="13"/>
      <c r="E1435" s="13"/>
      <c r="G1435" s="13"/>
    </row>
    <row r="1436" spans="1:7" x14ac:dyDescent="0.2">
      <c r="A1436" s="13"/>
    </row>
    <row r="1437" spans="1:7" x14ac:dyDescent="0.2">
      <c r="A1437" s="13"/>
    </row>
    <row r="1438" spans="1:7" x14ac:dyDescent="0.2">
      <c r="A1438" s="13"/>
      <c r="B1438" s="13"/>
    </row>
    <row r="1439" spans="1:7" x14ac:dyDescent="0.2">
      <c r="A1439" s="13"/>
      <c r="B1439" s="13"/>
    </row>
    <row r="1440" spans="1:7" x14ac:dyDescent="0.2">
      <c r="A1440" s="13"/>
    </row>
    <row r="1441" spans="1:6" x14ac:dyDescent="0.2">
      <c r="A1441" s="13"/>
      <c r="B1441" s="13"/>
    </row>
    <row r="1442" spans="1:6" x14ac:dyDescent="0.2">
      <c r="A1442" s="13"/>
      <c r="B1442" s="13"/>
    </row>
    <row r="1443" spans="1:6" x14ac:dyDescent="0.2">
      <c r="A1443" s="13"/>
    </row>
    <row r="1444" spans="1:6" x14ac:dyDescent="0.2">
      <c r="A1444" s="13"/>
      <c r="C1444" s="13"/>
    </row>
    <row r="1445" spans="1:6" x14ac:dyDescent="0.2">
      <c r="A1445" s="13"/>
    </row>
    <row r="1446" spans="1:6" x14ac:dyDescent="0.2">
      <c r="A1446" s="13"/>
    </row>
    <row r="1447" spans="1:6" x14ac:dyDescent="0.2">
      <c r="A1447" s="13"/>
      <c r="C1447" s="13"/>
    </row>
    <row r="1448" spans="1:6" x14ac:dyDescent="0.2">
      <c r="A1448" s="13"/>
    </row>
    <row r="1449" spans="1:6" x14ac:dyDescent="0.2">
      <c r="A1449" s="13"/>
    </row>
    <row r="1450" spans="1:6" x14ac:dyDescent="0.2">
      <c r="A1450" s="13"/>
      <c r="B1450" s="13"/>
      <c r="D1450" s="13"/>
      <c r="E1450" s="13"/>
      <c r="F1450" s="13"/>
    </row>
    <row r="1451" spans="1:6" x14ac:dyDescent="0.2">
      <c r="A1451" s="13"/>
      <c r="B1451" s="13"/>
      <c r="D1451" s="13"/>
      <c r="E1451" s="13"/>
      <c r="F1451" s="13"/>
    </row>
    <row r="1452" spans="1:6" x14ac:dyDescent="0.2">
      <c r="A1452" s="13"/>
      <c r="B1452" s="13"/>
      <c r="D1452" s="13"/>
      <c r="E1452" s="13"/>
      <c r="F1452" s="13"/>
    </row>
    <row r="1453" spans="1:6" x14ac:dyDescent="0.2">
      <c r="A1453" s="13"/>
      <c r="B1453" s="13"/>
      <c r="D1453" s="13"/>
      <c r="E1453" s="13"/>
      <c r="F1453" s="13"/>
    </row>
    <row r="1454" spans="1:6" x14ac:dyDescent="0.2">
      <c r="A1454" s="13"/>
      <c r="B1454" s="13"/>
      <c r="D1454" s="13"/>
      <c r="E1454" s="13"/>
      <c r="F1454" s="13"/>
    </row>
    <row r="1455" spans="1:6" x14ac:dyDescent="0.2">
      <c r="A1455" s="13"/>
      <c r="B1455" s="13"/>
      <c r="D1455" s="13"/>
      <c r="E1455" s="13"/>
      <c r="F1455" s="13"/>
    </row>
    <row r="1456" spans="1:6" x14ac:dyDescent="0.2">
      <c r="A1456" s="13"/>
      <c r="B1456" s="13"/>
      <c r="D1456" s="13"/>
      <c r="E1456" s="13"/>
      <c r="F1456" s="13"/>
    </row>
    <row r="1457" spans="1:7" x14ac:dyDescent="0.2">
      <c r="A1457" s="13"/>
      <c r="B1457" s="13"/>
      <c r="D1457" s="13"/>
      <c r="E1457" s="13"/>
      <c r="F1457" s="13"/>
    </row>
    <row r="1458" spans="1:7" x14ac:dyDescent="0.2">
      <c r="A1458" s="13"/>
      <c r="B1458" s="13"/>
      <c r="D1458" s="13"/>
      <c r="E1458" s="13"/>
      <c r="F1458" s="13"/>
    </row>
    <row r="1459" spans="1:7" x14ac:dyDescent="0.2">
      <c r="A1459" s="13"/>
      <c r="B1459" s="13"/>
      <c r="D1459" s="13"/>
      <c r="E1459" s="13"/>
      <c r="F1459" s="13"/>
    </row>
    <row r="1460" spans="1:7" x14ac:dyDescent="0.2">
      <c r="A1460" s="13"/>
      <c r="B1460" s="13"/>
      <c r="D1460" s="13"/>
      <c r="E1460" s="13"/>
      <c r="F1460" s="13"/>
    </row>
    <row r="1461" spans="1:7" x14ac:dyDescent="0.2">
      <c r="A1461" s="13"/>
      <c r="B1461" s="13"/>
      <c r="D1461" s="13"/>
      <c r="E1461" s="13"/>
      <c r="F1461" s="13"/>
    </row>
    <row r="1462" spans="1:7" x14ac:dyDescent="0.2">
      <c r="A1462" s="13"/>
      <c r="B1462" s="13"/>
      <c r="D1462" s="13"/>
      <c r="E1462" s="13"/>
      <c r="F1462" s="13"/>
    </row>
    <row r="1463" spans="1:7" x14ac:dyDescent="0.2">
      <c r="A1463" s="13"/>
      <c r="B1463" s="13"/>
      <c r="D1463" s="13"/>
      <c r="E1463" s="13"/>
      <c r="G1463" s="13"/>
    </row>
    <row r="1464" spans="1:7" x14ac:dyDescent="0.2">
      <c r="A1464" s="13"/>
      <c r="B1464" s="13"/>
      <c r="D1464" s="13"/>
      <c r="E1464" s="13"/>
      <c r="G1464" s="13"/>
    </row>
    <row r="1465" spans="1:7" x14ac:dyDescent="0.2">
      <c r="A1465" s="13"/>
      <c r="B1465" s="13"/>
      <c r="D1465" s="13"/>
      <c r="E1465" s="13"/>
      <c r="G1465" s="13"/>
    </row>
    <row r="1466" spans="1:7" x14ac:dyDescent="0.2">
      <c r="A1466" s="13"/>
      <c r="B1466" s="13"/>
      <c r="D1466" s="13"/>
      <c r="E1466" s="13"/>
      <c r="G1466" s="13"/>
    </row>
    <row r="1467" spans="1:7" x14ac:dyDescent="0.2">
      <c r="A1467" s="13"/>
      <c r="B1467" s="13"/>
      <c r="D1467" s="13"/>
      <c r="E1467" s="13"/>
      <c r="G1467" s="13"/>
    </row>
    <row r="1468" spans="1:7" x14ac:dyDescent="0.2">
      <c r="A1468" s="13"/>
      <c r="B1468" s="13"/>
      <c r="D1468" s="13"/>
      <c r="E1468" s="13"/>
      <c r="G1468" s="13"/>
    </row>
    <row r="1469" spans="1:7" x14ac:dyDescent="0.2">
      <c r="A1469" s="13"/>
      <c r="B1469" s="13"/>
      <c r="D1469" s="13"/>
      <c r="E1469" s="13"/>
      <c r="G1469" s="13"/>
    </row>
    <row r="1470" spans="1:7" x14ac:dyDescent="0.2">
      <c r="A1470" s="13"/>
      <c r="B1470" s="13"/>
      <c r="D1470" s="13"/>
      <c r="E1470" s="13"/>
      <c r="G1470" s="13"/>
    </row>
    <row r="1471" spans="1:7" x14ac:dyDescent="0.2">
      <c r="A1471" s="13"/>
      <c r="B1471" s="13"/>
      <c r="D1471" s="13"/>
      <c r="E1471" s="13"/>
      <c r="G1471" s="13"/>
    </row>
    <row r="1472" spans="1:7" x14ac:dyDescent="0.2">
      <c r="A1472" s="13"/>
      <c r="B1472" s="13"/>
      <c r="D1472" s="13"/>
      <c r="E1472" s="13"/>
      <c r="G1472" s="13"/>
    </row>
    <row r="1473" spans="1:7" x14ac:dyDescent="0.2">
      <c r="A1473" s="13"/>
      <c r="B1473" s="13"/>
      <c r="D1473" s="13"/>
      <c r="E1473" s="13"/>
      <c r="G1473" s="13"/>
    </row>
    <row r="1474" spans="1:7" x14ac:dyDescent="0.2">
      <c r="A1474" s="13"/>
      <c r="B1474" s="13"/>
      <c r="D1474" s="13"/>
      <c r="E1474" s="13"/>
      <c r="G1474" s="13"/>
    </row>
    <row r="1475" spans="1:7" x14ac:dyDescent="0.2">
      <c r="A1475" s="13"/>
      <c r="B1475" s="13"/>
      <c r="D1475" s="13"/>
      <c r="E1475" s="13"/>
      <c r="G1475" s="13"/>
    </row>
    <row r="1476" spans="1:7" x14ac:dyDescent="0.2">
      <c r="A1476" s="13"/>
      <c r="B1476" s="13"/>
      <c r="D1476" s="13"/>
      <c r="E1476" s="13"/>
      <c r="G1476" s="13"/>
    </row>
    <row r="1477" spans="1:7" x14ac:dyDescent="0.2">
      <c r="A1477" s="13"/>
      <c r="B1477" s="13"/>
      <c r="D1477" s="13"/>
      <c r="E1477" s="13"/>
      <c r="F1477" s="13"/>
    </row>
    <row r="1478" spans="1:7" x14ac:dyDescent="0.2">
      <c r="A1478" s="13"/>
      <c r="B1478" s="13"/>
      <c r="D1478" s="13"/>
      <c r="E1478" s="13"/>
      <c r="F1478" s="13"/>
    </row>
    <row r="1479" spans="1:7" x14ac:dyDescent="0.2">
      <c r="A1479" s="13"/>
      <c r="B1479" s="13"/>
      <c r="D1479" s="13"/>
      <c r="E1479" s="13"/>
      <c r="F1479" s="13"/>
    </row>
    <row r="1480" spans="1:7" x14ac:dyDescent="0.2">
      <c r="A1480" s="13"/>
      <c r="B1480" s="13"/>
      <c r="D1480" s="13"/>
      <c r="E1480" s="13"/>
      <c r="F1480" s="13"/>
    </row>
    <row r="1481" spans="1:7" x14ac:dyDescent="0.2">
      <c r="A1481" s="13"/>
      <c r="B1481" s="13"/>
      <c r="D1481" s="13"/>
      <c r="E1481" s="13"/>
      <c r="F1481" s="13"/>
    </row>
    <row r="1482" spans="1:7" x14ac:dyDescent="0.2">
      <c r="A1482" s="13"/>
      <c r="B1482" s="13"/>
      <c r="D1482" s="13"/>
      <c r="E1482" s="13"/>
      <c r="F1482" s="13"/>
    </row>
    <row r="1483" spans="1:7" x14ac:dyDescent="0.2">
      <c r="A1483" s="13"/>
      <c r="B1483" s="13"/>
      <c r="D1483" s="13"/>
      <c r="E1483" s="13"/>
      <c r="F1483" s="13"/>
    </row>
    <row r="1484" spans="1:7" x14ac:dyDescent="0.2">
      <c r="A1484" s="13"/>
      <c r="B1484" s="13"/>
      <c r="D1484" s="13"/>
      <c r="E1484" s="13"/>
      <c r="F1484" s="13"/>
    </row>
    <row r="1485" spans="1:7" x14ac:dyDescent="0.2">
      <c r="A1485" s="13"/>
      <c r="B1485" s="13"/>
      <c r="D1485" s="13"/>
      <c r="E1485" s="13"/>
      <c r="F1485" s="13"/>
    </row>
    <row r="1486" spans="1:7" x14ac:dyDescent="0.2">
      <c r="A1486" s="13"/>
      <c r="B1486" s="13"/>
      <c r="D1486" s="13"/>
      <c r="E1486" s="13"/>
      <c r="F1486" s="13"/>
    </row>
    <row r="1487" spans="1:7" x14ac:dyDescent="0.2">
      <c r="A1487" s="13"/>
      <c r="B1487" s="13"/>
      <c r="D1487" s="13"/>
      <c r="E1487" s="13"/>
      <c r="F1487" s="13"/>
    </row>
    <row r="1488" spans="1:7" x14ac:dyDescent="0.2">
      <c r="A1488" s="13"/>
      <c r="B1488" s="13"/>
      <c r="D1488" s="13"/>
      <c r="E1488" s="13"/>
      <c r="F1488" s="13"/>
    </row>
    <row r="1489" spans="1:7" x14ac:dyDescent="0.2">
      <c r="A1489" s="13"/>
      <c r="B1489" s="13"/>
      <c r="D1489" s="13"/>
      <c r="E1489" s="13"/>
      <c r="F1489" s="13"/>
    </row>
    <row r="1490" spans="1:7" x14ac:dyDescent="0.2">
      <c r="A1490" s="13"/>
      <c r="B1490" s="13"/>
      <c r="D1490" s="13"/>
      <c r="E1490" s="13"/>
      <c r="F1490" s="13"/>
    </row>
    <row r="1491" spans="1:7" x14ac:dyDescent="0.2">
      <c r="A1491" s="13"/>
      <c r="B1491" s="13"/>
      <c r="D1491" s="13"/>
      <c r="E1491" s="13"/>
      <c r="F1491" s="13"/>
    </row>
    <row r="1492" spans="1:7" x14ac:dyDescent="0.2">
      <c r="A1492" s="13"/>
      <c r="B1492" s="13"/>
      <c r="D1492" s="13"/>
      <c r="E1492" s="13"/>
      <c r="F1492" s="13"/>
    </row>
    <row r="1493" spans="1:7" x14ac:dyDescent="0.2">
      <c r="A1493" s="13"/>
      <c r="B1493" s="13"/>
      <c r="D1493" s="13"/>
      <c r="E1493" s="13"/>
      <c r="F1493" s="13"/>
    </row>
    <row r="1494" spans="1:7" x14ac:dyDescent="0.2">
      <c r="A1494" s="13"/>
      <c r="B1494" s="13"/>
      <c r="D1494" s="13"/>
      <c r="E1494" s="13"/>
      <c r="F1494" s="13"/>
    </row>
    <row r="1495" spans="1:7" x14ac:dyDescent="0.2">
      <c r="A1495" s="13"/>
      <c r="B1495" s="13"/>
      <c r="D1495" s="13"/>
      <c r="E1495" s="13"/>
      <c r="G1495" s="13"/>
    </row>
    <row r="1496" spans="1:7" x14ac:dyDescent="0.2">
      <c r="A1496" s="13"/>
      <c r="B1496" s="13"/>
      <c r="D1496" s="13"/>
      <c r="E1496" s="13"/>
      <c r="G1496" s="13"/>
    </row>
    <row r="1497" spans="1:7" x14ac:dyDescent="0.2">
      <c r="A1497" s="13"/>
      <c r="B1497" s="13"/>
      <c r="D1497" s="13"/>
      <c r="E1497" s="13"/>
      <c r="G1497" s="13"/>
    </row>
    <row r="1498" spans="1:7" x14ac:dyDescent="0.2">
      <c r="A1498" s="13"/>
      <c r="B1498" s="13"/>
      <c r="D1498" s="13"/>
      <c r="E1498" s="13"/>
      <c r="G1498" s="13"/>
    </row>
    <row r="1499" spans="1:7" x14ac:dyDescent="0.2">
      <c r="A1499" s="13"/>
      <c r="B1499" s="13"/>
      <c r="D1499" s="13"/>
      <c r="E1499" s="13"/>
      <c r="G1499" s="13"/>
    </row>
    <row r="1500" spans="1:7" x14ac:dyDescent="0.2">
      <c r="A1500" s="13"/>
      <c r="B1500" s="13"/>
      <c r="D1500" s="13"/>
      <c r="E1500" s="13"/>
      <c r="G1500" s="13"/>
    </row>
    <row r="1501" spans="1:7" x14ac:dyDescent="0.2">
      <c r="A1501" s="13"/>
      <c r="B1501" s="13"/>
      <c r="D1501" s="13"/>
      <c r="E1501" s="13"/>
      <c r="G1501" s="13"/>
    </row>
    <row r="1502" spans="1:7" x14ac:dyDescent="0.2">
      <c r="A1502" s="13"/>
      <c r="B1502" s="13"/>
      <c r="D1502" s="13"/>
      <c r="E1502" s="13"/>
      <c r="F1502" s="13"/>
    </row>
    <row r="1503" spans="1:7" x14ac:dyDescent="0.2">
      <c r="A1503" s="13"/>
      <c r="B1503" s="13"/>
      <c r="D1503" s="13"/>
      <c r="E1503" s="13"/>
      <c r="F1503" s="13"/>
    </row>
    <row r="1504" spans="1:7" x14ac:dyDescent="0.2">
      <c r="A1504" s="13"/>
      <c r="B1504" s="13"/>
      <c r="D1504" s="13"/>
      <c r="E1504" s="13"/>
      <c r="F1504" s="13"/>
    </row>
    <row r="1505" spans="1:7" x14ac:dyDescent="0.2">
      <c r="A1505" s="13"/>
      <c r="B1505" s="13"/>
      <c r="D1505" s="13"/>
      <c r="E1505" s="13"/>
      <c r="F1505" s="13"/>
    </row>
    <row r="1506" spans="1:7" x14ac:dyDescent="0.2">
      <c r="A1506" s="13"/>
      <c r="B1506" s="13"/>
      <c r="D1506" s="13"/>
      <c r="E1506" s="13"/>
      <c r="F1506" s="13"/>
    </row>
    <row r="1507" spans="1:7" x14ac:dyDescent="0.2">
      <c r="A1507" s="13"/>
      <c r="B1507" s="13"/>
      <c r="D1507" s="13"/>
      <c r="E1507" s="13"/>
      <c r="F1507" s="13"/>
    </row>
    <row r="1508" spans="1:7" x14ac:dyDescent="0.2">
      <c r="A1508" s="13"/>
      <c r="B1508" s="13"/>
      <c r="D1508" s="13"/>
      <c r="E1508" s="13"/>
      <c r="F1508" s="13"/>
    </row>
    <row r="1509" spans="1:7" x14ac:dyDescent="0.2">
      <c r="A1509" s="13"/>
      <c r="B1509" s="13"/>
      <c r="D1509" s="13"/>
      <c r="E1509" s="13"/>
      <c r="F1509" s="13"/>
    </row>
    <row r="1510" spans="1:7" x14ac:dyDescent="0.2">
      <c r="A1510" s="13"/>
      <c r="B1510" s="13"/>
      <c r="D1510" s="13"/>
      <c r="E1510" s="13"/>
      <c r="F1510" s="13"/>
    </row>
    <row r="1511" spans="1:7" x14ac:dyDescent="0.2">
      <c r="A1511" s="13"/>
      <c r="B1511" s="13"/>
      <c r="D1511" s="13"/>
      <c r="E1511" s="13"/>
      <c r="F1511" s="13"/>
    </row>
    <row r="1512" spans="1:7" x14ac:dyDescent="0.2">
      <c r="A1512" s="13"/>
      <c r="B1512" s="13"/>
      <c r="D1512" s="13"/>
      <c r="E1512" s="13"/>
      <c r="F1512" s="13"/>
    </row>
    <row r="1513" spans="1:7" x14ac:dyDescent="0.2">
      <c r="A1513" s="13"/>
      <c r="B1513" s="13"/>
      <c r="D1513" s="13"/>
      <c r="E1513" s="13"/>
      <c r="F1513" s="13"/>
    </row>
    <row r="1514" spans="1:7" x14ac:dyDescent="0.2">
      <c r="A1514" s="13"/>
      <c r="B1514" s="13"/>
      <c r="D1514" s="13"/>
      <c r="E1514" s="13"/>
      <c r="F1514" s="13"/>
    </row>
    <row r="1515" spans="1:7" x14ac:dyDescent="0.2">
      <c r="A1515" s="13"/>
      <c r="B1515" s="13"/>
      <c r="D1515" s="13"/>
      <c r="E1515" s="13"/>
      <c r="F1515" s="13"/>
    </row>
    <row r="1516" spans="1:7" x14ac:dyDescent="0.2">
      <c r="A1516" s="13"/>
      <c r="B1516" s="13"/>
      <c r="D1516" s="13"/>
      <c r="E1516" s="13"/>
      <c r="G1516" s="13"/>
    </row>
    <row r="1517" spans="1:7" x14ac:dyDescent="0.2">
      <c r="A1517" s="13"/>
      <c r="B1517" s="13"/>
      <c r="D1517" s="13"/>
      <c r="E1517" s="13"/>
      <c r="G1517" s="13"/>
    </row>
    <row r="1518" spans="1:7" x14ac:dyDescent="0.2">
      <c r="A1518" s="13"/>
      <c r="B1518" s="13"/>
      <c r="D1518" s="13"/>
      <c r="E1518" s="13"/>
      <c r="G1518" s="13"/>
    </row>
    <row r="1519" spans="1:7" x14ac:dyDescent="0.2">
      <c r="A1519" s="13"/>
      <c r="B1519" s="13"/>
      <c r="D1519" s="13"/>
      <c r="E1519" s="13"/>
      <c r="G1519" s="13"/>
    </row>
    <row r="1520" spans="1:7" x14ac:dyDescent="0.2">
      <c r="A1520" s="13"/>
      <c r="B1520" s="13"/>
      <c r="D1520" s="13"/>
      <c r="E1520" s="13"/>
      <c r="G1520" s="13"/>
    </row>
    <row r="1521" spans="1:7" x14ac:dyDescent="0.2">
      <c r="A1521" s="13"/>
      <c r="B1521" s="13"/>
      <c r="D1521" s="13"/>
      <c r="E1521" s="13"/>
      <c r="G1521" s="13"/>
    </row>
    <row r="1522" spans="1:7" x14ac:dyDescent="0.2">
      <c r="A1522" s="13"/>
      <c r="B1522" s="13"/>
      <c r="D1522" s="13"/>
      <c r="E1522" s="13"/>
      <c r="G1522" s="13"/>
    </row>
    <row r="1523" spans="1:7" x14ac:dyDescent="0.2">
      <c r="A1523" s="13"/>
      <c r="B1523" s="13"/>
      <c r="D1523" s="13"/>
      <c r="E1523" s="13"/>
      <c r="G1523" s="13"/>
    </row>
    <row r="1524" spans="1:7" x14ac:dyDescent="0.2">
      <c r="A1524" s="13"/>
      <c r="B1524" s="13"/>
      <c r="D1524" s="13"/>
      <c r="E1524" s="13"/>
      <c r="G1524" s="13"/>
    </row>
    <row r="1525" spans="1:7" x14ac:dyDescent="0.2">
      <c r="A1525" s="13"/>
      <c r="B1525" s="13"/>
      <c r="D1525" s="13"/>
      <c r="E1525" s="13"/>
      <c r="G1525" s="13"/>
    </row>
    <row r="1526" spans="1:7" x14ac:dyDescent="0.2">
      <c r="A1526" s="13"/>
      <c r="B1526" s="13"/>
      <c r="D1526" s="13"/>
      <c r="E1526" s="13"/>
      <c r="G1526" s="13"/>
    </row>
    <row r="1527" spans="1:7" x14ac:dyDescent="0.2">
      <c r="A1527" s="13"/>
      <c r="B1527" s="13"/>
      <c r="D1527" s="13"/>
      <c r="E1527" s="13"/>
      <c r="G1527" s="13"/>
    </row>
    <row r="1528" spans="1:7" x14ac:dyDescent="0.2">
      <c r="A1528" s="13"/>
      <c r="B1528" s="13"/>
      <c r="D1528" s="13"/>
      <c r="E1528" s="13"/>
      <c r="G1528" s="13"/>
    </row>
    <row r="1529" spans="1:7" x14ac:dyDescent="0.2">
      <c r="A1529" s="13"/>
      <c r="B1529" s="13"/>
      <c r="D1529" s="13"/>
      <c r="E1529" s="13"/>
      <c r="G1529" s="13"/>
    </row>
    <row r="1530" spans="1:7" x14ac:dyDescent="0.2">
      <c r="A1530" s="13"/>
      <c r="B1530" s="13"/>
      <c r="D1530" s="13"/>
      <c r="E1530" s="13"/>
      <c r="G1530" s="13"/>
    </row>
    <row r="1531" spans="1:7" x14ac:dyDescent="0.2">
      <c r="A1531" s="13"/>
      <c r="B1531" s="13"/>
      <c r="D1531" s="13"/>
      <c r="E1531" s="13"/>
      <c r="G1531" s="13"/>
    </row>
    <row r="1532" spans="1:7" x14ac:dyDescent="0.2">
      <c r="A1532" s="13"/>
      <c r="B1532" s="13"/>
      <c r="D1532" s="13"/>
      <c r="E1532" s="13"/>
      <c r="G1532" s="13"/>
    </row>
    <row r="1533" spans="1:7" x14ac:dyDescent="0.2">
      <c r="A1533" s="13"/>
      <c r="B1533" s="13"/>
      <c r="D1533" s="13"/>
      <c r="E1533" s="13"/>
      <c r="F1533" s="13"/>
    </row>
    <row r="1534" spans="1:7" x14ac:dyDescent="0.2">
      <c r="A1534" s="13"/>
      <c r="B1534" s="13"/>
      <c r="D1534" s="13"/>
      <c r="E1534" s="13"/>
      <c r="F1534" s="13"/>
    </row>
    <row r="1535" spans="1:7" x14ac:dyDescent="0.2">
      <c r="A1535" s="13"/>
      <c r="B1535" s="13"/>
      <c r="D1535" s="13"/>
      <c r="E1535" s="13"/>
      <c r="F1535" s="13"/>
    </row>
    <row r="1536" spans="1:7" x14ac:dyDescent="0.2">
      <c r="A1536" s="13"/>
      <c r="B1536" s="13"/>
      <c r="D1536" s="13"/>
      <c r="E1536" s="13"/>
      <c r="F1536" s="13"/>
    </row>
    <row r="1537" spans="1:7" x14ac:dyDescent="0.2">
      <c r="A1537" s="13"/>
      <c r="B1537" s="13"/>
      <c r="D1537" s="13"/>
      <c r="E1537" s="13"/>
      <c r="F1537" s="13"/>
    </row>
    <row r="1538" spans="1:7" x14ac:dyDescent="0.2">
      <c r="A1538" s="13"/>
      <c r="B1538" s="13"/>
      <c r="D1538" s="13"/>
      <c r="E1538" s="13"/>
      <c r="F1538" s="13"/>
    </row>
    <row r="1539" spans="1:7" x14ac:dyDescent="0.2">
      <c r="A1539" s="13"/>
      <c r="B1539" s="13"/>
      <c r="D1539" s="13"/>
      <c r="E1539" s="13"/>
      <c r="F1539" s="13"/>
    </row>
    <row r="1540" spans="1:7" x14ac:dyDescent="0.2">
      <c r="A1540" s="13"/>
      <c r="B1540" s="13"/>
      <c r="D1540" s="13"/>
      <c r="E1540" s="13"/>
      <c r="F1540" s="13"/>
    </row>
    <row r="1541" spans="1:7" x14ac:dyDescent="0.2">
      <c r="A1541" s="13"/>
      <c r="B1541" s="13"/>
      <c r="D1541" s="13"/>
      <c r="E1541" s="13"/>
      <c r="F1541" s="13"/>
    </row>
    <row r="1542" spans="1:7" x14ac:dyDescent="0.2">
      <c r="A1542" s="13"/>
      <c r="B1542" s="13"/>
      <c r="D1542" s="13"/>
      <c r="E1542" s="13"/>
      <c r="F1542" s="13"/>
    </row>
    <row r="1543" spans="1:7" x14ac:dyDescent="0.2">
      <c r="A1543" s="13"/>
      <c r="B1543" s="13"/>
      <c r="D1543" s="13"/>
      <c r="E1543" s="13"/>
      <c r="F1543" s="13"/>
    </row>
    <row r="1544" spans="1:7" x14ac:dyDescent="0.2">
      <c r="A1544" s="13"/>
      <c r="B1544" s="13"/>
      <c r="D1544" s="13"/>
      <c r="E1544" s="13"/>
      <c r="F1544" s="13"/>
    </row>
    <row r="1545" spans="1:7" x14ac:dyDescent="0.2">
      <c r="A1545" s="13"/>
      <c r="B1545" s="13"/>
      <c r="D1545" s="13"/>
      <c r="E1545" s="13"/>
      <c r="F1545" s="13"/>
    </row>
    <row r="1546" spans="1:7" x14ac:dyDescent="0.2">
      <c r="A1546" s="13"/>
      <c r="B1546" s="13"/>
      <c r="D1546" s="13"/>
      <c r="E1546" s="13"/>
      <c r="F1546" s="13"/>
    </row>
    <row r="1547" spans="1:7" x14ac:dyDescent="0.2">
      <c r="A1547" s="13"/>
      <c r="B1547" s="13"/>
      <c r="D1547" s="13"/>
      <c r="E1547" s="13"/>
      <c r="F1547" s="13"/>
    </row>
    <row r="1548" spans="1:7" x14ac:dyDescent="0.2">
      <c r="A1548" s="13"/>
      <c r="B1548" s="13"/>
      <c r="D1548" s="13"/>
      <c r="E1548" s="13"/>
      <c r="F1548" s="13"/>
    </row>
    <row r="1549" spans="1:7" x14ac:dyDescent="0.2">
      <c r="A1549" s="13"/>
      <c r="B1549" s="13"/>
      <c r="D1549" s="13"/>
      <c r="E1549" s="13"/>
      <c r="F1549" s="13"/>
    </row>
    <row r="1550" spans="1:7" x14ac:dyDescent="0.2">
      <c r="A1550" s="13"/>
      <c r="B1550" s="13"/>
      <c r="D1550" s="13"/>
      <c r="E1550" s="13"/>
      <c r="F1550" s="13"/>
    </row>
    <row r="1551" spans="1:7" x14ac:dyDescent="0.2">
      <c r="A1551" s="13"/>
      <c r="B1551" s="13"/>
      <c r="D1551" s="13"/>
      <c r="E1551" s="13"/>
      <c r="F1551" s="13"/>
    </row>
    <row r="1552" spans="1:7" x14ac:dyDescent="0.2">
      <c r="A1552" s="13"/>
      <c r="B1552" s="13"/>
      <c r="D1552" s="13"/>
      <c r="E1552" s="13"/>
      <c r="G1552" s="13"/>
    </row>
    <row r="1553" spans="1:7" x14ac:dyDescent="0.2">
      <c r="A1553" s="13"/>
      <c r="B1553" s="13"/>
      <c r="D1553" s="13"/>
      <c r="E1553" s="13"/>
      <c r="G1553" s="13"/>
    </row>
    <row r="1554" spans="1:7" x14ac:dyDescent="0.2">
      <c r="A1554" s="13"/>
      <c r="B1554" s="13"/>
      <c r="D1554" s="13"/>
      <c r="E1554" s="13"/>
      <c r="G1554" s="13"/>
    </row>
    <row r="1555" spans="1:7" x14ac:dyDescent="0.2">
      <c r="A1555" s="13"/>
      <c r="B1555" s="13"/>
      <c r="D1555" s="13"/>
      <c r="E1555" s="13"/>
      <c r="G1555" s="13"/>
    </row>
    <row r="1556" spans="1:7" x14ac:dyDescent="0.2">
      <c r="A1556" s="13"/>
      <c r="B1556" s="13"/>
      <c r="D1556" s="13"/>
      <c r="E1556" s="13"/>
      <c r="G1556" s="13"/>
    </row>
    <row r="1557" spans="1:7" x14ac:dyDescent="0.2">
      <c r="A1557" s="13"/>
      <c r="B1557" s="13"/>
      <c r="D1557" s="13"/>
      <c r="E1557" s="13"/>
      <c r="G1557" s="13"/>
    </row>
    <row r="1558" spans="1:7" x14ac:dyDescent="0.2">
      <c r="A1558" s="13"/>
      <c r="B1558" s="13"/>
      <c r="D1558" s="13"/>
      <c r="E1558" s="13"/>
      <c r="G1558" s="13"/>
    </row>
    <row r="1559" spans="1:7" x14ac:dyDescent="0.2">
      <c r="A1559" s="13"/>
      <c r="B1559" s="13"/>
      <c r="D1559" s="13"/>
      <c r="E1559" s="13"/>
      <c r="F1559" s="13"/>
    </row>
    <row r="1560" spans="1:7" x14ac:dyDescent="0.2">
      <c r="A1560" s="13"/>
      <c r="B1560" s="13"/>
      <c r="D1560" s="13"/>
      <c r="E1560" s="13"/>
      <c r="F1560" s="13"/>
    </row>
    <row r="1561" spans="1:7" x14ac:dyDescent="0.2">
      <c r="A1561" s="13"/>
      <c r="B1561" s="13"/>
      <c r="D1561" s="13"/>
      <c r="E1561" s="13"/>
      <c r="F1561" s="13"/>
    </row>
    <row r="1562" spans="1:7" x14ac:dyDescent="0.2">
      <c r="A1562" s="13"/>
      <c r="B1562" s="13"/>
      <c r="D1562" s="13"/>
      <c r="E1562" s="13"/>
      <c r="F1562" s="13"/>
    </row>
    <row r="1563" spans="1:7" x14ac:dyDescent="0.2">
      <c r="A1563" s="13"/>
      <c r="B1563" s="13"/>
      <c r="D1563" s="13"/>
      <c r="E1563" s="13"/>
      <c r="F1563" s="13"/>
    </row>
    <row r="1564" spans="1:7" x14ac:dyDescent="0.2">
      <c r="A1564" s="13"/>
      <c r="B1564" s="13"/>
      <c r="D1564" s="13"/>
      <c r="E1564" s="13"/>
      <c r="F1564" s="13"/>
    </row>
    <row r="1565" spans="1:7" x14ac:dyDescent="0.2">
      <c r="A1565" s="13"/>
      <c r="B1565" s="13"/>
      <c r="D1565" s="13"/>
      <c r="E1565" s="13"/>
      <c r="F1565" s="13"/>
    </row>
    <row r="1566" spans="1:7" x14ac:dyDescent="0.2">
      <c r="A1566" s="13"/>
      <c r="B1566" s="13"/>
      <c r="D1566" s="13"/>
      <c r="E1566" s="13"/>
      <c r="G1566" s="13"/>
    </row>
    <row r="1567" spans="1:7" x14ac:dyDescent="0.2">
      <c r="A1567" s="13"/>
      <c r="B1567" s="13"/>
      <c r="D1567" s="13"/>
      <c r="E1567" s="13"/>
      <c r="G1567" s="13"/>
    </row>
    <row r="1568" spans="1:7" x14ac:dyDescent="0.2">
      <c r="A1568" s="13"/>
      <c r="B1568" s="13"/>
      <c r="D1568" s="13"/>
      <c r="E1568" s="13"/>
      <c r="G1568" s="13"/>
    </row>
    <row r="1569" spans="1:7" x14ac:dyDescent="0.2">
      <c r="A1569" s="13"/>
      <c r="B1569" s="13"/>
      <c r="D1569" s="13"/>
      <c r="E1569" s="13"/>
      <c r="G1569" s="13"/>
    </row>
    <row r="1570" spans="1:7" x14ac:dyDescent="0.2">
      <c r="A1570" s="13"/>
      <c r="B1570" s="13"/>
      <c r="D1570" s="13"/>
      <c r="E1570" s="13"/>
      <c r="G1570" s="13"/>
    </row>
    <row r="1571" spans="1:7" x14ac:dyDescent="0.2">
      <c r="A1571" s="13"/>
      <c r="B1571" s="13"/>
      <c r="D1571" s="13"/>
      <c r="E1571" s="13"/>
      <c r="G1571" s="13"/>
    </row>
    <row r="1572" spans="1:7" x14ac:dyDescent="0.2">
      <c r="A1572" s="13"/>
      <c r="B1572" s="13"/>
      <c r="D1572" s="13"/>
      <c r="E1572" s="13"/>
      <c r="F1572" s="13"/>
    </row>
    <row r="1573" spans="1:7" x14ac:dyDescent="0.2">
      <c r="A1573" s="13"/>
      <c r="B1573" s="13"/>
      <c r="D1573" s="13"/>
      <c r="E1573" s="13"/>
      <c r="F1573" s="13"/>
    </row>
    <row r="1574" spans="1:7" x14ac:dyDescent="0.2">
      <c r="A1574" s="13"/>
      <c r="B1574" s="13"/>
      <c r="D1574" s="13"/>
      <c r="E1574" s="13"/>
      <c r="F1574" s="13"/>
    </row>
    <row r="1575" spans="1:7" x14ac:dyDescent="0.2">
      <c r="A1575" s="13"/>
      <c r="B1575" s="13"/>
      <c r="D1575" s="13"/>
      <c r="E1575" s="13"/>
      <c r="F1575" s="13"/>
    </row>
    <row r="1576" spans="1:7" x14ac:dyDescent="0.2">
      <c r="A1576" s="13"/>
      <c r="B1576" s="13"/>
      <c r="D1576" s="13"/>
      <c r="E1576" s="13"/>
      <c r="F1576" s="13"/>
    </row>
    <row r="1577" spans="1:7" x14ac:dyDescent="0.2">
      <c r="A1577" s="13"/>
      <c r="B1577" s="13"/>
      <c r="D1577" s="13"/>
      <c r="E1577" s="13"/>
      <c r="F1577" s="13"/>
    </row>
    <row r="1578" spans="1:7" x14ac:dyDescent="0.2">
      <c r="A1578" s="13"/>
      <c r="B1578" s="13"/>
      <c r="D1578" s="13"/>
      <c r="E1578" s="13"/>
      <c r="F1578" s="13"/>
    </row>
    <row r="1579" spans="1:7" x14ac:dyDescent="0.2">
      <c r="A1579" s="13"/>
      <c r="B1579" s="13"/>
      <c r="D1579" s="13"/>
      <c r="E1579" s="13"/>
      <c r="F1579" s="13"/>
    </row>
    <row r="1580" spans="1:7" x14ac:dyDescent="0.2">
      <c r="A1580" s="13"/>
      <c r="B1580" s="13"/>
      <c r="D1580" s="13"/>
      <c r="E1580" s="13"/>
      <c r="G1580" s="13"/>
    </row>
    <row r="1581" spans="1:7" x14ac:dyDescent="0.2">
      <c r="A1581" s="13"/>
      <c r="B1581" s="13"/>
      <c r="D1581" s="13"/>
      <c r="E1581" s="13"/>
      <c r="G1581" s="13"/>
    </row>
    <row r="1582" spans="1:7" x14ac:dyDescent="0.2">
      <c r="A1582" s="13"/>
      <c r="B1582" s="13"/>
      <c r="D1582" s="13"/>
      <c r="E1582" s="13"/>
      <c r="G1582" s="13"/>
    </row>
    <row r="1583" spans="1:7" x14ac:dyDescent="0.2">
      <c r="A1583" s="13"/>
      <c r="B1583" s="13"/>
      <c r="D1583" s="13"/>
      <c r="E1583" s="13"/>
      <c r="G1583" s="13"/>
    </row>
    <row r="1584" spans="1:7" x14ac:dyDescent="0.2">
      <c r="A1584" s="13"/>
      <c r="B1584" s="13"/>
      <c r="D1584" s="13"/>
      <c r="E1584" s="13"/>
      <c r="G1584" s="13"/>
    </row>
    <row r="1585" spans="1:7" x14ac:dyDescent="0.2">
      <c r="A1585" s="13"/>
      <c r="B1585" s="13"/>
      <c r="D1585" s="13"/>
      <c r="E1585" s="13"/>
      <c r="F1585" s="13"/>
    </row>
    <row r="1586" spans="1:7" x14ac:dyDescent="0.2">
      <c r="A1586" s="13"/>
      <c r="B1586" s="13"/>
      <c r="D1586" s="13"/>
      <c r="E1586" s="13"/>
      <c r="F1586" s="13"/>
    </row>
    <row r="1587" spans="1:7" x14ac:dyDescent="0.2">
      <c r="A1587" s="13"/>
      <c r="B1587" s="13"/>
      <c r="D1587" s="13"/>
      <c r="E1587" s="13"/>
      <c r="F1587" s="13"/>
    </row>
    <row r="1588" spans="1:7" x14ac:dyDescent="0.2">
      <c r="A1588" s="13"/>
      <c r="B1588" s="13"/>
      <c r="D1588" s="13"/>
      <c r="E1588" s="13"/>
      <c r="F1588" s="13"/>
    </row>
    <row r="1589" spans="1:7" x14ac:dyDescent="0.2">
      <c r="A1589" s="13"/>
      <c r="B1589" s="13"/>
      <c r="D1589" s="13"/>
      <c r="E1589" s="13"/>
      <c r="F1589" s="13"/>
    </row>
    <row r="1590" spans="1:7" x14ac:dyDescent="0.2">
      <c r="A1590" s="13"/>
      <c r="B1590" s="13"/>
      <c r="D1590" s="13"/>
      <c r="E1590" s="13"/>
      <c r="F1590" s="13"/>
    </row>
    <row r="1591" spans="1:7" x14ac:dyDescent="0.2">
      <c r="A1591" s="13"/>
      <c r="B1591" s="13"/>
      <c r="D1591" s="13"/>
      <c r="E1591" s="13"/>
      <c r="G1591" s="13"/>
    </row>
    <row r="1592" spans="1:7" x14ac:dyDescent="0.2">
      <c r="A1592" s="13"/>
      <c r="B1592" s="13"/>
      <c r="D1592" s="13"/>
      <c r="E1592" s="13"/>
      <c r="G1592" s="13"/>
    </row>
    <row r="1593" spans="1:7" x14ac:dyDescent="0.2">
      <c r="A1593" s="13"/>
      <c r="B1593" s="13"/>
      <c r="D1593" s="13"/>
      <c r="E1593" s="13"/>
      <c r="G1593" s="13"/>
    </row>
    <row r="1594" spans="1:7" x14ac:dyDescent="0.2">
      <c r="A1594" s="13"/>
      <c r="B1594" s="13"/>
      <c r="D1594" s="13"/>
      <c r="E1594" s="13"/>
      <c r="G1594" s="13"/>
    </row>
    <row r="1595" spans="1:7" x14ac:dyDescent="0.2">
      <c r="A1595" s="13"/>
      <c r="B1595" s="13"/>
      <c r="D1595" s="13"/>
      <c r="E1595" s="13"/>
      <c r="G1595" s="13"/>
    </row>
    <row r="1596" spans="1:7" x14ac:dyDescent="0.2">
      <c r="A1596" s="13"/>
      <c r="B1596" s="13"/>
      <c r="D1596" s="13"/>
      <c r="E1596" s="13"/>
      <c r="G1596" s="13"/>
    </row>
    <row r="1597" spans="1:7" x14ac:dyDescent="0.2">
      <c r="A1597" s="13"/>
      <c r="B1597" s="13"/>
      <c r="D1597" s="13"/>
      <c r="E1597" s="13"/>
      <c r="F1597" s="13"/>
    </row>
    <row r="1598" spans="1:7" x14ac:dyDescent="0.2">
      <c r="A1598" s="13"/>
      <c r="B1598" s="13"/>
      <c r="D1598" s="13"/>
      <c r="E1598" s="13"/>
      <c r="F1598" s="13"/>
    </row>
    <row r="1599" spans="1:7" x14ac:dyDescent="0.2">
      <c r="A1599" s="13"/>
      <c r="B1599" s="13"/>
      <c r="D1599" s="13"/>
      <c r="E1599" s="13"/>
      <c r="F1599" s="13"/>
    </row>
    <row r="1600" spans="1:7" x14ac:dyDescent="0.2">
      <c r="A1600" s="13"/>
      <c r="B1600" s="13"/>
      <c r="D1600" s="13"/>
      <c r="E1600" s="13"/>
      <c r="F1600" s="13"/>
    </row>
    <row r="1601" spans="1:7" x14ac:dyDescent="0.2">
      <c r="A1601" s="13"/>
      <c r="B1601" s="13"/>
      <c r="D1601" s="13"/>
      <c r="E1601" s="13"/>
      <c r="F1601" s="13"/>
    </row>
    <row r="1602" spans="1:7" x14ac:dyDescent="0.2">
      <c r="A1602" s="13"/>
      <c r="B1602" s="13"/>
      <c r="D1602" s="13"/>
      <c r="E1602" s="13"/>
      <c r="F1602" s="13"/>
    </row>
    <row r="1603" spans="1:7" x14ac:dyDescent="0.2">
      <c r="A1603" s="13"/>
      <c r="B1603" s="13"/>
      <c r="D1603" s="13"/>
      <c r="E1603" s="13"/>
      <c r="G1603" s="13"/>
    </row>
    <row r="1604" spans="1:7" x14ac:dyDescent="0.2">
      <c r="A1604" s="13"/>
      <c r="B1604" s="13"/>
      <c r="D1604" s="13"/>
      <c r="E1604" s="13"/>
      <c r="F1604" s="13"/>
    </row>
    <row r="1605" spans="1:7" x14ac:dyDescent="0.2">
      <c r="A1605" s="13"/>
      <c r="B1605" s="13"/>
      <c r="D1605" s="13"/>
      <c r="E1605" s="13"/>
      <c r="F1605" s="13"/>
    </row>
    <row r="1606" spans="1:7" x14ac:dyDescent="0.2">
      <c r="A1606" s="13"/>
      <c r="B1606" s="13"/>
      <c r="D1606" s="13"/>
      <c r="E1606" s="13"/>
      <c r="F1606" s="13"/>
    </row>
    <row r="1607" spans="1:7" x14ac:dyDescent="0.2">
      <c r="A1607" s="13"/>
      <c r="B1607" s="13"/>
      <c r="D1607" s="13"/>
      <c r="E1607" s="13"/>
      <c r="F1607" s="13"/>
    </row>
    <row r="1608" spans="1:7" x14ac:dyDescent="0.2">
      <c r="A1608" s="13"/>
      <c r="B1608" s="13"/>
      <c r="D1608" s="13"/>
      <c r="E1608" s="13"/>
      <c r="F1608" s="13"/>
    </row>
    <row r="1609" spans="1:7" x14ac:dyDescent="0.2">
      <c r="A1609" s="13"/>
      <c r="B1609" s="13"/>
      <c r="D1609" s="13"/>
      <c r="E1609" s="13"/>
      <c r="F1609" s="13"/>
    </row>
    <row r="1610" spans="1:7" x14ac:dyDescent="0.2">
      <c r="A1610" s="13"/>
      <c r="B1610" s="13"/>
      <c r="D1610" s="13"/>
      <c r="E1610" s="13"/>
      <c r="G1610" s="13"/>
    </row>
    <row r="1611" spans="1:7" x14ac:dyDescent="0.2">
      <c r="A1611" s="13"/>
      <c r="B1611" s="13"/>
      <c r="D1611" s="13"/>
      <c r="E1611" s="13"/>
      <c r="G1611" s="13"/>
    </row>
    <row r="1612" spans="1:7" x14ac:dyDescent="0.2">
      <c r="A1612" s="13"/>
      <c r="B1612" s="13"/>
      <c r="D1612" s="13"/>
      <c r="E1612" s="13"/>
      <c r="G1612" s="13"/>
    </row>
    <row r="1613" spans="1:7" x14ac:dyDescent="0.2">
      <c r="A1613" s="13"/>
      <c r="B1613" s="13"/>
      <c r="D1613" s="13"/>
      <c r="E1613" s="13"/>
      <c r="G1613" s="13"/>
    </row>
    <row r="1614" spans="1:7" x14ac:dyDescent="0.2">
      <c r="A1614" s="13"/>
      <c r="B1614" s="13"/>
      <c r="D1614" s="13"/>
      <c r="E1614" s="13"/>
      <c r="G1614" s="13"/>
    </row>
    <row r="1615" spans="1:7" x14ac:dyDescent="0.2">
      <c r="A1615" s="13"/>
      <c r="B1615" s="13"/>
      <c r="D1615" s="13"/>
      <c r="E1615" s="13"/>
      <c r="G1615" s="13"/>
    </row>
    <row r="1616" spans="1:7" x14ac:dyDescent="0.2">
      <c r="A1616" s="13"/>
      <c r="B1616" s="13"/>
      <c r="D1616" s="13"/>
      <c r="E1616" s="13"/>
      <c r="G1616" s="13"/>
    </row>
    <row r="1617" spans="1:7" x14ac:dyDescent="0.2">
      <c r="A1617" s="13"/>
      <c r="B1617" s="13"/>
      <c r="D1617" s="13"/>
      <c r="E1617" s="13"/>
      <c r="F1617" s="13"/>
    </row>
    <row r="1618" spans="1:7" x14ac:dyDescent="0.2">
      <c r="A1618" s="13"/>
      <c r="B1618" s="13"/>
      <c r="D1618" s="13"/>
      <c r="E1618" s="13"/>
      <c r="F1618" s="13"/>
    </row>
    <row r="1619" spans="1:7" x14ac:dyDescent="0.2">
      <c r="A1619" s="13"/>
      <c r="B1619" s="13"/>
      <c r="D1619" s="13"/>
      <c r="E1619" s="13"/>
      <c r="F1619" s="13"/>
    </row>
    <row r="1620" spans="1:7" x14ac:dyDescent="0.2">
      <c r="A1620" s="13"/>
      <c r="B1620" s="13"/>
      <c r="D1620" s="13"/>
      <c r="E1620" s="13"/>
      <c r="F1620" s="13"/>
    </row>
    <row r="1621" spans="1:7" x14ac:dyDescent="0.2">
      <c r="A1621" s="13"/>
      <c r="B1621" s="13"/>
      <c r="D1621" s="13"/>
      <c r="E1621" s="13"/>
      <c r="F1621" s="13"/>
    </row>
    <row r="1622" spans="1:7" x14ac:dyDescent="0.2">
      <c r="A1622" s="13"/>
      <c r="B1622" s="13"/>
      <c r="D1622" s="13"/>
      <c r="E1622" s="13"/>
      <c r="G1622" s="13"/>
    </row>
    <row r="1623" spans="1:7" x14ac:dyDescent="0.2">
      <c r="A1623" s="13"/>
      <c r="B1623" s="13"/>
      <c r="D1623" s="13"/>
      <c r="E1623" s="13"/>
      <c r="G1623" s="13"/>
    </row>
    <row r="1624" spans="1:7" x14ac:dyDescent="0.2">
      <c r="A1624" s="13"/>
      <c r="B1624" s="13"/>
      <c r="D1624" s="13"/>
      <c r="E1624" s="13"/>
      <c r="F1624" s="13"/>
    </row>
    <row r="1625" spans="1:7" x14ac:dyDescent="0.2">
      <c r="A1625" s="13"/>
      <c r="B1625" s="13"/>
      <c r="D1625" s="13"/>
      <c r="E1625" s="13"/>
      <c r="F1625" s="13"/>
    </row>
    <row r="1626" spans="1:7" x14ac:dyDescent="0.2">
      <c r="A1626" s="13"/>
      <c r="B1626" s="13"/>
      <c r="D1626" s="13"/>
      <c r="E1626" s="13"/>
      <c r="F1626" s="13"/>
    </row>
    <row r="1627" spans="1:7" x14ac:dyDescent="0.2">
      <c r="A1627" s="13"/>
      <c r="B1627" s="13"/>
      <c r="D1627" s="13"/>
      <c r="E1627" s="13"/>
      <c r="F1627" s="13"/>
    </row>
    <row r="1628" spans="1:7" x14ac:dyDescent="0.2">
      <c r="A1628" s="13"/>
      <c r="B1628" s="13"/>
      <c r="D1628" s="13"/>
      <c r="E1628" s="13"/>
      <c r="G1628" s="13"/>
    </row>
    <row r="1629" spans="1:7" x14ac:dyDescent="0.2">
      <c r="A1629" s="13"/>
      <c r="B1629" s="13"/>
      <c r="D1629" s="13"/>
      <c r="E1629" s="13"/>
      <c r="G1629" s="13"/>
    </row>
    <row r="1630" spans="1:7" x14ac:dyDescent="0.2">
      <c r="A1630" s="13"/>
      <c r="B1630" s="13"/>
      <c r="D1630" s="13"/>
      <c r="E1630" s="13"/>
      <c r="F1630" s="13"/>
    </row>
    <row r="1631" spans="1:7" x14ac:dyDescent="0.2">
      <c r="A1631" s="13"/>
      <c r="B1631" s="13"/>
      <c r="D1631" s="13"/>
      <c r="E1631" s="13"/>
      <c r="F1631" s="13"/>
    </row>
    <row r="1632" spans="1:7" x14ac:dyDescent="0.2">
      <c r="A1632" s="13"/>
      <c r="B1632" s="13"/>
      <c r="D1632" s="13"/>
      <c r="E1632" s="13"/>
      <c r="F1632" s="13"/>
    </row>
    <row r="1633" spans="1:7" x14ac:dyDescent="0.2">
      <c r="A1633" s="13"/>
      <c r="B1633" s="13"/>
      <c r="D1633" s="13"/>
      <c r="E1633" s="13"/>
      <c r="G1633" s="13"/>
    </row>
    <row r="1634" spans="1:7" x14ac:dyDescent="0.2">
      <c r="A1634" s="13"/>
      <c r="B1634" s="13"/>
      <c r="D1634" s="13"/>
      <c r="E1634" s="13"/>
      <c r="G1634" s="13"/>
    </row>
    <row r="1635" spans="1:7" x14ac:dyDescent="0.2">
      <c r="A1635" s="13"/>
      <c r="B1635" s="13"/>
      <c r="D1635" s="13"/>
      <c r="E1635" s="13"/>
      <c r="G1635" s="13"/>
    </row>
    <row r="1636" spans="1:7" x14ac:dyDescent="0.2">
      <c r="A1636" s="13"/>
      <c r="B1636" s="13"/>
      <c r="D1636" s="13"/>
      <c r="E1636" s="13"/>
      <c r="G1636" s="13"/>
    </row>
    <row r="1637" spans="1:7" x14ac:dyDescent="0.2">
      <c r="A1637" s="13"/>
      <c r="B1637" s="13"/>
      <c r="D1637" s="13"/>
      <c r="E1637" s="13"/>
      <c r="F1637" s="13"/>
    </row>
    <row r="1638" spans="1:7" x14ac:dyDescent="0.2">
      <c r="A1638" s="13"/>
      <c r="B1638" s="13"/>
      <c r="D1638" s="13"/>
      <c r="E1638" s="13"/>
      <c r="F1638" s="13"/>
    </row>
    <row r="1639" spans="1:7" x14ac:dyDescent="0.2">
      <c r="A1639" s="13"/>
      <c r="B1639" s="13"/>
      <c r="D1639" s="13"/>
      <c r="E1639" s="13"/>
      <c r="F1639" s="13"/>
    </row>
    <row r="1640" spans="1:7" x14ac:dyDescent="0.2">
      <c r="A1640" s="13"/>
      <c r="B1640" s="13"/>
      <c r="D1640" s="13"/>
      <c r="E1640" s="13"/>
      <c r="G1640" s="13"/>
    </row>
    <row r="1641" spans="1:7" x14ac:dyDescent="0.2">
      <c r="A1641" s="13"/>
      <c r="B1641" s="13"/>
      <c r="D1641" s="13"/>
      <c r="E1641" s="13"/>
      <c r="G1641" s="13"/>
    </row>
    <row r="1642" spans="1:7" x14ac:dyDescent="0.2">
      <c r="A1642" s="13"/>
      <c r="B1642" s="13"/>
      <c r="D1642" s="13"/>
      <c r="E1642" s="13"/>
      <c r="G1642" s="13"/>
    </row>
    <row r="1643" spans="1:7" x14ac:dyDescent="0.2">
      <c r="A1643" s="13"/>
      <c r="B1643" s="13"/>
      <c r="D1643" s="13"/>
      <c r="E1643" s="13"/>
      <c r="F1643" s="13"/>
    </row>
    <row r="1644" spans="1:7" x14ac:dyDescent="0.2">
      <c r="A1644" s="13"/>
      <c r="B1644" s="13"/>
      <c r="D1644" s="13"/>
      <c r="E1644" s="13"/>
      <c r="F1644" s="13"/>
    </row>
    <row r="1645" spans="1:7" x14ac:dyDescent="0.2">
      <c r="A1645" s="13"/>
      <c r="B1645" s="13"/>
      <c r="D1645" s="13"/>
      <c r="E1645" s="13"/>
      <c r="G1645" s="13"/>
    </row>
    <row r="1646" spans="1:7" x14ac:dyDescent="0.2">
      <c r="A1646" s="13"/>
      <c r="B1646" s="13"/>
      <c r="D1646" s="13"/>
      <c r="E1646" s="13"/>
      <c r="F1646" s="13"/>
    </row>
    <row r="1647" spans="1:7" x14ac:dyDescent="0.2">
      <c r="A1647" s="13"/>
      <c r="B1647" s="13"/>
      <c r="D1647" s="13"/>
      <c r="E1647" s="13"/>
      <c r="F1647" s="13"/>
    </row>
    <row r="1648" spans="1:7" x14ac:dyDescent="0.2">
      <c r="A1648" s="13"/>
      <c r="B1648" s="13"/>
      <c r="D1648" s="13"/>
      <c r="E1648" s="13"/>
      <c r="G1648" s="13"/>
    </row>
    <row r="1649" spans="1:7" x14ac:dyDescent="0.2">
      <c r="A1649" s="13"/>
      <c r="B1649" s="13"/>
      <c r="D1649" s="13"/>
      <c r="E1649" s="13"/>
      <c r="G1649" s="13"/>
    </row>
    <row r="1650" spans="1:7" x14ac:dyDescent="0.2">
      <c r="A1650" s="13"/>
      <c r="B1650" s="13"/>
      <c r="D1650" s="13"/>
      <c r="E1650" s="13"/>
      <c r="F1650" s="13"/>
    </row>
    <row r="1651" spans="1:7" x14ac:dyDescent="0.2">
      <c r="A1651" s="13"/>
      <c r="B1651" s="13"/>
      <c r="D1651" s="13"/>
      <c r="E1651" s="13"/>
      <c r="F1651" s="13"/>
    </row>
    <row r="1652" spans="1:7" x14ac:dyDescent="0.2">
      <c r="A1652" s="13"/>
      <c r="B1652" s="13"/>
      <c r="D1652" s="13"/>
      <c r="E1652" s="13"/>
      <c r="F1652" s="13"/>
    </row>
    <row r="1653" spans="1:7" x14ac:dyDescent="0.2">
      <c r="A1653" s="13"/>
      <c r="B1653" s="13"/>
      <c r="D1653" s="13"/>
      <c r="E1653" s="13"/>
      <c r="F1653" s="13"/>
    </row>
    <row r="1654" spans="1:7" x14ac:dyDescent="0.2">
      <c r="A1654" s="13"/>
      <c r="B1654" s="13"/>
      <c r="D1654" s="13"/>
      <c r="E1654" s="13"/>
      <c r="G1654" s="13"/>
    </row>
    <row r="1655" spans="1:7" x14ac:dyDescent="0.2">
      <c r="A1655" s="13"/>
      <c r="B1655" s="13"/>
      <c r="D1655" s="13"/>
      <c r="E1655" s="13"/>
      <c r="G1655" s="13"/>
    </row>
    <row r="1656" spans="1:7" x14ac:dyDescent="0.2">
      <c r="A1656" s="13"/>
      <c r="B1656" s="13"/>
      <c r="D1656" s="13"/>
      <c r="E1656" s="13"/>
      <c r="G1656" s="13"/>
    </row>
    <row r="1657" spans="1:7" x14ac:dyDescent="0.2">
      <c r="A1657" s="13"/>
      <c r="B1657" s="13"/>
      <c r="D1657" s="13"/>
      <c r="E1657" s="13"/>
      <c r="G1657" s="13"/>
    </row>
    <row r="1658" spans="1:7" x14ac:dyDescent="0.2">
      <c r="A1658" s="13"/>
      <c r="B1658" s="13"/>
      <c r="D1658" s="13"/>
      <c r="E1658" s="13"/>
      <c r="G1658" s="13"/>
    </row>
    <row r="1659" spans="1:7" x14ac:dyDescent="0.2">
      <c r="A1659" s="13"/>
      <c r="B1659" s="13"/>
      <c r="D1659" s="13"/>
      <c r="E1659" s="13"/>
      <c r="F1659" s="13"/>
    </row>
    <row r="1660" spans="1:7" x14ac:dyDescent="0.2">
      <c r="A1660" s="13"/>
      <c r="B1660" s="13"/>
      <c r="D1660" s="13"/>
      <c r="E1660" s="13"/>
      <c r="F1660" s="13"/>
    </row>
    <row r="1661" spans="1:7" x14ac:dyDescent="0.2">
      <c r="A1661" s="13"/>
      <c r="B1661" s="13"/>
      <c r="D1661" s="13"/>
      <c r="E1661" s="13"/>
      <c r="F1661" s="13"/>
    </row>
    <row r="1662" spans="1:7" x14ac:dyDescent="0.2">
      <c r="A1662" s="13"/>
      <c r="B1662" s="13"/>
      <c r="D1662" s="13"/>
      <c r="E1662" s="13"/>
      <c r="F1662" s="13"/>
    </row>
    <row r="1663" spans="1:7" x14ac:dyDescent="0.2">
      <c r="A1663" s="13"/>
      <c r="B1663" s="13"/>
      <c r="D1663" s="13"/>
      <c r="E1663" s="13"/>
      <c r="F1663" s="13"/>
    </row>
    <row r="1664" spans="1:7" x14ac:dyDescent="0.2">
      <c r="A1664" s="13"/>
      <c r="B1664" s="13"/>
      <c r="D1664" s="13"/>
      <c r="E1664" s="13"/>
      <c r="G1664" s="13"/>
    </row>
    <row r="1665" spans="1:7" x14ac:dyDescent="0.2">
      <c r="A1665" s="13"/>
      <c r="B1665" s="13"/>
      <c r="D1665" s="13"/>
      <c r="E1665" s="13"/>
      <c r="F1665" s="13"/>
    </row>
    <row r="1666" spans="1:7" x14ac:dyDescent="0.2">
      <c r="A1666" s="13"/>
      <c r="B1666" s="13"/>
      <c r="D1666" s="13"/>
      <c r="E1666" s="13"/>
      <c r="F1666" s="13"/>
    </row>
    <row r="1667" spans="1:7" x14ac:dyDescent="0.2">
      <c r="A1667" s="13"/>
      <c r="B1667" s="13"/>
      <c r="D1667" s="13"/>
      <c r="E1667" s="13"/>
      <c r="G1667" s="13"/>
    </row>
    <row r="1668" spans="1:7" x14ac:dyDescent="0.2">
      <c r="A1668" s="13"/>
      <c r="B1668" s="13"/>
      <c r="D1668" s="13"/>
      <c r="E1668" s="13"/>
      <c r="G1668" s="13"/>
    </row>
    <row r="1669" spans="1:7" x14ac:dyDescent="0.2">
      <c r="A1669" s="13"/>
      <c r="B1669" s="13"/>
      <c r="D1669" s="13"/>
      <c r="E1669" s="13"/>
      <c r="G1669" s="13"/>
    </row>
    <row r="1670" spans="1:7" x14ac:dyDescent="0.2">
      <c r="A1670" s="13"/>
      <c r="B1670" s="13"/>
      <c r="D1670" s="13"/>
      <c r="E1670" s="13"/>
      <c r="F1670" s="13"/>
    </row>
    <row r="1671" spans="1:7" x14ac:dyDescent="0.2">
      <c r="A1671" s="13"/>
      <c r="B1671" s="13"/>
      <c r="D1671" s="13"/>
      <c r="E1671" s="13"/>
      <c r="F1671" s="13"/>
    </row>
    <row r="1672" spans="1:7" x14ac:dyDescent="0.2">
      <c r="A1672" s="13"/>
      <c r="B1672" s="13"/>
      <c r="D1672" s="13"/>
      <c r="E1672" s="13"/>
      <c r="F1672" s="13"/>
    </row>
    <row r="1673" spans="1:7" x14ac:dyDescent="0.2">
      <c r="A1673" s="13"/>
      <c r="B1673" s="13"/>
      <c r="D1673" s="13"/>
      <c r="E1673" s="13"/>
      <c r="F1673" s="13"/>
    </row>
    <row r="1674" spans="1:7" x14ac:dyDescent="0.2">
      <c r="A1674" s="13"/>
      <c r="B1674" s="13"/>
      <c r="D1674" s="13"/>
      <c r="E1674" s="13"/>
      <c r="F1674" s="13"/>
    </row>
    <row r="1675" spans="1:7" x14ac:dyDescent="0.2">
      <c r="A1675" s="13"/>
      <c r="B1675" s="13"/>
      <c r="D1675" s="13"/>
      <c r="E1675" s="13"/>
      <c r="F1675" s="13"/>
    </row>
    <row r="1676" spans="1:7" x14ac:dyDescent="0.2">
      <c r="A1676" s="13"/>
      <c r="B1676" s="13"/>
      <c r="D1676" s="13"/>
      <c r="E1676" s="13"/>
      <c r="F1676" s="13"/>
    </row>
    <row r="1677" spans="1:7" x14ac:dyDescent="0.2">
      <c r="A1677" s="13"/>
      <c r="B1677" s="13"/>
      <c r="D1677" s="13"/>
      <c r="E1677" s="13"/>
      <c r="F1677" s="13"/>
    </row>
    <row r="1678" spans="1:7" x14ac:dyDescent="0.2">
      <c r="A1678" s="13"/>
      <c r="B1678" s="13"/>
      <c r="D1678" s="13"/>
      <c r="E1678" s="13"/>
      <c r="F1678" s="13"/>
    </row>
    <row r="1679" spans="1:7" x14ac:dyDescent="0.2">
      <c r="A1679" s="13"/>
      <c r="B1679" s="13"/>
      <c r="D1679" s="13"/>
      <c r="E1679" s="13"/>
      <c r="F1679" s="13"/>
    </row>
    <row r="1680" spans="1:7" x14ac:dyDescent="0.2">
      <c r="A1680" s="13"/>
      <c r="B1680" s="13"/>
      <c r="D1680" s="13"/>
      <c r="E1680" s="13"/>
      <c r="F1680" s="13"/>
    </row>
    <row r="1681" spans="1:7" x14ac:dyDescent="0.2">
      <c r="A1681" s="13"/>
      <c r="B1681" s="13"/>
      <c r="D1681" s="13"/>
      <c r="E1681" s="13"/>
      <c r="F1681" s="13"/>
    </row>
    <row r="1682" spans="1:7" x14ac:dyDescent="0.2">
      <c r="A1682" s="13"/>
      <c r="B1682" s="13"/>
      <c r="D1682" s="13"/>
      <c r="E1682" s="13"/>
      <c r="G1682" s="13"/>
    </row>
    <row r="1683" spans="1:7" x14ac:dyDescent="0.2">
      <c r="A1683" s="13"/>
      <c r="B1683" s="13"/>
      <c r="D1683" s="13"/>
      <c r="E1683" s="13"/>
      <c r="G1683" s="13"/>
    </row>
    <row r="1684" spans="1:7" x14ac:dyDescent="0.2">
      <c r="A1684" s="13"/>
      <c r="B1684" s="13"/>
      <c r="D1684" s="13"/>
      <c r="E1684" s="13"/>
      <c r="G1684" s="13"/>
    </row>
    <row r="1685" spans="1:7" x14ac:dyDescent="0.2">
      <c r="A1685" s="13"/>
      <c r="B1685" s="13"/>
      <c r="D1685" s="13"/>
      <c r="E1685" s="13"/>
      <c r="G1685" s="13"/>
    </row>
    <row r="1686" spans="1:7" x14ac:dyDescent="0.2">
      <c r="A1686" s="13"/>
      <c r="B1686" s="13"/>
      <c r="D1686" s="13"/>
      <c r="E1686" s="13"/>
      <c r="G1686" s="13"/>
    </row>
    <row r="1687" spans="1:7" x14ac:dyDescent="0.2">
      <c r="A1687" s="13"/>
      <c r="B1687" s="13"/>
      <c r="D1687" s="13"/>
      <c r="E1687" s="13"/>
      <c r="G1687" s="13"/>
    </row>
    <row r="1688" spans="1:7" x14ac:dyDescent="0.2">
      <c r="A1688" s="13"/>
      <c r="B1688" s="13"/>
      <c r="D1688" s="13"/>
      <c r="E1688" s="13"/>
      <c r="F1688" s="13"/>
    </row>
    <row r="1689" spans="1:7" x14ac:dyDescent="0.2">
      <c r="A1689" s="13"/>
      <c r="B1689" s="13"/>
      <c r="D1689" s="13"/>
      <c r="E1689" s="13"/>
      <c r="F1689" s="13"/>
    </row>
    <row r="1690" spans="1:7" x14ac:dyDescent="0.2">
      <c r="A1690" s="13"/>
      <c r="B1690" s="13"/>
      <c r="D1690" s="13"/>
      <c r="E1690" s="13"/>
      <c r="F1690" s="13"/>
    </row>
    <row r="1691" spans="1:7" x14ac:dyDescent="0.2">
      <c r="A1691" s="13"/>
      <c r="B1691" s="13"/>
      <c r="D1691" s="13"/>
      <c r="E1691" s="13"/>
      <c r="G1691" s="13"/>
    </row>
    <row r="1692" spans="1:7" x14ac:dyDescent="0.2">
      <c r="A1692" s="13"/>
      <c r="B1692" s="13"/>
      <c r="D1692" s="13"/>
      <c r="E1692" s="13"/>
      <c r="G1692" s="13"/>
    </row>
    <row r="1693" spans="1:7" x14ac:dyDescent="0.2">
      <c r="A1693" s="13"/>
      <c r="B1693" s="13"/>
      <c r="D1693" s="13"/>
      <c r="E1693" s="13"/>
      <c r="G1693" s="13"/>
    </row>
    <row r="1694" spans="1:7" x14ac:dyDescent="0.2">
      <c r="A1694" s="13"/>
      <c r="B1694" s="13"/>
      <c r="D1694" s="13"/>
      <c r="E1694" s="13"/>
      <c r="G1694" s="13"/>
    </row>
    <row r="1695" spans="1:7" x14ac:dyDescent="0.2">
      <c r="A1695" s="13"/>
      <c r="B1695" s="13"/>
      <c r="D1695" s="13"/>
      <c r="E1695" s="13"/>
      <c r="G1695" s="13"/>
    </row>
    <row r="1696" spans="1:7" x14ac:dyDescent="0.2">
      <c r="A1696" s="13"/>
      <c r="B1696" s="13"/>
      <c r="D1696" s="13"/>
      <c r="E1696" s="13"/>
      <c r="G1696" s="13"/>
    </row>
    <row r="1697" spans="1:7" x14ac:dyDescent="0.2">
      <c r="A1697" s="13"/>
      <c r="B1697" s="13"/>
      <c r="D1697" s="13"/>
      <c r="E1697" s="13"/>
      <c r="F1697" s="13"/>
    </row>
    <row r="1698" spans="1:7" x14ac:dyDescent="0.2">
      <c r="A1698" s="13"/>
      <c r="B1698" s="13"/>
      <c r="D1698" s="13"/>
      <c r="E1698" s="13"/>
      <c r="F1698" s="13"/>
    </row>
    <row r="1699" spans="1:7" x14ac:dyDescent="0.2">
      <c r="A1699" s="13"/>
      <c r="B1699" s="13"/>
      <c r="D1699" s="13"/>
      <c r="E1699" s="13"/>
      <c r="F1699" s="13"/>
    </row>
    <row r="1700" spans="1:7" x14ac:dyDescent="0.2">
      <c r="A1700" s="13"/>
      <c r="B1700" s="13"/>
      <c r="D1700" s="13"/>
      <c r="E1700" s="13"/>
      <c r="F1700" s="13"/>
    </row>
    <row r="1701" spans="1:7" x14ac:dyDescent="0.2">
      <c r="A1701" s="13"/>
      <c r="B1701" s="13"/>
      <c r="D1701" s="13"/>
      <c r="E1701" s="13"/>
      <c r="F1701" s="13"/>
    </row>
    <row r="1702" spans="1:7" x14ac:dyDescent="0.2">
      <c r="A1702" s="13"/>
      <c r="B1702" s="13"/>
      <c r="D1702" s="13"/>
      <c r="E1702" s="13"/>
      <c r="F1702" s="13"/>
    </row>
    <row r="1703" spans="1:7" x14ac:dyDescent="0.2">
      <c r="A1703" s="13"/>
      <c r="B1703" s="13"/>
      <c r="D1703" s="13"/>
      <c r="E1703" s="13"/>
      <c r="F1703" s="13"/>
    </row>
    <row r="1704" spans="1:7" x14ac:dyDescent="0.2">
      <c r="A1704" s="13"/>
      <c r="B1704" s="13"/>
      <c r="D1704" s="13"/>
      <c r="E1704" s="13"/>
      <c r="F1704" s="13"/>
    </row>
    <row r="1705" spans="1:7" x14ac:dyDescent="0.2">
      <c r="A1705" s="13"/>
      <c r="B1705" s="13"/>
      <c r="D1705" s="13"/>
      <c r="E1705" s="13"/>
      <c r="F1705" s="13"/>
    </row>
    <row r="1706" spans="1:7" x14ac:dyDescent="0.2">
      <c r="A1706" s="13"/>
      <c r="B1706" s="13"/>
      <c r="D1706" s="13"/>
      <c r="E1706" s="13"/>
      <c r="F1706" s="13"/>
    </row>
    <row r="1707" spans="1:7" x14ac:dyDescent="0.2">
      <c r="A1707" s="13"/>
      <c r="B1707" s="13"/>
      <c r="D1707" s="13"/>
      <c r="E1707" s="13"/>
      <c r="F1707" s="13"/>
    </row>
    <row r="1708" spans="1:7" x14ac:dyDescent="0.2">
      <c r="A1708" s="13"/>
      <c r="B1708" s="13"/>
      <c r="D1708" s="13"/>
      <c r="E1708" s="13"/>
      <c r="G1708" s="13"/>
    </row>
    <row r="1709" spans="1:7" x14ac:dyDescent="0.2">
      <c r="A1709" s="13"/>
      <c r="B1709" s="13"/>
      <c r="D1709" s="13"/>
      <c r="E1709" s="13"/>
      <c r="G1709" s="13"/>
    </row>
    <row r="1710" spans="1:7" x14ac:dyDescent="0.2">
      <c r="A1710" s="13"/>
      <c r="B1710" s="13"/>
      <c r="D1710" s="13"/>
      <c r="E1710" s="13"/>
      <c r="G1710" s="13"/>
    </row>
    <row r="1711" spans="1:7" x14ac:dyDescent="0.2">
      <c r="A1711" s="13"/>
      <c r="B1711" s="13"/>
      <c r="D1711" s="13"/>
      <c r="E1711" s="13"/>
      <c r="G1711" s="13"/>
    </row>
    <row r="1712" spans="1:7" x14ac:dyDescent="0.2">
      <c r="A1712" s="13"/>
      <c r="B1712" s="13"/>
      <c r="D1712" s="13"/>
      <c r="E1712" s="13"/>
      <c r="G1712" s="13"/>
    </row>
    <row r="1713" spans="1:7" x14ac:dyDescent="0.2">
      <c r="A1713" s="13"/>
      <c r="B1713" s="13"/>
      <c r="D1713" s="13"/>
      <c r="E1713" s="13"/>
      <c r="G1713" s="13"/>
    </row>
    <row r="1714" spans="1:7" x14ac:dyDescent="0.2">
      <c r="A1714" s="13"/>
      <c r="B1714" s="13"/>
      <c r="D1714" s="13"/>
      <c r="E1714" s="13"/>
      <c r="F1714" s="13"/>
    </row>
    <row r="1715" spans="1:7" x14ac:dyDescent="0.2">
      <c r="A1715" s="13"/>
      <c r="B1715" s="13"/>
      <c r="D1715" s="13"/>
      <c r="E1715" s="13"/>
      <c r="F1715" s="13"/>
    </row>
    <row r="1716" spans="1:7" x14ac:dyDescent="0.2">
      <c r="A1716" s="13"/>
      <c r="B1716" s="13"/>
      <c r="D1716" s="13"/>
      <c r="E1716" s="13"/>
      <c r="F1716" s="13"/>
    </row>
    <row r="1717" spans="1:7" x14ac:dyDescent="0.2">
      <c r="A1717" s="13"/>
      <c r="B1717" s="13"/>
      <c r="D1717" s="13"/>
      <c r="E1717" s="13"/>
      <c r="F1717" s="13"/>
    </row>
    <row r="1718" spans="1:7" x14ac:dyDescent="0.2">
      <c r="A1718" s="13"/>
      <c r="B1718" s="13"/>
      <c r="D1718" s="13"/>
      <c r="E1718" s="13"/>
      <c r="F1718" s="13"/>
    </row>
    <row r="1719" spans="1:7" x14ac:dyDescent="0.2">
      <c r="A1719" s="13"/>
      <c r="B1719" s="13"/>
      <c r="D1719" s="13"/>
      <c r="E1719" s="13"/>
      <c r="F1719" s="13"/>
    </row>
    <row r="1720" spans="1:7" x14ac:dyDescent="0.2">
      <c r="A1720" s="13"/>
      <c r="B1720" s="13"/>
      <c r="D1720" s="13"/>
      <c r="E1720" s="13"/>
      <c r="G1720" s="13"/>
    </row>
    <row r="1721" spans="1:7" x14ac:dyDescent="0.2">
      <c r="A1721" s="13"/>
      <c r="B1721" s="13"/>
      <c r="D1721" s="13"/>
      <c r="E1721" s="13"/>
      <c r="G1721" s="13"/>
    </row>
    <row r="1722" spans="1:7" x14ac:dyDescent="0.2">
      <c r="A1722" s="13"/>
      <c r="B1722" s="13"/>
      <c r="D1722" s="13"/>
      <c r="E1722" s="13"/>
      <c r="G1722" s="13"/>
    </row>
    <row r="1723" spans="1:7" x14ac:dyDescent="0.2">
      <c r="A1723" s="13"/>
      <c r="B1723" s="13"/>
      <c r="D1723" s="13"/>
      <c r="E1723" s="13"/>
      <c r="F1723" s="13"/>
    </row>
    <row r="1724" spans="1:7" x14ac:dyDescent="0.2">
      <c r="A1724" s="13"/>
      <c r="B1724" s="13"/>
      <c r="D1724" s="13"/>
      <c r="E1724" s="13"/>
      <c r="G1724" s="13"/>
    </row>
    <row r="1725" spans="1:7" x14ac:dyDescent="0.2">
      <c r="A1725" s="13"/>
      <c r="B1725" s="13"/>
      <c r="D1725" s="13"/>
      <c r="E1725" s="13"/>
      <c r="G1725" s="13"/>
    </row>
    <row r="1726" spans="1:7" x14ac:dyDescent="0.2">
      <c r="A1726" s="13"/>
      <c r="B1726" s="13"/>
      <c r="D1726" s="13"/>
      <c r="E1726" s="13"/>
      <c r="G1726" s="13"/>
    </row>
    <row r="1727" spans="1:7" x14ac:dyDescent="0.2">
      <c r="A1727" s="13"/>
      <c r="B1727" s="13"/>
      <c r="D1727" s="13"/>
      <c r="E1727" s="13"/>
      <c r="F1727" s="13"/>
    </row>
    <row r="1728" spans="1:7" x14ac:dyDescent="0.2">
      <c r="A1728" s="13"/>
      <c r="B1728" s="13"/>
      <c r="D1728" s="13"/>
      <c r="E1728" s="13"/>
      <c r="F1728" s="13"/>
    </row>
    <row r="1729" spans="1:7" x14ac:dyDescent="0.2">
      <c r="A1729" s="13"/>
      <c r="B1729" s="13"/>
      <c r="D1729" s="13"/>
      <c r="E1729" s="13"/>
      <c r="F1729" s="13"/>
    </row>
    <row r="1730" spans="1:7" x14ac:dyDescent="0.2">
      <c r="A1730" s="13"/>
      <c r="B1730" s="13"/>
      <c r="D1730" s="13"/>
      <c r="E1730" s="13"/>
      <c r="F1730" s="13"/>
    </row>
    <row r="1731" spans="1:7" x14ac:dyDescent="0.2">
      <c r="A1731" s="13"/>
      <c r="B1731" s="13"/>
      <c r="D1731" s="13"/>
      <c r="E1731" s="13"/>
      <c r="G1731" s="13"/>
    </row>
    <row r="1732" spans="1:7" x14ac:dyDescent="0.2">
      <c r="A1732" s="13"/>
      <c r="B1732" s="13"/>
      <c r="D1732" s="13"/>
      <c r="E1732" s="13"/>
      <c r="F1732" s="13"/>
    </row>
    <row r="1733" spans="1:7" x14ac:dyDescent="0.2">
      <c r="A1733" s="13"/>
      <c r="B1733" s="13"/>
      <c r="D1733" s="13"/>
      <c r="E1733" s="13"/>
      <c r="G1733" s="13"/>
    </row>
    <row r="1734" spans="1:7" x14ac:dyDescent="0.2">
      <c r="A1734" s="13"/>
      <c r="B1734" s="13"/>
      <c r="D1734" s="13"/>
      <c r="E1734" s="13"/>
      <c r="G1734" s="13"/>
    </row>
    <row r="1735" spans="1:7" x14ac:dyDescent="0.2">
      <c r="A1735" s="13"/>
      <c r="B1735" s="13"/>
      <c r="D1735" s="13"/>
      <c r="E1735" s="13"/>
      <c r="F1735" s="13"/>
    </row>
    <row r="1736" spans="1:7" x14ac:dyDescent="0.2">
      <c r="A1736" s="13"/>
      <c r="B1736" s="13"/>
      <c r="D1736" s="13"/>
      <c r="E1736" s="13"/>
      <c r="F1736" s="13"/>
    </row>
    <row r="1737" spans="1:7" x14ac:dyDescent="0.2">
      <c r="A1737" s="13"/>
      <c r="B1737" s="13"/>
      <c r="D1737" s="13"/>
      <c r="E1737" s="13"/>
      <c r="F1737" s="13"/>
    </row>
    <row r="1738" spans="1:7" x14ac:dyDescent="0.2">
      <c r="A1738" s="13"/>
      <c r="B1738" s="13"/>
      <c r="D1738" s="13"/>
      <c r="E1738" s="13"/>
      <c r="F1738" s="13"/>
    </row>
    <row r="1739" spans="1:7" x14ac:dyDescent="0.2">
      <c r="A1739" s="13"/>
      <c r="B1739" s="13"/>
      <c r="D1739" s="13"/>
      <c r="E1739" s="13"/>
      <c r="F1739" s="13"/>
    </row>
    <row r="1740" spans="1:7" x14ac:dyDescent="0.2">
      <c r="A1740" s="13"/>
      <c r="B1740" s="13"/>
      <c r="D1740" s="13"/>
      <c r="E1740" s="13"/>
      <c r="G1740" s="13"/>
    </row>
    <row r="1741" spans="1:7" x14ac:dyDescent="0.2">
      <c r="A1741" s="13"/>
      <c r="B1741" s="13"/>
      <c r="D1741" s="13"/>
      <c r="E1741" s="13"/>
      <c r="G1741" s="13"/>
    </row>
    <row r="1742" spans="1:7" x14ac:dyDescent="0.2">
      <c r="A1742" s="13"/>
      <c r="B1742" s="13"/>
      <c r="D1742" s="13"/>
      <c r="E1742" s="13"/>
      <c r="G1742" s="13"/>
    </row>
    <row r="1743" spans="1:7" x14ac:dyDescent="0.2">
      <c r="A1743" s="13"/>
      <c r="B1743" s="13"/>
      <c r="D1743" s="13"/>
      <c r="E1743" s="13"/>
      <c r="F1743" s="13"/>
    </row>
    <row r="1744" spans="1:7" x14ac:dyDescent="0.2">
      <c r="A1744" s="13"/>
      <c r="B1744" s="13"/>
      <c r="D1744" s="13"/>
      <c r="E1744" s="13"/>
      <c r="G1744" s="13"/>
    </row>
    <row r="1745" spans="1:7" x14ac:dyDescent="0.2">
      <c r="A1745" s="13"/>
      <c r="B1745" s="13"/>
      <c r="D1745" s="13"/>
      <c r="E1745" s="13"/>
      <c r="F1745" s="13"/>
    </row>
    <row r="1746" spans="1:7" x14ac:dyDescent="0.2">
      <c r="A1746" s="13"/>
      <c r="B1746" s="13"/>
      <c r="D1746" s="13"/>
      <c r="E1746" s="13"/>
      <c r="F1746" s="13"/>
    </row>
    <row r="1747" spans="1:7" x14ac:dyDescent="0.2">
      <c r="A1747" s="13"/>
      <c r="B1747" s="13"/>
      <c r="D1747" s="13"/>
      <c r="E1747" s="13"/>
      <c r="F1747" s="13"/>
    </row>
    <row r="1748" spans="1:7" x14ac:dyDescent="0.2">
      <c r="A1748" s="13"/>
      <c r="B1748" s="13"/>
      <c r="D1748" s="13"/>
      <c r="E1748" s="13"/>
      <c r="F1748" s="13"/>
    </row>
    <row r="1749" spans="1:7" x14ac:dyDescent="0.2">
      <c r="A1749" s="13"/>
      <c r="B1749" s="13"/>
      <c r="D1749" s="13"/>
      <c r="E1749" s="13"/>
      <c r="F1749" s="13"/>
    </row>
    <row r="1750" spans="1:7" x14ac:dyDescent="0.2">
      <c r="A1750" s="13"/>
      <c r="B1750" s="13"/>
      <c r="D1750" s="13"/>
      <c r="E1750" s="13"/>
      <c r="F1750" s="13"/>
    </row>
    <row r="1751" spans="1:7" x14ac:dyDescent="0.2">
      <c r="A1751" s="13"/>
      <c r="B1751" s="13"/>
      <c r="D1751" s="13"/>
      <c r="E1751" s="13"/>
      <c r="G1751" s="13"/>
    </row>
    <row r="1752" spans="1:7" x14ac:dyDescent="0.2">
      <c r="A1752" s="13"/>
      <c r="B1752" s="13"/>
      <c r="D1752" s="13"/>
      <c r="E1752" s="13"/>
      <c r="G1752" s="13"/>
    </row>
    <row r="1753" spans="1:7" x14ac:dyDescent="0.2">
      <c r="A1753" s="13"/>
      <c r="B1753" s="13"/>
      <c r="D1753" s="13"/>
      <c r="E1753" s="13"/>
      <c r="G1753" s="13"/>
    </row>
    <row r="1754" spans="1:7" x14ac:dyDescent="0.2">
      <c r="A1754" s="13"/>
      <c r="B1754" s="13"/>
      <c r="D1754" s="13"/>
      <c r="E1754" s="13"/>
      <c r="G1754" s="13"/>
    </row>
    <row r="1755" spans="1:7" x14ac:dyDescent="0.2">
      <c r="A1755" s="13"/>
      <c r="B1755" s="13"/>
      <c r="D1755" s="13"/>
      <c r="E1755" s="13"/>
      <c r="G1755" s="13"/>
    </row>
    <row r="1756" spans="1:7" x14ac:dyDescent="0.2">
      <c r="A1756" s="13"/>
      <c r="B1756" s="13"/>
      <c r="D1756" s="13"/>
      <c r="E1756" s="13"/>
      <c r="F1756" s="13"/>
    </row>
    <row r="1757" spans="1:7" x14ac:dyDescent="0.2">
      <c r="A1757" s="13"/>
      <c r="B1757" s="13"/>
      <c r="D1757" s="13"/>
      <c r="E1757" s="13"/>
      <c r="F1757" s="13"/>
    </row>
    <row r="1758" spans="1:7" x14ac:dyDescent="0.2">
      <c r="A1758" s="13"/>
      <c r="B1758" s="13"/>
      <c r="D1758" s="13"/>
      <c r="E1758" s="13"/>
      <c r="F1758" s="13"/>
    </row>
    <row r="1759" spans="1:7" x14ac:dyDescent="0.2">
      <c r="A1759" s="13"/>
      <c r="B1759" s="13"/>
      <c r="D1759" s="13"/>
      <c r="E1759" s="13"/>
      <c r="F1759" s="13"/>
    </row>
    <row r="1760" spans="1:7" x14ac:dyDescent="0.2">
      <c r="A1760" s="13"/>
      <c r="B1760" s="13"/>
      <c r="D1760" s="13"/>
      <c r="E1760" s="13"/>
      <c r="G1760" s="13"/>
    </row>
    <row r="1761" spans="1:7" x14ac:dyDescent="0.2">
      <c r="A1761" s="13"/>
      <c r="B1761" s="13"/>
      <c r="D1761" s="13"/>
      <c r="E1761" s="13"/>
      <c r="F1761" s="13"/>
    </row>
    <row r="1762" spans="1:7" x14ac:dyDescent="0.2">
      <c r="A1762" s="13"/>
      <c r="B1762" s="13"/>
      <c r="D1762" s="13"/>
      <c r="E1762" s="13"/>
      <c r="F1762" s="13"/>
    </row>
    <row r="1763" spans="1:7" x14ac:dyDescent="0.2">
      <c r="A1763" s="13"/>
      <c r="B1763" s="13"/>
      <c r="D1763" s="13"/>
      <c r="E1763" s="13"/>
      <c r="G1763" s="13"/>
    </row>
    <row r="1764" spans="1:7" x14ac:dyDescent="0.2">
      <c r="A1764" s="13"/>
      <c r="B1764" s="13"/>
      <c r="D1764" s="13"/>
      <c r="E1764" s="13"/>
      <c r="F1764" s="13"/>
    </row>
    <row r="1765" spans="1:7" x14ac:dyDescent="0.2">
      <c r="A1765" s="13"/>
      <c r="B1765" s="13"/>
      <c r="D1765" s="13"/>
      <c r="E1765" s="13"/>
      <c r="F1765" s="13"/>
    </row>
    <row r="1766" spans="1:7" x14ac:dyDescent="0.2">
      <c r="A1766" s="13"/>
      <c r="B1766" s="13"/>
      <c r="D1766" s="13"/>
      <c r="E1766" s="13"/>
      <c r="F1766" s="13"/>
    </row>
    <row r="1767" spans="1:7" x14ac:dyDescent="0.2">
      <c r="A1767" s="13"/>
      <c r="B1767" s="13"/>
      <c r="D1767" s="13"/>
      <c r="E1767" s="13"/>
      <c r="F1767" s="13"/>
    </row>
    <row r="1768" spans="1:7" x14ac:dyDescent="0.2">
      <c r="A1768" s="13"/>
      <c r="B1768" s="13"/>
      <c r="D1768" s="13"/>
      <c r="E1768" s="13"/>
      <c r="F1768" s="13"/>
    </row>
    <row r="1769" spans="1:7" x14ac:dyDescent="0.2">
      <c r="A1769" s="13"/>
      <c r="B1769" s="13"/>
      <c r="D1769" s="13"/>
      <c r="E1769" s="13"/>
      <c r="F1769" s="13"/>
    </row>
    <row r="1770" spans="1:7" x14ac:dyDescent="0.2">
      <c r="A1770" s="13"/>
      <c r="B1770" s="13"/>
      <c r="D1770" s="13"/>
      <c r="E1770" s="13"/>
      <c r="F1770" s="13"/>
    </row>
    <row r="1771" spans="1:7" x14ac:dyDescent="0.2">
      <c r="A1771" s="13"/>
      <c r="B1771" s="13"/>
      <c r="D1771" s="13"/>
      <c r="E1771" s="13"/>
      <c r="F1771" s="13"/>
    </row>
    <row r="1772" spans="1:7" x14ac:dyDescent="0.2">
      <c r="A1772" s="13"/>
      <c r="B1772" s="13"/>
      <c r="D1772" s="13"/>
      <c r="E1772" s="13"/>
      <c r="G1772" s="13"/>
    </row>
    <row r="1773" spans="1:7" x14ac:dyDescent="0.2">
      <c r="A1773" s="13"/>
      <c r="B1773" s="13"/>
      <c r="D1773" s="13"/>
      <c r="E1773" s="13"/>
      <c r="F1773" s="13"/>
    </row>
    <row r="1774" spans="1:7" x14ac:dyDescent="0.2">
      <c r="A1774" s="13"/>
      <c r="B1774" s="13"/>
      <c r="D1774" s="13"/>
      <c r="E1774" s="13"/>
      <c r="G1774" s="13"/>
    </row>
    <row r="1775" spans="1:7" x14ac:dyDescent="0.2">
      <c r="A1775" s="13"/>
      <c r="B1775" s="13"/>
      <c r="D1775" s="13"/>
      <c r="E1775" s="13"/>
      <c r="G1775" s="13"/>
    </row>
    <row r="1776" spans="1:7" x14ac:dyDescent="0.2">
      <c r="A1776" s="13"/>
      <c r="B1776" s="13"/>
      <c r="D1776" s="13"/>
      <c r="E1776" s="13"/>
      <c r="G1776" s="13"/>
    </row>
    <row r="1777" spans="1:7" x14ac:dyDescent="0.2">
      <c r="A1777" s="13"/>
      <c r="B1777" s="13"/>
      <c r="D1777" s="13"/>
      <c r="E1777" s="13"/>
      <c r="G1777" s="13"/>
    </row>
    <row r="1778" spans="1:7" x14ac:dyDescent="0.2">
      <c r="A1778" s="13"/>
      <c r="B1778" s="13"/>
      <c r="D1778" s="13"/>
      <c r="E1778" s="13"/>
      <c r="F1778" s="13"/>
    </row>
    <row r="1779" spans="1:7" x14ac:dyDescent="0.2">
      <c r="A1779" s="13"/>
      <c r="B1779" s="13"/>
      <c r="D1779" s="13"/>
      <c r="E1779" s="13"/>
      <c r="F1779" s="13"/>
    </row>
    <row r="1780" spans="1:7" x14ac:dyDescent="0.2">
      <c r="A1780" s="13"/>
      <c r="B1780" s="13"/>
      <c r="D1780" s="13"/>
      <c r="E1780" s="13"/>
      <c r="F1780" s="13"/>
    </row>
    <row r="1781" spans="1:7" x14ac:dyDescent="0.2">
      <c r="A1781" s="13"/>
      <c r="B1781" s="13"/>
      <c r="D1781" s="13"/>
      <c r="E1781" s="13"/>
      <c r="F1781" s="13"/>
    </row>
    <row r="1782" spans="1:7" x14ac:dyDescent="0.2">
      <c r="A1782" s="13"/>
      <c r="B1782" s="13"/>
      <c r="D1782" s="13"/>
      <c r="E1782" s="13"/>
      <c r="F1782" s="13"/>
    </row>
    <row r="1783" spans="1:7" x14ac:dyDescent="0.2">
      <c r="A1783" s="13"/>
      <c r="B1783" s="13"/>
      <c r="D1783" s="13"/>
      <c r="E1783" s="13"/>
      <c r="F1783" s="13"/>
    </row>
    <row r="1784" spans="1:7" x14ac:dyDescent="0.2">
      <c r="A1784" s="13"/>
      <c r="B1784" s="13"/>
      <c r="D1784" s="13"/>
      <c r="E1784" s="13"/>
      <c r="F1784" s="13"/>
    </row>
    <row r="1785" spans="1:7" x14ac:dyDescent="0.2">
      <c r="A1785" s="13"/>
      <c r="B1785" s="13"/>
      <c r="D1785" s="13"/>
      <c r="E1785" s="13"/>
      <c r="F1785" s="13"/>
    </row>
    <row r="1786" spans="1:7" x14ac:dyDescent="0.2">
      <c r="A1786" s="13"/>
      <c r="B1786" s="13"/>
      <c r="D1786" s="13"/>
      <c r="E1786" s="13"/>
      <c r="G1786" s="13"/>
    </row>
    <row r="1787" spans="1:7" x14ac:dyDescent="0.2">
      <c r="A1787" s="13"/>
      <c r="B1787" s="13"/>
      <c r="D1787" s="13"/>
      <c r="E1787" s="13"/>
      <c r="F1787" s="13"/>
    </row>
    <row r="1788" spans="1:7" x14ac:dyDescent="0.2">
      <c r="A1788" s="13"/>
      <c r="B1788" s="13"/>
      <c r="D1788" s="13"/>
      <c r="E1788" s="13"/>
      <c r="G1788" s="13"/>
    </row>
    <row r="1789" spans="1:7" x14ac:dyDescent="0.2">
      <c r="A1789" s="13"/>
      <c r="B1789" s="13"/>
      <c r="D1789" s="13"/>
      <c r="E1789" s="13"/>
      <c r="G1789" s="13"/>
    </row>
    <row r="1790" spans="1:7" x14ac:dyDescent="0.2">
      <c r="A1790" s="13"/>
      <c r="B1790" s="13"/>
      <c r="D1790" s="13"/>
      <c r="E1790" s="13"/>
      <c r="F1790" s="13"/>
    </row>
    <row r="1791" spans="1:7" x14ac:dyDescent="0.2">
      <c r="A1791" s="13"/>
      <c r="B1791" s="13"/>
      <c r="D1791" s="13"/>
      <c r="E1791" s="13"/>
      <c r="G1791" s="13"/>
    </row>
    <row r="1792" spans="1:7" x14ac:dyDescent="0.2">
      <c r="A1792" s="13"/>
      <c r="B1792" s="13"/>
      <c r="D1792" s="13"/>
      <c r="E1792" s="13"/>
      <c r="F1792" s="13"/>
    </row>
    <row r="1793" spans="1:7" x14ac:dyDescent="0.2">
      <c r="A1793" s="13"/>
      <c r="B1793" s="13"/>
      <c r="D1793" s="13"/>
      <c r="E1793" s="13"/>
      <c r="F1793" s="13"/>
    </row>
    <row r="1794" spans="1:7" x14ac:dyDescent="0.2">
      <c r="A1794" s="13"/>
      <c r="B1794" s="13"/>
      <c r="D1794" s="13"/>
      <c r="E1794" s="13"/>
      <c r="F1794" s="13"/>
    </row>
    <row r="1795" spans="1:7" x14ac:dyDescent="0.2">
      <c r="A1795" s="13"/>
      <c r="B1795" s="13"/>
      <c r="D1795" s="13"/>
      <c r="E1795" s="13"/>
      <c r="G1795" s="13"/>
    </row>
    <row r="1796" spans="1:7" x14ac:dyDescent="0.2">
      <c r="A1796" s="13"/>
      <c r="B1796" s="13"/>
      <c r="D1796" s="13"/>
      <c r="E1796" s="13"/>
      <c r="F1796" s="13"/>
    </row>
    <row r="1797" spans="1:7" x14ac:dyDescent="0.2">
      <c r="A1797" s="13"/>
      <c r="B1797" s="13"/>
      <c r="D1797" s="13"/>
      <c r="E1797" s="13"/>
      <c r="F1797" s="13"/>
    </row>
    <row r="1798" spans="1:7" x14ac:dyDescent="0.2">
      <c r="A1798" s="13"/>
      <c r="B1798" s="13"/>
      <c r="D1798" s="13"/>
      <c r="E1798" s="13"/>
      <c r="G1798" s="13"/>
    </row>
    <row r="1799" spans="1:7" x14ac:dyDescent="0.2">
      <c r="A1799" s="13"/>
      <c r="B1799" s="13"/>
      <c r="D1799" s="13"/>
      <c r="E1799" s="13"/>
      <c r="F1799" s="13"/>
    </row>
    <row r="1800" spans="1:7" x14ac:dyDescent="0.2">
      <c r="A1800" s="13"/>
      <c r="B1800" s="13"/>
      <c r="D1800" s="13"/>
      <c r="E1800" s="13"/>
      <c r="F1800" s="13"/>
    </row>
    <row r="1801" spans="1:7" x14ac:dyDescent="0.2">
      <c r="A1801" s="13"/>
      <c r="B1801" s="13"/>
      <c r="D1801" s="13"/>
      <c r="E1801" s="13"/>
      <c r="G1801" s="13"/>
    </row>
    <row r="1802" spans="1:7" x14ac:dyDescent="0.2">
      <c r="A1802" s="13"/>
      <c r="B1802" s="13"/>
      <c r="D1802" s="13"/>
      <c r="E1802" s="13"/>
      <c r="G1802" s="13"/>
    </row>
    <row r="1803" spans="1:7" x14ac:dyDescent="0.2">
      <c r="A1803" s="13"/>
      <c r="B1803" s="13"/>
      <c r="D1803" s="13"/>
      <c r="E1803" s="13"/>
      <c r="G1803" s="13"/>
    </row>
    <row r="1804" spans="1:7" x14ac:dyDescent="0.2">
      <c r="A1804" s="13"/>
      <c r="B1804" s="13"/>
      <c r="D1804" s="13"/>
      <c r="E1804" s="13"/>
      <c r="G1804" s="13"/>
    </row>
    <row r="1805" spans="1:7" x14ac:dyDescent="0.2">
      <c r="A1805" s="13"/>
      <c r="B1805" s="13"/>
      <c r="D1805" s="13"/>
      <c r="E1805" s="13"/>
      <c r="G1805" s="13"/>
    </row>
    <row r="1806" spans="1:7" x14ac:dyDescent="0.2">
      <c r="A1806" s="13"/>
      <c r="B1806" s="13"/>
      <c r="D1806" s="13"/>
      <c r="E1806" s="13"/>
      <c r="F1806" s="13"/>
    </row>
    <row r="1807" spans="1:7" x14ac:dyDescent="0.2">
      <c r="A1807" s="13"/>
      <c r="B1807" s="13"/>
      <c r="D1807" s="13"/>
      <c r="E1807" s="13"/>
      <c r="F1807" s="13"/>
    </row>
    <row r="1808" spans="1:7" x14ac:dyDescent="0.2">
      <c r="A1808" s="13"/>
      <c r="B1808" s="13"/>
      <c r="D1808" s="13"/>
      <c r="E1808" s="13"/>
      <c r="F1808" s="13"/>
    </row>
    <row r="1809" spans="1:7" x14ac:dyDescent="0.2">
      <c r="A1809" s="13"/>
      <c r="B1809" s="13"/>
      <c r="D1809" s="13"/>
      <c r="E1809" s="13"/>
      <c r="G1809" s="13"/>
    </row>
    <row r="1810" spans="1:7" x14ac:dyDescent="0.2">
      <c r="A1810" s="13"/>
      <c r="B1810" s="13"/>
      <c r="D1810" s="13"/>
      <c r="E1810" s="13"/>
      <c r="G1810" s="13"/>
    </row>
    <row r="1811" spans="1:7" x14ac:dyDescent="0.2">
      <c r="A1811" s="13"/>
      <c r="B1811" s="13"/>
      <c r="D1811" s="13"/>
      <c r="E1811" s="13"/>
      <c r="G1811" s="13"/>
    </row>
    <row r="1812" spans="1:7" x14ac:dyDescent="0.2">
      <c r="A1812" s="13"/>
      <c r="B1812" s="13"/>
      <c r="D1812" s="13"/>
      <c r="E1812" s="13"/>
      <c r="F1812" s="13"/>
    </row>
    <row r="1813" spans="1:7" x14ac:dyDescent="0.2">
      <c r="A1813" s="13"/>
      <c r="B1813" s="13"/>
      <c r="D1813" s="13"/>
      <c r="E1813" s="13"/>
      <c r="F1813" s="13"/>
    </row>
    <row r="1814" spans="1:7" x14ac:dyDescent="0.2">
      <c r="A1814" s="13"/>
      <c r="B1814" s="13"/>
      <c r="D1814" s="13"/>
      <c r="E1814" s="13"/>
      <c r="F1814" s="13"/>
    </row>
    <row r="1815" spans="1:7" x14ac:dyDescent="0.2">
      <c r="A1815" s="13"/>
      <c r="B1815" s="13"/>
      <c r="D1815" s="13"/>
      <c r="E1815" s="13"/>
      <c r="F1815" s="13"/>
    </row>
    <row r="1816" spans="1:7" x14ac:dyDescent="0.2">
      <c r="A1816" s="13"/>
      <c r="B1816" s="13"/>
      <c r="D1816" s="13"/>
      <c r="E1816" s="13"/>
      <c r="G1816" s="13"/>
    </row>
    <row r="1817" spans="1:7" x14ac:dyDescent="0.2">
      <c r="A1817" s="13"/>
      <c r="B1817" s="13"/>
      <c r="D1817" s="13"/>
      <c r="E1817" s="13"/>
      <c r="G1817" s="13"/>
    </row>
    <row r="1818" spans="1:7" x14ac:dyDescent="0.2">
      <c r="A1818" s="13"/>
      <c r="B1818" s="13"/>
      <c r="D1818" s="13"/>
      <c r="E1818" s="13"/>
      <c r="G1818" s="13"/>
    </row>
    <row r="1819" spans="1:7" x14ac:dyDescent="0.2">
      <c r="A1819" s="13"/>
      <c r="B1819" s="13"/>
      <c r="D1819" s="13"/>
      <c r="E1819" s="13"/>
      <c r="G1819" s="13"/>
    </row>
    <row r="1820" spans="1:7" x14ac:dyDescent="0.2">
      <c r="A1820" s="13"/>
      <c r="B1820" s="13"/>
      <c r="D1820" s="13"/>
      <c r="E1820" s="13"/>
      <c r="F1820" s="13"/>
    </row>
    <row r="1821" spans="1:7" x14ac:dyDescent="0.2">
      <c r="A1821" s="13"/>
      <c r="B1821" s="13"/>
      <c r="D1821" s="13"/>
      <c r="E1821" s="13"/>
      <c r="F1821" s="13"/>
    </row>
    <row r="1822" spans="1:7" x14ac:dyDescent="0.2">
      <c r="A1822" s="13"/>
      <c r="B1822" s="13"/>
      <c r="D1822" s="13"/>
      <c r="E1822" s="13"/>
      <c r="F1822" s="13"/>
    </row>
    <row r="1823" spans="1:7" x14ac:dyDescent="0.2">
      <c r="A1823" s="13"/>
      <c r="B1823" s="13"/>
      <c r="D1823" s="13"/>
      <c r="E1823" s="13"/>
      <c r="G1823" s="13"/>
    </row>
    <row r="1824" spans="1:7" x14ac:dyDescent="0.2">
      <c r="A1824" s="13"/>
      <c r="B1824" s="13"/>
      <c r="D1824" s="13"/>
      <c r="E1824" s="13"/>
      <c r="F1824" s="13"/>
    </row>
    <row r="1825" spans="1:7" x14ac:dyDescent="0.2">
      <c r="A1825" s="13"/>
      <c r="B1825" s="13"/>
      <c r="D1825" s="13"/>
      <c r="E1825" s="13"/>
      <c r="F1825" s="13"/>
    </row>
    <row r="1826" spans="1:7" x14ac:dyDescent="0.2">
      <c r="A1826" s="13"/>
      <c r="B1826" s="13"/>
      <c r="D1826" s="13"/>
      <c r="E1826" s="13"/>
      <c r="G1826" s="13"/>
    </row>
    <row r="1827" spans="1:7" x14ac:dyDescent="0.2">
      <c r="A1827" s="13"/>
      <c r="B1827" s="13"/>
      <c r="D1827" s="13"/>
      <c r="E1827" s="13"/>
      <c r="F1827" s="13"/>
    </row>
    <row r="1828" spans="1:7" x14ac:dyDescent="0.2">
      <c r="A1828" s="13"/>
      <c r="B1828" s="13"/>
      <c r="D1828" s="13"/>
      <c r="E1828" s="13"/>
      <c r="F1828" s="13"/>
    </row>
    <row r="1829" spans="1:7" x14ac:dyDescent="0.2">
      <c r="A1829" s="13"/>
      <c r="B1829" s="13"/>
      <c r="D1829" s="13"/>
      <c r="E1829" s="13"/>
      <c r="F1829" s="13"/>
    </row>
    <row r="1830" spans="1:7" x14ac:dyDescent="0.2">
      <c r="A1830" s="13"/>
      <c r="B1830" s="13"/>
      <c r="D1830" s="13"/>
      <c r="E1830" s="13"/>
      <c r="F1830" s="13"/>
    </row>
    <row r="1831" spans="1:7" x14ac:dyDescent="0.2">
      <c r="A1831" s="13"/>
      <c r="B1831" s="13"/>
      <c r="D1831" s="13"/>
      <c r="E1831" s="13"/>
      <c r="F1831" s="13"/>
    </row>
    <row r="1832" spans="1:7" x14ac:dyDescent="0.2">
      <c r="A1832" s="13"/>
      <c r="B1832" s="13"/>
      <c r="D1832" s="13"/>
      <c r="E1832" s="13"/>
      <c r="F1832" s="13"/>
    </row>
    <row r="1833" spans="1:7" x14ac:dyDescent="0.2">
      <c r="A1833" s="13"/>
      <c r="B1833" s="13"/>
      <c r="D1833" s="13"/>
      <c r="E1833" s="13"/>
      <c r="F1833" s="13"/>
    </row>
    <row r="1834" spans="1:7" x14ac:dyDescent="0.2">
      <c r="A1834" s="13"/>
      <c r="B1834" s="13"/>
      <c r="D1834" s="13"/>
      <c r="E1834" s="13"/>
      <c r="G1834" s="13"/>
    </row>
    <row r="1835" spans="1:7" x14ac:dyDescent="0.2">
      <c r="A1835" s="13"/>
      <c r="B1835" s="13"/>
      <c r="D1835" s="13"/>
      <c r="E1835" s="13"/>
      <c r="G1835" s="13"/>
    </row>
    <row r="1836" spans="1:7" x14ac:dyDescent="0.2">
      <c r="A1836" s="13"/>
      <c r="B1836" s="13"/>
      <c r="D1836" s="13"/>
      <c r="E1836" s="13"/>
      <c r="G1836" s="13"/>
    </row>
    <row r="1837" spans="1:7" x14ac:dyDescent="0.2">
      <c r="A1837" s="13"/>
      <c r="B1837" s="13"/>
      <c r="D1837" s="13"/>
      <c r="E1837" s="13"/>
      <c r="F1837" s="13"/>
    </row>
    <row r="1838" spans="1:7" x14ac:dyDescent="0.2">
      <c r="A1838" s="13"/>
      <c r="B1838" s="13"/>
      <c r="D1838" s="13"/>
      <c r="E1838" s="13"/>
      <c r="F1838" s="13"/>
    </row>
    <row r="1839" spans="1:7" x14ac:dyDescent="0.2">
      <c r="A1839" s="13"/>
      <c r="B1839" s="13"/>
      <c r="D1839" s="13"/>
      <c r="E1839" s="13"/>
      <c r="G1839" s="13"/>
    </row>
    <row r="1840" spans="1:7" x14ac:dyDescent="0.2">
      <c r="A1840" s="13"/>
      <c r="B1840" s="13"/>
      <c r="D1840" s="13"/>
      <c r="E1840" s="13"/>
      <c r="G1840" s="13"/>
    </row>
    <row r="1841" spans="1:7" x14ac:dyDescent="0.2">
      <c r="A1841" s="13"/>
      <c r="B1841" s="13"/>
      <c r="D1841" s="13"/>
      <c r="E1841" s="13"/>
      <c r="G1841" s="13"/>
    </row>
    <row r="1842" spans="1:7" x14ac:dyDescent="0.2">
      <c r="A1842" s="13"/>
      <c r="B1842" s="13"/>
      <c r="D1842" s="13"/>
      <c r="E1842" s="13"/>
      <c r="F1842" s="13"/>
    </row>
    <row r="1843" spans="1:7" x14ac:dyDescent="0.2">
      <c r="A1843" s="13"/>
      <c r="B1843" s="13"/>
      <c r="D1843" s="13"/>
      <c r="E1843" s="13"/>
      <c r="F1843" s="13"/>
    </row>
    <row r="1844" spans="1:7" x14ac:dyDescent="0.2">
      <c r="A1844" s="13"/>
      <c r="B1844" s="13"/>
      <c r="D1844" s="13"/>
      <c r="E1844" s="13"/>
      <c r="F1844" s="13"/>
    </row>
    <row r="1845" spans="1:7" x14ac:dyDescent="0.2">
      <c r="A1845" s="13"/>
      <c r="B1845" s="13"/>
      <c r="D1845" s="13"/>
      <c r="E1845" s="13"/>
      <c r="G1845" s="13"/>
    </row>
    <row r="1846" spans="1:7" x14ac:dyDescent="0.2">
      <c r="A1846" s="13"/>
      <c r="B1846" s="13"/>
      <c r="D1846" s="13"/>
      <c r="E1846" s="13"/>
      <c r="G1846" s="13"/>
    </row>
    <row r="1847" spans="1:7" x14ac:dyDescent="0.2">
      <c r="A1847" s="13"/>
      <c r="B1847" s="13"/>
      <c r="D1847" s="13"/>
      <c r="E1847" s="13"/>
      <c r="G1847" s="13"/>
    </row>
    <row r="1848" spans="1:7" x14ac:dyDescent="0.2">
      <c r="A1848" s="13"/>
      <c r="B1848" s="13"/>
      <c r="D1848" s="13"/>
      <c r="E1848" s="13"/>
      <c r="G1848" s="13"/>
    </row>
    <row r="1849" spans="1:7" x14ac:dyDescent="0.2">
      <c r="A1849" s="13"/>
      <c r="B1849" s="13"/>
      <c r="D1849" s="13"/>
      <c r="E1849" s="13"/>
      <c r="G1849" s="13"/>
    </row>
    <row r="1850" spans="1:7" x14ac:dyDescent="0.2">
      <c r="A1850" s="13"/>
      <c r="B1850" s="13"/>
      <c r="D1850" s="13"/>
      <c r="E1850" s="13"/>
      <c r="G1850" s="13"/>
    </row>
    <row r="1851" spans="1:7" x14ac:dyDescent="0.2">
      <c r="A1851" s="13"/>
      <c r="B1851" s="13"/>
      <c r="D1851" s="13"/>
      <c r="E1851" s="13"/>
      <c r="G1851" s="13"/>
    </row>
    <row r="1852" spans="1:7" x14ac:dyDescent="0.2">
      <c r="A1852" s="13"/>
      <c r="B1852" s="13"/>
      <c r="D1852" s="13"/>
      <c r="E1852" s="13"/>
      <c r="F1852" s="13"/>
    </row>
    <row r="1853" spans="1:7" x14ac:dyDescent="0.2">
      <c r="A1853" s="13"/>
      <c r="B1853" s="13"/>
      <c r="D1853" s="13"/>
      <c r="E1853" s="13"/>
      <c r="F1853" s="13"/>
    </row>
    <row r="1854" spans="1:7" x14ac:dyDescent="0.2">
      <c r="A1854" s="13"/>
      <c r="B1854" s="13"/>
      <c r="D1854" s="13"/>
      <c r="E1854" s="13"/>
      <c r="F1854" s="13"/>
    </row>
    <row r="1855" spans="1:7" x14ac:dyDescent="0.2">
      <c r="A1855" s="13"/>
      <c r="B1855" s="13"/>
      <c r="D1855" s="13"/>
      <c r="E1855" s="13"/>
      <c r="F1855" s="13"/>
    </row>
    <row r="1856" spans="1:7" x14ac:dyDescent="0.2">
      <c r="A1856" s="13"/>
      <c r="B1856" s="13"/>
      <c r="D1856" s="13"/>
      <c r="E1856" s="13"/>
      <c r="F1856" s="13"/>
    </row>
    <row r="1857" spans="1:7" x14ac:dyDescent="0.2">
      <c r="A1857" s="13"/>
      <c r="B1857" s="13"/>
      <c r="D1857" s="13"/>
      <c r="E1857" s="13"/>
      <c r="F1857" s="13"/>
    </row>
    <row r="1858" spans="1:7" x14ac:dyDescent="0.2">
      <c r="A1858" s="13"/>
      <c r="B1858" s="13"/>
      <c r="D1858" s="13"/>
      <c r="E1858" s="13"/>
      <c r="F1858" s="13"/>
    </row>
    <row r="1859" spans="1:7" x14ac:dyDescent="0.2">
      <c r="A1859" s="13"/>
      <c r="B1859" s="13"/>
      <c r="D1859" s="13"/>
      <c r="E1859" s="13"/>
      <c r="F1859" s="13"/>
    </row>
    <row r="1860" spans="1:7" x14ac:dyDescent="0.2">
      <c r="A1860" s="13"/>
      <c r="B1860" s="13"/>
      <c r="D1860" s="13"/>
      <c r="E1860" s="13"/>
      <c r="F1860" s="13"/>
    </row>
    <row r="1861" spans="1:7" x14ac:dyDescent="0.2">
      <c r="A1861" s="13"/>
      <c r="B1861" s="13"/>
      <c r="D1861" s="13"/>
      <c r="E1861" s="13"/>
      <c r="F1861" s="13"/>
    </row>
    <row r="1862" spans="1:7" x14ac:dyDescent="0.2">
      <c r="A1862" s="13"/>
      <c r="B1862" s="13"/>
      <c r="D1862" s="13"/>
      <c r="E1862" s="13"/>
      <c r="F1862" s="13"/>
    </row>
    <row r="1863" spans="1:7" x14ac:dyDescent="0.2">
      <c r="A1863" s="13"/>
      <c r="B1863" s="13"/>
      <c r="D1863" s="13"/>
      <c r="E1863" s="13"/>
      <c r="F1863" s="13"/>
    </row>
    <row r="1864" spans="1:7" x14ac:dyDescent="0.2">
      <c r="A1864" s="13"/>
      <c r="B1864" s="13"/>
      <c r="D1864" s="13"/>
      <c r="E1864" s="13"/>
      <c r="G1864" s="13"/>
    </row>
    <row r="1865" spans="1:7" x14ac:dyDescent="0.2">
      <c r="A1865" s="13"/>
      <c r="B1865" s="13"/>
      <c r="D1865" s="13"/>
      <c r="E1865" s="13"/>
      <c r="G1865" s="13"/>
    </row>
    <row r="1866" spans="1:7" x14ac:dyDescent="0.2">
      <c r="A1866" s="13"/>
      <c r="B1866" s="13"/>
      <c r="D1866" s="13"/>
      <c r="E1866" s="13"/>
      <c r="G1866" s="13"/>
    </row>
    <row r="1867" spans="1:7" x14ac:dyDescent="0.2">
      <c r="A1867" s="13"/>
      <c r="B1867" s="13"/>
      <c r="D1867" s="13"/>
      <c r="E1867" s="13"/>
      <c r="F1867" s="13"/>
    </row>
    <row r="1868" spans="1:7" x14ac:dyDescent="0.2">
      <c r="A1868" s="13"/>
      <c r="B1868" s="13"/>
      <c r="D1868" s="13"/>
      <c r="E1868" s="13"/>
      <c r="F1868" s="13"/>
    </row>
    <row r="1869" spans="1:7" x14ac:dyDescent="0.2">
      <c r="A1869" s="13"/>
      <c r="B1869" s="13"/>
      <c r="D1869" s="13"/>
      <c r="E1869" s="13"/>
      <c r="G1869" s="13"/>
    </row>
    <row r="1870" spans="1:7" x14ac:dyDescent="0.2">
      <c r="A1870" s="13"/>
      <c r="B1870" s="13"/>
      <c r="D1870" s="13"/>
      <c r="E1870" s="13"/>
      <c r="F1870" s="13"/>
    </row>
    <row r="1871" spans="1:7" x14ac:dyDescent="0.2">
      <c r="A1871" s="13"/>
      <c r="B1871" s="13"/>
      <c r="D1871" s="13"/>
      <c r="E1871" s="13"/>
      <c r="F1871" s="13"/>
    </row>
    <row r="1872" spans="1:7" x14ac:dyDescent="0.2">
      <c r="A1872" s="13"/>
      <c r="B1872" s="13"/>
      <c r="D1872" s="13"/>
      <c r="E1872" s="13"/>
      <c r="G1872" s="13"/>
    </row>
    <row r="1873" spans="1:7" x14ac:dyDescent="0.2">
      <c r="A1873" s="13"/>
      <c r="B1873" s="13"/>
      <c r="D1873" s="13"/>
      <c r="E1873" s="13"/>
      <c r="F1873" s="13"/>
    </row>
    <row r="1874" spans="1:7" x14ac:dyDescent="0.2">
      <c r="A1874" s="13"/>
      <c r="B1874" s="13"/>
      <c r="D1874" s="13"/>
      <c r="E1874" s="13"/>
      <c r="F1874" s="13"/>
    </row>
    <row r="1875" spans="1:7" x14ac:dyDescent="0.2">
      <c r="A1875" s="13"/>
      <c r="B1875" s="13"/>
      <c r="D1875" s="13"/>
      <c r="E1875" s="13"/>
      <c r="F1875" s="13"/>
    </row>
    <row r="1876" spans="1:7" x14ac:dyDescent="0.2">
      <c r="A1876" s="13"/>
      <c r="B1876" s="13"/>
      <c r="D1876" s="13"/>
      <c r="E1876" s="13"/>
      <c r="F1876" s="13"/>
    </row>
    <row r="1877" spans="1:7" x14ac:dyDescent="0.2">
      <c r="A1877" s="13"/>
      <c r="B1877" s="13"/>
      <c r="D1877" s="13"/>
      <c r="E1877" s="13"/>
      <c r="G1877" s="13"/>
    </row>
    <row r="1878" spans="1:7" x14ac:dyDescent="0.2">
      <c r="A1878" s="13"/>
      <c r="B1878" s="13"/>
      <c r="D1878" s="13"/>
      <c r="E1878" s="13"/>
      <c r="G1878" s="13"/>
    </row>
    <row r="1879" spans="1:7" x14ac:dyDescent="0.2">
      <c r="A1879" s="13"/>
      <c r="B1879" s="13"/>
      <c r="D1879" s="13"/>
      <c r="E1879" s="13"/>
      <c r="G1879" s="13"/>
    </row>
    <row r="1880" spans="1:7" x14ac:dyDescent="0.2">
      <c r="A1880" s="13"/>
      <c r="B1880" s="13"/>
      <c r="D1880" s="13"/>
      <c r="E1880" s="13"/>
      <c r="F1880" s="13"/>
    </row>
    <row r="1881" spans="1:7" x14ac:dyDescent="0.2">
      <c r="A1881" s="13"/>
      <c r="B1881" s="13"/>
      <c r="D1881" s="13"/>
      <c r="E1881" s="13"/>
      <c r="F1881" s="13"/>
    </row>
    <row r="1882" spans="1:7" x14ac:dyDescent="0.2">
      <c r="A1882" s="13"/>
      <c r="B1882" s="13"/>
      <c r="D1882" s="13"/>
      <c r="E1882" s="13"/>
      <c r="F1882" s="13"/>
    </row>
    <row r="1883" spans="1:7" x14ac:dyDescent="0.2">
      <c r="A1883" s="13"/>
      <c r="B1883" s="13"/>
      <c r="D1883" s="13"/>
      <c r="E1883" s="13"/>
      <c r="F1883" s="13"/>
    </row>
    <row r="1884" spans="1:7" x14ac:dyDescent="0.2">
      <c r="A1884" s="13"/>
      <c r="B1884" s="13"/>
      <c r="D1884" s="13"/>
      <c r="E1884" s="13"/>
      <c r="F1884" s="13"/>
    </row>
    <row r="1885" spans="1:7" x14ac:dyDescent="0.2">
      <c r="A1885" s="13"/>
      <c r="B1885" s="13"/>
      <c r="D1885" s="13"/>
      <c r="E1885" s="13"/>
      <c r="F1885" s="13"/>
    </row>
    <row r="1886" spans="1:7" x14ac:dyDescent="0.2">
      <c r="A1886" s="13"/>
      <c r="B1886" s="13"/>
      <c r="D1886" s="13"/>
      <c r="E1886" s="13"/>
      <c r="G1886" s="13"/>
    </row>
    <row r="1887" spans="1:7" x14ac:dyDescent="0.2">
      <c r="A1887" s="13"/>
      <c r="B1887" s="13"/>
      <c r="D1887" s="13"/>
      <c r="E1887" s="13"/>
      <c r="G1887" s="13"/>
    </row>
    <row r="1888" spans="1:7" x14ac:dyDescent="0.2">
      <c r="A1888" s="13"/>
      <c r="B1888" s="13"/>
      <c r="D1888" s="13"/>
      <c r="E1888" s="13"/>
      <c r="G1888" s="13"/>
    </row>
    <row r="1889" spans="1:7" x14ac:dyDescent="0.2">
      <c r="A1889" s="13"/>
      <c r="B1889" s="13"/>
      <c r="D1889" s="13"/>
      <c r="E1889" s="13"/>
      <c r="G1889" s="13"/>
    </row>
    <row r="1890" spans="1:7" x14ac:dyDescent="0.2">
      <c r="A1890" s="13"/>
      <c r="B1890" s="13"/>
      <c r="D1890" s="13"/>
      <c r="E1890" s="13"/>
      <c r="G1890" s="13"/>
    </row>
    <row r="1891" spans="1:7" x14ac:dyDescent="0.2">
      <c r="A1891" s="13"/>
      <c r="B1891" s="13"/>
      <c r="D1891" s="13"/>
      <c r="E1891" s="13"/>
      <c r="F1891" s="13"/>
    </row>
    <row r="1892" spans="1:7" x14ac:dyDescent="0.2">
      <c r="A1892" s="13"/>
      <c r="B1892" s="13"/>
      <c r="D1892" s="13"/>
      <c r="E1892" s="13"/>
      <c r="F1892" s="13"/>
    </row>
    <row r="1893" spans="1:7" x14ac:dyDescent="0.2">
      <c r="A1893" s="13"/>
      <c r="B1893" s="13"/>
      <c r="D1893" s="13"/>
      <c r="E1893" s="13"/>
      <c r="F1893" s="13"/>
    </row>
    <row r="1894" spans="1:7" x14ac:dyDescent="0.2">
      <c r="A1894" s="13"/>
      <c r="B1894" s="13"/>
      <c r="D1894" s="13"/>
      <c r="E1894" s="13"/>
      <c r="F1894" s="13"/>
    </row>
    <row r="1895" spans="1:7" x14ac:dyDescent="0.2">
      <c r="A1895" s="13"/>
      <c r="B1895" s="13"/>
      <c r="D1895" s="13"/>
      <c r="E1895" s="13"/>
      <c r="G1895" s="13"/>
    </row>
    <row r="1896" spans="1:7" x14ac:dyDescent="0.2">
      <c r="A1896" s="13"/>
      <c r="B1896" s="13"/>
      <c r="D1896" s="13"/>
      <c r="E1896" s="13"/>
      <c r="G1896" s="13"/>
    </row>
    <row r="1897" spans="1:7" x14ac:dyDescent="0.2">
      <c r="A1897" s="13"/>
      <c r="B1897" s="13"/>
      <c r="D1897" s="13"/>
      <c r="E1897" s="13"/>
      <c r="G1897" s="13"/>
    </row>
    <row r="1898" spans="1:7" x14ac:dyDescent="0.2">
      <c r="A1898" s="13"/>
      <c r="B1898" s="13"/>
      <c r="D1898" s="13"/>
      <c r="E1898" s="13"/>
      <c r="G1898" s="13"/>
    </row>
    <row r="1899" spans="1:7" x14ac:dyDescent="0.2">
      <c r="A1899" s="13"/>
      <c r="B1899" s="13"/>
      <c r="D1899" s="13"/>
      <c r="E1899" s="13"/>
      <c r="G1899" s="13"/>
    </row>
    <row r="1900" spans="1:7" x14ac:dyDescent="0.2">
      <c r="A1900" s="13"/>
      <c r="B1900" s="13"/>
      <c r="D1900" s="13"/>
      <c r="E1900" s="13"/>
      <c r="F1900" s="13"/>
    </row>
    <row r="1901" spans="1:7" x14ac:dyDescent="0.2">
      <c r="A1901" s="13"/>
      <c r="B1901" s="13"/>
      <c r="D1901" s="13"/>
      <c r="E1901" s="13"/>
      <c r="F1901" s="13"/>
    </row>
    <row r="1902" spans="1:7" x14ac:dyDescent="0.2">
      <c r="A1902" s="13"/>
      <c r="B1902" s="13"/>
      <c r="D1902" s="13"/>
      <c r="E1902" s="13"/>
      <c r="F1902" s="13"/>
    </row>
    <row r="1903" spans="1:7" x14ac:dyDescent="0.2">
      <c r="A1903" s="13"/>
      <c r="B1903" s="13"/>
      <c r="D1903" s="13"/>
      <c r="E1903" s="13"/>
      <c r="F1903" s="13"/>
    </row>
    <row r="1904" spans="1:7" x14ac:dyDescent="0.2">
      <c r="A1904" s="13"/>
      <c r="B1904" s="13"/>
      <c r="D1904" s="13"/>
      <c r="E1904" s="13"/>
      <c r="G1904" s="13"/>
    </row>
    <row r="1905" spans="1:7" x14ac:dyDescent="0.2">
      <c r="A1905" s="13"/>
      <c r="B1905" s="13"/>
      <c r="D1905" s="13"/>
      <c r="E1905" s="13"/>
      <c r="G1905" s="13"/>
    </row>
    <row r="1906" spans="1:7" x14ac:dyDescent="0.2">
      <c r="A1906" s="13"/>
      <c r="B1906" s="13"/>
      <c r="D1906" s="13"/>
      <c r="E1906" s="13"/>
      <c r="G1906" s="13"/>
    </row>
    <row r="1907" spans="1:7" x14ac:dyDescent="0.2">
      <c r="A1907" s="13"/>
      <c r="B1907" s="13"/>
      <c r="D1907" s="13"/>
      <c r="E1907" s="13"/>
      <c r="G1907" s="13"/>
    </row>
    <row r="1908" spans="1:7" x14ac:dyDescent="0.2">
      <c r="A1908" s="13"/>
      <c r="B1908" s="13"/>
      <c r="D1908" s="13"/>
      <c r="E1908" s="13"/>
      <c r="G1908" s="13"/>
    </row>
    <row r="1909" spans="1:7" x14ac:dyDescent="0.2">
      <c r="A1909" s="13"/>
      <c r="B1909" s="13"/>
      <c r="D1909" s="13"/>
      <c r="E1909" s="13"/>
      <c r="F1909" s="13"/>
    </row>
    <row r="1910" spans="1:7" x14ac:dyDescent="0.2">
      <c r="A1910" s="13"/>
      <c r="B1910" s="13"/>
      <c r="D1910" s="13"/>
      <c r="E1910" s="13"/>
      <c r="F1910" s="13"/>
    </row>
    <row r="1911" spans="1:7" x14ac:dyDescent="0.2">
      <c r="A1911" s="13"/>
      <c r="B1911" s="13"/>
      <c r="D1911" s="13"/>
      <c r="E1911" s="13"/>
      <c r="F1911" s="13"/>
    </row>
    <row r="1912" spans="1:7" x14ac:dyDescent="0.2">
      <c r="A1912" s="13"/>
      <c r="B1912" s="13"/>
      <c r="D1912" s="13"/>
      <c r="E1912" s="13"/>
      <c r="F1912" s="13"/>
    </row>
    <row r="1913" spans="1:7" x14ac:dyDescent="0.2">
      <c r="A1913" s="13"/>
      <c r="B1913" s="13"/>
      <c r="D1913" s="13"/>
      <c r="E1913" s="13"/>
      <c r="G1913" s="13"/>
    </row>
    <row r="1914" spans="1:7" x14ac:dyDescent="0.2">
      <c r="A1914" s="13"/>
      <c r="B1914" s="13"/>
      <c r="D1914" s="13"/>
      <c r="E1914" s="13"/>
      <c r="G1914" s="13"/>
    </row>
    <row r="1915" spans="1:7" x14ac:dyDescent="0.2">
      <c r="A1915" s="13"/>
      <c r="B1915" s="13"/>
      <c r="D1915" s="13"/>
      <c r="E1915" s="13"/>
      <c r="F1915" s="13"/>
    </row>
    <row r="1916" spans="1:7" x14ac:dyDescent="0.2">
      <c r="A1916" s="13"/>
      <c r="B1916" s="13"/>
      <c r="D1916" s="13"/>
      <c r="E1916" s="13"/>
      <c r="F1916" s="13"/>
    </row>
    <row r="1917" spans="1:7" x14ac:dyDescent="0.2">
      <c r="A1917" s="13"/>
      <c r="B1917" s="13"/>
      <c r="D1917" s="13"/>
      <c r="E1917" s="13"/>
      <c r="F1917" s="13"/>
    </row>
    <row r="1918" spans="1:7" x14ac:dyDescent="0.2">
      <c r="A1918" s="13"/>
      <c r="B1918" s="13"/>
      <c r="D1918" s="13"/>
      <c r="E1918" s="13"/>
      <c r="F1918" s="13"/>
    </row>
    <row r="1919" spans="1:7" x14ac:dyDescent="0.2">
      <c r="A1919" s="13"/>
      <c r="B1919" s="13"/>
      <c r="D1919" s="13"/>
      <c r="E1919" s="13"/>
      <c r="F1919" s="13"/>
    </row>
    <row r="1920" spans="1:7" x14ac:dyDescent="0.2">
      <c r="A1920" s="13"/>
      <c r="B1920" s="13"/>
      <c r="D1920" s="13"/>
      <c r="E1920" s="13"/>
      <c r="G1920" s="13"/>
    </row>
    <row r="1921" spans="1:7" x14ac:dyDescent="0.2">
      <c r="A1921" s="13"/>
      <c r="B1921" s="13"/>
      <c r="D1921" s="13"/>
      <c r="E1921" s="13"/>
      <c r="G1921" s="13"/>
    </row>
    <row r="1922" spans="1:7" x14ac:dyDescent="0.2">
      <c r="A1922" s="13"/>
      <c r="B1922" s="13"/>
      <c r="D1922" s="13"/>
      <c r="E1922" s="13"/>
      <c r="G1922" s="13"/>
    </row>
    <row r="1923" spans="1:7" x14ac:dyDescent="0.2">
      <c r="A1923" s="13"/>
      <c r="B1923" s="13"/>
      <c r="D1923" s="13"/>
      <c r="E1923" s="13"/>
      <c r="F1923" s="13"/>
    </row>
    <row r="1924" spans="1:7" x14ac:dyDescent="0.2">
      <c r="A1924" s="13"/>
      <c r="B1924" s="13"/>
      <c r="D1924" s="13"/>
      <c r="E1924" s="13"/>
      <c r="F1924" s="13"/>
    </row>
    <row r="1925" spans="1:7" x14ac:dyDescent="0.2">
      <c r="A1925" s="13"/>
      <c r="B1925" s="13"/>
      <c r="D1925" s="13"/>
      <c r="E1925" s="13"/>
      <c r="F1925" s="13"/>
    </row>
    <row r="1926" spans="1:7" x14ac:dyDescent="0.2">
      <c r="A1926" s="13"/>
      <c r="B1926" s="13"/>
      <c r="D1926" s="13"/>
      <c r="E1926" s="13"/>
      <c r="F1926" s="13"/>
    </row>
    <row r="1927" spans="1:7" x14ac:dyDescent="0.2">
      <c r="A1927" s="13"/>
      <c r="B1927" s="13"/>
      <c r="D1927" s="13"/>
      <c r="E1927" s="13"/>
      <c r="F1927" s="13"/>
    </row>
    <row r="1928" spans="1:7" x14ac:dyDescent="0.2">
      <c r="A1928" s="13"/>
      <c r="B1928" s="13"/>
      <c r="D1928" s="13"/>
      <c r="E1928" s="13"/>
      <c r="F1928" s="13"/>
    </row>
    <row r="1929" spans="1:7" x14ac:dyDescent="0.2">
      <c r="A1929" s="13"/>
      <c r="B1929" s="13"/>
      <c r="D1929" s="13"/>
      <c r="E1929" s="13"/>
      <c r="F1929" s="13"/>
    </row>
    <row r="1930" spans="1:7" x14ac:dyDescent="0.2">
      <c r="A1930" s="13"/>
      <c r="B1930" s="13"/>
      <c r="D1930" s="13"/>
      <c r="E1930" s="13"/>
      <c r="F1930" s="13"/>
    </row>
    <row r="1931" spans="1:7" x14ac:dyDescent="0.2">
      <c r="A1931" s="13"/>
      <c r="B1931" s="13"/>
      <c r="D1931" s="13"/>
      <c r="E1931" s="13"/>
      <c r="F1931" s="13"/>
    </row>
    <row r="1932" spans="1:7" x14ac:dyDescent="0.2">
      <c r="A1932" s="13"/>
      <c r="B1932" s="13"/>
      <c r="D1932" s="13"/>
      <c r="E1932" s="13"/>
      <c r="F1932" s="13"/>
    </row>
    <row r="1933" spans="1:7" x14ac:dyDescent="0.2">
      <c r="A1933" s="13"/>
      <c r="B1933" s="13"/>
      <c r="D1933" s="13"/>
      <c r="E1933" s="13"/>
      <c r="F1933" s="13"/>
    </row>
    <row r="1934" spans="1:7" x14ac:dyDescent="0.2">
      <c r="A1934" s="13"/>
      <c r="B1934" s="13"/>
      <c r="D1934" s="13"/>
      <c r="E1934" s="13"/>
      <c r="F1934" s="13"/>
    </row>
    <row r="1935" spans="1:7" x14ac:dyDescent="0.2">
      <c r="A1935" s="13"/>
      <c r="B1935" s="13"/>
      <c r="D1935" s="13"/>
      <c r="E1935" s="13"/>
      <c r="G1935" s="13"/>
    </row>
    <row r="1936" spans="1:7" x14ac:dyDescent="0.2">
      <c r="A1936" s="13"/>
      <c r="B1936" s="13"/>
      <c r="D1936" s="13"/>
      <c r="E1936" s="13"/>
      <c r="F1936" s="13"/>
    </row>
    <row r="1937" spans="1:7" x14ac:dyDescent="0.2">
      <c r="A1937" s="13"/>
      <c r="B1937" s="13"/>
      <c r="D1937" s="13"/>
      <c r="E1937" s="13"/>
      <c r="G1937" s="13"/>
    </row>
    <row r="1938" spans="1:7" x14ac:dyDescent="0.2">
      <c r="A1938" s="13"/>
      <c r="B1938" s="13"/>
      <c r="D1938" s="13"/>
      <c r="E1938" s="13"/>
      <c r="G1938" s="13"/>
    </row>
    <row r="1939" spans="1:7" x14ac:dyDescent="0.2">
      <c r="A1939" s="13"/>
      <c r="B1939" s="13"/>
      <c r="D1939" s="13"/>
      <c r="E1939" s="13"/>
      <c r="G1939" s="13"/>
    </row>
    <row r="1940" spans="1:7" x14ac:dyDescent="0.2">
      <c r="A1940" s="13"/>
      <c r="B1940" s="13"/>
      <c r="D1940" s="13"/>
      <c r="E1940" s="13"/>
      <c r="G1940" s="13"/>
    </row>
    <row r="1941" spans="1:7" x14ac:dyDescent="0.2">
      <c r="A1941" s="13"/>
      <c r="B1941" s="13"/>
      <c r="D1941" s="13"/>
      <c r="E1941" s="13"/>
      <c r="F1941" s="13"/>
    </row>
    <row r="1942" spans="1:7" x14ac:dyDescent="0.2">
      <c r="A1942" s="13"/>
      <c r="B1942" s="13"/>
      <c r="D1942" s="13"/>
      <c r="E1942" s="13"/>
      <c r="F1942" s="13"/>
    </row>
    <row r="1943" spans="1:7" x14ac:dyDescent="0.2">
      <c r="A1943" s="13"/>
      <c r="B1943" s="13"/>
      <c r="D1943" s="13"/>
      <c r="E1943" s="13"/>
      <c r="F1943" s="13"/>
    </row>
    <row r="1944" spans="1:7" x14ac:dyDescent="0.2">
      <c r="A1944" s="13"/>
      <c r="B1944" s="13"/>
      <c r="D1944" s="13"/>
      <c r="E1944" s="13"/>
      <c r="F1944" s="13"/>
    </row>
    <row r="1945" spans="1:7" x14ac:dyDescent="0.2">
      <c r="A1945" s="13"/>
      <c r="B1945" s="13"/>
      <c r="D1945" s="13"/>
      <c r="E1945" s="13"/>
      <c r="G1945" s="13"/>
    </row>
    <row r="1946" spans="1:7" x14ac:dyDescent="0.2">
      <c r="A1946" s="13"/>
      <c r="B1946" s="13"/>
      <c r="D1946" s="13"/>
      <c r="E1946" s="13"/>
      <c r="F1946" s="13"/>
    </row>
    <row r="1947" spans="1:7" x14ac:dyDescent="0.2">
      <c r="A1947" s="13"/>
      <c r="B1947" s="13"/>
      <c r="D1947" s="13"/>
      <c r="E1947" s="13"/>
      <c r="F1947" s="13"/>
    </row>
    <row r="1948" spans="1:7" x14ac:dyDescent="0.2">
      <c r="A1948" s="13"/>
      <c r="B1948" s="13"/>
      <c r="D1948" s="13"/>
      <c r="E1948" s="13"/>
      <c r="G1948" s="13"/>
    </row>
    <row r="1949" spans="1:7" x14ac:dyDescent="0.2">
      <c r="A1949" s="13"/>
      <c r="B1949" s="13"/>
      <c r="D1949" s="13"/>
      <c r="E1949" s="13"/>
      <c r="G1949" s="13"/>
    </row>
    <row r="1950" spans="1:7" x14ac:dyDescent="0.2">
      <c r="A1950" s="13"/>
      <c r="B1950" s="13"/>
      <c r="D1950" s="13"/>
      <c r="E1950" s="13"/>
      <c r="F1950" s="13"/>
    </row>
    <row r="1951" spans="1:7" x14ac:dyDescent="0.2">
      <c r="A1951" s="13"/>
      <c r="B1951" s="13"/>
      <c r="D1951" s="13"/>
      <c r="E1951" s="13"/>
      <c r="F1951" s="13"/>
    </row>
    <row r="1952" spans="1:7" x14ac:dyDescent="0.2">
      <c r="A1952" s="13"/>
      <c r="B1952" s="13"/>
      <c r="D1952" s="13"/>
      <c r="E1952" s="13"/>
      <c r="G1952" s="13"/>
    </row>
    <row r="1953" spans="1:7" x14ac:dyDescent="0.2">
      <c r="A1953" s="13"/>
      <c r="B1953" s="13"/>
      <c r="D1953" s="13"/>
      <c r="E1953" s="13"/>
      <c r="G1953" s="13"/>
    </row>
    <row r="1954" spans="1:7" x14ac:dyDescent="0.2">
      <c r="A1954" s="13"/>
      <c r="B1954" s="13"/>
      <c r="D1954" s="13"/>
      <c r="E1954" s="13"/>
      <c r="G1954" s="13"/>
    </row>
    <row r="1955" spans="1:7" x14ac:dyDescent="0.2">
      <c r="A1955" s="13"/>
      <c r="B1955" s="13"/>
      <c r="D1955" s="13"/>
      <c r="E1955" s="13"/>
      <c r="G1955" s="13"/>
    </row>
    <row r="1956" spans="1:7" x14ac:dyDescent="0.2">
      <c r="A1956" s="13"/>
      <c r="B1956" s="13"/>
      <c r="D1956" s="13"/>
      <c r="E1956" s="13"/>
      <c r="G1956" s="13"/>
    </row>
    <row r="1957" spans="1:7" x14ac:dyDescent="0.2">
      <c r="A1957" s="13"/>
      <c r="B1957" s="13"/>
      <c r="D1957" s="13"/>
      <c r="E1957" s="13"/>
      <c r="G1957" s="13"/>
    </row>
    <row r="1958" spans="1:7" x14ac:dyDescent="0.2">
      <c r="A1958" s="13"/>
      <c r="B1958" s="13"/>
      <c r="D1958" s="13"/>
      <c r="E1958" s="13"/>
      <c r="G1958" s="13"/>
    </row>
    <row r="1959" spans="1:7" x14ac:dyDescent="0.2">
      <c r="A1959" s="13"/>
      <c r="B1959" s="13"/>
      <c r="D1959" s="13"/>
      <c r="E1959" s="13"/>
      <c r="G1959" s="13"/>
    </row>
    <row r="1960" spans="1:7" x14ac:dyDescent="0.2">
      <c r="A1960" s="13"/>
      <c r="B1960" s="13"/>
      <c r="D1960" s="13"/>
      <c r="E1960" s="13"/>
      <c r="G1960" s="13"/>
    </row>
    <row r="1961" spans="1:7" x14ac:dyDescent="0.2">
      <c r="A1961" s="13"/>
      <c r="B1961" s="13"/>
      <c r="D1961" s="13"/>
      <c r="E1961" s="13"/>
      <c r="G1961" s="13"/>
    </row>
    <row r="1962" spans="1:7" x14ac:dyDescent="0.2">
      <c r="A1962" s="13"/>
      <c r="B1962" s="13"/>
      <c r="D1962" s="13"/>
      <c r="E1962" s="13"/>
      <c r="G1962" s="13"/>
    </row>
    <row r="1963" spans="1:7" x14ac:dyDescent="0.2">
      <c r="A1963" s="13"/>
      <c r="B1963" s="13"/>
      <c r="D1963" s="13"/>
      <c r="E1963" s="13"/>
      <c r="G1963" s="13"/>
    </row>
    <row r="1964" spans="1:7" x14ac:dyDescent="0.2">
      <c r="A1964" s="13"/>
      <c r="B1964" s="13"/>
      <c r="D1964" s="13"/>
      <c r="E1964" s="13"/>
      <c r="G1964" s="13"/>
    </row>
    <row r="1965" spans="1:7" x14ac:dyDescent="0.2">
      <c r="A1965" s="13"/>
      <c r="B1965" s="13"/>
      <c r="D1965" s="13"/>
      <c r="E1965" s="13"/>
      <c r="F1965" s="13"/>
    </row>
    <row r="1966" spans="1:7" x14ac:dyDescent="0.2">
      <c r="A1966" s="13"/>
      <c r="B1966" s="13"/>
      <c r="D1966" s="13"/>
      <c r="E1966" s="13"/>
      <c r="F1966" s="13"/>
    </row>
    <row r="1967" spans="1:7" x14ac:dyDescent="0.2">
      <c r="A1967" s="13"/>
      <c r="B1967" s="13"/>
      <c r="D1967" s="13"/>
      <c r="E1967" s="13"/>
      <c r="G1967" s="13"/>
    </row>
    <row r="1968" spans="1:7" x14ac:dyDescent="0.2">
      <c r="A1968" s="13"/>
      <c r="B1968" s="13"/>
      <c r="D1968" s="13"/>
      <c r="E1968" s="13"/>
      <c r="G1968" s="13"/>
    </row>
    <row r="1969" spans="1:7" x14ac:dyDescent="0.2">
      <c r="A1969" s="13"/>
      <c r="B1969" s="13"/>
      <c r="D1969" s="13"/>
      <c r="E1969" s="13"/>
      <c r="F1969" s="13"/>
    </row>
    <row r="1970" spans="1:7" x14ac:dyDescent="0.2">
      <c r="A1970" s="13"/>
      <c r="B1970" s="13"/>
      <c r="D1970" s="13"/>
      <c r="E1970" s="13"/>
      <c r="F1970" s="13"/>
    </row>
    <row r="1971" spans="1:7" x14ac:dyDescent="0.2">
      <c r="A1971" s="13"/>
      <c r="B1971" s="13"/>
      <c r="D1971" s="13"/>
      <c r="E1971" s="13"/>
      <c r="F1971" s="13"/>
    </row>
    <row r="1972" spans="1:7" x14ac:dyDescent="0.2">
      <c r="A1972" s="13"/>
      <c r="B1972" s="13"/>
      <c r="D1972" s="13"/>
      <c r="E1972" s="13"/>
      <c r="F1972" s="13"/>
    </row>
    <row r="1973" spans="1:7" x14ac:dyDescent="0.2">
      <c r="A1973" s="13"/>
      <c r="B1973" s="13"/>
      <c r="D1973" s="13"/>
      <c r="E1973" s="13"/>
      <c r="F1973" s="13"/>
    </row>
    <row r="1974" spans="1:7" x14ac:dyDescent="0.2">
      <c r="A1974" s="13"/>
      <c r="B1974" s="13"/>
      <c r="D1974" s="13"/>
      <c r="E1974" s="13"/>
      <c r="F1974" s="13"/>
    </row>
    <row r="1975" spans="1:7" x14ac:dyDescent="0.2">
      <c r="A1975" s="13"/>
      <c r="B1975" s="13"/>
      <c r="D1975" s="13"/>
      <c r="E1975" s="13"/>
      <c r="F1975" s="13"/>
    </row>
    <row r="1976" spans="1:7" x14ac:dyDescent="0.2">
      <c r="A1976" s="13"/>
      <c r="B1976" s="13"/>
      <c r="D1976" s="13"/>
      <c r="E1976" s="13"/>
      <c r="G1976" s="13"/>
    </row>
    <row r="1977" spans="1:7" x14ac:dyDescent="0.2">
      <c r="A1977" s="13"/>
      <c r="B1977" s="13"/>
      <c r="D1977" s="13"/>
      <c r="E1977" s="13"/>
      <c r="G1977" s="13"/>
    </row>
    <row r="1978" spans="1:7" x14ac:dyDescent="0.2">
      <c r="A1978" s="13"/>
      <c r="B1978" s="13"/>
      <c r="D1978" s="13"/>
      <c r="E1978" s="13"/>
      <c r="G1978" s="13"/>
    </row>
    <row r="1979" spans="1:7" x14ac:dyDescent="0.2">
      <c r="A1979" s="13"/>
      <c r="B1979" s="13"/>
      <c r="D1979" s="13"/>
      <c r="E1979" s="13"/>
      <c r="F1979" s="13"/>
    </row>
    <row r="1980" spans="1:7" x14ac:dyDescent="0.2">
      <c r="A1980" s="13"/>
      <c r="B1980" s="13"/>
      <c r="D1980" s="13"/>
      <c r="E1980" s="13"/>
      <c r="G1980" s="13"/>
    </row>
    <row r="1981" spans="1:7" x14ac:dyDescent="0.2">
      <c r="A1981" s="13"/>
      <c r="B1981" s="13"/>
      <c r="D1981" s="13"/>
      <c r="E1981" s="13"/>
      <c r="G1981" s="13"/>
    </row>
    <row r="1982" spans="1:7" x14ac:dyDescent="0.2">
      <c r="A1982" s="13"/>
      <c r="B1982" s="13"/>
      <c r="D1982" s="13"/>
      <c r="E1982" s="13"/>
      <c r="F1982" s="13"/>
    </row>
    <row r="1983" spans="1:7" x14ac:dyDescent="0.2">
      <c r="A1983" s="13"/>
      <c r="B1983" s="13"/>
      <c r="D1983" s="13"/>
      <c r="E1983" s="13"/>
      <c r="F1983" s="13"/>
    </row>
    <row r="1984" spans="1:7" x14ac:dyDescent="0.2">
      <c r="A1984" s="13"/>
      <c r="B1984" s="13"/>
      <c r="D1984" s="13"/>
      <c r="E1984" s="13"/>
      <c r="F1984" s="13"/>
    </row>
    <row r="1985" spans="1:7" x14ac:dyDescent="0.2">
      <c r="A1985" s="13"/>
      <c r="B1985" s="13"/>
      <c r="D1985" s="13"/>
      <c r="E1985" s="13"/>
      <c r="F1985" s="13"/>
    </row>
    <row r="1986" spans="1:7" x14ac:dyDescent="0.2">
      <c r="A1986" s="13"/>
      <c r="B1986" s="13"/>
      <c r="D1986" s="13"/>
      <c r="E1986" s="13"/>
      <c r="F1986" s="13"/>
    </row>
    <row r="1987" spans="1:7" x14ac:dyDescent="0.2">
      <c r="A1987" s="13"/>
      <c r="B1987" s="13"/>
      <c r="D1987" s="13"/>
      <c r="E1987" s="13"/>
      <c r="F1987" s="13"/>
    </row>
    <row r="1988" spans="1:7" x14ac:dyDescent="0.2">
      <c r="A1988" s="13"/>
      <c r="B1988" s="13"/>
      <c r="D1988" s="13"/>
      <c r="E1988" s="13"/>
      <c r="F1988" s="13"/>
    </row>
    <row r="1989" spans="1:7" x14ac:dyDescent="0.2">
      <c r="A1989" s="13"/>
      <c r="B1989" s="13"/>
      <c r="D1989" s="13"/>
      <c r="E1989" s="13"/>
      <c r="G1989" s="13"/>
    </row>
    <row r="1990" spans="1:7" x14ac:dyDescent="0.2">
      <c r="A1990" s="13"/>
      <c r="B1990" s="13"/>
      <c r="D1990" s="13"/>
      <c r="E1990" s="13"/>
      <c r="G1990" s="13"/>
    </row>
    <row r="1991" spans="1:7" x14ac:dyDescent="0.2">
      <c r="A1991" s="13"/>
      <c r="B1991" s="13"/>
      <c r="D1991" s="13"/>
      <c r="E1991" s="13"/>
      <c r="F1991" s="13"/>
    </row>
    <row r="1992" spans="1:7" x14ac:dyDescent="0.2">
      <c r="A1992" s="13"/>
      <c r="B1992" s="13"/>
      <c r="D1992" s="13"/>
      <c r="E1992" s="13"/>
      <c r="G1992" s="13"/>
    </row>
    <row r="1993" spans="1:7" x14ac:dyDescent="0.2">
      <c r="A1993" s="13"/>
      <c r="B1993" s="13"/>
      <c r="D1993" s="13"/>
      <c r="E1993" s="13"/>
      <c r="G1993" s="13"/>
    </row>
    <row r="1994" spans="1:7" x14ac:dyDescent="0.2">
      <c r="A1994" s="13"/>
      <c r="B1994" s="13"/>
      <c r="D1994" s="13"/>
      <c r="E1994" s="13"/>
      <c r="G1994" s="13"/>
    </row>
    <row r="1995" spans="1:7" x14ac:dyDescent="0.2">
      <c r="A1995" s="13"/>
      <c r="B1995" s="13"/>
      <c r="D1995" s="13"/>
      <c r="E1995" s="13"/>
      <c r="F1995" s="13"/>
    </row>
    <row r="1996" spans="1:7" x14ac:dyDescent="0.2">
      <c r="A1996" s="13"/>
      <c r="B1996" s="13"/>
      <c r="D1996" s="13"/>
      <c r="E1996" s="13"/>
      <c r="F1996" s="13"/>
    </row>
    <row r="1997" spans="1:7" x14ac:dyDescent="0.2">
      <c r="A1997" s="13"/>
      <c r="B1997" s="13"/>
      <c r="D1997" s="13"/>
      <c r="E1997" s="13"/>
      <c r="F1997" s="13"/>
    </row>
    <row r="1998" spans="1:7" x14ac:dyDescent="0.2">
      <c r="A1998" s="13"/>
      <c r="B1998" s="13"/>
      <c r="D1998" s="13"/>
      <c r="E1998" s="13"/>
      <c r="F1998" s="13"/>
    </row>
    <row r="1999" spans="1:7" x14ac:dyDescent="0.2">
      <c r="A1999" s="13"/>
      <c r="B1999" s="13"/>
      <c r="D1999" s="13"/>
      <c r="E1999" s="13"/>
      <c r="F1999" s="13"/>
    </row>
    <row r="2000" spans="1:7" x14ac:dyDescent="0.2">
      <c r="A2000" s="13"/>
      <c r="B2000" s="13"/>
      <c r="D2000" s="13"/>
      <c r="E2000" s="13"/>
      <c r="F2000" s="13"/>
    </row>
    <row r="2001" spans="1:7" x14ac:dyDescent="0.2">
      <c r="A2001" s="13"/>
      <c r="B2001" s="13"/>
      <c r="D2001" s="13"/>
      <c r="E2001" s="13"/>
      <c r="F2001" s="13"/>
    </row>
    <row r="2002" spans="1:7" x14ac:dyDescent="0.2">
      <c r="A2002" s="13"/>
      <c r="B2002" s="13"/>
      <c r="D2002" s="13"/>
      <c r="E2002" s="13"/>
      <c r="G2002" s="13"/>
    </row>
    <row r="2003" spans="1:7" x14ac:dyDescent="0.2">
      <c r="A2003" s="13"/>
      <c r="B2003" s="13"/>
      <c r="D2003" s="13"/>
      <c r="E2003" s="13"/>
      <c r="G2003" s="13"/>
    </row>
    <row r="2004" spans="1:7" x14ac:dyDescent="0.2">
      <c r="A2004" s="13"/>
      <c r="B2004" s="13"/>
      <c r="D2004" s="13"/>
      <c r="E2004" s="13"/>
      <c r="G2004" s="13"/>
    </row>
    <row r="2005" spans="1:7" x14ac:dyDescent="0.2">
      <c r="A2005" s="13"/>
      <c r="B2005" s="13"/>
      <c r="D2005" s="13"/>
      <c r="E2005" s="13"/>
      <c r="G2005" s="13"/>
    </row>
    <row r="2006" spans="1:7" x14ac:dyDescent="0.2">
      <c r="A2006" s="13"/>
      <c r="B2006" s="13"/>
      <c r="D2006" s="13"/>
      <c r="E2006" s="13"/>
      <c r="F2006" s="13"/>
    </row>
    <row r="2007" spans="1:7" x14ac:dyDescent="0.2">
      <c r="A2007" s="13"/>
      <c r="B2007" s="13"/>
      <c r="D2007" s="13"/>
      <c r="E2007" s="13"/>
      <c r="F2007" s="13"/>
    </row>
    <row r="2008" spans="1:7" x14ac:dyDescent="0.2">
      <c r="A2008" s="13"/>
      <c r="B2008" s="13"/>
      <c r="D2008" s="13"/>
      <c r="E2008" s="13"/>
      <c r="F2008" s="13"/>
    </row>
    <row r="2009" spans="1:7" x14ac:dyDescent="0.2">
      <c r="A2009" s="13"/>
      <c r="B2009" s="13"/>
      <c r="D2009" s="13"/>
      <c r="E2009" s="13"/>
      <c r="G2009" s="13"/>
    </row>
    <row r="2010" spans="1:7" x14ac:dyDescent="0.2">
      <c r="A2010" s="13"/>
      <c r="B2010" s="13"/>
      <c r="D2010" s="13"/>
      <c r="E2010" s="13"/>
      <c r="G2010" s="13"/>
    </row>
    <row r="2011" spans="1:7" x14ac:dyDescent="0.2">
      <c r="A2011" s="13"/>
      <c r="B2011" s="13"/>
      <c r="D2011" s="13"/>
      <c r="E2011" s="13"/>
      <c r="G2011" s="13"/>
    </row>
    <row r="2012" spans="1:7" x14ac:dyDescent="0.2">
      <c r="A2012" s="13"/>
      <c r="B2012" s="13"/>
      <c r="D2012" s="13"/>
      <c r="E2012" s="13"/>
      <c r="G2012" s="13"/>
    </row>
    <row r="2013" spans="1:7" x14ac:dyDescent="0.2">
      <c r="A2013" s="13"/>
      <c r="B2013" s="13"/>
      <c r="D2013" s="13"/>
      <c r="E2013" s="13"/>
      <c r="G2013" s="13"/>
    </row>
    <row r="2014" spans="1:7" x14ac:dyDescent="0.2">
      <c r="A2014" s="13"/>
      <c r="B2014" s="13"/>
      <c r="D2014" s="13"/>
      <c r="E2014" s="13"/>
      <c r="G2014" s="13"/>
    </row>
    <row r="2015" spans="1:7" x14ac:dyDescent="0.2">
      <c r="A2015" s="13"/>
      <c r="B2015" s="13"/>
      <c r="D2015" s="13"/>
      <c r="E2015" s="13"/>
      <c r="G2015" s="13"/>
    </row>
    <row r="2016" spans="1:7" x14ac:dyDescent="0.2">
      <c r="A2016" s="13"/>
      <c r="B2016" s="13"/>
      <c r="D2016" s="13"/>
      <c r="E2016" s="13"/>
      <c r="G2016" s="13"/>
    </row>
    <row r="2017" spans="1:6" x14ac:dyDescent="0.2">
      <c r="A2017" s="13"/>
      <c r="B2017" s="13"/>
      <c r="D2017" s="13"/>
      <c r="E2017" s="13"/>
      <c r="F2017" s="13"/>
    </row>
    <row r="2018" spans="1:6" x14ac:dyDescent="0.2">
      <c r="A2018" s="13"/>
      <c r="B2018" s="13"/>
      <c r="D2018" s="13"/>
      <c r="E2018" s="13"/>
      <c r="F2018" s="13"/>
    </row>
    <row r="2019" spans="1:6" x14ac:dyDescent="0.2">
      <c r="A2019" s="13"/>
      <c r="B2019" s="13"/>
      <c r="D2019" s="13"/>
      <c r="E2019" s="13"/>
      <c r="F2019" s="13"/>
    </row>
    <row r="2020" spans="1:6" x14ac:dyDescent="0.2">
      <c r="A2020" s="13"/>
      <c r="B2020" s="13"/>
      <c r="D2020" s="13"/>
      <c r="E2020" s="13"/>
      <c r="F2020" s="13"/>
    </row>
    <row r="2021" spans="1:6" x14ac:dyDescent="0.2">
      <c r="A2021" s="13"/>
      <c r="B2021" s="13"/>
      <c r="D2021" s="13"/>
      <c r="E2021" s="13"/>
      <c r="F2021" s="13"/>
    </row>
    <row r="2022" spans="1:6" x14ac:dyDescent="0.2">
      <c r="A2022" s="13"/>
      <c r="B2022" s="13"/>
      <c r="D2022" s="13"/>
      <c r="E2022" s="13"/>
      <c r="F2022" s="13"/>
    </row>
    <row r="2023" spans="1:6" x14ac:dyDescent="0.2">
      <c r="A2023" s="13"/>
      <c r="B2023" s="13"/>
      <c r="D2023" s="13"/>
      <c r="E2023" s="13"/>
      <c r="F2023" s="13"/>
    </row>
    <row r="2024" spans="1:6" x14ac:dyDescent="0.2">
      <c r="A2024" s="13"/>
      <c r="B2024" s="13"/>
      <c r="D2024" s="13"/>
      <c r="E2024" s="13"/>
      <c r="F2024" s="13"/>
    </row>
    <row r="2025" spans="1:6" x14ac:dyDescent="0.2">
      <c r="A2025" s="13"/>
      <c r="B2025" s="13"/>
      <c r="D2025" s="13"/>
      <c r="E2025" s="13"/>
      <c r="F2025" s="13"/>
    </row>
    <row r="2026" spans="1:6" x14ac:dyDescent="0.2">
      <c r="A2026" s="13"/>
      <c r="B2026" s="13"/>
      <c r="D2026" s="13"/>
      <c r="E2026" s="13"/>
      <c r="F2026" s="13"/>
    </row>
    <row r="2027" spans="1:6" x14ac:dyDescent="0.2">
      <c r="A2027" s="13"/>
      <c r="B2027" s="13"/>
      <c r="D2027" s="13"/>
      <c r="E2027" s="13"/>
      <c r="F2027" s="13"/>
    </row>
    <row r="2028" spans="1:6" x14ac:dyDescent="0.2">
      <c r="A2028" s="13"/>
      <c r="B2028" s="13"/>
      <c r="D2028" s="13"/>
      <c r="E2028" s="13"/>
      <c r="F2028" s="13"/>
    </row>
    <row r="2029" spans="1:6" x14ac:dyDescent="0.2">
      <c r="A2029" s="13"/>
      <c r="B2029" s="13"/>
      <c r="D2029" s="13"/>
      <c r="E2029" s="13"/>
      <c r="F2029" s="13"/>
    </row>
    <row r="2030" spans="1:6" x14ac:dyDescent="0.2">
      <c r="A2030" s="13"/>
      <c r="B2030" s="13"/>
      <c r="D2030" s="13"/>
      <c r="E2030" s="13"/>
      <c r="F2030" s="13"/>
    </row>
    <row r="2031" spans="1:6" x14ac:dyDescent="0.2">
      <c r="A2031" s="13"/>
      <c r="B2031" s="13"/>
      <c r="D2031" s="13"/>
      <c r="E2031" s="13"/>
      <c r="F2031" s="13"/>
    </row>
    <row r="2032" spans="1:6" x14ac:dyDescent="0.2">
      <c r="A2032" s="13"/>
      <c r="B2032" s="13"/>
      <c r="D2032" s="13"/>
      <c r="E2032" s="13"/>
      <c r="F2032" s="13"/>
    </row>
    <row r="2033" spans="1:7" x14ac:dyDescent="0.2">
      <c r="A2033" s="13"/>
      <c r="B2033" s="13"/>
      <c r="D2033" s="13"/>
      <c r="E2033" s="13"/>
      <c r="F2033" s="13"/>
    </row>
    <row r="2034" spans="1:7" x14ac:dyDescent="0.2">
      <c r="A2034" s="13"/>
      <c r="B2034" s="13"/>
      <c r="D2034" s="13"/>
      <c r="E2034" s="13"/>
      <c r="G2034" s="13"/>
    </row>
    <row r="2035" spans="1:7" x14ac:dyDescent="0.2">
      <c r="A2035" s="13"/>
      <c r="B2035" s="13"/>
      <c r="D2035" s="13"/>
      <c r="E2035" s="13"/>
      <c r="G2035" s="13"/>
    </row>
    <row r="2036" spans="1:7" x14ac:dyDescent="0.2">
      <c r="A2036" s="13"/>
      <c r="B2036" s="13"/>
      <c r="D2036" s="13"/>
      <c r="E2036" s="13"/>
      <c r="G2036" s="13"/>
    </row>
    <row r="2037" spans="1:7" x14ac:dyDescent="0.2">
      <c r="A2037" s="13"/>
      <c r="B2037" s="13"/>
      <c r="D2037" s="13"/>
      <c r="E2037" s="13"/>
      <c r="G2037" s="13"/>
    </row>
    <row r="2038" spans="1:7" x14ac:dyDescent="0.2">
      <c r="A2038" s="13"/>
      <c r="B2038" s="13"/>
      <c r="D2038" s="13"/>
      <c r="E2038" s="13"/>
      <c r="G2038" s="13"/>
    </row>
    <row r="2039" spans="1:7" x14ac:dyDescent="0.2">
      <c r="A2039" s="13"/>
      <c r="B2039" s="13"/>
      <c r="D2039" s="13"/>
      <c r="E2039" s="13"/>
      <c r="G2039" s="13"/>
    </row>
    <row r="2040" spans="1:7" x14ac:dyDescent="0.2">
      <c r="A2040" s="13"/>
      <c r="B2040" s="13"/>
      <c r="D2040" s="13"/>
      <c r="E2040" s="13"/>
      <c r="G2040" s="13"/>
    </row>
    <row r="2041" spans="1:7" x14ac:dyDescent="0.2">
      <c r="A2041" s="13"/>
      <c r="B2041" s="13"/>
      <c r="D2041" s="13"/>
      <c r="E2041" s="13"/>
      <c r="F2041" s="13"/>
    </row>
    <row r="2042" spans="1:7" x14ac:dyDescent="0.2">
      <c r="A2042" s="13"/>
      <c r="B2042" s="13"/>
      <c r="D2042" s="13"/>
      <c r="E2042" s="13"/>
      <c r="F2042" s="13"/>
    </row>
    <row r="2043" spans="1:7" x14ac:dyDescent="0.2">
      <c r="A2043" s="13"/>
      <c r="B2043" s="13"/>
      <c r="D2043" s="13"/>
      <c r="E2043" s="13"/>
      <c r="F2043" s="13"/>
    </row>
    <row r="2044" spans="1:7" x14ac:dyDescent="0.2">
      <c r="A2044" s="13"/>
      <c r="B2044" s="13"/>
      <c r="D2044" s="13"/>
      <c r="E2044" s="13"/>
      <c r="F2044" s="13"/>
    </row>
    <row r="2045" spans="1:7" x14ac:dyDescent="0.2">
      <c r="A2045" s="13"/>
      <c r="B2045" s="13"/>
      <c r="D2045" s="13"/>
      <c r="E2045" s="13"/>
      <c r="G2045" s="13"/>
    </row>
    <row r="2046" spans="1:7" x14ac:dyDescent="0.2">
      <c r="A2046" s="13"/>
      <c r="B2046" s="13"/>
      <c r="D2046" s="13"/>
      <c r="E2046" s="13"/>
      <c r="G2046" s="13"/>
    </row>
    <row r="2047" spans="1:7" x14ac:dyDescent="0.2">
      <c r="A2047" s="13"/>
      <c r="B2047" s="13"/>
      <c r="D2047" s="13"/>
      <c r="E2047" s="13"/>
      <c r="F2047" s="13"/>
    </row>
    <row r="2048" spans="1:7" x14ac:dyDescent="0.2">
      <c r="A2048" s="13"/>
      <c r="B2048" s="13"/>
      <c r="D2048" s="13"/>
      <c r="E2048" s="13"/>
      <c r="F2048" s="13"/>
    </row>
    <row r="2049" spans="1:7" x14ac:dyDescent="0.2">
      <c r="A2049" s="13"/>
      <c r="B2049" s="13"/>
      <c r="D2049" s="13"/>
      <c r="E2049" s="13"/>
      <c r="F2049" s="13"/>
    </row>
    <row r="2050" spans="1:7" x14ac:dyDescent="0.2">
      <c r="A2050" s="13"/>
      <c r="B2050" s="13"/>
      <c r="D2050" s="13"/>
      <c r="E2050" s="13"/>
      <c r="F2050" s="13"/>
    </row>
    <row r="2051" spans="1:7" x14ac:dyDescent="0.2">
      <c r="A2051" s="13"/>
      <c r="B2051" s="13"/>
      <c r="D2051" s="13"/>
      <c r="E2051" s="13"/>
      <c r="F2051" s="13"/>
    </row>
    <row r="2052" spans="1:7" x14ac:dyDescent="0.2">
      <c r="A2052" s="13"/>
      <c r="B2052" s="13"/>
      <c r="D2052" s="13"/>
      <c r="E2052" s="13"/>
      <c r="G2052" s="13"/>
    </row>
    <row r="2053" spans="1:7" x14ac:dyDescent="0.2">
      <c r="A2053" s="13"/>
      <c r="B2053" s="13"/>
      <c r="D2053" s="13"/>
      <c r="E2053" s="13"/>
      <c r="F2053" s="13"/>
    </row>
    <row r="2054" spans="1:7" x14ac:dyDescent="0.2">
      <c r="A2054" s="13"/>
      <c r="B2054" s="13"/>
      <c r="D2054" s="13"/>
      <c r="E2054" s="13"/>
      <c r="F2054" s="13"/>
    </row>
    <row r="2055" spans="1:7" x14ac:dyDescent="0.2">
      <c r="A2055" s="13"/>
      <c r="B2055" s="13"/>
      <c r="D2055" s="13"/>
      <c r="E2055" s="13"/>
      <c r="F2055" s="13"/>
    </row>
    <row r="2056" spans="1:7" x14ac:dyDescent="0.2">
      <c r="A2056" s="13"/>
      <c r="B2056" s="13"/>
      <c r="D2056" s="13"/>
      <c r="E2056" s="13"/>
      <c r="G2056" s="13"/>
    </row>
    <row r="2057" spans="1:7" x14ac:dyDescent="0.2">
      <c r="A2057" s="13"/>
      <c r="B2057" s="13"/>
      <c r="D2057" s="13"/>
      <c r="E2057" s="13"/>
      <c r="G2057" s="13"/>
    </row>
    <row r="2058" spans="1:7" x14ac:dyDescent="0.2">
      <c r="A2058" s="13"/>
      <c r="B2058" s="13"/>
      <c r="D2058" s="13"/>
      <c r="E2058" s="13"/>
      <c r="G2058" s="13"/>
    </row>
    <row r="2059" spans="1:7" x14ac:dyDescent="0.2">
      <c r="A2059" s="13"/>
      <c r="B2059" s="13"/>
      <c r="D2059" s="13"/>
      <c r="E2059" s="13"/>
      <c r="G2059" s="13"/>
    </row>
    <row r="2060" spans="1:7" x14ac:dyDescent="0.2">
      <c r="A2060" s="13"/>
      <c r="B2060" s="13"/>
      <c r="D2060" s="13"/>
      <c r="E2060" s="13"/>
      <c r="G2060" s="13"/>
    </row>
    <row r="2061" spans="1:7" x14ac:dyDescent="0.2">
      <c r="A2061" s="13"/>
      <c r="B2061" s="13"/>
      <c r="D2061" s="13"/>
      <c r="E2061" s="13"/>
      <c r="G2061" s="13"/>
    </row>
    <row r="2062" spans="1:7" x14ac:dyDescent="0.2">
      <c r="A2062" s="13"/>
      <c r="B2062" s="13"/>
      <c r="D2062" s="13"/>
      <c r="E2062" s="13"/>
      <c r="G2062" s="13"/>
    </row>
    <row r="2063" spans="1:7" x14ac:dyDescent="0.2">
      <c r="A2063" s="13"/>
      <c r="B2063" s="13"/>
      <c r="D2063" s="13"/>
      <c r="E2063" s="13"/>
      <c r="G2063" s="13"/>
    </row>
    <row r="2064" spans="1:7" x14ac:dyDescent="0.2">
      <c r="A2064" s="13"/>
      <c r="B2064" s="13"/>
      <c r="D2064" s="13"/>
      <c r="E2064" s="13"/>
      <c r="G2064" s="13"/>
    </row>
    <row r="2065" spans="1:7" x14ac:dyDescent="0.2">
      <c r="A2065" s="13"/>
      <c r="B2065" s="13"/>
      <c r="D2065" s="13"/>
      <c r="E2065" s="13"/>
      <c r="G2065" s="13"/>
    </row>
    <row r="2066" spans="1:7" x14ac:dyDescent="0.2">
      <c r="A2066" s="13"/>
      <c r="B2066" s="13"/>
      <c r="D2066" s="13"/>
      <c r="E2066" s="13"/>
      <c r="F2066" s="13"/>
    </row>
    <row r="2067" spans="1:7" x14ac:dyDescent="0.2">
      <c r="A2067" s="13"/>
      <c r="B2067" s="13"/>
      <c r="D2067" s="13"/>
      <c r="E2067" s="13"/>
      <c r="F2067" s="13"/>
    </row>
    <row r="2068" spans="1:7" x14ac:dyDescent="0.2">
      <c r="A2068" s="13"/>
      <c r="B2068" s="13"/>
      <c r="D2068" s="13"/>
      <c r="E2068" s="13"/>
      <c r="F2068" s="13"/>
    </row>
    <row r="2069" spans="1:7" x14ac:dyDescent="0.2">
      <c r="A2069" s="13"/>
      <c r="B2069" s="13"/>
      <c r="D2069" s="13"/>
      <c r="E2069" s="13"/>
      <c r="F2069" s="13"/>
    </row>
    <row r="2070" spans="1:7" x14ac:dyDescent="0.2">
      <c r="A2070" s="13"/>
      <c r="B2070" s="13"/>
      <c r="D2070" s="13"/>
      <c r="E2070" s="13"/>
      <c r="F2070" s="13"/>
    </row>
    <row r="2071" spans="1:7" x14ac:dyDescent="0.2">
      <c r="A2071" s="13"/>
      <c r="B2071" s="13"/>
      <c r="D2071" s="13"/>
      <c r="E2071" s="13"/>
      <c r="F2071" s="13"/>
    </row>
    <row r="2072" spans="1:7" x14ac:dyDescent="0.2">
      <c r="A2072" s="13"/>
      <c r="B2072" s="13"/>
      <c r="D2072" s="13"/>
      <c r="E2072" s="13"/>
      <c r="F2072" s="13"/>
    </row>
    <row r="2073" spans="1:7" x14ac:dyDescent="0.2">
      <c r="A2073" s="13"/>
      <c r="B2073" s="13"/>
      <c r="D2073" s="13"/>
      <c r="E2073" s="13"/>
      <c r="F2073" s="13"/>
    </row>
    <row r="2074" spans="1:7" x14ac:dyDescent="0.2">
      <c r="A2074" s="13"/>
      <c r="B2074" s="13"/>
      <c r="D2074" s="13"/>
      <c r="E2074" s="13"/>
      <c r="F2074" s="13"/>
    </row>
    <row r="2075" spans="1:7" x14ac:dyDescent="0.2">
      <c r="A2075" s="13"/>
      <c r="B2075" s="13"/>
      <c r="D2075" s="13"/>
      <c r="E2075" s="13"/>
      <c r="F2075" s="13"/>
    </row>
    <row r="2076" spans="1:7" x14ac:dyDescent="0.2">
      <c r="A2076" s="13"/>
      <c r="B2076" s="13"/>
      <c r="D2076" s="13"/>
      <c r="E2076" s="13"/>
      <c r="G2076" s="13"/>
    </row>
    <row r="2077" spans="1:7" x14ac:dyDescent="0.2">
      <c r="A2077" s="13"/>
      <c r="B2077" s="13"/>
      <c r="D2077" s="13"/>
      <c r="E2077" s="13"/>
      <c r="G2077" s="13"/>
    </row>
    <row r="2078" spans="1:7" x14ac:dyDescent="0.2">
      <c r="A2078" s="13"/>
      <c r="B2078" s="13"/>
      <c r="D2078" s="13"/>
      <c r="E2078" s="13"/>
      <c r="G2078" s="13"/>
    </row>
    <row r="2079" spans="1:7" x14ac:dyDescent="0.2">
      <c r="A2079" s="13"/>
      <c r="B2079" s="13"/>
      <c r="D2079" s="13"/>
      <c r="E2079" s="13"/>
      <c r="F2079" s="13"/>
    </row>
    <row r="2080" spans="1:7" x14ac:dyDescent="0.2">
      <c r="A2080" s="13"/>
      <c r="B2080" s="13"/>
      <c r="D2080" s="13"/>
      <c r="E2080" s="13"/>
      <c r="F2080" s="13"/>
    </row>
    <row r="2081" spans="1:7" x14ac:dyDescent="0.2">
      <c r="A2081" s="13"/>
      <c r="B2081" s="13"/>
      <c r="D2081" s="13"/>
      <c r="E2081" s="13"/>
      <c r="F2081" s="13"/>
    </row>
    <row r="2082" spans="1:7" x14ac:dyDescent="0.2">
      <c r="A2082" s="13"/>
      <c r="B2082" s="13"/>
      <c r="D2082" s="13"/>
      <c r="E2082" s="13"/>
      <c r="G2082" s="13"/>
    </row>
    <row r="2083" spans="1:7" x14ac:dyDescent="0.2">
      <c r="A2083" s="13"/>
      <c r="B2083" s="13"/>
      <c r="D2083" s="13"/>
      <c r="E2083" s="13"/>
      <c r="F2083" s="13"/>
    </row>
    <row r="2084" spans="1:7" x14ac:dyDescent="0.2">
      <c r="A2084" s="13"/>
      <c r="B2084" s="13"/>
      <c r="D2084" s="13"/>
      <c r="E2084" s="13"/>
      <c r="F2084" s="13"/>
    </row>
    <row r="2085" spans="1:7" x14ac:dyDescent="0.2">
      <c r="A2085" s="13"/>
      <c r="B2085" s="13"/>
      <c r="D2085" s="13"/>
      <c r="E2085" s="13"/>
      <c r="G2085" s="13"/>
    </row>
    <row r="2086" spans="1:7" x14ac:dyDescent="0.2">
      <c r="A2086" s="13"/>
      <c r="B2086" s="13"/>
      <c r="D2086" s="13"/>
      <c r="E2086" s="13"/>
      <c r="G2086" s="13"/>
    </row>
    <row r="2087" spans="1:7" x14ac:dyDescent="0.2">
      <c r="A2087" s="13"/>
      <c r="B2087" s="13"/>
      <c r="D2087" s="13"/>
      <c r="E2087" s="13"/>
      <c r="G2087" s="13"/>
    </row>
    <row r="2088" spans="1:7" x14ac:dyDescent="0.2">
      <c r="A2088" s="13"/>
      <c r="B2088" s="13"/>
      <c r="D2088" s="13"/>
      <c r="E2088" s="13"/>
      <c r="G2088" s="13"/>
    </row>
    <row r="2089" spans="1:7" x14ac:dyDescent="0.2">
      <c r="A2089" s="13"/>
      <c r="B2089" s="13"/>
      <c r="D2089" s="13"/>
      <c r="E2089" s="13"/>
      <c r="F2089" s="13"/>
    </row>
    <row r="2090" spans="1:7" x14ac:dyDescent="0.2">
      <c r="A2090" s="13"/>
      <c r="B2090" s="13"/>
      <c r="D2090" s="13"/>
      <c r="E2090" s="13"/>
      <c r="F2090" s="13"/>
    </row>
    <row r="2091" spans="1:7" x14ac:dyDescent="0.2">
      <c r="A2091" s="13"/>
      <c r="B2091" s="13"/>
      <c r="D2091" s="13"/>
      <c r="E2091" s="13"/>
      <c r="F2091" s="13"/>
    </row>
    <row r="2092" spans="1:7" x14ac:dyDescent="0.2">
      <c r="A2092" s="13"/>
      <c r="B2092" s="13"/>
      <c r="D2092" s="13"/>
      <c r="E2092" s="13"/>
      <c r="G2092" s="13"/>
    </row>
    <row r="2093" spans="1:7" x14ac:dyDescent="0.2">
      <c r="A2093" s="13"/>
      <c r="B2093" s="13"/>
      <c r="D2093" s="13"/>
      <c r="E2093" s="13"/>
      <c r="G2093" s="13"/>
    </row>
    <row r="2094" spans="1:7" x14ac:dyDescent="0.2">
      <c r="A2094" s="13"/>
      <c r="B2094" s="13"/>
      <c r="D2094" s="13"/>
      <c r="E2094" s="13"/>
      <c r="G2094" s="13"/>
    </row>
    <row r="2095" spans="1:7" x14ac:dyDescent="0.2">
      <c r="A2095" s="13"/>
      <c r="B2095" s="13"/>
      <c r="D2095" s="13"/>
      <c r="E2095" s="13"/>
      <c r="F2095" s="13"/>
    </row>
    <row r="2096" spans="1:7" x14ac:dyDescent="0.2">
      <c r="A2096" s="13"/>
      <c r="B2096" s="13"/>
      <c r="D2096" s="13"/>
      <c r="E2096" s="13"/>
      <c r="F2096" s="13"/>
    </row>
    <row r="2097" spans="1:7" x14ac:dyDescent="0.2">
      <c r="A2097" s="13"/>
      <c r="B2097" s="13"/>
      <c r="D2097" s="13"/>
      <c r="E2097" s="13"/>
      <c r="G2097" s="13"/>
    </row>
    <row r="2098" spans="1:7" x14ac:dyDescent="0.2">
      <c r="A2098" s="13"/>
      <c r="B2098" s="13"/>
      <c r="D2098" s="13"/>
      <c r="E2098" s="13"/>
      <c r="G2098" s="13"/>
    </row>
    <row r="2099" spans="1:7" x14ac:dyDescent="0.2">
      <c r="A2099" s="13"/>
      <c r="B2099" s="13"/>
      <c r="D2099" s="13"/>
      <c r="E2099" s="13"/>
      <c r="F2099" s="13"/>
    </row>
    <row r="2100" spans="1:7" x14ac:dyDescent="0.2">
      <c r="A2100" s="13"/>
      <c r="B2100" s="13"/>
      <c r="D2100" s="13"/>
      <c r="E2100" s="13"/>
      <c r="F2100" s="13"/>
    </row>
    <row r="2101" spans="1:7" x14ac:dyDescent="0.2">
      <c r="A2101" s="13"/>
      <c r="B2101" s="13"/>
      <c r="D2101" s="13"/>
      <c r="E2101" s="13"/>
      <c r="F2101" s="13"/>
    </row>
    <row r="2102" spans="1:7" x14ac:dyDescent="0.2">
      <c r="A2102" s="13"/>
      <c r="B2102" s="13"/>
      <c r="D2102" s="13"/>
      <c r="E2102" s="13"/>
      <c r="F2102" s="13"/>
    </row>
    <row r="2103" spans="1:7" x14ac:dyDescent="0.2">
      <c r="A2103" s="13"/>
      <c r="B2103" s="13"/>
      <c r="D2103" s="13"/>
      <c r="E2103" s="13"/>
      <c r="F2103" s="13"/>
    </row>
    <row r="2104" spans="1:7" x14ac:dyDescent="0.2">
      <c r="A2104" s="13"/>
      <c r="B2104" s="13"/>
      <c r="D2104" s="13"/>
      <c r="E2104" s="13"/>
      <c r="F2104" s="13"/>
    </row>
    <row r="2105" spans="1:7" x14ac:dyDescent="0.2">
      <c r="A2105" s="13"/>
      <c r="B2105" s="13"/>
      <c r="D2105" s="13"/>
      <c r="E2105" s="13"/>
      <c r="F2105" s="13"/>
    </row>
    <row r="2106" spans="1:7" x14ac:dyDescent="0.2">
      <c r="A2106" s="13"/>
      <c r="B2106" s="13"/>
      <c r="D2106" s="13"/>
      <c r="E2106" s="13"/>
      <c r="F2106" s="13"/>
    </row>
    <row r="2107" spans="1:7" x14ac:dyDescent="0.2">
      <c r="A2107" s="13"/>
      <c r="B2107" s="13"/>
      <c r="D2107" s="13"/>
      <c r="E2107" s="13"/>
      <c r="F2107" s="13"/>
    </row>
    <row r="2108" spans="1:7" x14ac:dyDescent="0.2">
      <c r="A2108" s="13"/>
      <c r="B2108" s="13"/>
      <c r="D2108" s="13"/>
      <c r="E2108" s="13"/>
      <c r="F2108" s="13"/>
    </row>
    <row r="2109" spans="1:7" x14ac:dyDescent="0.2">
      <c r="A2109" s="13"/>
      <c r="B2109" s="13"/>
      <c r="D2109" s="13"/>
      <c r="E2109" s="13"/>
      <c r="G2109" s="13"/>
    </row>
    <row r="2110" spans="1:7" x14ac:dyDescent="0.2">
      <c r="A2110" s="13"/>
      <c r="B2110" s="13"/>
      <c r="D2110" s="13"/>
      <c r="E2110" s="13"/>
      <c r="G2110" s="13"/>
    </row>
    <row r="2111" spans="1:7" x14ac:dyDescent="0.2">
      <c r="A2111" s="13"/>
      <c r="B2111" s="13"/>
      <c r="D2111" s="13"/>
      <c r="E2111" s="13"/>
      <c r="G2111" s="13"/>
    </row>
    <row r="2112" spans="1:7" x14ac:dyDescent="0.2">
      <c r="A2112" s="13"/>
      <c r="B2112" s="13"/>
      <c r="D2112" s="13"/>
      <c r="E2112" s="13"/>
      <c r="G2112" s="13"/>
    </row>
    <row r="2113" spans="1:7" x14ac:dyDescent="0.2">
      <c r="A2113" s="13"/>
      <c r="B2113" s="13"/>
      <c r="D2113" s="13"/>
      <c r="E2113" s="13"/>
      <c r="G2113" s="13"/>
    </row>
    <row r="2114" spans="1:7" x14ac:dyDescent="0.2">
      <c r="A2114" s="13"/>
      <c r="B2114" s="13"/>
      <c r="D2114" s="13"/>
      <c r="E2114" s="13"/>
      <c r="G2114" s="13"/>
    </row>
    <row r="2115" spans="1:7" x14ac:dyDescent="0.2">
      <c r="A2115" s="13"/>
      <c r="B2115" s="13"/>
      <c r="D2115" s="13"/>
      <c r="E2115" s="13"/>
      <c r="G2115" s="13"/>
    </row>
    <row r="2116" spans="1:7" x14ac:dyDescent="0.2">
      <c r="A2116" s="13"/>
      <c r="B2116" s="13"/>
      <c r="D2116" s="13"/>
      <c r="E2116" s="13"/>
      <c r="G2116" s="13"/>
    </row>
    <row r="2117" spans="1:7" x14ac:dyDescent="0.2">
      <c r="A2117" s="13"/>
      <c r="B2117" s="13"/>
      <c r="D2117" s="13"/>
      <c r="E2117" s="13"/>
      <c r="G2117" s="13"/>
    </row>
    <row r="2118" spans="1:7" x14ac:dyDescent="0.2">
      <c r="A2118" s="13"/>
      <c r="B2118" s="13"/>
      <c r="D2118" s="13"/>
      <c r="E2118" s="13"/>
      <c r="G2118" s="13"/>
    </row>
    <row r="2119" spans="1:7" x14ac:dyDescent="0.2">
      <c r="A2119" s="13"/>
      <c r="B2119" s="13"/>
      <c r="D2119" s="13"/>
      <c r="E2119" s="13"/>
      <c r="F2119" s="13"/>
    </row>
    <row r="2120" spans="1:7" x14ac:dyDescent="0.2">
      <c r="A2120" s="13"/>
      <c r="B2120" s="13"/>
      <c r="D2120" s="13"/>
      <c r="E2120" s="13"/>
      <c r="F2120" s="13"/>
    </row>
    <row r="2121" spans="1:7" x14ac:dyDescent="0.2">
      <c r="A2121" s="13"/>
      <c r="B2121" s="13"/>
      <c r="D2121" s="13"/>
      <c r="E2121" s="13"/>
      <c r="F2121" s="13"/>
    </row>
    <row r="2122" spans="1:7" x14ac:dyDescent="0.2">
      <c r="A2122" s="13"/>
      <c r="B2122" s="13"/>
      <c r="D2122" s="13"/>
      <c r="E2122" s="13"/>
      <c r="F2122" s="13"/>
    </row>
    <row r="2123" spans="1:7" x14ac:dyDescent="0.2">
      <c r="A2123" s="13"/>
      <c r="B2123" s="13"/>
      <c r="D2123" s="13"/>
      <c r="E2123" s="13"/>
      <c r="F2123" s="13"/>
    </row>
    <row r="2124" spans="1:7" x14ac:dyDescent="0.2">
      <c r="A2124" s="13"/>
      <c r="B2124" s="13"/>
      <c r="D2124" s="13"/>
      <c r="E2124" s="13"/>
      <c r="F2124" s="13"/>
    </row>
    <row r="2125" spans="1:7" x14ac:dyDescent="0.2">
      <c r="A2125" s="13"/>
      <c r="B2125" s="13"/>
      <c r="D2125" s="13"/>
      <c r="E2125" s="13"/>
      <c r="F2125" s="13"/>
    </row>
    <row r="2126" spans="1:7" x14ac:dyDescent="0.2">
      <c r="A2126" s="13"/>
      <c r="B2126" s="13"/>
      <c r="D2126" s="13"/>
      <c r="E2126" s="13"/>
      <c r="F2126" s="13"/>
    </row>
    <row r="2127" spans="1:7" x14ac:dyDescent="0.2">
      <c r="A2127" s="13"/>
      <c r="B2127" s="13"/>
      <c r="D2127" s="13"/>
      <c r="E2127" s="13"/>
      <c r="F2127" s="13"/>
    </row>
    <row r="2128" spans="1:7" x14ac:dyDescent="0.2">
      <c r="A2128" s="13"/>
      <c r="B2128" s="13"/>
      <c r="D2128" s="13"/>
      <c r="E2128" s="13"/>
      <c r="F2128" s="13"/>
    </row>
    <row r="2129" spans="1:7" x14ac:dyDescent="0.2">
      <c r="A2129" s="13"/>
      <c r="B2129" s="13"/>
      <c r="D2129" s="13"/>
      <c r="E2129" s="13"/>
      <c r="F2129" s="13"/>
    </row>
    <row r="2130" spans="1:7" x14ac:dyDescent="0.2">
      <c r="A2130" s="13"/>
      <c r="B2130" s="13"/>
      <c r="D2130" s="13"/>
      <c r="E2130" s="13"/>
      <c r="F2130" s="13"/>
    </row>
    <row r="2131" spans="1:7" x14ac:dyDescent="0.2">
      <c r="A2131" s="13"/>
      <c r="B2131" s="13"/>
      <c r="D2131" s="13"/>
      <c r="E2131" s="13"/>
      <c r="F2131" s="13"/>
    </row>
    <row r="2132" spans="1:7" x14ac:dyDescent="0.2">
      <c r="A2132" s="13"/>
      <c r="B2132" s="13"/>
      <c r="D2132" s="13"/>
      <c r="E2132" s="13"/>
      <c r="F2132" s="13"/>
    </row>
    <row r="2133" spans="1:7" x14ac:dyDescent="0.2">
      <c r="A2133" s="13"/>
      <c r="B2133" s="13"/>
      <c r="D2133" s="13"/>
      <c r="E2133" s="13"/>
      <c r="G2133" s="13"/>
    </row>
    <row r="2134" spans="1:7" x14ac:dyDescent="0.2">
      <c r="A2134" s="13"/>
      <c r="B2134" s="13"/>
      <c r="D2134" s="13"/>
      <c r="E2134" s="13"/>
      <c r="G2134" s="13"/>
    </row>
    <row r="2135" spans="1:7" x14ac:dyDescent="0.2">
      <c r="A2135" s="13"/>
      <c r="B2135" s="13"/>
      <c r="D2135" s="13"/>
      <c r="E2135" s="13"/>
      <c r="G2135" s="13"/>
    </row>
    <row r="2136" spans="1:7" x14ac:dyDescent="0.2">
      <c r="A2136" s="13"/>
      <c r="B2136" s="13"/>
      <c r="D2136" s="13"/>
      <c r="E2136" s="13"/>
      <c r="G2136" s="13"/>
    </row>
    <row r="2137" spans="1:7" x14ac:dyDescent="0.2">
      <c r="A2137" s="13"/>
      <c r="B2137" s="13"/>
      <c r="D2137" s="13"/>
      <c r="E2137" s="13"/>
      <c r="F2137" s="13"/>
    </row>
    <row r="2138" spans="1:7" x14ac:dyDescent="0.2">
      <c r="A2138" s="13"/>
      <c r="B2138" s="13"/>
      <c r="D2138" s="13"/>
      <c r="E2138" s="13"/>
      <c r="F2138" s="13"/>
    </row>
    <row r="2139" spans="1:7" x14ac:dyDescent="0.2">
      <c r="A2139" s="13"/>
      <c r="B2139" s="13"/>
      <c r="D2139" s="13"/>
      <c r="E2139" s="13"/>
      <c r="F2139" s="13"/>
    </row>
    <row r="2140" spans="1:7" x14ac:dyDescent="0.2">
      <c r="A2140" s="13"/>
      <c r="B2140" s="13"/>
      <c r="D2140" s="13"/>
      <c r="E2140" s="13"/>
      <c r="F2140" s="13"/>
    </row>
    <row r="2141" spans="1:7" x14ac:dyDescent="0.2">
      <c r="A2141" s="13"/>
      <c r="B2141" s="13"/>
      <c r="D2141" s="13"/>
      <c r="E2141" s="13"/>
      <c r="G2141" s="13"/>
    </row>
    <row r="2142" spans="1:7" x14ac:dyDescent="0.2">
      <c r="A2142" s="13"/>
      <c r="B2142" s="13"/>
      <c r="D2142" s="13"/>
      <c r="E2142" s="13"/>
      <c r="F2142" s="13"/>
    </row>
    <row r="2143" spans="1:7" x14ac:dyDescent="0.2">
      <c r="A2143" s="13"/>
      <c r="B2143" s="13"/>
      <c r="D2143" s="13"/>
      <c r="E2143" s="13"/>
      <c r="F2143" s="13"/>
    </row>
    <row r="2144" spans="1:7" x14ac:dyDescent="0.2">
      <c r="A2144" s="13"/>
      <c r="B2144" s="13"/>
      <c r="D2144" s="13"/>
      <c r="E2144" s="13"/>
      <c r="F2144" s="13"/>
    </row>
    <row r="2145" spans="1:7" x14ac:dyDescent="0.2">
      <c r="A2145" s="13"/>
      <c r="B2145" s="13"/>
      <c r="D2145" s="13"/>
      <c r="E2145" s="13"/>
      <c r="F2145" s="13"/>
    </row>
    <row r="2146" spans="1:7" x14ac:dyDescent="0.2">
      <c r="A2146" s="13"/>
      <c r="B2146" s="13"/>
      <c r="D2146" s="13"/>
      <c r="E2146" s="13"/>
      <c r="F2146" s="13"/>
    </row>
    <row r="2147" spans="1:7" x14ac:dyDescent="0.2">
      <c r="A2147" s="13"/>
      <c r="B2147" s="13"/>
      <c r="D2147" s="13"/>
      <c r="E2147" s="13"/>
      <c r="G2147" s="13"/>
    </row>
    <row r="2148" spans="1:7" x14ac:dyDescent="0.2">
      <c r="A2148" s="13"/>
      <c r="B2148" s="13"/>
      <c r="D2148" s="13"/>
      <c r="E2148" s="13"/>
      <c r="G2148" s="13"/>
    </row>
    <row r="2149" spans="1:7" x14ac:dyDescent="0.2">
      <c r="A2149" s="13"/>
      <c r="B2149" s="13"/>
      <c r="D2149" s="13"/>
      <c r="E2149" s="13"/>
      <c r="G2149" s="13"/>
    </row>
    <row r="2150" spans="1:7" x14ac:dyDescent="0.2">
      <c r="A2150" s="13"/>
      <c r="B2150" s="13"/>
      <c r="D2150" s="13"/>
      <c r="E2150" s="13"/>
      <c r="G2150" s="13"/>
    </row>
    <row r="2151" spans="1:7" x14ac:dyDescent="0.2">
      <c r="A2151" s="13"/>
      <c r="B2151" s="13"/>
      <c r="D2151" s="13"/>
      <c r="E2151" s="13"/>
      <c r="G2151" s="13"/>
    </row>
    <row r="2152" spans="1:7" x14ac:dyDescent="0.2">
      <c r="A2152" s="13"/>
      <c r="B2152" s="13"/>
      <c r="D2152" s="13"/>
      <c r="E2152" s="13"/>
      <c r="G2152" s="13"/>
    </row>
    <row r="2153" spans="1:7" x14ac:dyDescent="0.2">
      <c r="A2153" s="13"/>
      <c r="B2153" s="13"/>
      <c r="D2153" s="13"/>
      <c r="E2153" s="13"/>
      <c r="F2153" s="13"/>
    </row>
    <row r="2154" spans="1:7" x14ac:dyDescent="0.2">
      <c r="A2154" s="13"/>
      <c r="B2154" s="13"/>
      <c r="D2154" s="13"/>
      <c r="E2154" s="13"/>
      <c r="G2154" s="13"/>
    </row>
    <row r="2155" spans="1:7" x14ac:dyDescent="0.2">
      <c r="A2155" s="13"/>
      <c r="B2155" s="13"/>
      <c r="D2155" s="13"/>
      <c r="E2155" s="13"/>
      <c r="F2155" s="13"/>
    </row>
    <row r="2156" spans="1:7" x14ac:dyDescent="0.2">
      <c r="A2156" s="13"/>
      <c r="B2156" s="13"/>
      <c r="D2156" s="13"/>
      <c r="E2156" s="13"/>
      <c r="F2156" s="13"/>
    </row>
    <row r="2157" spans="1:7" x14ac:dyDescent="0.2">
      <c r="A2157" s="13"/>
      <c r="B2157" s="13"/>
      <c r="D2157" s="13"/>
      <c r="E2157" s="13"/>
      <c r="F2157" s="13"/>
    </row>
    <row r="2158" spans="1:7" x14ac:dyDescent="0.2">
      <c r="A2158" s="13"/>
      <c r="B2158" s="13"/>
      <c r="D2158" s="13"/>
      <c r="E2158" s="13"/>
      <c r="F2158" s="13"/>
    </row>
    <row r="2159" spans="1:7" x14ac:dyDescent="0.2">
      <c r="A2159" s="13"/>
      <c r="B2159" s="13"/>
      <c r="D2159" s="13"/>
      <c r="E2159" s="13"/>
      <c r="G2159" s="13"/>
    </row>
    <row r="2160" spans="1:7" x14ac:dyDescent="0.2">
      <c r="A2160" s="13"/>
      <c r="B2160" s="13"/>
      <c r="D2160" s="13"/>
      <c r="E2160" s="13"/>
      <c r="G2160" s="13"/>
    </row>
    <row r="2161" spans="1:7" x14ac:dyDescent="0.2">
      <c r="A2161" s="13"/>
      <c r="B2161" s="13"/>
      <c r="D2161" s="13"/>
      <c r="E2161" s="13"/>
      <c r="G2161" s="13"/>
    </row>
    <row r="2162" spans="1:7" x14ac:dyDescent="0.2">
      <c r="A2162" s="13"/>
      <c r="B2162" s="13"/>
      <c r="D2162" s="13"/>
      <c r="E2162" s="13"/>
      <c r="G2162" s="13"/>
    </row>
    <row r="2163" spans="1:7" x14ac:dyDescent="0.2">
      <c r="A2163" s="13"/>
      <c r="B2163" s="13"/>
      <c r="D2163" s="13"/>
      <c r="E2163" s="13"/>
      <c r="G2163" s="13"/>
    </row>
    <row r="2164" spans="1:7" x14ac:dyDescent="0.2">
      <c r="A2164" s="13"/>
      <c r="B2164" s="13"/>
      <c r="D2164" s="13"/>
      <c r="E2164" s="13"/>
      <c r="G2164" s="13"/>
    </row>
    <row r="2165" spans="1:7" x14ac:dyDescent="0.2">
      <c r="A2165" s="13"/>
      <c r="B2165" s="13"/>
      <c r="D2165" s="13"/>
      <c r="E2165" s="13"/>
      <c r="F2165" s="13"/>
    </row>
    <row r="2166" spans="1:7" x14ac:dyDescent="0.2">
      <c r="A2166" s="13"/>
      <c r="B2166" s="13"/>
      <c r="D2166" s="13"/>
      <c r="E2166" s="13"/>
      <c r="F2166" s="13"/>
    </row>
    <row r="2167" spans="1:7" x14ac:dyDescent="0.2">
      <c r="A2167" s="13"/>
      <c r="B2167" s="13"/>
      <c r="D2167" s="13"/>
      <c r="E2167" s="13"/>
      <c r="F2167" s="13"/>
    </row>
    <row r="2168" spans="1:7" x14ac:dyDescent="0.2">
      <c r="A2168" s="13"/>
      <c r="B2168" s="13"/>
      <c r="D2168" s="13"/>
      <c r="E2168" s="13"/>
      <c r="F2168" s="13"/>
    </row>
    <row r="2169" spans="1:7" x14ac:dyDescent="0.2">
      <c r="A2169" s="13"/>
      <c r="B2169" s="13"/>
      <c r="D2169" s="13"/>
      <c r="E2169" s="13"/>
      <c r="F2169" s="13"/>
    </row>
    <row r="2170" spans="1:7" x14ac:dyDescent="0.2">
      <c r="A2170" s="13"/>
      <c r="B2170" s="13"/>
      <c r="D2170" s="13"/>
      <c r="E2170" s="13"/>
      <c r="G2170" s="13"/>
    </row>
    <row r="2171" spans="1:7" x14ac:dyDescent="0.2">
      <c r="A2171" s="13"/>
      <c r="B2171" s="13"/>
      <c r="D2171" s="13"/>
      <c r="E2171" s="13"/>
      <c r="G2171" s="13"/>
    </row>
    <row r="2172" spans="1:7" x14ac:dyDescent="0.2">
      <c r="A2172" s="13"/>
      <c r="B2172" s="13"/>
      <c r="D2172" s="13"/>
      <c r="E2172" s="13"/>
      <c r="G2172" s="13"/>
    </row>
    <row r="2173" spans="1:7" x14ac:dyDescent="0.2">
      <c r="A2173" s="13"/>
      <c r="B2173" s="13"/>
      <c r="D2173" s="13"/>
      <c r="E2173" s="13"/>
      <c r="F2173" s="13"/>
    </row>
    <row r="2174" spans="1:7" x14ac:dyDescent="0.2">
      <c r="A2174" s="13"/>
      <c r="B2174" s="13"/>
      <c r="D2174" s="13"/>
      <c r="E2174" s="13"/>
      <c r="G2174" s="13"/>
    </row>
    <row r="2175" spans="1:7" x14ac:dyDescent="0.2">
      <c r="A2175" s="13"/>
      <c r="B2175" s="13"/>
      <c r="D2175" s="13"/>
      <c r="E2175" s="13"/>
      <c r="G2175" s="13"/>
    </row>
    <row r="2176" spans="1:7" x14ac:dyDescent="0.2">
      <c r="A2176" s="13"/>
      <c r="B2176" s="13"/>
      <c r="D2176" s="13"/>
      <c r="E2176" s="13"/>
      <c r="F2176" s="13"/>
    </row>
    <row r="2177" spans="1:7" x14ac:dyDescent="0.2">
      <c r="A2177" s="13"/>
      <c r="B2177" s="13"/>
      <c r="D2177" s="13"/>
      <c r="E2177" s="13"/>
      <c r="G2177" s="13"/>
    </row>
    <row r="2178" spans="1:7" x14ac:dyDescent="0.2">
      <c r="A2178" s="13"/>
      <c r="B2178" s="13"/>
      <c r="D2178" s="13"/>
      <c r="E2178" s="13"/>
      <c r="F2178" s="13"/>
    </row>
    <row r="2179" spans="1:7" x14ac:dyDescent="0.2">
      <c r="A2179" s="13"/>
      <c r="B2179" s="13"/>
      <c r="D2179" s="13"/>
      <c r="E2179" s="13"/>
      <c r="F2179" s="13"/>
    </row>
    <row r="2180" spans="1:7" x14ac:dyDescent="0.2">
      <c r="A2180" s="13"/>
      <c r="B2180" s="13"/>
      <c r="D2180" s="13"/>
      <c r="E2180" s="13"/>
      <c r="F2180" s="13"/>
    </row>
    <row r="2181" spans="1:7" x14ac:dyDescent="0.2">
      <c r="A2181" s="13"/>
      <c r="B2181" s="13"/>
      <c r="D2181" s="13"/>
      <c r="E2181" s="13"/>
      <c r="F2181" s="13"/>
    </row>
    <row r="2182" spans="1:7" x14ac:dyDescent="0.2">
      <c r="A2182" s="13"/>
      <c r="B2182" s="13"/>
      <c r="D2182" s="13"/>
      <c r="E2182" s="13"/>
      <c r="F2182" s="13"/>
    </row>
    <row r="2183" spans="1:7" x14ac:dyDescent="0.2">
      <c r="A2183" s="13"/>
      <c r="B2183" s="13"/>
      <c r="D2183" s="13"/>
      <c r="E2183" s="13"/>
      <c r="F2183" s="13"/>
    </row>
    <row r="2184" spans="1:7" x14ac:dyDescent="0.2">
      <c r="A2184" s="13"/>
      <c r="B2184" s="13"/>
      <c r="D2184" s="13"/>
      <c r="E2184" s="13"/>
      <c r="G2184" s="13"/>
    </row>
    <row r="2185" spans="1:7" x14ac:dyDescent="0.2">
      <c r="A2185" s="13"/>
      <c r="B2185" s="13"/>
      <c r="D2185" s="13"/>
      <c r="E2185" s="13"/>
      <c r="G2185" s="13"/>
    </row>
    <row r="2186" spans="1:7" x14ac:dyDescent="0.2">
      <c r="A2186" s="13"/>
      <c r="B2186" s="13"/>
      <c r="D2186" s="13"/>
      <c r="E2186" s="13"/>
      <c r="F2186" s="13"/>
    </row>
    <row r="2187" spans="1:7" x14ac:dyDescent="0.2">
      <c r="A2187" s="13"/>
      <c r="B2187" s="13"/>
      <c r="D2187" s="13"/>
      <c r="E2187" s="13"/>
      <c r="G2187" s="13"/>
    </row>
    <row r="2188" spans="1:7" x14ac:dyDescent="0.2">
      <c r="A2188" s="13"/>
      <c r="B2188" s="13"/>
      <c r="D2188" s="13"/>
      <c r="E2188" s="13"/>
      <c r="G2188" s="13"/>
    </row>
    <row r="2189" spans="1:7" x14ac:dyDescent="0.2">
      <c r="A2189" s="13"/>
      <c r="B2189" s="13"/>
      <c r="D2189" s="13"/>
      <c r="E2189" s="13"/>
      <c r="G2189" s="13"/>
    </row>
    <row r="2190" spans="1:7" x14ac:dyDescent="0.2">
      <c r="A2190" s="13"/>
      <c r="B2190" s="13"/>
      <c r="D2190" s="13"/>
      <c r="E2190" s="13"/>
      <c r="F2190" s="13"/>
    </row>
    <row r="2191" spans="1:7" x14ac:dyDescent="0.2">
      <c r="A2191" s="13"/>
      <c r="B2191" s="13"/>
      <c r="D2191" s="13"/>
      <c r="E2191" s="13"/>
      <c r="F2191" s="13"/>
    </row>
    <row r="2192" spans="1:7" x14ac:dyDescent="0.2">
      <c r="A2192" s="13"/>
      <c r="B2192" s="13"/>
      <c r="D2192" s="13"/>
      <c r="E2192" s="13"/>
      <c r="F2192" s="13"/>
    </row>
    <row r="2193" spans="1:7" x14ac:dyDescent="0.2">
      <c r="A2193" s="13"/>
      <c r="B2193" s="13"/>
      <c r="D2193" s="13"/>
      <c r="E2193" s="13"/>
      <c r="F2193" s="13"/>
    </row>
    <row r="2194" spans="1:7" x14ac:dyDescent="0.2">
      <c r="A2194" s="13"/>
      <c r="B2194" s="13"/>
      <c r="D2194" s="13"/>
      <c r="E2194" s="13"/>
      <c r="G2194" s="13"/>
    </row>
    <row r="2195" spans="1:7" x14ac:dyDescent="0.2">
      <c r="A2195" s="13"/>
      <c r="B2195" s="13"/>
      <c r="D2195" s="13"/>
      <c r="E2195" s="13"/>
      <c r="G2195" s="13"/>
    </row>
    <row r="2196" spans="1:7" x14ac:dyDescent="0.2">
      <c r="A2196" s="13"/>
      <c r="B2196" s="13"/>
      <c r="D2196" s="13"/>
      <c r="E2196" s="13"/>
      <c r="G2196" s="13"/>
    </row>
    <row r="2197" spans="1:7" x14ac:dyDescent="0.2">
      <c r="A2197" s="13"/>
      <c r="B2197" s="13"/>
      <c r="D2197" s="13"/>
      <c r="E2197" s="13"/>
      <c r="G2197" s="13"/>
    </row>
    <row r="2198" spans="1:7" x14ac:dyDescent="0.2">
      <c r="A2198" s="13"/>
      <c r="B2198" s="13"/>
      <c r="D2198" s="13"/>
      <c r="E2198" s="13"/>
      <c r="G2198" s="13"/>
    </row>
    <row r="2199" spans="1:7" x14ac:dyDescent="0.2">
      <c r="A2199" s="13"/>
      <c r="B2199" s="13"/>
      <c r="D2199" s="13"/>
      <c r="E2199" s="13"/>
      <c r="G2199" s="13"/>
    </row>
    <row r="2200" spans="1:7" x14ac:dyDescent="0.2">
      <c r="A2200" s="13"/>
      <c r="B2200" s="13"/>
      <c r="D2200" s="13"/>
      <c r="E2200" s="13"/>
      <c r="G2200" s="13"/>
    </row>
    <row r="2201" spans="1:7" x14ac:dyDescent="0.2">
      <c r="A2201" s="13"/>
      <c r="B2201" s="13"/>
      <c r="D2201" s="13"/>
      <c r="E2201" s="13"/>
      <c r="F2201" s="13"/>
    </row>
    <row r="2202" spans="1:7" x14ac:dyDescent="0.2">
      <c r="A2202" s="13"/>
      <c r="B2202" s="13"/>
      <c r="D2202" s="13"/>
      <c r="E2202" s="13"/>
      <c r="F2202" s="13"/>
    </row>
    <row r="2203" spans="1:7" x14ac:dyDescent="0.2">
      <c r="A2203" s="13"/>
      <c r="B2203" s="13"/>
      <c r="D2203" s="13"/>
      <c r="E2203" s="13"/>
      <c r="F2203" s="13"/>
    </row>
    <row r="2204" spans="1:7" x14ac:dyDescent="0.2">
      <c r="A2204" s="13"/>
      <c r="B2204" s="13"/>
      <c r="D2204" s="13"/>
      <c r="E2204" s="13"/>
      <c r="F2204" s="13"/>
    </row>
    <row r="2205" spans="1:7" x14ac:dyDescent="0.2">
      <c r="A2205" s="13"/>
      <c r="B2205" s="13"/>
      <c r="D2205" s="13"/>
      <c r="E2205" s="13"/>
      <c r="G2205" s="13"/>
    </row>
    <row r="2206" spans="1:7" x14ac:dyDescent="0.2">
      <c r="A2206" s="13"/>
      <c r="B2206" s="13"/>
      <c r="D2206" s="13"/>
      <c r="E2206" s="13"/>
      <c r="G2206" s="13"/>
    </row>
    <row r="2207" spans="1:7" x14ac:dyDescent="0.2">
      <c r="A2207" s="13"/>
      <c r="B2207" s="13"/>
      <c r="D2207" s="13"/>
      <c r="E2207" s="13"/>
      <c r="G2207" s="13"/>
    </row>
    <row r="2208" spans="1:7" x14ac:dyDescent="0.2">
      <c r="A2208" s="13"/>
      <c r="B2208" s="13"/>
      <c r="D2208" s="13"/>
      <c r="E2208" s="13"/>
      <c r="F2208" s="13"/>
    </row>
    <row r="2209" spans="1:7" x14ac:dyDescent="0.2">
      <c r="A2209" s="13"/>
      <c r="B2209" s="13"/>
      <c r="D2209" s="13"/>
      <c r="E2209" s="13"/>
      <c r="F2209" s="13"/>
    </row>
    <row r="2210" spans="1:7" x14ac:dyDescent="0.2">
      <c r="A2210" s="13"/>
      <c r="B2210" s="13"/>
      <c r="D2210" s="13"/>
      <c r="E2210" s="13"/>
      <c r="F2210" s="13"/>
    </row>
    <row r="2211" spans="1:7" x14ac:dyDescent="0.2">
      <c r="A2211" s="13"/>
      <c r="B2211" s="13"/>
      <c r="D2211" s="13"/>
      <c r="E2211" s="13"/>
      <c r="F2211" s="13"/>
    </row>
    <row r="2212" spans="1:7" x14ac:dyDescent="0.2">
      <c r="A2212" s="13"/>
      <c r="B2212" s="13"/>
      <c r="D2212" s="13"/>
      <c r="E2212" s="13"/>
      <c r="F2212" s="13"/>
    </row>
    <row r="2213" spans="1:7" x14ac:dyDescent="0.2">
      <c r="A2213" s="13"/>
      <c r="B2213" s="13"/>
      <c r="D2213" s="13"/>
      <c r="E2213" s="13"/>
      <c r="F2213" s="13"/>
    </row>
    <row r="2214" spans="1:7" x14ac:dyDescent="0.2">
      <c r="A2214" s="13"/>
      <c r="B2214" s="13"/>
      <c r="D2214" s="13"/>
      <c r="E2214" s="13"/>
      <c r="F2214" s="13"/>
    </row>
    <row r="2215" spans="1:7" x14ac:dyDescent="0.2">
      <c r="A2215" s="13"/>
      <c r="B2215" s="13"/>
      <c r="D2215" s="13"/>
      <c r="E2215" s="13"/>
      <c r="F2215" s="13"/>
    </row>
    <row r="2216" spans="1:7" x14ac:dyDescent="0.2">
      <c r="A2216" s="13"/>
      <c r="B2216" s="13"/>
      <c r="D2216" s="13"/>
      <c r="E2216" s="13"/>
      <c r="F2216" s="13"/>
    </row>
    <row r="2217" spans="1:7" x14ac:dyDescent="0.2">
      <c r="A2217" s="13"/>
      <c r="B2217" s="13"/>
      <c r="D2217" s="13"/>
      <c r="E2217" s="13"/>
      <c r="F2217" s="13"/>
    </row>
    <row r="2218" spans="1:7" x14ac:dyDescent="0.2">
      <c r="A2218" s="13"/>
      <c r="B2218" s="13"/>
      <c r="D2218" s="13"/>
      <c r="E2218" s="13"/>
      <c r="F2218" s="13"/>
    </row>
    <row r="2219" spans="1:7" x14ac:dyDescent="0.2">
      <c r="A2219" s="13"/>
      <c r="B2219" s="13"/>
      <c r="D2219" s="13"/>
      <c r="E2219" s="13"/>
      <c r="F2219" s="13"/>
    </row>
    <row r="2220" spans="1:7" x14ac:dyDescent="0.2">
      <c r="A2220" s="13"/>
      <c r="B2220" s="13"/>
      <c r="D2220" s="13"/>
      <c r="E2220" s="13"/>
      <c r="G2220" s="13"/>
    </row>
    <row r="2221" spans="1:7" x14ac:dyDescent="0.2">
      <c r="A2221" s="13"/>
      <c r="B2221" s="13"/>
      <c r="D2221" s="13"/>
      <c r="E2221" s="13"/>
      <c r="G2221" s="13"/>
    </row>
    <row r="2222" spans="1:7" x14ac:dyDescent="0.2">
      <c r="A2222" s="13"/>
      <c r="B2222" s="13"/>
      <c r="D2222" s="13"/>
      <c r="E2222" s="13"/>
      <c r="G2222" s="13"/>
    </row>
    <row r="2223" spans="1:7" x14ac:dyDescent="0.2">
      <c r="A2223" s="13"/>
      <c r="B2223" s="13"/>
      <c r="D2223" s="13"/>
      <c r="E2223" s="13"/>
      <c r="F2223" s="13"/>
    </row>
    <row r="2224" spans="1:7" x14ac:dyDescent="0.2">
      <c r="A2224" s="13"/>
      <c r="B2224" s="13"/>
      <c r="D2224" s="13"/>
      <c r="E2224" s="13"/>
      <c r="F2224" s="13"/>
    </row>
    <row r="2225" spans="1:7" x14ac:dyDescent="0.2">
      <c r="A2225" s="13"/>
      <c r="B2225" s="13"/>
      <c r="D2225" s="13"/>
      <c r="E2225" s="13"/>
      <c r="G2225" s="13"/>
    </row>
    <row r="2226" spans="1:7" x14ac:dyDescent="0.2">
      <c r="A2226" s="13"/>
      <c r="B2226" s="13"/>
      <c r="D2226" s="13"/>
      <c r="E2226" s="13"/>
      <c r="G2226" s="13"/>
    </row>
    <row r="2227" spans="1:7" x14ac:dyDescent="0.2">
      <c r="A2227" s="13"/>
      <c r="B2227" s="13"/>
      <c r="D2227" s="13"/>
      <c r="E2227" s="13"/>
      <c r="G2227" s="13"/>
    </row>
    <row r="2228" spans="1:7" x14ac:dyDescent="0.2">
      <c r="A2228" s="13"/>
      <c r="B2228" s="13"/>
      <c r="D2228" s="13"/>
      <c r="E2228" s="13"/>
      <c r="F2228" s="13"/>
    </row>
    <row r="2229" spans="1:7" x14ac:dyDescent="0.2">
      <c r="A2229" s="13"/>
      <c r="B2229" s="13"/>
      <c r="D2229" s="13"/>
      <c r="E2229" s="13"/>
      <c r="F2229" s="13"/>
    </row>
    <row r="2230" spans="1:7" x14ac:dyDescent="0.2">
      <c r="A2230" s="13"/>
      <c r="B2230" s="13"/>
      <c r="D2230" s="13"/>
      <c r="E2230" s="13"/>
      <c r="F2230" s="13"/>
    </row>
    <row r="2231" spans="1:7" x14ac:dyDescent="0.2">
      <c r="A2231" s="13"/>
      <c r="B2231" s="13"/>
      <c r="D2231" s="13"/>
      <c r="E2231" s="13"/>
      <c r="F2231" s="13"/>
    </row>
    <row r="2232" spans="1:7" x14ac:dyDescent="0.2">
      <c r="A2232" s="13"/>
      <c r="B2232" s="13"/>
      <c r="D2232" s="13"/>
      <c r="E2232" s="13"/>
      <c r="F2232" s="13"/>
    </row>
    <row r="2233" spans="1:7" x14ac:dyDescent="0.2">
      <c r="A2233" s="13"/>
      <c r="B2233" s="13"/>
      <c r="D2233" s="13"/>
      <c r="E2233" s="13"/>
      <c r="F2233" s="13"/>
    </row>
    <row r="2234" spans="1:7" x14ac:dyDescent="0.2">
      <c r="A2234" s="13"/>
      <c r="B2234" s="13"/>
      <c r="D2234" s="13"/>
      <c r="E2234" s="13"/>
      <c r="F2234" s="13"/>
    </row>
    <row r="2235" spans="1:7" x14ac:dyDescent="0.2">
      <c r="A2235" s="13"/>
      <c r="B2235" s="13"/>
      <c r="D2235" s="13"/>
      <c r="E2235" s="13"/>
      <c r="F2235" s="13"/>
    </row>
    <row r="2236" spans="1:7" x14ac:dyDescent="0.2">
      <c r="A2236" s="13"/>
      <c r="B2236" s="13"/>
      <c r="D2236" s="13"/>
      <c r="E2236" s="13"/>
      <c r="G2236" s="13"/>
    </row>
    <row r="2237" spans="1:7" x14ac:dyDescent="0.2">
      <c r="A2237" s="13"/>
      <c r="B2237" s="13"/>
      <c r="D2237" s="13"/>
      <c r="E2237" s="13"/>
      <c r="G2237" s="13"/>
    </row>
    <row r="2238" spans="1:7" x14ac:dyDescent="0.2">
      <c r="A2238" s="13"/>
      <c r="B2238" s="13"/>
      <c r="D2238" s="13"/>
      <c r="E2238" s="13"/>
      <c r="G2238" s="13"/>
    </row>
    <row r="2239" spans="1:7" x14ac:dyDescent="0.2">
      <c r="A2239" s="13"/>
      <c r="B2239" s="13"/>
      <c r="D2239" s="13"/>
      <c r="E2239" s="13"/>
      <c r="F2239" s="13"/>
    </row>
    <row r="2240" spans="1:7" x14ac:dyDescent="0.2">
      <c r="A2240" s="13"/>
      <c r="B2240" s="13"/>
      <c r="D2240" s="13"/>
      <c r="E2240" s="13"/>
      <c r="F2240" s="13"/>
    </row>
    <row r="2241" spans="1:7" x14ac:dyDescent="0.2">
      <c r="A2241" s="13"/>
      <c r="B2241" s="13"/>
      <c r="D2241" s="13"/>
      <c r="E2241" s="13"/>
      <c r="G2241" s="13"/>
    </row>
    <row r="2242" spans="1:7" x14ac:dyDescent="0.2">
      <c r="A2242" s="13"/>
      <c r="B2242" s="13"/>
      <c r="D2242" s="13"/>
      <c r="E2242" s="13"/>
      <c r="G2242" s="13"/>
    </row>
    <row r="2243" spans="1:7" x14ac:dyDescent="0.2">
      <c r="A2243" s="13"/>
      <c r="B2243" s="13"/>
      <c r="D2243" s="13"/>
      <c r="E2243" s="13"/>
      <c r="F2243" s="13"/>
    </row>
    <row r="2244" spans="1:7" x14ac:dyDescent="0.2">
      <c r="A2244" s="13"/>
      <c r="B2244" s="13"/>
      <c r="D2244" s="13"/>
      <c r="E2244" s="13"/>
      <c r="F2244" s="13"/>
    </row>
    <row r="2245" spans="1:7" x14ac:dyDescent="0.2">
      <c r="A2245" s="13"/>
      <c r="B2245" s="13"/>
      <c r="D2245" s="13"/>
      <c r="E2245" s="13"/>
      <c r="F2245" s="13"/>
    </row>
    <row r="2246" spans="1:7" x14ac:dyDescent="0.2">
      <c r="A2246" s="13"/>
      <c r="B2246" s="13"/>
      <c r="D2246" s="13"/>
      <c r="E2246" s="13"/>
      <c r="F2246" s="13"/>
    </row>
    <row r="2247" spans="1:7" x14ac:dyDescent="0.2">
      <c r="A2247" s="13"/>
      <c r="B2247" s="13"/>
      <c r="D2247" s="13"/>
      <c r="E2247" s="13"/>
      <c r="G2247" s="13"/>
    </row>
    <row r="2248" spans="1:7" x14ac:dyDescent="0.2">
      <c r="A2248" s="13"/>
      <c r="B2248" s="13"/>
      <c r="D2248" s="13"/>
      <c r="E2248" s="13"/>
      <c r="F2248" s="13"/>
    </row>
    <row r="2249" spans="1:7" x14ac:dyDescent="0.2">
      <c r="A2249" s="13"/>
      <c r="B2249" s="13"/>
      <c r="D2249" s="13"/>
      <c r="E2249" s="13"/>
      <c r="F2249" s="13"/>
    </row>
    <row r="2250" spans="1:7" x14ac:dyDescent="0.2">
      <c r="A2250" s="13"/>
      <c r="B2250" s="13"/>
      <c r="D2250" s="13"/>
      <c r="E2250" s="13"/>
      <c r="F2250" s="13"/>
    </row>
    <row r="2251" spans="1:7" x14ac:dyDescent="0.2">
      <c r="A2251" s="13"/>
      <c r="B2251" s="13"/>
      <c r="D2251" s="13"/>
      <c r="E2251" s="13"/>
      <c r="G2251" s="13"/>
    </row>
    <row r="2252" spans="1:7" x14ac:dyDescent="0.2">
      <c r="A2252" s="13"/>
      <c r="B2252" s="13"/>
      <c r="D2252" s="13"/>
      <c r="E2252" s="13"/>
      <c r="G2252" s="13"/>
    </row>
    <row r="2253" spans="1:7" x14ac:dyDescent="0.2">
      <c r="A2253" s="13"/>
      <c r="B2253" s="13"/>
      <c r="D2253" s="13"/>
      <c r="E2253" s="13"/>
      <c r="G2253" s="13"/>
    </row>
    <row r="2254" spans="1:7" x14ac:dyDescent="0.2">
      <c r="A2254" s="13"/>
      <c r="B2254" s="13"/>
      <c r="D2254" s="13"/>
      <c r="E2254" s="13"/>
      <c r="G2254" s="13"/>
    </row>
    <row r="2255" spans="1:7" x14ac:dyDescent="0.2">
      <c r="A2255" s="13"/>
      <c r="B2255" s="13"/>
      <c r="D2255" s="13"/>
      <c r="E2255" s="13"/>
      <c r="G2255" s="13"/>
    </row>
    <row r="2256" spans="1:7" x14ac:dyDescent="0.2">
      <c r="A2256" s="13"/>
      <c r="B2256" s="13"/>
      <c r="D2256" s="13"/>
      <c r="E2256" s="13"/>
      <c r="G2256" s="13"/>
    </row>
    <row r="2257" spans="1:7" x14ac:dyDescent="0.2">
      <c r="A2257" s="13"/>
      <c r="B2257" s="13"/>
      <c r="D2257" s="13"/>
      <c r="E2257" s="13"/>
      <c r="G2257" s="13"/>
    </row>
    <row r="2258" spans="1:7" x14ac:dyDescent="0.2">
      <c r="A2258" s="13"/>
      <c r="B2258" s="13"/>
      <c r="D2258" s="13"/>
      <c r="E2258" s="13"/>
      <c r="G2258" s="13"/>
    </row>
    <row r="2259" spans="1:7" x14ac:dyDescent="0.2">
      <c r="A2259" s="13"/>
      <c r="B2259" s="13"/>
      <c r="D2259" s="13"/>
      <c r="E2259" s="13"/>
      <c r="G2259" s="13"/>
    </row>
    <row r="2260" spans="1:7" x14ac:dyDescent="0.2">
      <c r="A2260" s="13"/>
      <c r="B2260" s="13"/>
      <c r="D2260" s="13"/>
      <c r="E2260" s="13"/>
      <c r="G2260" s="13"/>
    </row>
    <row r="2261" spans="1:7" x14ac:dyDescent="0.2">
      <c r="A2261" s="13"/>
      <c r="B2261" s="13"/>
      <c r="D2261" s="13"/>
      <c r="E2261" s="13"/>
      <c r="G2261" s="13"/>
    </row>
    <row r="2262" spans="1:7" x14ac:dyDescent="0.2">
      <c r="A2262" s="13"/>
      <c r="B2262" s="13"/>
      <c r="D2262" s="13"/>
      <c r="E2262" s="13"/>
      <c r="F2262" s="13"/>
    </row>
    <row r="2263" spans="1:7" x14ac:dyDescent="0.2">
      <c r="A2263" s="13"/>
      <c r="B2263" s="13"/>
      <c r="D2263" s="13"/>
      <c r="E2263" s="13"/>
      <c r="F2263" s="13"/>
    </row>
    <row r="2264" spans="1:7" x14ac:dyDescent="0.2">
      <c r="A2264" s="13"/>
      <c r="B2264" s="13"/>
      <c r="D2264" s="13"/>
      <c r="E2264" s="13"/>
      <c r="F2264" s="13"/>
    </row>
    <row r="2265" spans="1:7" x14ac:dyDescent="0.2">
      <c r="A2265" s="13"/>
      <c r="B2265" s="13"/>
      <c r="D2265" s="13"/>
      <c r="E2265" s="13"/>
      <c r="F2265" s="13"/>
    </row>
    <row r="2266" spans="1:7" x14ac:dyDescent="0.2">
      <c r="A2266" s="13"/>
      <c r="B2266" s="13"/>
      <c r="D2266" s="13"/>
      <c r="E2266" s="13"/>
      <c r="F2266" s="13"/>
    </row>
    <row r="2267" spans="1:7" x14ac:dyDescent="0.2">
      <c r="A2267" s="13"/>
      <c r="B2267" s="13"/>
      <c r="D2267" s="13"/>
      <c r="E2267" s="13"/>
      <c r="F2267" s="13"/>
    </row>
    <row r="2268" spans="1:7" x14ac:dyDescent="0.2">
      <c r="A2268" s="13"/>
      <c r="B2268" s="13"/>
      <c r="D2268" s="13"/>
      <c r="E2268" s="13"/>
      <c r="F2268" s="13"/>
    </row>
    <row r="2269" spans="1:7" x14ac:dyDescent="0.2">
      <c r="A2269" s="13"/>
      <c r="B2269" s="13"/>
      <c r="D2269" s="13"/>
      <c r="E2269" s="13"/>
      <c r="F2269" s="13"/>
    </row>
    <row r="2270" spans="1:7" x14ac:dyDescent="0.2">
      <c r="A2270" s="13"/>
      <c r="B2270" s="13"/>
      <c r="D2270" s="13"/>
      <c r="E2270" s="13"/>
      <c r="F2270" s="13"/>
    </row>
    <row r="2271" spans="1:7" x14ac:dyDescent="0.2">
      <c r="A2271" s="13"/>
      <c r="B2271" s="13"/>
      <c r="D2271" s="13"/>
      <c r="E2271" s="13"/>
      <c r="F2271" s="13"/>
    </row>
    <row r="2272" spans="1:7" x14ac:dyDescent="0.2">
      <c r="A2272" s="13"/>
      <c r="B2272" s="13"/>
      <c r="D2272" s="13"/>
      <c r="E2272" s="13"/>
      <c r="F2272" s="13"/>
    </row>
    <row r="2273" spans="1:7" x14ac:dyDescent="0.2">
      <c r="A2273" s="13"/>
      <c r="B2273" s="13"/>
      <c r="D2273" s="13"/>
      <c r="E2273" s="13"/>
      <c r="G2273" s="13"/>
    </row>
    <row r="2274" spans="1:7" x14ac:dyDescent="0.2">
      <c r="A2274" s="13"/>
      <c r="B2274" s="13"/>
      <c r="D2274" s="13"/>
      <c r="E2274" s="13"/>
      <c r="G2274" s="13"/>
    </row>
    <row r="2275" spans="1:7" x14ac:dyDescent="0.2">
      <c r="A2275" s="13"/>
      <c r="B2275" s="13"/>
      <c r="D2275" s="13"/>
      <c r="E2275" s="13"/>
      <c r="G2275" s="13"/>
    </row>
    <row r="2276" spans="1:7" x14ac:dyDescent="0.2">
      <c r="A2276" s="13"/>
      <c r="B2276" s="13"/>
      <c r="D2276" s="13"/>
      <c r="E2276" s="13"/>
      <c r="G2276" s="13"/>
    </row>
    <row r="2277" spans="1:7" x14ac:dyDescent="0.2">
      <c r="A2277" s="13"/>
      <c r="B2277" s="13"/>
      <c r="D2277" s="13"/>
      <c r="E2277" s="13"/>
      <c r="G2277" s="13"/>
    </row>
    <row r="2278" spans="1:7" x14ac:dyDescent="0.2">
      <c r="A2278" s="13"/>
      <c r="B2278" s="13"/>
      <c r="D2278" s="13"/>
      <c r="E2278" s="13"/>
      <c r="G2278" s="13"/>
    </row>
    <row r="2279" spans="1:7" x14ac:dyDescent="0.2">
      <c r="A2279" s="13"/>
      <c r="B2279" s="13"/>
      <c r="D2279" s="13"/>
      <c r="E2279" s="13"/>
      <c r="F2279" s="13"/>
    </row>
    <row r="2280" spans="1:7" x14ac:dyDescent="0.2">
      <c r="A2280" s="13"/>
      <c r="B2280" s="13"/>
      <c r="D2280" s="13"/>
      <c r="E2280" s="13"/>
      <c r="F2280" s="13"/>
    </row>
    <row r="2281" spans="1:7" x14ac:dyDescent="0.2">
      <c r="A2281" s="13"/>
      <c r="B2281" s="13"/>
      <c r="D2281" s="13"/>
      <c r="E2281" s="13"/>
      <c r="G2281" s="13"/>
    </row>
    <row r="2282" spans="1:7" x14ac:dyDescent="0.2">
      <c r="A2282" s="13"/>
      <c r="B2282" s="13"/>
      <c r="D2282" s="13"/>
      <c r="E2282" s="13"/>
      <c r="G2282" s="13"/>
    </row>
    <row r="2283" spans="1:7" x14ac:dyDescent="0.2">
      <c r="A2283" s="13"/>
      <c r="B2283" s="13"/>
      <c r="D2283" s="13"/>
      <c r="E2283" s="13"/>
      <c r="F2283" s="13"/>
    </row>
    <row r="2284" spans="1:7" x14ac:dyDescent="0.2">
      <c r="A2284" s="13"/>
      <c r="B2284" s="13"/>
      <c r="D2284" s="13"/>
      <c r="E2284" s="13"/>
      <c r="F2284" s="13"/>
    </row>
    <row r="2285" spans="1:7" x14ac:dyDescent="0.2">
      <c r="A2285" s="13"/>
      <c r="B2285" s="13"/>
      <c r="D2285" s="13"/>
      <c r="E2285" s="13"/>
      <c r="G2285" s="13"/>
    </row>
    <row r="2286" spans="1:7" x14ac:dyDescent="0.2">
      <c r="A2286" s="13"/>
      <c r="B2286" s="13"/>
      <c r="D2286" s="13"/>
      <c r="E2286" s="13"/>
      <c r="F2286" s="13"/>
    </row>
    <row r="2287" spans="1:7" x14ac:dyDescent="0.2">
      <c r="A2287" s="13"/>
      <c r="B2287" s="13"/>
      <c r="D2287" s="13"/>
      <c r="E2287" s="13"/>
      <c r="G2287" s="13"/>
    </row>
    <row r="2288" spans="1:7" x14ac:dyDescent="0.2">
      <c r="A2288" s="13"/>
      <c r="B2288" s="13"/>
      <c r="D2288" s="13"/>
      <c r="E2288" s="13"/>
      <c r="G2288" s="13"/>
    </row>
    <row r="2289" spans="1:7" x14ac:dyDescent="0.2">
      <c r="A2289" s="13"/>
      <c r="B2289" s="13"/>
      <c r="D2289" s="13"/>
      <c r="E2289" s="13"/>
      <c r="G2289" s="13"/>
    </row>
    <row r="2290" spans="1:7" x14ac:dyDescent="0.2">
      <c r="A2290" s="13"/>
      <c r="B2290" s="13"/>
      <c r="D2290" s="13"/>
      <c r="E2290" s="13"/>
      <c r="G2290" s="13"/>
    </row>
    <row r="2291" spans="1:7" x14ac:dyDescent="0.2">
      <c r="A2291" s="13"/>
      <c r="B2291" s="13"/>
      <c r="D2291" s="13"/>
      <c r="E2291" s="13"/>
      <c r="G2291" s="13"/>
    </row>
    <row r="2292" spans="1:7" x14ac:dyDescent="0.2">
      <c r="A2292" s="13"/>
      <c r="B2292" s="13"/>
      <c r="D2292" s="13"/>
      <c r="E2292" s="13"/>
      <c r="G2292" s="13"/>
    </row>
    <row r="2293" spans="1:7" x14ac:dyDescent="0.2">
      <c r="A2293" s="13"/>
      <c r="B2293" s="13"/>
      <c r="D2293" s="13"/>
      <c r="E2293" s="13"/>
      <c r="F2293" s="13"/>
    </row>
    <row r="2294" spans="1:7" x14ac:dyDescent="0.2">
      <c r="A2294" s="13"/>
      <c r="B2294" s="13"/>
      <c r="D2294" s="13"/>
      <c r="E2294" s="13"/>
      <c r="F2294" s="13"/>
    </row>
    <row r="2295" spans="1:7" x14ac:dyDescent="0.2">
      <c r="A2295" s="13"/>
      <c r="B2295" s="13"/>
      <c r="D2295" s="13"/>
      <c r="E2295" s="13"/>
      <c r="F2295" s="13"/>
    </row>
    <row r="2296" spans="1:7" x14ac:dyDescent="0.2">
      <c r="A2296" s="13"/>
      <c r="B2296" s="13"/>
      <c r="D2296" s="13"/>
      <c r="E2296" s="13"/>
      <c r="F2296" s="13"/>
    </row>
    <row r="2297" spans="1:7" x14ac:dyDescent="0.2">
      <c r="A2297" s="13"/>
      <c r="B2297" s="13"/>
      <c r="D2297" s="13"/>
      <c r="E2297" s="13"/>
      <c r="F2297" s="13"/>
    </row>
    <row r="2298" spans="1:7" x14ac:dyDescent="0.2">
      <c r="A2298" s="13"/>
      <c r="B2298" s="13"/>
      <c r="D2298" s="13"/>
      <c r="E2298" s="13"/>
      <c r="F2298" s="13"/>
    </row>
    <row r="2299" spans="1:7" x14ac:dyDescent="0.2">
      <c r="A2299" s="13"/>
      <c r="B2299" s="13"/>
      <c r="D2299" s="13"/>
      <c r="E2299" s="13"/>
      <c r="F2299" s="13"/>
    </row>
    <row r="2300" spans="1:7" x14ac:dyDescent="0.2">
      <c r="A2300" s="13"/>
      <c r="B2300" s="13"/>
      <c r="D2300" s="13"/>
      <c r="E2300" s="13"/>
      <c r="G2300" s="13"/>
    </row>
    <row r="2301" spans="1:7" x14ac:dyDescent="0.2">
      <c r="A2301" s="13"/>
      <c r="B2301" s="13"/>
      <c r="D2301" s="13"/>
      <c r="E2301" s="13"/>
      <c r="G2301" s="13"/>
    </row>
    <row r="2302" spans="1:7" x14ac:dyDescent="0.2">
      <c r="A2302" s="13"/>
      <c r="B2302" s="13"/>
      <c r="D2302" s="13"/>
      <c r="E2302" s="13"/>
      <c r="F2302" s="13"/>
    </row>
    <row r="2303" spans="1:7" x14ac:dyDescent="0.2">
      <c r="A2303" s="13"/>
      <c r="B2303" s="13"/>
      <c r="D2303" s="13"/>
      <c r="E2303" s="13"/>
      <c r="G2303" s="13"/>
    </row>
    <row r="2304" spans="1:7" x14ac:dyDescent="0.2">
      <c r="A2304" s="13"/>
      <c r="B2304" s="13"/>
      <c r="D2304" s="13"/>
      <c r="E2304" s="13"/>
      <c r="F2304" s="13"/>
    </row>
    <row r="2305" spans="1:7" x14ac:dyDescent="0.2">
      <c r="A2305" s="13"/>
      <c r="B2305" s="13"/>
      <c r="D2305" s="13"/>
      <c r="E2305" s="13"/>
      <c r="F2305" s="13"/>
    </row>
    <row r="2306" spans="1:7" x14ac:dyDescent="0.2">
      <c r="A2306" s="13"/>
      <c r="B2306" s="13"/>
      <c r="D2306" s="13"/>
      <c r="E2306" s="13"/>
      <c r="F2306" s="13"/>
    </row>
    <row r="2307" spans="1:7" x14ac:dyDescent="0.2">
      <c r="A2307" s="13"/>
      <c r="B2307" s="13"/>
      <c r="D2307" s="13"/>
      <c r="E2307" s="13"/>
      <c r="F2307" s="13"/>
    </row>
    <row r="2308" spans="1:7" x14ac:dyDescent="0.2">
      <c r="A2308" s="13"/>
      <c r="B2308" s="13"/>
      <c r="D2308" s="13"/>
      <c r="E2308" s="13"/>
      <c r="F2308" s="13"/>
    </row>
    <row r="2309" spans="1:7" x14ac:dyDescent="0.2">
      <c r="A2309" s="13"/>
      <c r="B2309" s="13"/>
      <c r="D2309" s="13"/>
      <c r="E2309" s="13"/>
      <c r="F2309" s="13"/>
    </row>
    <row r="2310" spans="1:7" x14ac:dyDescent="0.2">
      <c r="A2310" s="13"/>
      <c r="B2310" s="13"/>
      <c r="D2310" s="13"/>
      <c r="E2310" s="13"/>
      <c r="G2310" s="13"/>
    </row>
    <row r="2311" spans="1:7" x14ac:dyDescent="0.2">
      <c r="A2311" s="13"/>
      <c r="B2311" s="13"/>
      <c r="D2311" s="13"/>
      <c r="E2311" s="13"/>
      <c r="G2311" s="13"/>
    </row>
    <row r="2312" spans="1:7" x14ac:dyDescent="0.2">
      <c r="A2312" s="13"/>
      <c r="B2312" s="13"/>
      <c r="D2312" s="13"/>
      <c r="E2312" s="13"/>
      <c r="G2312" s="13"/>
    </row>
    <row r="2313" spans="1:7" x14ac:dyDescent="0.2">
      <c r="A2313" s="13"/>
      <c r="B2313" s="13"/>
      <c r="D2313" s="13"/>
      <c r="E2313" s="13"/>
      <c r="G2313" s="13"/>
    </row>
    <row r="2314" spans="1:7" x14ac:dyDescent="0.2">
      <c r="A2314" s="13"/>
      <c r="B2314" s="13"/>
      <c r="D2314" s="13"/>
      <c r="E2314" s="13"/>
      <c r="G2314" s="13"/>
    </row>
    <row r="2315" spans="1:7" x14ac:dyDescent="0.2">
      <c r="A2315" s="13"/>
      <c r="B2315" s="13"/>
      <c r="D2315" s="13"/>
      <c r="E2315" s="13"/>
      <c r="F2315" s="13"/>
    </row>
    <row r="2316" spans="1:7" x14ac:dyDescent="0.2">
      <c r="A2316" s="13"/>
      <c r="B2316" s="13"/>
      <c r="D2316" s="13"/>
      <c r="E2316" s="13"/>
      <c r="F2316" s="13"/>
    </row>
    <row r="2317" spans="1:7" x14ac:dyDescent="0.2">
      <c r="A2317" s="13"/>
      <c r="B2317" s="13"/>
      <c r="D2317" s="13"/>
      <c r="E2317" s="13"/>
      <c r="F2317" s="13"/>
    </row>
    <row r="2318" spans="1:7" x14ac:dyDescent="0.2">
      <c r="A2318" s="13"/>
      <c r="B2318" s="13"/>
      <c r="D2318" s="13"/>
      <c r="E2318" s="13"/>
      <c r="F2318" s="13"/>
    </row>
    <row r="2319" spans="1:7" x14ac:dyDescent="0.2">
      <c r="A2319" s="13"/>
      <c r="B2319" s="13"/>
      <c r="D2319" s="13"/>
      <c r="E2319" s="13"/>
      <c r="F2319" s="13"/>
    </row>
    <row r="2320" spans="1:7" x14ac:dyDescent="0.2">
      <c r="A2320" s="13"/>
      <c r="B2320" s="13"/>
      <c r="D2320" s="13"/>
      <c r="E2320" s="13"/>
      <c r="G2320" s="13"/>
    </row>
    <row r="2321" spans="1:7" x14ac:dyDescent="0.2">
      <c r="A2321" s="13"/>
      <c r="B2321" s="13"/>
      <c r="D2321" s="13"/>
      <c r="E2321" s="13"/>
      <c r="F2321" s="13"/>
    </row>
    <row r="2322" spans="1:7" x14ac:dyDescent="0.2">
      <c r="A2322" s="13"/>
      <c r="B2322" s="13"/>
      <c r="D2322" s="13"/>
      <c r="E2322" s="13"/>
      <c r="F2322" s="13"/>
    </row>
    <row r="2323" spans="1:7" x14ac:dyDescent="0.2">
      <c r="A2323" s="13"/>
      <c r="B2323" s="13"/>
      <c r="D2323" s="13"/>
      <c r="E2323" s="13"/>
      <c r="F2323" s="13"/>
    </row>
    <row r="2324" spans="1:7" x14ac:dyDescent="0.2">
      <c r="A2324" s="13"/>
      <c r="B2324" s="13"/>
      <c r="D2324" s="13"/>
      <c r="E2324" s="13"/>
      <c r="F2324" s="13"/>
    </row>
    <row r="2325" spans="1:7" x14ac:dyDescent="0.2">
      <c r="A2325" s="13"/>
      <c r="B2325" s="13"/>
      <c r="D2325" s="13"/>
      <c r="E2325" s="13"/>
      <c r="F2325" s="13"/>
    </row>
    <row r="2326" spans="1:7" x14ac:dyDescent="0.2">
      <c r="A2326" s="13"/>
      <c r="B2326" s="13"/>
      <c r="D2326" s="13"/>
      <c r="E2326" s="13"/>
      <c r="F2326" s="13"/>
    </row>
    <row r="2327" spans="1:7" x14ac:dyDescent="0.2">
      <c r="A2327" s="13"/>
      <c r="B2327" s="13"/>
      <c r="D2327" s="13"/>
      <c r="E2327" s="13"/>
      <c r="F2327" s="13"/>
    </row>
    <row r="2328" spans="1:7" x14ac:dyDescent="0.2">
      <c r="A2328" s="13"/>
      <c r="B2328" s="13"/>
      <c r="D2328" s="13"/>
      <c r="E2328" s="13"/>
      <c r="G2328" s="13"/>
    </row>
    <row r="2329" spans="1:7" x14ac:dyDescent="0.2">
      <c r="A2329" s="13"/>
      <c r="B2329" s="13"/>
      <c r="D2329" s="13"/>
      <c r="E2329" s="13"/>
      <c r="G2329" s="13"/>
    </row>
    <row r="2330" spans="1:7" x14ac:dyDescent="0.2">
      <c r="A2330" s="13"/>
      <c r="B2330" s="13"/>
      <c r="D2330" s="13"/>
      <c r="E2330" s="13"/>
      <c r="G2330" s="13"/>
    </row>
    <row r="2331" spans="1:7" x14ac:dyDescent="0.2">
      <c r="A2331" s="13"/>
      <c r="B2331" s="13"/>
      <c r="D2331" s="13"/>
      <c r="E2331" s="13"/>
      <c r="G2331" s="13"/>
    </row>
    <row r="2332" spans="1:7" x14ac:dyDescent="0.2">
      <c r="A2332" s="13"/>
      <c r="B2332" s="13"/>
      <c r="D2332" s="13"/>
      <c r="E2332" s="13"/>
      <c r="G2332" s="13"/>
    </row>
    <row r="2333" spans="1:7" x14ac:dyDescent="0.2">
      <c r="A2333" s="13"/>
      <c r="B2333" s="13"/>
      <c r="D2333" s="13"/>
      <c r="E2333" s="13"/>
      <c r="F2333" s="13"/>
    </row>
    <row r="2334" spans="1:7" x14ac:dyDescent="0.2">
      <c r="A2334" s="13"/>
      <c r="B2334" s="13"/>
      <c r="D2334" s="13"/>
      <c r="E2334" s="13"/>
      <c r="F2334" s="13"/>
    </row>
    <row r="2335" spans="1:7" x14ac:dyDescent="0.2">
      <c r="A2335" s="13"/>
      <c r="B2335" s="13"/>
      <c r="D2335" s="13"/>
      <c r="E2335" s="13"/>
      <c r="F2335" s="13"/>
    </row>
    <row r="2336" spans="1:7" x14ac:dyDescent="0.2">
      <c r="A2336" s="13"/>
      <c r="B2336" s="13"/>
      <c r="D2336" s="13"/>
      <c r="E2336" s="13"/>
      <c r="F2336" s="13"/>
    </row>
    <row r="2337" spans="1:7" x14ac:dyDescent="0.2">
      <c r="A2337" s="13"/>
      <c r="B2337" s="13"/>
      <c r="D2337" s="13"/>
      <c r="E2337" s="13"/>
      <c r="F2337" s="13"/>
    </row>
    <row r="2338" spans="1:7" x14ac:dyDescent="0.2">
      <c r="A2338" s="13"/>
      <c r="B2338" s="13"/>
      <c r="D2338" s="13"/>
      <c r="E2338" s="13"/>
      <c r="G2338" s="13"/>
    </row>
    <row r="2339" spans="1:7" x14ac:dyDescent="0.2">
      <c r="A2339" s="13"/>
      <c r="B2339" s="13"/>
      <c r="D2339" s="13"/>
      <c r="E2339" s="13"/>
      <c r="G2339" s="13"/>
    </row>
    <row r="2340" spans="1:7" x14ac:dyDescent="0.2">
      <c r="A2340" s="13"/>
      <c r="B2340" s="13"/>
      <c r="D2340" s="13"/>
      <c r="E2340" s="13"/>
      <c r="G2340" s="13"/>
    </row>
    <row r="2341" spans="1:7" x14ac:dyDescent="0.2">
      <c r="A2341" s="13"/>
      <c r="B2341" s="13"/>
      <c r="D2341" s="13"/>
      <c r="E2341" s="13"/>
      <c r="G2341" s="13"/>
    </row>
    <row r="2342" spans="1:7" x14ac:dyDescent="0.2">
      <c r="A2342" s="13"/>
      <c r="B2342" s="13"/>
      <c r="D2342" s="13"/>
      <c r="E2342" s="13"/>
      <c r="G2342" s="13"/>
    </row>
    <row r="2343" spans="1:7" x14ac:dyDescent="0.2">
      <c r="A2343" s="13"/>
      <c r="B2343" s="13"/>
      <c r="D2343" s="13"/>
      <c r="E2343" s="13"/>
      <c r="F2343" s="13"/>
    </row>
    <row r="2344" spans="1:7" x14ac:dyDescent="0.2">
      <c r="A2344" s="13"/>
      <c r="B2344" s="13"/>
      <c r="D2344" s="13"/>
      <c r="E2344" s="13"/>
      <c r="F2344" s="13"/>
    </row>
    <row r="2345" spans="1:7" x14ac:dyDescent="0.2">
      <c r="A2345" s="13"/>
      <c r="B2345" s="13"/>
      <c r="D2345" s="13"/>
      <c r="E2345" s="13"/>
      <c r="F2345" s="13"/>
    </row>
    <row r="2346" spans="1:7" x14ac:dyDescent="0.2">
      <c r="A2346" s="13"/>
      <c r="B2346" s="13"/>
      <c r="D2346" s="13"/>
      <c r="E2346" s="13"/>
      <c r="F2346" s="13"/>
    </row>
    <row r="2347" spans="1:7" x14ac:dyDescent="0.2">
      <c r="A2347" s="13"/>
      <c r="B2347" s="13"/>
      <c r="D2347" s="13"/>
      <c r="E2347" s="13"/>
      <c r="F2347" s="13"/>
    </row>
    <row r="2348" spans="1:7" x14ac:dyDescent="0.2">
      <c r="A2348" s="13"/>
      <c r="B2348" s="13"/>
      <c r="D2348" s="13"/>
      <c r="E2348" s="13"/>
      <c r="F2348" s="13"/>
    </row>
    <row r="2349" spans="1:7" x14ac:dyDescent="0.2">
      <c r="A2349" s="13"/>
      <c r="B2349" s="13"/>
      <c r="D2349" s="13"/>
      <c r="E2349" s="13"/>
      <c r="G2349" s="13"/>
    </row>
    <row r="2350" spans="1:7" x14ac:dyDescent="0.2">
      <c r="A2350" s="13"/>
      <c r="B2350" s="13"/>
      <c r="D2350" s="13"/>
      <c r="E2350" s="13"/>
      <c r="G2350" s="13"/>
    </row>
    <row r="2351" spans="1:7" x14ac:dyDescent="0.2">
      <c r="A2351" s="13"/>
      <c r="B2351" s="13"/>
      <c r="D2351" s="13"/>
      <c r="E2351" s="13"/>
      <c r="G2351" s="13"/>
    </row>
    <row r="2352" spans="1:7" x14ac:dyDescent="0.2">
      <c r="A2352" s="13"/>
      <c r="B2352" s="13"/>
      <c r="D2352" s="13"/>
      <c r="E2352" s="13"/>
      <c r="F2352" s="13"/>
    </row>
    <row r="2353" spans="1:7" x14ac:dyDescent="0.2">
      <c r="A2353" s="13"/>
      <c r="B2353" s="13"/>
      <c r="D2353" s="13"/>
      <c r="E2353" s="13"/>
      <c r="G2353" s="13"/>
    </row>
    <row r="2354" spans="1:7" x14ac:dyDescent="0.2">
      <c r="A2354" s="13"/>
      <c r="B2354" s="13"/>
      <c r="D2354" s="13"/>
      <c r="E2354" s="13"/>
      <c r="G2354" s="13"/>
    </row>
    <row r="2355" spans="1:7" x14ac:dyDescent="0.2">
      <c r="A2355" s="13"/>
      <c r="B2355" s="13"/>
      <c r="D2355" s="13"/>
      <c r="E2355" s="13"/>
      <c r="F2355" s="13"/>
    </row>
    <row r="2356" spans="1:7" x14ac:dyDescent="0.2">
      <c r="A2356" s="13"/>
      <c r="B2356" s="13"/>
      <c r="D2356" s="13"/>
      <c r="E2356" s="13"/>
      <c r="F2356" s="13"/>
    </row>
    <row r="2357" spans="1:7" x14ac:dyDescent="0.2">
      <c r="A2357" s="13"/>
      <c r="B2357" s="13"/>
      <c r="D2357" s="13"/>
      <c r="E2357" s="13"/>
      <c r="G2357" s="13"/>
    </row>
    <row r="2358" spans="1:7" x14ac:dyDescent="0.2">
      <c r="A2358" s="13"/>
      <c r="B2358" s="13"/>
      <c r="D2358" s="13"/>
      <c r="E2358" s="13"/>
      <c r="G2358" s="13"/>
    </row>
    <row r="2359" spans="1:7" x14ac:dyDescent="0.2">
      <c r="A2359" s="13"/>
      <c r="B2359" s="13"/>
      <c r="D2359" s="13"/>
      <c r="E2359" s="13"/>
      <c r="F2359" s="13"/>
    </row>
    <row r="2360" spans="1:7" x14ac:dyDescent="0.2">
      <c r="A2360" s="13"/>
      <c r="B2360" s="13"/>
      <c r="D2360" s="13"/>
      <c r="E2360" s="13"/>
      <c r="G2360" s="13"/>
    </row>
    <row r="2361" spans="1:7" x14ac:dyDescent="0.2">
      <c r="A2361" s="13"/>
      <c r="B2361" s="13"/>
      <c r="D2361" s="13"/>
      <c r="E2361" s="13"/>
      <c r="G2361" s="13"/>
    </row>
    <row r="2362" spans="1:7" x14ac:dyDescent="0.2">
      <c r="A2362" s="13"/>
      <c r="B2362" s="13"/>
      <c r="D2362" s="13"/>
      <c r="E2362" s="13"/>
      <c r="G2362" s="13"/>
    </row>
    <row r="2363" spans="1:7" x14ac:dyDescent="0.2">
      <c r="A2363" s="13"/>
      <c r="B2363" s="13"/>
      <c r="D2363" s="13"/>
      <c r="E2363" s="13"/>
      <c r="F2363" s="13"/>
    </row>
    <row r="2364" spans="1:7" x14ac:dyDescent="0.2">
      <c r="A2364" s="13"/>
      <c r="B2364" s="13"/>
      <c r="D2364" s="13"/>
      <c r="E2364" s="13"/>
      <c r="G2364" s="13"/>
    </row>
    <row r="2365" spans="1:7" x14ac:dyDescent="0.2">
      <c r="A2365" s="13"/>
      <c r="B2365" s="13"/>
      <c r="D2365" s="13"/>
      <c r="E2365" s="13"/>
      <c r="G2365" s="13"/>
    </row>
    <row r="2366" spans="1:7" x14ac:dyDescent="0.2">
      <c r="A2366" s="13"/>
      <c r="B2366" s="13"/>
      <c r="D2366" s="13"/>
      <c r="E2366" s="13"/>
      <c r="F2366" s="13"/>
    </row>
    <row r="2367" spans="1:7" x14ac:dyDescent="0.2">
      <c r="A2367" s="13"/>
      <c r="B2367" s="13"/>
      <c r="D2367" s="13"/>
      <c r="E2367" s="13"/>
      <c r="F2367" s="13"/>
    </row>
    <row r="2368" spans="1:7" x14ac:dyDescent="0.2">
      <c r="A2368" s="13"/>
      <c r="B2368" s="13"/>
      <c r="D2368" s="13"/>
      <c r="E2368" s="13"/>
      <c r="F2368" s="13"/>
    </row>
    <row r="2369" spans="1:7" x14ac:dyDescent="0.2">
      <c r="A2369" s="13"/>
      <c r="B2369" s="13"/>
      <c r="D2369" s="13"/>
      <c r="E2369" s="13"/>
      <c r="F2369" s="13"/>
    </row>
    <row r="2370" spans="1:7" x14ac:dyDescent="0.2">
      <c r="A2370" s="13"/>
      <c r="B2370" s="13"/>
      <c r="D2370" s="13"/>
      <c r="E2370" s="13"/>
      <c r="F2370" s="13"/>
    </row>
    <row r="2371" spans="1:7" x14ac:dyDescent="0.2">
      <c r="A2371" s="13"/>
      <c r="B2371" s="13"/>
      <c r="D2371" s="13"/>
      <c r="E2371" s="13"/>
      <c r="F2371" s="13"/>
    </row>
    <row r="2372" spans="1:7" x14ac:dyDescent="0.2">
      <c r="A2372" s="13"/>
      <c r="B2372" s="13"/>
      <c r="D2372" s="13"/>
      <c r="E2372" s="13"/>
      <c r="F2372" s="13"/>
    </row>
    <row r="2373" spans="1:7" x14ac:dyDescent="0.2">
      <c r="A2373" s="13"/>
      <c r="B2373" s="13"/>
      <c r="D2373" s="13"/>
      <c r="E2373" s="13"/>
      <c r="F2373" s="13"/>
    </row>
    <row r="2374" spans="1:7" x14ac:dyDescent="0.2">
      <c r="A2374" s="13"/>
      <c r="B2374" s="13"/>
      <c r="D2374" s="13"/>
      <c r="E2374" s="13"/>
      <c r="F2374" s="13"/>
    </row>
    <row r="2375" spans="1:7" x14ac:dyDescent="0.2">
      <c r="A2375" s="13"/>
      <c r="B2375" s="13"/>
      <c r="D2375" s="13"/>
      <c r="E2375" s="13"/>
      <c r="G2375" s="13"/>
    </row>
    <row r="2376" spans="1:7" x14ac:dyDescent="0.2">
      <c r="A2376" s="13"/>
      <c r="B2376" s="13"/>
      <c r="D2376" s="13"/>
      <c r="E2376" s="13"/>
      <c r="G2376" s="13"/>
    </row>
    <row r="2377" spans="1:7" x14ac:dyDescent="0.2">
      <c r="A2377" s="13"/>
      <c r="B2377" s="13"/>
      <c r="D2377" s="13"/>
      <c r="E2377" s="13"/>
      <c r="G2377" s="13"/>
    </row>
    <row r="2378" spans="1:7" x14ac:dyDescent="0.2">
      <c r="A2378" s="13"/>
      <c r="B2378" s="13"/>
      <c r="D2378" s="13"/>
      <c r="E2378" s="13"/>
      <c r="G2378" s="13"/>
    </row>
    <row r="2379" spans="1:7" x14ac:dyDescent="0.2">
      <c r="A2379" s="13"/>
      <c r="B2379" s="13"/>
      <c r="D2379" s="13"/>
      <c r="E2379" s="13"/>
      <c r="G2379" s="13"/>
    </row>
    <row r="2380" spans="1:7" x14ac:dyDescent="0.2">
      <c r="A2380" s="13"/>
      <c r="B2380" s="13"/>
      <c r="D2380" s="13"/>
      <c r="E2380" s="13"/>
      <c r="G2380" s="13"/>
    </row>
    <row r="2381" spans="1:7" x14ac:dyDescent="0.2">
      <c r="A2381" s="13"/>
      <c r="B2381" s="13"/>
      <c r="D2381" s="13"/>
      <c r="E2381" s="13"/>
      <c r="G2381" s="13"/>
    </row>
    <row r="2382" spans="1:7" x14ac:dyDescent="0.2">
      <c r="A2382" s="13"/>
      <c r="B2382" s="13"/>
      <c r="D2382" s="13"/>
      <c r="E2382" s="13"/>
      <c r="F2382" s="13"/>
    </row>
    <row r="2383" spans="1:7" x14ac:dyDescent="0.2">
      <c r="A2383" s="13"/>
      <c r="B2383" s="13"/>
      <c r="D2383" s="13"/>
      <c r="E2383" s="13"/>
      <c r="F2383" s="13"/>
    </row>
    <row r="2384" spans="1:7" x14ac:dyDescent="0.2">
      <c r="A2384" s="13"/>
      <c r="B2384" s="13"/>
      <c r="D2384" s="13"/>
      <c r="E2384" s="13"/>
      <c r="F2384" s="13"/>
    </row>
    <row r="2385" spans="1:7" x14ac:dyDescent="0.2">
      <c r="A2385" s="13"/>
      <c r="B2385" s="13"/>
      <c r="D2385" s="13"/>
      <c r="E2385" s="13"/>
      <c r="G2385" s="13"/>
    </row>
    <row r="2386" spans="1:7" x14ac:dyDescent="0.2">
      <c r="A2386" s="13"/>
      <c r="B2386" s="13"/>
      <c r="D2386" s="13"/>
      <c r="E2386" s="13"/>
      <c r="F2386" s="13"/>
    </row>
    <row r="2387" spans="1:7" x14ac:dyDescent="0.2">
      <c r="A2387" s="13"/>
      <c r="B2387" s="13"/>
      <c r="D2387" s="13"/>
      <c r="E2387" s="13"/>
      <c r="F2387" s="13"/>
    </row>
    <row r="2388" spans="1:7" x14ac:dyDescent="0.2">
      <c r="A2388" s="13"/>
      <c r="B2388" s="13"/>
      <c r="D2388" s="13"/>
      <c r="E2388" s="13"/>
      <c r="F2388" s="13"/>
    </row>
    <row r="2389" spans="1:7" x14ac:dyDescent="0.2">
      <c r="A2389" s="13"/>
      <c r="B2389" s="13"/>
      <c r="D2389" s="13"/>
      <c r="E2389" s="13"/>
      <c r="F2389" s="13"/>
    </row>
    <row r="2390" spans="1:7" x14ac:dyDescent="0.2">
      <c r="A2390" s="13"/>
      <c r="B2390" s="13"/>
      <c r="D2390" s="13"/>
      <c r="E2390" s="13"/>
      <c r="G2390" s="13"/>
    </row>
    <row r="2391" spans="1:7" x14ac:dyDescent="0.2">
      <c r="A2391" s="13"/>
      <c r="B2391" s="13"/>
      <c r="D2391" s="13"/>
      <c r="E2391" s="13"/>
      <c r="G2391" s="13"/>
    </row>
    <row r="2392" spans="1:7" x14ac:dyDescent="0.2">
      <c r="A2392" s="13"/>
      <c r="B2392" s="13"/>
      <c r="D2392" s="13"/>
      <c r="E2392" s="13"/>
      <c r="G2392" s="13"/>
    </row>
    <row r="2393" spans="1:7" x14ac:dyDescent="0.2">
      <c r="A2393" s="13"/>
      <c r="B2393" s="13"/>
      <c r="D2393" s="13"/>
      <c r="E2393" s="13"/>
      <c r="G2393" s="13"/>
    </row>
    <row r="2394" spans="1:7" x14ac:dyDescent="0.2">
      <c r="A2394" s="13"/>
      <c r="B2394" s="13"/>
      <c r="D2394" s="13"/>
      <c r="E2394" s="13"/>
      <c r="G2394" s="13"/>
    </row>
    <row r="2395" spans="1:7" x14ac:dyDescent="0.2">
      <c r="A2395" s="13"/>
      <c r="B2395" s="13"/>
      <c r="D2395" s="13"/>
      <c r="E2395" s="13"/>
      <c r="G2395" s="13"/>
    </row>
    <row r="2396" spans="1:7" x14ac:dyDescent="0.2">
      <c r="A2396" s="13"/>
      <c r="B2396" s="13"/>
      <c r="D2396" s="13"/>
      <c r="E2396" s="13"/>
      <c r="G2396" s="13"/>
    </row>
    <row r="2397" spans="1:7" x14ac:dyDescent="0.2">
      <c r="A2397" s="13"/>
      <c r="B2397" s="13"/>
      <c r="D2397" s="13"/>
      <c r="E2397" s="13"/>
      <c r="G2397" s="13"/>
    </row>
    <row r="2398" spans="1:7" x14ac:dyDescent="0.2">
      <c r="A2398" s="13"/>
      <c r="B2398" s="13"/>
      <c r="D2398" s="13"/>
      <c r="E2398" s="13"/>
      <c r="G2398" s="13"/>
    </row>
    <row r="2399" spans="1:7" x14ac:dyDescent="0.2">
      <c r="A2399" s="13"/>
      <c r="B2399" s="13"/>
      <c r="D2399" s="13"/>
      <c r="E2399" s="13"/>
      <c r="G2399" s="13"/>
    </row>
    <row r="2400" spans="1:7" x14ac:dyDescent="0.2">
      <c r="A2400" s="13"/>
      <c r="B2400" s="13"/>
      <c r="D2400" s="13"/>
      <c r="E2400" s="13"/>
      <c r="F2400" s="13"/>
    </row>
    <row r="2401" spans="1:6" x14ac:dyDescent="0.2">
      <c r="A2401" s="13"/>
      <c r="B2401" s="13"/>
      <c r="D2401" s="13"/>
      <c r="E2401" s="13"/>
      <c r="F2401" s="13"/>
    </row>
    <row r="2402" spans="1:6" x14ac:dyDescent="0.2">
      <c r="A2402" s="13"/>
      <c r="B2402" s="13"/>
      <c r="D2402" s="13"/>
      <c r="E2402" s="13"/>
      <c r="F2402" s="13"/>
    </row>
    <row r="2403" spans="1:6" x14ac:dyDescent="0.2">
      <c r="A2403" s="13"/>
      <c r="B2403" s="13"/>
      <c r="D2403" s="13"/>
      <c r="E2403" s="13"/>
      <c r="F2403" s="13"/>
    </row>
    <row r="2404" spans="1:6" x14ac:dyDescent="0.2">
      <c r="A2404" s="13"/>
      <c r="B2404" s="13"/>
      <c r="D2404" s="13"/>
      <c r="E2404" s="13"/>
      <c r="F2404" s="13"/>
    </row>
    <row r="2405" spans="1:6" x14ac:dyDescent="0.2">
      <c r="A2405" s="13"/>
      <c r="B2405" s="13"/>
      <c r="D2405" s="13"/>
      <c r="E2405" s="13"/>
      <c r="F2405" s="13"/>
    </row>
    <row r="2406" spans="1:6" x14ac:dyDescent="0.2">
      <c r="A2406" s="13"/>
      <c r="B2406" s="13"/>
      <c r="D2406" s="13"/>
      <c r="E2406" s="13"/>
      <c r="F2406" s="13"/>
    </row>
    <row r="2407" spans="1:6" x14ac:dyDescent="0.2">
      <c r="A2407" s="13"/>
      <c r="B2407" s="13"/>
      <c r="D2407" s="13"/>
      <c r="E2407" s="13"/>
      <c r="F2407" s="13"/>
    </row>
    <row r="2408" spans="1:6" x14ac:dyDescent="0.2">
      <c r="A2408" s="13"/>
      <c r="B2408" s="13"/>
      <c r="D2408" s="13"/>
      <c r="E2408" s="13"/>
      <c r="F2408" s="13"/>
    </row>
    <row r="2409" spans="1:6" x14ac:dyDescent="0.2">
      <c r="A2409" s="13"/>
      <c r="B2409" s="13"/>
      <c r="D2409" s="13"/>
      <c r="E2409" s="13"/>
      <c r="F2409" s="13"/>
    </row>
    <row r="2410" spans="1:6" x14ac:dyDescent="0.2">
      <c r="A2410" s="13"/>
      <c r="B2410" s="13"/>
      <c r="D2410" s="13"/>
      <c r="E2410" s="13"/>
      <c r="F2410" s="13"/>
    </row>
    <row r="2411" spans="1:6" x14ac:dyDescent="0.2">
      <c r="A2411" s="13"/>
      <c r="B2411" s="13"/>
      <c r="D2411" s="13"/>
      <c r="E2411" s="13"/>
      <c r="F2411" s="13"/>
    </row>
    <row r="2412" spans="1:6" x14ac:dyDescent="0.2">
      <c r="A2412" s="13"/>
      <c r="B2412" s="13"/>
      <c r="D2412" s="13"/>
      <c r="E2412" s="13"/>
      <c r="F2412" s="13"/>
    </row>
    <row r="2413" spans="1:6" x14ac:dyDescent="0.2">
      <c r="A2413" s="13"/>
      <c r="B2413" s="13"/>
      <c r="D2413" s="13"/>
      <c r="E2413" s="13"/>
      <c r="F2413" s="13"/>
    </row>
    <row r="2414" spans="1:6" x14ac:dyDescent="0.2">
      <c r="A2414" s="13"/>
      <c r="B2414" s="13"/>
      <c r="D2414" s="13"/>
      <c r="E2414" s="13"/>
      <c r="F2414" s="13"/>
    </row>
    <row r="2415" spans="1:6" x14ac:dyDescent="0.2">
      <c r="A2415" s="13"/>
      <c r="B2415" s="13"/>
      <c r="D2415" s="13"/>
      <c r="E2415" s="13"/>
      <c r="F2415" s="13"/>
    </row>
    <row r="2416" spans="1:6" x14ac:dyDescent="0.2">
      <c r="A2416" s="13"/>
      <c r="B2416" s="13"/>
      <c r="D2416" s="13"/>
      <c r="E2416" s="13"/>
      <c r="F2416" s="13"/>
    </row>
    <row r="2417" spans="1:7" x14ac:dyDescent="0.2">
      <c r="A2417" s="13"/>
      <c r="B2417" s="13"/>
      <c r="D2417" s="13"/>
      <c r="E2417" s="13"/>
      <c r="G2417" s="13"/>
    </row>
    <row r="2418" spans="1:7" x14ac:dyDescent="0.2">
      <c r="A2418" s="13"/>
      <c r="B2418" s="13"/>
      <c r="D2418" s="13"/>
      <c r="E2418" s="13"/>
      <c r="G2418" s="13"/>
    </row>
    <row r="2419" spans="1:7" x14ac:dyDescent="0.2">
      <c r="A2419" s="13"/>
      <c r="B2419" s="13"/>
      <c r="D2419" s="13"/>
      <c r="E2419" s="13"/>
      <c r="G2419" s="13"/>
    </row>
    <row r="2420" spans="1:7" x14ac:dyDescent="0.2">
      <c r="A2420" s="13"/>
      <c r="B2420" s="13"/>
      <c r="D2420" s="13"/>
      <c r="E2420" s="13"/>
      <c r="G2420" s="13"/>
    </row>
    <row r="2421" spans="1:7" x14ac:dyDescent="0.2">
      <c r="A2421" s="13"/>
      <c r="B2421" s="13"/>
      <c r="D2421" s="13"/>
      <c r="E2421" s="13"/>
      <c r="G2421" s="13"/>
    </row>
    <row r="2422" spans="1:7" x14ac:dyDescent="0.2">
      <c r="A2422" s="13"/>
      <c r="B2422" s="13"/>
      <c r="D2422" s="13"/>
      <c r="E2422" s="13"/>
      <c r="F2422" s="13"/>
    </row>
    <row r="2423" spans="1:7" x14ac:dyDescent="0.2">
      <c r="A2423" s="13"/>
      <c r="B2423" s="13"/>
      <c r="D2423" s="13"/>
      <c r="E2423" s="13"/>
      <c r="F2423" s="13"/>
    </row>
    <row r="2424" spans="1:7" x14ac:dyDescent="0.2">
      <c r="A2424" s="13"/>
      <c r="B2424" s="13"/>
      <c r="D2424" s="13"/>
      <c r="E2424" s="13"/>
      <c r="F2424" s="13"/>
    </row>
    <row r="2425" spans="1:7" x14ac:dyDescent="0.2">
      <c r="A2425" s="13"/>
      <c r="B2425" s="13"/>
      <c r="D2425" s="13"/>
      <c r="E2425" s="13"/>
      <c r="F2425" s="13"/>
    </row>
    <row r="2426" spans="1:7" x14ac:dyDescent="0.2">
      <c r="A2426" s="13"/>
      <c r="B2426" s="13"/>
      <c r="D2426" s="13"/>
      <c r="E2426" s="13"/>
      <c r="G2426" s="13"/>
    </row>
    <row r="2427" spans="1:7" x14ac:dyDescent="0.2">
      <c r="A2427" s="13"/>
      <c r="B2427" s="13"/>
      <c r="D2427" s="13"/>
      <c r="E2427" s="13"/>
      <c r="G2427" s="13"/>
    </row>
    <row r="2428" spans="1:7" x14ac:dyDescent="0.2">
      <c r="A2428" s="13"/>
      <c r="B2428" s="13"/>
      <c r="D2428" s="13"/>
      <c r="E2428" s="13"/>
      <c r="G2428" s="13"/>
    </row>
    <row r="2429" spans="1:7" x14ac:dyDescent="0.2">
      <c r="A2429" s="13"/>
      <c r="B2429" s="13"/>
      <c r="D2429" s="13"/>
      <c r="E2429" s="13"/>
      <c r="G2429" s="13"/>
    </row>
    <row r="2430" spans="1:7" x14ac:dyDescent="0.2">
      <c r="A2430" s="13"/>
      <c r="B2430" s="13"/>
      <c r="D2430" s="13"/>
      <c r="E2430" s="13"/>
      <c r="F2430" s="13"/>
    </row>
    <row r="2431" spans="1:7" x14ac:dyDescent="0.2">
      <c r="A2431" s="13"/>
      <c r="B2431" s="13"/>
      <c r="D2431" s="13"/>
      <c r="E2431" s="13"/>
      <c r="G2431" s="13"/>
    </row>
    <row r="2432" spans="1:7" x14ac:dyDescent="0.2">
      <c r="A2432" s="13"/>
      <c r="B2432" s="13"/>
      <c r="D2432" s="13"/>
      <c r="E2432" s="13"/>
      <c r="G2432" s="13"/>
    </row>
    <row r="2433" spans="1:7" x14ac:dyDescent="0.2">
      <c r="A2433" s="13"/>
      <c r="B2433" s="13"/>
      <c r="D2433" s="13"/>
      <c r="E2433" s="13"/>
      <c r="G2433" s="13"/>
    </row>
    <row r="2434" spans="1:7" x14ac:dyDescent="0.2">
      <c r="A2434" s="13"/>
      <c r="B2434" s="13"/>
      <c r="D2434" s="13"/>
      <c r="E2434" s="13"/>
      <c r="F2434" s="13"/>
    </row>
    <row r="2435" spans="1:7" x14ac:dyDescent="0.2">
      <c r="A2435" s="13"/>
      <c r="B2435" s="13"/>
      <c r="D2435" s="13"/>
      <c r="E2435" s="13"/>
      <c r="F2435" s="13"/>
    </row>
    <row r="2436" spans="1:7" x14ac:dyDescent="0.2">
      <c r="A2436" s="13"/>
      <c r="B2436" s="13"/>
      <c r="D2436" s="13"/>
      <c r="E2436" s="13"/>
      <c r="F2436" s="13"/>
    </row>
    <row r="2437" spans="1:7" x14ac:dyDescent="0.2">
      <c r="A2437" s="13"/>
      <c r="B2437" s="13"/>
      <c r="D2437" s="13"/>
      <c r="E2437" s="13"/>
      <c r="F2437" s="13"/>
    </row>
    <row r="2438" spans="1:7" x14ac:dyDescent="0.2">
      <c r="A2438" s="13"/>
      <c r="B2438" s="13"/>
      <c r="D2438" s="13"/>
      <c r="E2438" s="13"/>
      <c r="F2438" s="13"/>
    </row>
    <row r="2439" spans="1:7" x14ac:dyDescent="0.2">
      <c r="A2439" s="13"/>
      <c r="B2439" s="13"/>
      <c r="D2439" s="13"/>
      <c r="E2439" s="13"/>
      <c r="F2439" s="13"/>
    </row>
    <row r="2440" spans="1:7" x14ac:dyDescent="0.2">
      <c r="A2440" s="13"/>
      <c r="B2440" s="13"/>
      <c r="D2440" s="13"/>
      <c r="E2440" s="13"/>
      <c r="F2440" s="13"/>
    </row>
    <row r="2441" spans="1:7" x14ac:dyDescent="0.2">
      <c r="A2441" s="13"/>
      <c r="B2441" s="13"/>
      <c r="D2441" s="13"/>
      <c r="E2441" s="13"/>
      <c r="G2441" s="13"/>
    </row>
    <row r="2442" spans="1:7" x14ac:dyDescent="0.2">
      <c r="A2442" s="13"/>
      <c r="B2442" s="13"/>
      <c r="D2442" s="13"/>
      <c r="E2442" s="13"/>
      <c r="G2442" s="13"/>
    </row>
    <row r="2443" spans="1:7" x14ac:dyDescent="0.2">
      <c r="A2443" s="13"/>
      <c r="B2443" s="13"/>
      <c r="D2443" s="13"/>
      <c r="E2443" s="13"/>
      <c r="G2443" s="13"/>
    </row>
    <row r="2444" spans="1:7" x14ac:dyDescent="0.2">
      <c r="A2444" s="13"/>
      <c r="B2444" s="13"/>
      <c r="D2444" s="13"/>
      <c r="E2444" s="13"/>
      <c r="F2444" s="13"/>
    </row>
    <row r="2445" spans="1:7" x14ac:dyDescent="0.2">
      <c r="A2445" s="13"/>
      <c r="B2445" s="13"/>
      <c r="D2445" s="13"/>
      <c r="E2445" s="13"/>
      <c r="F2445" s="13"/>
    </row>
    <row r="2446" spans="1:7" x14ac:dyDescent="0.2">
      <c r="A2446" s="13"/>
      <c r="B2446" s="13"/>
      <c r="D2446" s="13"/>
      <c r="E2446" s="13"/>
      <c r="G2446" s="13"/>
    </row>
    <row r="2447" spans="1:7" x14ac:dyDescent="0.2">
      <c r="A2447" s="13"/>
      <c r="B2447" s="13"/>
      <c r="D2447" s="13"/>
      <c r="E2447" s="13"/>
      <c r="G2447" s="13"/>
    </row>
    <row r="2448" spans="1:7" x14ac:dyDescent="0.2">
      <c r="A2448" s="13"/>
      <c r="B2448" s="13"/>
      <c r="D2448" s="13"/>
      <c r="E2448" s="13"/>
      <c r="G2448" s="13"/>
    </row>
    <row r="2449" spans="1:7" x14ac:dyDescent="0.2">
      <c r="A2449" s="13"/>
      <c r="B2449" s="13"/>
      <c r="D2449" s="13"/>
      <c r="E2449" s="13"/>
      <c r="G2449" s="13"/>
    </row>
    <row r="2450" spans="1:7" x14ac:dyDescent="0.2">
      <c r="A2450" s="13"/>
      <c r="B2450" s="13"/>
      <c r="D2450" s="13"/>
      <c r="E2450" s="13"/>
      <c r="F2450" s="13"/>
    </row>
    <row r="2451" spans="1:7" x14ac:dyDescent="0.2">
      <c r="A2451" s="13"/>
      <c r="B2451" s="13"/>
      <c r="D2451" s="13"/>
      <c r="E2451" s="13"/>
      <c r="F2451" s="13"/>
    </row>
    <row r="2452" spans="1:7" x14ac:dyDescent="0.2">
      <c r="A2452" s="13"/>
      <c r="B2452" s="13"/>
      <c r="D2452" s="13"/>
      <c r="E2452" s="13"/>
      <c r="F2452" s="13"/>
    </row>
    <row r="2453" spans="1:7" x14ac:dyDescent="0.2">
      <c r="A2453" s="13"/>
      <c r="B2453" s="13"/>
      <c r="D2453" s="13"/>
      <c r="E2453" s="13"/>
      <c r="F2453" s="13"/>
    </row>
    <row r="2454" spans="1:7" x14ac:dyDescent="0.2">
      <c r="A2454" s="13"/>
      <c r="B2454" s="13"/>
      <c r="D2454" s="13"/>
      <c r="E2454" s="13"/>
      <c r="F2454" s="13"/>
    </row>
    <row r="2455" spans="1:7" x14ac:dyDescent="0.2">
      <c r="A2455" s="13"/>
      <c r="B2455" s="13"/>
      <c r="D2455" s="13"/>
      <c r="E2455" s="13"/>
      <c r="F2455" s="13"/>
    </row>
    <row r="2456" spans="1:7" x14ac:dyDescent="0.2">
      <c r="A2456" s="13"/>
      <c r="B2456" s="13"/>
      <c r="D2456" s="13"/>
      <c r="E2456" s="13"/>
      <c r="G2456" s="13"/>
    </row>
    <row r="2457" spans="1:7" x14ac:dyDescent="0.2">
      <c r="A2457" s="13"/>
      <c r="B2457" s="13"/>
      <c r="D2457" s="13"/>
      <c r="E2457" s="13"/>
      <c r="G2457" s="13"/>
    </row>
    <row r="2458" spans="1:7" x14ac:dyDescent="0.2">
      <c r="A2458" s="13"/>
      <c r="B2458" s="13"/>
      <c r="D2458" s="13"/>
      <c r="E2458" s="13"/>
      <c r="G2458" s="13"/>
    </row>
    <row r="2459" spans="1:7" x14ac:dyDescent="0.2">
      <c r="A2459" s="13"/>
      <c r="B2459" s="13"/>
      <c r="D2459" s="13"/>
      <c r="E2459" s="13"/>
      <c r="F2459" s="13"/>
    </row>
    <row r="2460" spans="1:7" x14ac:dyDescent="0.2">
      <c r="A2460" s="13"/>
      <c r="B2460" s="13"/>
      <c r="D2460" s="13"/>
      <c r="E2460" s="13"/>
      <c r="F2460" s="13"/>
    </row>
    <row r="2461" spans="1:7" x14ac:dyDescent="0.2">
      <c r="A2461" s="13"/>
      <c r="B2461" s="13"/>
      <c r="D2461" s="13"/>
      <c r="E2461" s="13"/>
      <c r="F2461" s="13"/>
    </row>
    <row r="2462" spans="1:7" x14ac:dyDescent="0.2">
      <c r="A2462" s="13"/>
      <c r="B2462" s="13"/>
      <c r="D2462" s="13"/>
      <c r="E2462" s="13"/>
      <c r="F2462" s="13"/>
    </row>
    <row r="2463" spans="1:7" x14ac:dyDescent="0.2">
      <c r="A2463" s="13"/>
      <c r="B2463" s="13"/>
      <c r="D2463" s="13"/>
      <c r="E2463" s="13"/>
      <c r="G2463" s="13"/>
    </row>
    <row r="2464" spans="1:7" x14ac:dyDescent="0.2">
      <c r="A2464" s="13"/>
      <c r="B2464" s="13"/>
      <c r="D2464" s="13"/>
      <c r="E2464" s="13"/>
      <c r="G2464" s="13"/>
    </row>
    <row r="2465" spans="1:7" x14ac:dyDescent="0.2">
      <c r="A2465" s="13"/>
      <c r="B2465" s="13"/>
      <c r="D2465" s="13"/>
      <c r="E2465" s="13"/>
      <c r="F2465" s="13"/>
    </row>
    <row r="2466" spans="1:7" x14ac:dyDescent="0.2">
      <c r="A2466" s="13"/>
      <c r="B2466" s="13"/>
      <c r="D2466" s="13"/>
      <c r="E2466" s="13"/>
      <c r="G2466" s="13"/>
    </row>
    <row r="2467" spans="1:7" x14ac:dyDescent="0.2">
      <c r="A2467" s="13"/>
      <c r="B2467" s="13"/>
      <c r="D2467" s="13"/>
      <c r="E2467" s="13"/>
      <c r="F2467" s="13"/>
    </row>
    <row r="2468" spans="1:7" x14ac:dyDescent="0.2">
      <c r="A2468" s="13"/>
      <c r="B2468" s="13"/>
      <c r="D2468" s="13"/>
      <c r="E2468" s="13"/>
      <c r="F2468" s="13"/>
    </row>
    <row r="2469" spans="1:7" x14ac:dyDescent="0.2">
      <c r="A2469" s="13"/>
      <c r="B2469" s="13"/>
      <c r="D2469" s="13"/>
      <c r="E2469" s="13"/>
      <c r="F2469" s="13"/>
    </row>
    <row r="2470" spans="1:7" x14ac:dyDescent="0.2">
      <c r="A2470" s="13"/>
      <c r="B2470" s="13"/>
      <c r="D2470" s="13"/>
      <c r="E2470" s="13"/>
      <c r="G2470" s="13"/>
    </row>
    <row r="2471" spans="1:7" x14ac:dyDescent="0.2">
      <c r="A2471" s="13"/>
      <c r="B2471" s="13"/>
      <c r="D2471" s="13"/>
      <c r="E2471" s="13"/>
      <c r="F2471" s="13"/>
    </row>
    <row r="2472" spans="1:7" x14ac:dyDescent="0.2">
      <c r="A2472" s="13"/>
      <c r="B2472" s="13"/>
      <c r="D2472" s="13"/>
      <c r="E2472" s="13"/>
      <c r="F2472" s="13"/>
    </row>
    <row r="2473" spans="1:7" x14ac:dyDescent="0.2">
      <c r="A2473" s="13"/>
      <c r="B2473" s="13"/>
      <c r="D2473" s="13"/>
      <c r="E2473" s="13"/>
      <c r="F2473" s="13"/>
    </row>
    <row r="2474" spans="1:7" x14ac:dyDescent="0.2">
      <c r="A2474" s="13"/>
      <c r="B2474" s="13"/>
      <c r="D2474" s="13"/>
      <c r="E2474" s="13"/>
      <c r="F2474" s="13"/>
    </row>
    <row r="2475" spans="1:7" x14ac:dyDescent="0.2">
      <c r="A2475" s="13"/>
      <c r="B2475" s="13"/>
      <c r="D2475" s="13"/>
      <c r="E2475" s="13"/>
      <c r="G2475" s="13"/>
    </row>
    <row r="2476" spans="1:7" x14ac:dyDescent="0.2">
      <c r="A2476" s="13"/>
      <c r="B2476" s="13"/>
      <c r="D2476" s="13"/>
      <c r="E2476" s="13"/>
      <c r="G2476" s="13"/>
    </row>
    <row r="2477" spans="1:7" x14ac:dyDescent="0.2">
      <c r="A2477" s="13"/>
      <c r="B2477" s="13"/>
      <c r="D2477" s="13"/>
      <c r="E2477" s="13"/>
      <c r="G2477" s="13"/>
    </row>
    <row r="2478" spans="1:7" x14ac:dyDescent="0.2">
      <c r="A2478" s="13"/>
      <c r="B2478" s="13"/>
      <c r="D2478" s="13"/>
      <c r="E2478" s="13"/>
      <c r="G2478" s="13"/>
    </row>
    <row r="2479" spans="1:7" x14ac:dyDescent="0.2">
      <c r="A2479" s="13"/>
      <c r="B2479" s="13"/>
      <c r="D2479" s="13"/>
      <c r="E2479" s="13"/>
      <c r="G2479" s="13"/>
    </row>
    <row r="2480" spans="1:7" x14ac:dyDescent="0.2">
      <c r="A2480" s="13"/>
      <c r="B2480" s="13"/>
      <c r="D2480" s="13"/>
      <c r="E2480" s="13"/>
      <c r="G2480" s="13"/>
    </row>
    <row r="2481" spans="1:7" x14ac:dyDescent="0.2">
      <c r="A2481" s="13"/>
      <c r="B2481" s="13"/>
      <c r="D2481" s="13"/>
      <c r="E2481" s="13"/>
      <c r="F2481" s="13"/>
    </row>
    <row r="2482" spans="1:7" x14ac:dyDescent="0.2">
      <c r="A2482" s="13"/>
      <c r="B2482" s="13"/>
      <c r="D2482" s="13"/>
      <c r="E2482" s="13"/>
      <c r="F2482" s="13"/>
    </row>
    <row r="2483" spans="1:7" x14ac:dyDescent="0.2">
      <c r="A2483" s="13"/>
      <c r="B2483" s="13"/>
      <c r="D2483" s="13"/>
      <c r="E2483" s="13"/>
      <c r="F2483" s="13"/>
    </row>
    <row r="2484" spans="1:7" x14ac:dyDescent="0.2">
      <c r="A2484" s="13"/>
      <c r="B2484" s="13"/>
      <c r="D2484" s="13"/>
      <c r="E2484" s="13"/>
      <c r="F2484" s="13"/>
    </row>
    <row r="2485" spans="1:7" x14ac:dyDescent="0.2">
      <c r="A2485" s="13"/>
    </row>
    <row r="2486" spans="1:7" x14ac:dyDescent="0.2">
      <c r="A2486" s="13"/>
    </row>
    <row r="2487" spans="1:7" x14ac:dyDescent="0.2">
      <c r="A2487" s="13"/>
      <c r="C2487" s="13"/>
    </row>
    <row r="2488" spans="1:7" x14ac:dyDescent="0.2">
      <c r="A2488" s="13"/>
    </row>
    <row r="2489" spans="1:7" x14ac:dyDescent="0.2">
      <c r="A2489" s="13"/>
      <c r="B2489" s="13"/>
    </row>
    <row r="2490" spans="1:7" x14ac:dyDescent="0.2">
      <c r="A2490" s="13"/>
      <c r="B2490" s="13"/>
    </row>
    <row r="2491" spans="1:7" x14ac:dyDescent="0.2">
      <c r="A2491" s="13"/>
    </row>
    <row r="2492" spans="1:7" x14ac:dyDescent="0.2">
      <c r="A2492" s="13"/>
    </row>
    <row r="2493" spans="1:7" x14ac:dyDescent="0.2">
      <c r="A2493" s="13"/>
      <c r="B2493" s="13"/>
      <c r="C2493" s="13"/>
      <c r="D2493" s="13"/>
      <c r="E2493" s="13"/>
      <c r="G2493" s="13"/>
    </row>
    <row r="2494" spans="1:7" x14ac:dyDescent="0.2">
      <c r="A2494" s="13"/>
      <c r="B2494" s="13"/>
      <c r="C2494" s="13"/>
      <c r="D2494" s="13"/>
      <c r="E2494" s="13"/>
      <c r="G2494" s="13"/>
    </row>
    <row r="2495" spans="1:7" x14ac:dyDescent="0.2">
      <c r="A2495" s="13"/>
      <c r="B2495" s="13"/>
      <c r="C2495" s="13"/>
      <c r="D2495" s="13"/>
      <c r="E2495" s="13"/>
      <c r="G2495" s="13"/>
    </row>
    <row r="2496" spans="1:7" x14ac:dyDescent="0.2">
      <c r="A2496" s="13"/>
      <c r="B2496" s="13"/>
      <c r="C2496" s="13"/>
      <c r="D2496" s="13"/>
      <c r="E2496" s="13"/>
      <c r="G2496" s="13"/>
    </row>
    <row r="2497" spans="1:7" x14ac:dyDescent="0.2">
      <c r="A2497" s="13"/>
      <c r="B2497" s="13"/>
      <c r="C2497" s="13"/>
      <c r="D2497" s="13"/>
      <c r="E2497" s="13"/>
      <c r="G2497" s="13"/>
    </row>
    <row r="2498" spans="1:7" x14ac:dyDescent="0.2">
      <c r="A2498" s="13"/>
      <c r="B2498" s="13"/>
      <c r="C2498" s="13"/>
      <c r="D2498" s="13"/>
      <c r="E2498" s="13"/>
      <c r="F2498" s="13"/>
    </row>
    <row r="2499" spans="1:7" x14ac:dyDescent="0.2">
      <c r="A2499" s="13"/>
      <c r="B2499" s="13"/>
      <c r="C2499" s="13"/>
      <c r="D2499" s="13"/>
      <c r="E2499" s="13"/>
      <c r="F2499" s="13"/>
    </row>
    <row r="2500" spans="1:7" x14ac:dyDescent="0.2">
      <c r="A2500" s="13"/>
      <c r="B2500" s="13"/>
      <c r="C2500" s="13"/>
      <c r="D2500" s="13"/>
      <c r="E2500" s="13"/>
      <c r="F2500" s="13"/>
    </row>
    <row r="2501" spans="1:7" x14ac:dyDescent="0.2">
      <c r="A2501" s="13"/>
      <c r="B2501" s="13"/>
      <c r="C2501" s="13"/>
      <c r="D2501" s="13"/>
      <c r="E2501" s="13"/>
      <c r="F2501" s="13"/>
    </row>
    <row r="2502" spans="1:7" x14ac:dyDescent="0.2">
      <c r="A2502" s="13"/>
      <c r="B2502" s="13"/>
      <c r="C2502" s="13"/>
      <c r="D2502" s="13"/>
      <c r="E2502" s="13"/>
      <c r="F2502" s="13"/>
    </row>
    <row r="2503" spans="1:7" x14ac:dyDescent="0.2">
      <c r="A2503" s="13"/>
      <c r="B2503" s="13"/>
      <c r="C2503" s="13"/>
      <c r="D2503" s="13"/>
      <c r="E2503" s="13"/>
      <c r="F2503" s="13"/>
    </row>
    <row r="2504" spans="1:7" x14ac:dyDescent="0.2">
      <c r="A2504" s="13"/>
      <c r="B2504" s="13"/>
      <c r="C2504" s="13"/>
      <c r="D2504" s="13"/>
      <c r="E2504" s="13"/>
      <c r="F2504" s="13"/>
    </row>
    <row r="2505" spans="1:7" x14ac:dyDescent="0.2">
      <c r="A2505" s="13"/>
      <c r="B2505" s="13"/>
      <c r="C2505" s="13"/>
      <c r="D2505" s="13"/>
      <c r="E2505" s="13"/>
      <c r="F2505" s="13"/>
    </row>
    <row r="2506" spans="1:7" x14ac:dyDescent="0.2">
      <c r="A2506" s="13"/>
      <c r="B2506" s="13"/>
      <c r="C2506" s="13"/>
      <c r="D2506" s="13"/>
      <c r="E2506" s="13"/>
      <c r="F2506" s="13"/>
    </row>
    <row r="2507" spans="1:7" x14ac:dyDescent="0.2">
      <c r="A2507" s="13"/>
      <c r="B2507" s="13"/>
      <c r="C2507" s="13"/>
      <c r="D2507" s="13"/>
      <c r="E2507" s="13"/>
      <c r="F2507" s="13"/>
    </row>
    <row r="2508" spans="1:7" x14ac:dyDescent="0.2">
      <c r="A2508" s="13"/>
      <c r="B2508" s="13"/>
      <c r="C2508" s="13"/>
      <c r="D2508" s="13"/>
      <c r="E2508" s="13"/>
      <c r="F2508" s="13"/>
    </row>
    <row r="2509" spans="1:7" x14ac:dyDescent="0.2">
      <c r="A2509" s="13"/>
      <c r="B2509" s="13"/>
      <c r="C2509" s="13"/>
      <c r="D2509" s="13"/>
      <c r="E2509" s="13"/>
      <c r="F2509" s="13"/>
    </row>
    <row r="2510" spans="1:7" x14ac:dyDescent="0.2">
      <c r="A2510" s="13"/>
      <c r="B2510" s="13"/>
      <c r="C2510" s="13"/>
      <c r="D2510" s="13"/>
      <c r="E2510" s="13"/>
      <c r="F2510" s="13"/>
    </row>
    <row r="2511" spans="1:7" x14ac:dyDescent="0.2">
      <c r="A2511" s="13"/>
      <c r="B2511" s="13"/>
      <c r="C2511" s="13"/>
      <c r="D2511" s="13"/>
      <c r="E2511" s="13"/>
      <c r="F2511" s="13"/>
    </row>
    <row r="2512" spans="1:7" x14ac:dyDescent="0.2">
      <c r="A2512" s="13"/>
      <c r="B2512" s="13"/>
      <c r="C2512" s="13"/>
      <c r="D2512" s="13"/>
      <c r="E2512" s="13"/>
      <c r="G2512" s="13"/>
    </row>
    <row r="2513" spans="1:10" x14ac:dyDescent="0.2">
      <c r="A2513" s="13"/>
      <c r="B2513" s="13"/>
      <c r="C2513" s="13"/>
      <c r="D2513" s="13"/>
      <c r="E2513" s="13"/>
      <c r="G2513" s="13"/>
    </row>
    <row r="2514" spans="1:10" x14ac:dyDescent="0.2">
      <c r="A2514" s="13"/>
      <c r="B2514" s="13"/>
      <c r="C2514" s="13"/>
      <c r="D2514" s="13"/>
      <c r="E2514" s="13"/>
      <c r="G2514" s="13"/>
    </row>
    <row r="2515" spans="1:10" x14ac:dyDescent="0.2">
      <c r="A2515" s="13"/>
      <c r="B2515" s="13"/>
      <c r="C2515" s="13"/>
      <c r="D2515" s="13"/>
      <c r="E2515" s="13"/>
      <c r="G2515" s="13"/>
    </row>
    <row r="2516" spans="1:10" x14ac:dyDescent="0.2">
      <c r="A2516" s="13"/>
      <c r="B2516" s="13"/>
      <c r="C2516" s="13"/>
      <c r="D2516" s="13"/>
      <c r="E2516" s="13"/>
      <c r="G2516" s="13"/>
    </row>
    <row r="2517" spans="1:10" x14ac:dyDescent="0.2">
      <c r="A2517" s="13"/>
      <c r="B2517" s="13"/>
      <c r="C2517" s="13"/>
      <c r="D2517" s="13"/>
      <c r="E2517" s="13"/>
      <c r="G2517" s="13"/>
    </row>
    <row r="2518" spans="1:10" x14ac:dyDescent="0.2">
      <c r="A2518" s="13"/>
      <c r="B2518" s="13"/>
      <c r="C2518" s="13"/>
      <c r="D2518" s="13"/>
      <c r="E2518" s="13"/>
      <c r="G2518" s="13"/>
    </row>
    <row r="2519" spans="1:10" x14ac:dyDescent="0.2">
      <c r="A2519" s="13"/>
      <c r="B2519" s="13"/>
      <c r="C2519" s="13"/>
      <c r="D2519" s="13"/>
      <c r="E2519" s="13"/>
      <c r="G2519" s="13"/>
    </row>
    <row r="2520" spans="1:10" x14ac:dyDescent="0.2">
      <c r="A2520" s="13"/>
      <c r="B2520" s="13"/>
      <c r="C2520" s="13"/>
      <c r="D2520" s="13"/>
      <c r="E2520" s="13"/>
      <c r="G2520" s="13"/>
    </row>
    <row r="2521" spans="1:10" x14ac:dyDescent="0.2">
      <c r="A2521" s="13"/>
      <c r="B2521" s="13"/>
      <c r="C2521" s="13"/>
      <c r="D2521" s="13"/>
      <c r="E2521" s="13"/>
      <c r="G2521" s="13"/>
    </row>
    <row r="2522" spans="1:10" x14ac:dyDescent="0.2">
      <c r="A2522" s="13"/>
      <c r="B2522" s="13"/>
      <c r="C2522" s="13"/>
      <c r="D2522" s="13"/>
      <c r="E2522" s="13"/>
      <c r="G2522" s="13"/>
    </row>
    <row r="2523" spans="1:10" x14ac:dyDescent="0.2">
      <c r="A2523" s="13"/>
      <c r="B2523" s="13"/>
      <c r="C2523" s="13"/>
      <c r="D2523" s="13"/>
      <c r="E2523" s="13"/>
      <c r="G2523" s="13"/>
      <c r="J2523" s="51"/>
    </row>
    <row r="2524" spans="1:10" x14ac:dyDescent="0.2">
      <c r="A2524" s="13"/>
      <c r="B2524" s="13"/>
      <c r="C2524" s="13"/>
      <c r="D2524" s="13"/>
      <c r="E2524" s="13"/>
      <c r="G2524" s="13"/>
    </row>
    <row r="2525" spans="1:10" x14ac:dyDescent="0.2">
      <c r="A2525" s="13"/>
      <c r="B2525" s="13"/>
      <c r="C2525" s="13"/>
      <c r="D2525" s="13"/>
      <c r="E2525" s="13"/>
      <c r="G2525" s="13"/>
    </row>
    <row r="2526" spans="1:10" x14ac:dyDescent="0.2">
      <c r="A2526" s="13"/>
      <c r="B2526" s="13"/>
      <c r="C2526" s="13"/>
      <c r="D2526" s="13"/>
      <c r="E2526" s="13"/>
      <c r="G2526" s="13"/>
    </row>
    <row r="2527" spans="1:10" x14ac:dyDescent="0.2">
      <c r="A2527" s="13"/>
      <c r="B2527" s="13"/>
      <c r="C2527" s="13"/>
      <c r="D2527" s="13"/>
      <c r="E2527" s="13"/>
      <c r="F2527" s="13"/>
    </row>
    <row r="2528" spans="1:10" x14ac:dyDescent="0.2">
      <c r="A2528" s="13"/>
      <c r="B2528" s="13"/>
      <c r="C2528" s="13"/>
      <c r="D2528" s="13"/>
      <c r="E2528" s="13"/>
      <c r="F2528" s="13"/>
    </row>
    <row r="2529" spans="1:7" x14ac:dyDescent="0.2">
      <c r="A2529" s="13"/>
      <c r="B2529" s="13"/>
      <c r="C2529" s="13"/>
      <c r="D2529" s="13"/>
      <c r="E2529" s="13"/>
      <c r="F2529" s="13"/>
    </row>
    <row r="2530" spans="1:7" x14ac:dyDescent="0.2">
      <c r="A2530" s="13"/>
      <c r="B2530" s="13"/>
      <c r="C2530" s="13"/>
      <c r="D2530" s="13"/>
      <c r="E2530" s="13"/>
      <c r="F2530" s="13"/>
    </row>
    <row r="2531" spans="1:7" x14ac:dyDescent="0.2">
      <c r="A2531" s="13"/>
      <c r="B2531" s="13"/>
      <c r="C2531" s="13"/>
      <c r="D2531" s="13"/>
      <c r="E2531" s="13"/>
      <c r="F2531" s="13"/>
    </row>
    <row r="2532" spans="1:7" x14ac:dyDescent="0.2">
      <c r="A2532" s="13"/>
      <c r="B2532" s="13"/>
      <c r="C2532" s="13"/>
      <c r="D2532" s="13"/>
      <c r="E2532" s="13"/>
      <c r="F2532" s="13"/>
    </row>
    <row r="2533" spans="1:7" x14ac:dyDescent="0.2">
      <c r="A2533" s="13"/>
      <c r="B2533" s="13"/>
      <c r="C2533" s="13"/>
      <c r="D2533" s="13"/>
      <c r="E2533" s="13"/>
      <c r="F2533" s="13"/>
    </row>
    <row r="2534" spans="1:7" x14ac:dyDescent="0.2">
      <c r="A2534" s="13"/>
      <c r="B2534" s="13"/>
      <c r="C2534" s="13"/>
      <c r="D2534" s="13"/>
      <c r="E2534" s="13"/>
      <c r="F2534" s="13"/>
    </row>
    <row r="2535" spans="1:7" x14ac:dyDescent="0.2">
      <c r="A2535" s="13"/>
      <c r="B2535" s="13"/>
      <c r="C2535" s="13"/>
      <c r="D2535" s="13"/>
      <c r="E2535" s="13"/>
      <c r="F2535" s="13"/>
    </row>
    <row r="2536" spans="1:7" x14ac:dyDescent="0.2">
      <c r="A2536" s="13"/>
      <c r="B2536" s="13"/>
      <c r="C2536" s="13"/>
      <c r="D2536" s="13"/>
      <c r="E2536" s="13"/>
      <c r="F2536" s="13"/>
    </row>
    <row r="2537" spans="1:7" x14ac:dyDescent="0.2">
      <c r="A2537" s="13"/>
      <c r="B2537" s="13"/>
      <c r="C2537" s="13"/>
      <c r="D2537" s="13"/>
      <c r="E2537" s="13"/>
      <c r="F2537" s="13"/>
    </row>
    <row r="2538" spans="1:7" x14ac:dyDescent="0.2">
      <c r="A2538" s="13"/>
      <c r="B2538" s="13"/>
      <c r="C2538" s="13"/>
      <c r="D2538" s="13"/>
      <c r="E2538" s="13"/>
      <c r="F2538" s="13"/>
    </row>
    <row r="2539" spans="1:7" x14ac:dyDescent="0.2">
      <c r="A2539" s="13"/>
      <c r="B2539" s="13"/>
      <c r="C2539" s="13"/>
      <c r="D2539" s="13"/>
      <c r="E2539" s="13"/>
      <c r="F2539" s="13"/>
    </row>
    <row r="2540" spans="1:7" x14ac:dyDescent="0.2">
      <c r="A2540" s="13"/>
      <c r="B2540" s="13"/>
      <c r="C2540" s="13"/>
      <c r="D2540" s="13"/>
      <c r="E2540" s="13"/>
      <c r="F2540" s="13"/>
    </row>
    <row r="2541" spans="1:7" x14ac:dyDescent="0.2">
      <c r="A2541" s="13"/>
      <c r="B2541" s="13"/>
      <c r="C2541" s="13"/>
      <c r="D2541" s="13"/>
      <c r="E2541" s="13"/>
      <c r="G2541" s="13"/>
    </row>
    <row r="2542" spans="1:7" x14ac:dyDescent="0.2">
      <c r="A2542" s="13"/>
      <c r="B2542" s="13"/>
      <c r="C2542" s="13"/>
      <c r="D2542" s="13"/>
      <c r="E2542" s="13"/>
      <c r="G2542" s="13"/>
    </row>
    <row r="2543" spans="1:7" x14ac:dyDescent="0.2">
      <c r="A2543" s="13"/>
      <c r="B2543" s="13"/>
      <c r="C2543" s="13"/>
      <c r="D2543" s="13"/>
      <c r="E2543" s="13"/>
      <c r="G2543" s="13"/>
    </row>
    <row r="2544" spans="1:7" x14ac:dyDescent="0.2">
      <c r="A2544" s="13"/>
      <c r="B2544" s="13"/>
      <c r="C2544" s="13"/>
      <c r="D2544" s="13"/>
      <c r="E2544" s="13"/>
      <c r="G2544" s="13"/>
    </row>
    <row r="2545" spans="1:7" x14ac:dyDescent="0.2">
      <c r="A2545" s="13"/>
      <c r="B2545" s="13"/>
      <c r="C2545" s="13"/>
      <c r="D2545" s="13"/>
      <c r="E2545" s="13"/>
      <c r="G2545" s="13"/>
    </row>
    <row r="2546" spans="1:7" x14ac:dyDescent="0.2">
      <c r="A2546" s="13"/>
      <c r="B2546" s="13"/>
      <c r="C2546" s="13"/>
      <c r="D2546" s="13"/>
      <c r="E2546" s="13"/>
      <c r="G2546" s="13"/>
    </row>
    <row r="2547" spans="1:7" x14ac:dyDescent="0.2">
      <c r="A2547" s="13"/>
      <c r="B2547" s="13"/>
      <c r="C2547" s="13"/>
      <c r="D2547" s="13"/>
      <c r="E2547" s="13"/>
      <c r="F2547" s="13"/>
    </row>
    <row r="2548" spans="1:7" x14ac:dyDescent="0.2">
      <c r="A2548" s="13"/>
      <c r="B2548" s="13"/>
      <c r="C2548" s="13"/>
      <c r="D2548" s="13"/>
      <c r="E2548" s="13"/>
      <c r="G2548" s="13"/>
    </row>
    <row r="2549" spans="1:7" x14ac:dyDescent="0.2">
      <c r="A2549" s="13"/>
      <c r="B2549" s="13"/>
      <c r="C2549" s="13"/>
      <c r="D2549" s="13"/>
      <c r="E2549" s="13"/>
      <c r="G2549" s="13"/>
    </row>
    <row r="2550" spans="1:7" x14ac:dyDescent="0.2">
      <c r="A2550" s="13"/>
      <c r="B2550" s="13"/>
      <c r="C2550" s="13"/>
      <c r="D2550" s="13"/>
      <c r="E2550" s="13"/>
      <c r="G2550" s="13"/>
    </row>
    <row r="2551" spans="1:7" x14ac:dyDescent="0.2">
      <c r="A2551" s="13"/>
      <c r="B2551" s="13"/>
      <c r="C2551" s="13"/>
      <c r="D2551" s="13"/>
      <c r="E2551" s="13"/>
      <c r="G2551" s="13"/>
    </row>
    <row r="2552" spans="1:7" x14ac:dyDescent="0.2">
      <c r="A2552" s="13"/>
      <c r="B2552" s="13"/>
      <c r="C2552" s="13"/>
      <c r="D2552" s="13"/>
      <c r="E2552" s="13"/>
      <c r="G2552" s="13"/>
    </row>
    <row r="2553" spans="1:7" x14ac:dyDescent="0.2">
      <c r="A2553" s="13"/>
      <c r="B2553" s="13"/>
      <c r="C2553" s="13"/>
      <c r="D2553" s="13"/>
      <c r="E2553" s="13"/>
      <c r="G2553" s="13"/>
    </row>
    <row r="2554" spans="1:7" x14ac:dyDescent="0.2">
      <c r="A2554" s="13"/>
      <c r="B2554" s="13"/>
      <c r="D2554" s="13"/>
      <c r="E2554" s="13"/>
      <c r="G2554" s="13"/>
    </row>
    <row r="2555" spans="1:7" x14ac:dyDescent="0.2">
      <c r="A2555" s="13"/>
      <c r="B2555" s="13"/>
      <c r="C2555" s="13"/>
      <c r="D2555" s="13"/>
      <c r="E2555" s="13"/>
      <c r="G2555" s="13"/>
    </row>
    <row r="2556" spans="1:7" x14ac:dyDescent="0.2">
      <c r="A2556" s="13"/>
      <c r="B2556" s="13"/>
      <c r="C2556" s="13"/>
      <c r="D2556" s="13"/>
      <c r="E2556" s="13"/>
      <c r="G2556" s="13"/>
    </row>
    <row r="2557" spans="1:7" x14ac:dyDescent="0.2">
      <c r="A2557" s="13"/>
      <c r="B2557" s="13"/>
      <c r="C2557" s="13"/>
      <c r="D2557" s="13"/>
      <c r="E2557" s="13"/>
      <c r="G2557" s="13"/>
    </row>
    <row r="2558" spans="1:7" x14ac:dyDescent="0.2">
      <c r="A2558" s="13"/>
      <c r="B2558" s="13"/>
      <c r="C2558" s="13"/>
      <c r="D2558" s="13"/>
      <c r="E2558" s="13"/>
      <c r="G2558" s="13"/>
    </row>
    <row r="2559" spans="1:7" x14ac:dyDescent="0.2">
      <c r="A2559" s="13"/>
      <c r="B2559" s="13"/>
      <c r="C2559" s="13"/>
      <c r="D2559" s="13"/>
      <c r="E2559" s="13"/>
      <c r="F2559" s="13"/>
    </row>
    <row r="2560" spans="1:7" x14ac:dyDescent="0.2">
      <c r="A2560" s="13"/>
      <c r="B2560" s="13"/>
      <c r="C2560" s="13"/>
      <c r="D2560" s="13"/>
      <c r="E2560" s="13"/>
      <c r="F2560" s="13"/>
    </row>
    <row r="2561" spans="1:7" x14ac:dyDescent="0.2">
      <c r="A2561" s="13"/>
      <c r="B2561" s="13"/>
      <c r="C2561" s="13"/>
      <c r="D2561" s="13"/>
      <c r="E2561" s="13"/>
      <c r="F2561" s="13"/>
    </row>
    <row r="2562" spans="1:7" x14ac:dyDescent="0.2">
      <c r="A2562" s="13"/>
      <c r="B2562" s="13"/>
      <c r="C2562" s="13"/>
      <c r="D2562" s="13"/>
      <c r="E2562" s="13"/>
      <c r="F2562" s="13"/>
    </row>
    <row r="2563" spans="1:7" x14ac:dyDescent="0.2">
      <c r="A2563" s="13"/>
      <c r="B2563" s="13"/>
      <c r="C2563" s="13"/>
      <c r="D2563" s="13"/>
      <c r="E2563" s="13"/>
      <c r="F2563" s="13"/>
    </row>
    <row r="2564" spans="1:7" x14ac:dyDescent="0.2">
      <c r="A2564" s="13"/>
      <c r="B2564" s="13"/>
      <c r="C2564" s="13"/>
      <c r="D2564" s="13"/>
      <c r="E2564" s="13"/>
      <c r="F2564" s="13"/>
    </row>
    <row r="2565" spans="1:7" x14ac:dyDescent="0.2">
      <c r="A2565" s="13"/>
      <c r="B2565" s="13"/>
      <c r="C2565" s="13"/>
      <c r="D2565" s="13"/>
      <c r="E2565" s="13"/>
      <c r="F2565" s="13"/>
    </row>
    <row r="2566" spans="1:7" x14ac:dyDescent="0.2">
      <c r="A2566" s="13"/>
      <c r="B2566" s="13"/>
      <c r="C2566" s="13"/>
      <c r="D2566" s="13"/>
      <c r="E2566" s="13"/>
      <c r="F2566" s="13"/>
    </row>
    <row r="2567" spans="1:7" x14ac:dyDescent="0.2">
      <c r="A2567" s="13"/>
      <c r="B2567" s="13"/>
      <c r="C2567" s="13"/>
      <c r="D2567" s="13"/>
      <c r="E2567" s="13"/>
      <c r="F2567" s="13"/>
    </row>
    <row r="2568" spans="1:7" x14ac:dyDescent="0.2">
      <c r="A2568" s="13"/>
      <c r="B2568" s="13"/>
      <c r="C2568" s="13"/>
      <c r="D2568" s="13"/>
      <c r="E2568" s="13"/>
      <c r="F2568" s="13"/>
    </row>
    <row r="2569" spans="1:7" x14ac:dyDescent="0.2">
      <c r="A2569" s="13"/>
      <c r="B2569" s="13"/>
      <c r="C2569" s="13"/>
      <c r="D2569" s="13"/>
      <c r="E2569" s="13"/>
      <c r="F2569" s="13"/>
    </row>
    <row r="2570" spans="1:7" x14ac:dyDescent="0.2">
      <c r="A2570" s="13"/>
      <c r="B2570" s="13"/>
      <c r="C2570" s="13"/>
      <c r="D2570" s="13"/>
      <c r="E2570" s="13"/>
      <c r="F2570" s="13"/>
    </row>
    <row r="2571" spans="1:7" x14ac:dyDescent="0.2">
      <c r="A2571" s="13"/>
      <c r="B2571" s="13"/>
      <c r="C2571" s="13"/>
      <c r="D2571" s="13"/>
      <c r="E2571" s="13"/>
      <c r="F2571" s="13"/>
    </row>
    <row r="2572" spans="1:7" x14ac:dyDescent="0.2">
      <c r="A2572" s="13"/>
      <c r="B2572" s="13"/>
      <c r="C2572" s="13"/>
      <c r="D2572" s="13"/>
      <c r="E2572" s="13"/>
      <c r="F2572" s="13"/>
    </row>
    <row r="2573" spans="1:7" x14ac:dyDescent="0.2">
      <c r="A2573" s="13"/>
      <c r="B2573" s="13"/>
      <c r="C2573" s="13"/>
      <c r="D2573" s="13"/>
      <c r="E2573" s="13"/>
      <c r="F2573" s="13"/>
    </row>
    <row r="2574" spans="1:7" x14ac:dyDescent="0.2">
      <c r="A2574" s="13"/>
      <c r="B2574" s="13"/>
      <c r="C2574" s="13"/>
      <c r="D2574" s="13"/>
      <c r="E2574" s="13"/>
      <c r="G2574" s="13"/>
    </row>
    <row r="2575" spans="1:7" x14ac:dyDescent="0.2">
      <c r="A2575" s="13"/>
      <c r="B2575" s="13"/>
      <c r="C2575" s="13"/>
      <c r="D2575" s="13"/>
      <c r="E2575" s="13"/>
      <c r="G2575" s="13"/>
    </row>
    <row r="2576" spans="1:7" x14ac:dyDescent="0.2">
      <c r="A2576" s="13"/>
      <c r="B2576" s="13"/>
      <c r="C2576" s="13"/>
      <c r="D2576" s="13"/>
      <c r="E2576" s="13"/>
      <c r="G2576" s="13"/>
    </row>
    <row r="2577" spans="1:7" x14ac:dyDescent="0.2">
      <c r="A2577" s="13"/>
      <c r="B2577" s="13"/>
      <c r="C2577" s="13"/>
      <c r="D2577" s="13"/>
      <c r="E2577" s="13"/>
      <c r="G2577" s="13"/>
    </row>
    <row r="2578" spans="1:7" x14ac:dyDescent="0.2">
      <c r="A2578" s="13"/>
      <c r="B2578" s="13"/>
      <c r="C2578" s="13"/>
      <c r="D2578" s="13"/>
      <c r="E2578" s="13"/>
      <c r="G2578" s="13"/>
    </row>
    <row r="2579" spans="1:7" x14ac:dyDescent="0.2">
      <c r="A2579" s="13"/>
      <c r="B2579" s="13"/>
      <c r="C2579" s="13"/>
      <c r="D2579" s="13"/>
      <c r="E2579" s="13"/>
      <c r="G2579" s="13"/>
    </row>
    <row r="2580" spans="1:7" x14ac:dyDescent="0.2">
      <c r="A2580" s="13"/>
      <c r="B2580" s="13"/>
      <c r="C2580" s="13"/>
      <c r="D2580" s="13"/>
      <c r="E2580" s="13"/>
      <c r="G2580" s="13"/>
    </row>
    <row r="2581" spans="1:7" x14ac:dyDescent="0.2">
      <c r="A2581" s="13"/>
      <c r="B2581" s="13"/>
      <c r="C2581" s="13"/>
      <c r="D2581" s="13"/>
      <c r="E2581" s="13"/>
      <c r="G2581" s="13"/>
    </row>
    <row r="2582" spans="1:7" x14ac:dyDescent="0.2">
      <c r="A2582" s="13"/>
      <c r="B2582" s="13"/>
      <c r="C2582" s="13"/>
      <c r="D2582" s="13"/>
      <c r="E2582" s="13"/>
      <c r="F2582" s="13"/>
    </row>
    <row r="2583" spans="1:7" x14ac:dyDescent="0.2">
      <c r="A2583" s="13"/>
      <c r="B2583" s="13"/>
      <c r="C2583" s="13"/>
      <c r="D2583" s="13"/>
      <c r="E2583" s="13"/>
      <c r="G2583" s="13"/>
    </row>
    <row r="2584" spans="1:7" x14ac:dyDescent="0.2">
      <c r="A2584" s="13"/>
      <c r="B2584" s="13"/>
      <c r="C2584" s="13"/>
      <c r="D2584" s="13"/>
      <c r="E2584" s="13"/>
      <c r="G2584" s="13"/>
    </row>
    <row r="2585" spans="1:7" x14ac:dyDescent="0.2">
      <c r="A2585" s="13"/>
      <c r="B2585" s="13"/>
      <c r="C2585" s="13"/>
      <c r="D2585" s="13"/>
      <c r="E2585" s="13"/>
      <c r="G2585" s="13"/>
    </row>
    <row r="2586" spans="1:7" x14ac:dyDescent="0.2">
      <c r="A2586" s="13"/>
      <c r="B2586" s="13"/>
      <c r="C2586" s="13"/>
      <c r="D2586" s="13"/>
      <c r="E2586" s="13"/>
      <c r="G2586" s="13"/>
    </row>
    <row r="2587" spans="1:7" x14ac:dyDescent="0.2">
      <c r="A2587" s="13"/>
      <c r="B2587" s="13"/>
      <c r="C2587" s="13"/>
      <c r="D2587" s="13"/>
      <c r="E2587" s="13"/>
      <c r="G2587" s="13"/>
    </row>
    <row r="2588" spans="1:7" x14ac:dyDescent="0.2">
      <c r="A2588" s="13"/>
      <c r="B2588" s="13"/>
      <c r="C2588" s="13"/>
      <c r="D2588" s="13"/>
      <c r="E2588" s="13"/>
      <c r="G2588" s="13"/>
    </row>
    <row r="2589" spans="1:7" x14ac:dyDescent="0.2">
      <c r="A2589" s="13"/>
      <c r="B2589" s="13"/>
      <c r="C2589" s="13"/>
      <c r="D2589" s="13"/>
      <c r="E2589" s="13"/>
      <c r="G2589" s="13"/>
    </row>
    <row r="2590" spans="1:7" x14ac:dyDescent="0.2">
      <c r="A2590" s="13"/>
      <c r="B2590" s="13"/>
      <c r="C2590" s="13"/>
      <c r="D2590" s="13"/>
      <c r="E2590" s="13"/>
      <c r="G2590" s="13"/>
    </row>
    <row r="2591" spans="1:7" x14ac:dyDescent="0.2">
      <c r="A2591" s="13"/>
      <c r="B2591" s="13"/>
      <c r="C2591" s="13"/>
      <c r="D2591" s="13"/>
      <c r="E2591" s="13"/>
      <c r="G2591" s="13"/>
    </row>
    <row r="2592" spans="1:7" x14ac:dyDescent="0.2">
      <c r="A2592" s="13"/>
      <c r="B2592" s="13"/>
      <c r="C2592" s="13"/>
      <c r="D2592" s="13"/>
      <c r="E2592" s="13"/>
      <c r="F2592" s="13"/>
    </row>
    <row r="2593" spans="1:7" x14ac:dyDescent="0.2">
      <c r="A2593" s="13"/>
      <c r="B2593" s="13"/>
      <c r="C2593" s="13"/>
      <c r="D2593" s="13"/>
      <c r="E2593" s="13"/>
      <c r="F2593" s="13"/>
    </row>
    <row r="2594" spans="1:7" x14ac:dyDescent="0.2">
      <c r="A2594" s="13"/>
      <c r="B2594" s="13"/>
      <c r="C2594" s="13"/>
      <c r="D2594" s="13"/>
      <c r="E2594" s="13"/>
      <c r="F2594" s="13"/>
    </row>
    <row r="2595" spans="1:7" x14ac:dyDescent="0.2">
      <c r="A2595" s="13"/>
      <c r="B2595" s="13"/>
      <c r="C2595" s="13"/>
      <c r="D2595" s="13"/>
      <c r="E2595" s="13"/>
      <c r="F2595" s="13"/>
    </row>
    <row r="2596" spans="1:7" x14ac:dyDescent="0.2">
      <c r="A2596" s="13"/>
      <c r="B2596" s="13"/>
      <c r="C2596" s="13"/>
      <c r="D2596" s="13"/>
      <c r="E2596" s="13"/>
      <c r="F2596" s="13"/>
    </row>
    <row r="2597" spans="1:7" x14ac:dyDescent="0.2">
      <c r="A2597" s="13"/>
      <c r="B2597" s="13"/>
      <c r="C2597" s="13"/>
      <c r="D2597" s="13"/>
      <c r="E2597" s="13"/>
      <c r="F2597" s="13"/>
    </row>
    <row r="2598" spans="1:7" x14ac:dyDescent="0.2">
      <c r="A2598" s="13"/>
      <c r="B2598" s="13"/>
      <c r="C2598" s="13"/>
      <c r="D2598" s="13"/>
      <c r="E2598" s="13"/>
      <c r="F2598" s="13"/>
    </row>
    <row r="2599" spans="1:7" x14ac:dyDescent="0.2">
      <c r="A2599" s="13"/>
      <c r="B2599" s="13"/>
      <c r="C2599" s="13"/>
      <c r="D2599" s="13"/>
      <c r="E2599" s="13"/>
      <c r="F2599" s="13"/>
    </row>
    <row r="2600" spans="1:7" x14ac:dyDescent="0.2">
      <c r="A2600" s="13"/>
      <c r="B2600" s="13"/>
      <c r="C2600" s="13"/>
      <c r="D2600" s="13"/>
      <c r="E2600" s="13"/>
      <c r="F2600" s="13"/>
    </row>
    <row r="2601" spans="1:7" x14ac:dyDescent="0.2">
      <c r="A2601" s="13"/>
      <c r="B2601" s="13"/>
      <c r="C2601" s="13"/>
      <c r="D2601" s="13"/>
      <c r="E2601" s="13"/>
      <c r="F2601" s="13"/>
    </row>
    <row r="2602" spans="1:7" x14ac:dyDescent="0.2">
      <c r="A2602" s="13"/>
      <c r="B2602" s="13"/>
      <c r="C2602" s="13"/>
      <c r="D2602" s="13"/>
      <c r="E2602" s="13"/>
      <c r="F2602" s="13"/>
    </row>
    <row r="2603" spans="1:7" x14ac:dyDescent="0.2">
      <c r="A2603" s="13"/>
      <c r="B2603" s="13"/>
      <c r="C2603" s="13"/>
      <c r="D2603" s="13"/>
      <c r="E2603" s="13"/>
      <c r="F2603" s="13"/>
    </row>
    <row r="2604" spans="1:7" x14ac:dyDescent="0.2">
      <c r="A2604" s="13"/>
      <c r="B2604" s="13"/>
      <c r="C2604" s="13"/>
      <c r="D2604" s="13"/>
      <c r="E2604" s="13"/>
      <c r="F2604" s="13"/>
    </row>
    <row r="2605" spans="1:7" x14ac:dyDescent="0.2">
      <c r="A2605" s="13"/>
      <c r="B2605" s="13"/>
      <c r="C2605" s="13"/>
      <c r="D2605" s="13"/>
      <c r="E2605" s="13"/>
      <c r="G2605" s="13"/>
    </row>
    <row r="2606" spans="1:7" x14ac:dyDescent="0.2">
      <c r="A2606" s="13"/>
      <c r="B2606" s="13"/>
      <c r="C2606" s="13"/>
      <c r="D2606" s="13"/>
      <c r="E2606" s="13"/>
      <c r="G2606" s="13"/>
    </row>
    <row r="2607" spans="1:7" x14ac:dyDescent="0.2">
      <c r="A2607" s="13"/>
      <c r="B2607" s="13"/>
      <c r="C2607" s="13"/>
      <c r="D2607" s="13"/>
      <c r="E2607" s="13"/>
      <c r="G2607" s="13"/>
    </row>
    <row r="2608" spans="1:7" x14ac:dyDescent="0.2">
      <c r="A2608" s="13"/>
      <c r="B2608" s="13"/>
      <c r="C2608" s="13"/>
      <c r="D2608" s="13"/>
      <c r="E2608" s="13"/>
      <c r="G2608" s="13"/>
    </row>
    <row r="2609" spans="1:7" x14ac:dyDescent="0.2">
      <c r="A2609" s="13"/>
      <c r="B2609" s="13"/>
      <c r="C2609" s="13"/>
      <c r="D2609" s="13"/>
      <c r="E2609" s="13"/>
      <c r="G2609" s="13"/>
    </row>
    <row r="2610" spans="1:7" x14ac:dyDescent="0.2">
      <c r="A2610" s="13"/>
      <c r="B2610" s="13"/>
      <c r="C2610" s="13"/>
      <c r="D2610" s="13"/>
      <c r="E2610" s="13"/>
      <c r="G2610" s="13"/>
    </row>
    <row r="2611" spans="1:7" x14ac:dyDescent="0.2">
      <c r="A2611" s="13"/>
      <c r="B2611" s="13"/>
      <c r="C2611" s="13"/>
      <c r="D2611" s="13"/>
      <c r="E2611" s="13"/>
      <c r="G2611" s="13"/>
    </row>
    <row r="2612" spans="1:7" x14ac:dyDescent="0.2">
      <c r="A2612" s="13"/>
      <c r="B2612" s="13"/>
      <c r="C2612" s="13"/>
      <c r="D2612" s="13"/>
      <c r="E2612" s="13"/>
      <c r="G2612" s="13"/>
    </row>
    <row r="2613" spans="1:7" x14ac:dyDescent="0.2">
      <c r="A2613" s="13"/>
      <c r="B2613" s="13"/>
      <c r="C2613" s="13"/>
      <c r="D2613" s="13"/>
      <c r="E2613" s="13"/>
      <c r="G2613" s="13"/>
    </row>
    <row r="2614" spans="1:7" x14ac:dyDescent="0.2">
      <c r="A2614" s="13"/>
      <c r="B2614" s="13"/>
      <c r="C2614" s="13"/>
      <c r="D2614" s="13"/>
      <c r="E2614" s="13"/>
      <c r="G2614" s="13"/>
    </row>
    <row r="2615" spans="1:7" x14ac:dyDescent="0.2">
      <c r="A2615" s="13"/>
      <c r="B2615" s="13"/>
      <c r="C2615" s="13"/>
      <c r="D2615" s="13"/>
      <c r="E2615" s="13"/>
      <c r="G2615" s="13"/>
    </row>
    <row r="2616" spans="1:7" x14ac:dyDescent="0.2">
      <c r="A2616" s="13"/>
      <c r="B2616" s="13"/>
      <c r="C2616" s="13"/>
      <c r="D2616" s="13"/>
      <c r="E2616" s="13"/>
      <c r="G2616" s="13"/>
    </row>
    <row r="2617" spans="1:7" x14ac:dyDescent="0.2">
      <c r="A2617" s="13"/>
      <c r="B2617" s="13"/>
      <c r="C2617" s="13"/>
      <c r="D2617" s="13"/>
      <c r="E2617" s="13"/>
      <c r="G2617" s="13"/>
    </row>
    <row r="2618" spans="1:7" x14ac:dyDescent="0.2">
      <c r="A2618" s="13"/>
      <c r="B2618" s="13"/>
      <c r="C2618" s="13"/>
      <c r="D2618" s="13"/>
      <c r="E2618" s="13"/>
      <c r="G2618" s="13"/>
    </row>
    <row r="2619" spans="1:7" x14ac:dyDescent="0.2">
      <c r="A2619" s="13"/>
      <c r="B2619" s="13"/>
      <c r="C2619" s="13"/>
      <c r="D2619" s="13"/>
      <c r="E2619" s="13"/>
      <c r="G2619" s="13"/>
    </row>
    <row r="2620" spans="1:7" x14ac:dyDescent="0.2">
      <c r="A2620" s="13"/>
      <c r="B2620" s="13"/>
      <c r="D2620" s="13"/>
      <c r="E2620" s="13"/>
      <c r="G2620" s="13"/>
    </row>
    <row r="2621" spans="1:7" x14ac:dyDescent="0.2">
      <c r="A2621" s="13"/>
      <c r="B2621" s="13"/>
      <c r="C2621" s="13"/>
      <c r="D2621" s="13"/>
      <c r="E2621" s="13"/>
      <c r="G2621" s="13"/>
    </row>
    <row r="2622" spans="1:7" x14ac:dyDescent="0.2">
      <c r="A2622" s="13"/>
      <c r="B2622" s="13"/>
      <c r="C2622" s="13"/>
      <c r="D2622" s="13"/>
      <c r="E2622" s="13"/>
      <c r="G2622" s="13"/>
    </row>
    <row r="2623" spans="1:7" x14ac:dyDescent="0.2">
      <c r="A2623" s="13"/>
      <c r="B2623" s="13"/>
      <c r="C2623" s="13"/>
      <c r="D2623" s="13"/>
      <c r="E2623" s="13"/>
      <c r="G2623" s="13"/>
    </row>
    <row r="2624" spans="1:7" x14ac:dyDescent="0.2">
      <c r="A2624" s="13"/>
      <c r="B2624" s="13"/>
      <c r="C2624" s="13"/>
      <c r="D2624" s="13"/>
      <c r="E2624" s="13"/>
      <c r="G2624" s="13"/>
    </row>
    <row r="2625" spans="1:7" x14ac:dyDescent="0.2">
      <c r="A2625" s="13"/>
      <c r="B2625" s="13"/>
      <c r="C2625" s="13"/>
      <c r="D2625" s="13"/>
      <c r="E2625" s="13"/>
      <c r="F2625" s="13"/>
    </row>
    <row r="2626" spans="1:7" x14ac:dyDescent="0.2">
      <c r="A2626" s="13"/>
      <c r="B2626" s="13"/>
      <c r="C2626" s="13"/>
      <c r="D2626" s="13"/>
      <c r="E2626" s="13"/>
      <c r="F2626" s="13"/>
    </row>
    <row r="2627" spans="1:7" x14ac:dyDescent="0.2">
      <c r="A2627" s="13"/>
      <c r="B2627" s="13"/>
      <c r="C2627" s="13"/>
      <c r="D2627" s="13"/>
      <c r="E2627" s="13"/>
      <c r="F2627" s="13"/>
    </row>
    <row r="2628" spans="1:7" x14ac:dyDescent="0.2">
      <c r="A2628" s="13"/>
      <c r="B2628" s="13"/>
      <c r="C2628" s="13"/>
      <c r="D2628" s="13"/>
      <c r="E2628" s="13"/>
      <c r="F2628" s="13"/>
    </row>
    <row r="2629" spans="1:7" x14ac:dyDescent="0.2">
      <c r="A2629" s="13"/>
      <c r="B2629" s="13"/>
      <c r="C2629" s="13"/>
      <c r="D2629" s="13"/>
      <c r="E2629" s="13"/>
      <c r="F2629" s="13"/>
    </row>
    <row r="2630" spans="1:7" x14ac:dyDescent="0.2">
      <c r="A2630" s="13"/>
      <c r="B2630" s="13"/>
      <c r="C2630" s="13"/>
      <c r="D2630" s="13"/>
      <c r="E2630" s="13"/>
      <c r="F2630" s="13"/>
    </row>
    <row r="2631" spans="1:7" x14ac:dyDescent="0.2">
      <c r="A2631" s="13"/>
      <c r="B2631" s="13"/>
      <c r="C2631" s="13"/>
      <c r="D2631" s="13"/>
      <c r="E2631" s="13"/>
      <c r="F2631" s="13"/>
    </row>
    <row r="2632" spans="1:7" x14ac:dyDescent="0.2">
      <c r="A2632" s="13"/>
      <c r="B2632" s="13"/>
      <c r="C2632" s="13"/>
      <c r="D2632" s="13"/>
      <c r="E2632" s="13"/>
      <c r="F2632" s="13"/>
    </row>
    <row r="2633" spans="1:7" x14ac:dyDescent="0.2">
      <c r="A2633" s="13"/>
      <c r="B2633" s="13"/>
      <c r="C2633" s="13"/>
      <c r="D2633" s="13"/>
      <c r="E2633" s="13"/>
      <c r="F2633" s="13"/>
    </row>
    <row r="2634" spans="1:7" x14ac:dyDescent="0.2">
      <c r="A2634" s="13"/>
      <c r="B2634" s="13"/>
      <c r="C2634" s="13"/>
      <c r="D2634" s="13"/>
      <c r="E2634" s="13"/>
      <c r="F2634" s="13"/>
    </row>
    <row r="2635" spans="1:7" x14ac:dyDescent="0.2">
      <c r="A2635" s="13"/>
      <c r="B2635" s="13"/>
      <c r="C2635" s="13"/>
      <c r="D2635" s="13"/>
      <c r="E2635" s="13"/>
      <c r="F2635" s="13"/>
    </row>
    <row r="2636" spans="1:7" x14ac:dyDescent="0.2">
      <c r="A2636" s="13"/>
      <c r="B2636" s="13"/>
      <c r="C2636" s="13"/>
      <c r="D2636" s="13"/>
      <c r="E2636" s="13"/>
      <c r="F2636" s="13"/>
    </row>
    <row r="2637" spans="1:7" x14ac:dyDescent="0.2">
      <c r="A2637" s="13"/>
      <c r="B2637" s="13"/>
      <c r="C2637" s="13"/>
      <c r="D2637" s="13"/>
      <c r="E2637" s="13"/>
      <c r="F2637" s="13"/>
    </row>
    <row r="2638" spans="1:7" x14ac:dyDescent="0.2">
      <c r="A2638" s="13"/>
      <c r="B2638" s="13"/>
      <c r="C2638" s="13"/>
      <c r="D2638" s="13"/>
      <c r="E2638" s="13"/>
      <c r="F2638" s="13"/>
    </row>
    <row r="2639" spans="1:7" x14ac:dyDescent="0.2">
      <c r="A2639" s="13"/>
      <c r="B2639" s="13"/>
      <c r="C2639" s="13"/>
      <c r="D2639" s="13"/>
      <c r="E2639" s="13"/>
      <c r="F2639" s="13"/>
    </row>
    <row r="2640" spans="1:7" x14ac:dyDescent="0.2">
      <c r="A2640" s="13"/>
      <c r="B2640" s="13"/>
      <c r="C2640" s="13"/>
      <c r="D2640" s="13"/>
      <c r="E2640" s="13"/>
      <c r="G2640" s="13"/>
    </row>
    <row r="2641" spans="1:7" x14ac:dyDescent="0.2">
      <c r="A2641" s="13"/>
      <c r="B2641" s="13"/>
      <c r="C2641" s="13"/>
      <c r="D2641" s="13"/>
      <c r="E2641" s="13"/>
      <c r="G2641" s="13"/>
    </row>
    <row r="2642" spans="1:7" x14ac:dyDescent="0.2">
      <c r="A2642" s="13"/>
      <c r="B2642" s="13"/>
      <c r="C2642" s="13"/>
      <c r="D2642" s="13"/>
      <c r="E2642" s="13"/>
      <c r="G2642" s="13"/>
    </row>
    <row r="2643" spans="1:7" x14ac:dyDescent="0.2">
      <c r="A2643" s="13"/>
      <c r="B2643" s="13"/>
      <c r="C2643" s="13"/>
      <c r="D2643" s="13"/>
      <c r="E2643" s="13"/>
      <c r="G2643" s="13"/>
    </row>
    <row r="2644" spans="1:7" x14ac:dyDescent="0.2">
      <c r="A2644" s="13"/>
      <c r="B2644" s="13"/>
      <c r="C2644" s="13"/>
      <c r="D2644" s="13"/>
      <c r="E2644" s="13"/>
      <c r="G2644" s="13"/>
    </row>
    <row r="2645" spans="1:7" x14ac:dyDescent="0.2">
      <c r="A2645" s="13"/>
      <c r="B2645" s="13"/>
      <c r="C2645" s="13"/>
      <c r="D2645" s="13"/>
      <c r="E2645" s="13"/>
      <c r="G2645" s="13"/>
    </row>
    <row r="2646" spans="1:7" x14ac:dyDescent="0.2">
      <c r="A2646" s="13"/>
      <c r="B2646" s="13"/>
      <c r="C2646" s="13"/>
      <c r="D2646" s="13"/>
      <c r="E2646" s="13"/>
      <c r="G2646" s="13"/>
    </row>
    <row r="2647" spans="1:7" x14ac:dyDescent="0.2">
      <c r="A2647" s="13"/>
      <c r="B2647" s="13"/>
      <c r="C2647" s="13"/>
      <c r="D2647" s="13"/>
      <c r="E2647" s="13"/>
      <c r="G2647" s="13"/>
    </row>
    <row r="2648" spans="1:7" x14ac:dyDescent="0.2">
      <c r="A2648" s="13"/>
      <c r="B2648" s="13"/>
      <c r="C2648" s="13"/>
      <c r="D2648" s="13"/>
      <c r="E2648" s="13"/>
      <c r="G2648" s="13"/>
    </row>
    <row r="2649" spans="1:7" x14ac:dyDescent="0.2">
      <c r="A2649" s="13"/>
      <c r="B2649" s="13"/>
      <c r="C2649" s="13"/>
      <c r="D2649" s="13"/>
      <c r="E2649" s="13"/>
      <c r="G2649" s="13"/>
    </row>
    <row r="2650" spans="1:7" x14ac:dyDescent="0.2">
      <c r="A2650" s="13"/>
      <c r="B2650" s="13"/>
      <c r="C2650" s="13"/>
      <c r="D2650" s="13"/>
      <c r="E2650" s="13"/>
      <c r="G2650" s="13"/>
    </row>
    <row r="2651" spans="1:7" x14ac:dyDescent="0.2">
      <c r="A2651" s="13"/>
      <c r="B2651" s="13"/>
      <c r="C2651" s="13"/>
      <c r="D2651" s="13"/>
      <c r="E2651" s="13"/>
      <c r="G2651" s="13"/>
    </row>
    <row r="2652" spans="1:7" x14ac:dyDescent="0.2">
      <c r="A2652" s="13"/>
      <c r="B2652" s="13"/>
      <c r="C2652" s="13"/>
      <c r="D2652" s="13"/>
      <c r="E2652" s="13"/>
      <c r="G2652" s="13"/>
    </row>
    <row r="2653" spans="1:7" x14ac:dyDescent="0.2">
      <c r="A2653" s="13"/>
      <c r="B2653" s="13"/>
      <c r="C2653" s="13"/>
      <c r="D2653" s="13"/>
      <c r="E2653" s="13"/>
      <c r="G2653" s="13"/>
    </row>
    <row r="2654" spans="1:7" x14ac:dyDescent="0.2">
      <c r="A2654" s="13"/>
      <c r="B2654" s="13"/>
      <c r="C2654" s="13"/>
      <c r="D2654" s="13"/>
      <c r="E2654" s="13"/>
      <c r="G2654" s="13"/>
    </row>
    <row r="2655" spans="1:7" x14ac:dyDescent="0.2">
      <c r="A2655" s="13"/>
      <c r="B2655" s="13"/>
      <c r="C2655" s="13"/>
      <c r="D2655" s="13"/>
      <c r="E2655" s="13"/>
      <c r="G2655" s="13"/>
    </row>
    <row r="2656" spans="1:7" x14ac:dyDescent="0.2">
      <c r="A2656" s="13"/>
      <c r="B2656" s="13"/>
      <c r="C2656" s="13"/>
      <c r="D2656" s="13"/>
      <c r="E2656" s="13"/>
      <c r="G2656" s="13"/>
    </row>
    <row r="2657" spans="1:7" x14ac:dyDescent="0.2">
      <c r="A2657" s="13"/>
      <c r="B2657" s="13"/>
      <c r="C2657" s="13"/>
      <c r="D2657" s="13"/>
      <c r="E2657" s="13"/>
      <c r="G2657" s="13"/>
    </row>
    <row r="2658" spans="1:7" x14ac:dyDescent="0.2">
      <c r="A2658" s="13"/>
      <c r="B2658" s="13"/>
      <c r="C2658" s="13"/>
      <c r="D2658" s="13"/>
      <c r="E2658" s="13"/>
      <c r="G2658" s="13"/>
    </row>
    <row r="2659" spans="1:7" x14ac:dyDescent="0.2">
      <c r="A2659" s="13"/>
      <c r="B2659" s="13"/>
      <c r="C2659" s="13"/>
      <c r="D2659" s="13"/>
      <c r="E2659" s="13"/>
      <c r="G2659" s="13"/>
    </row>
    <row r="2660" spans="1:7" x14ac:dyDescent="0.2">
      <c r="A2660" s="13"/>
      <c r="B2660" s="13"/>
      <c r="C2660" s="13"/>
      <c r="D2660" s="13"/>
      <c r="E2660" s="13"/>
      <c r="G2660" s="13"/>
    </row>
    <row r="2661" spans="1:7" x14ac:dyDescent="0.2">
      <c r="A2661" s="13"/>
      <c r="B2661" s="13"/>
      <c r="C2661" s="13"/>
      <c r="D2661" s="13"/>
      <c r="E2661" s="13"/>
      <c r="G2661" s="13"/>
    </row>
    <row r="2662" spans="1:7" x14ac:dyDescent="0.2">
      <c r="A2662" s="13"/>
      <c r="B2662" s="13"/>
      <c r="C2662" s="13"/>
      <c r="D2662" s="13"/>
      <c r="E2662" s="13"/>
      <c r="F2662" s="13"/>
    </row>
    <row r="2663" spans="1:7" x14ac:dyDescent="0.2">
      <c r="A2663" s="13"/>
      <c r="B2663" s="13"/>
      <c r="C2663" s="13"/>
      <c r="D2663" s="13"/>
      <c r="E2663" s="13"/>
      <c r="F2663" s="13"/>
    </row>
    <row r="2664" spans="1:7" x14ac:dyDescent="0.2">
      <c r="A2664" s="13"/>
      <c r="B2664" s="13"/>
      <c r="C2664" s="13"/>
      <c r="D2664" s="13"/>
      <c r="E2664" s="13"/>
      <c r="F2664" s="13"/>
    </row>
    <row r="2665" spans="1:7" x14ac:dyDescent="0.2">
      <c r="A2665" s="13"/>
      <c r="B2665" s="13"/>
      <c r="C2665" s="13"/>
      <c r="D2665" s="13"/>
      <c r="E2665" s="13"/>
      <c r="F2665" s="13"/>
    </row>
    <row r="2666" spans="1:7" x14ac:dyDescent="0.2">
      <c r="A2666" s="13"/>
      <c r="B2666" s="13"/>
      <c r="C2666" s="13"/>
      <c r="D2666" s="13"/>
      <c r="E2666" s="13"/>
      <c r="F2666" s="13"/>
    </row>
    <row r="2667" spans="1:7" x14ac:dyDescent="0.2">
      <c r="A2667" s="13"/>
      <c r="B2667" s="13"/>
      <c r="C2667" s="13"/>
      <c r="D2667" s="13"/>
      <c r="E2667" s="13"/>
      <c r="F2667" s="13"/>
    </row>
    <row r="2668" spans="1:7" x14ac:dyDescent="0.2">
      <c r="A2668" s="13"/>
      <c r="B2668" s="13"/>
      <c r="C2668" s="13"/>
      <c r="D2668" s="13"/>
      <c r="E2668" s="13"/>
      <c r="F2668" s="13"/>
    </row>
    <row r="2669" spans="1:7" x14ac:dyDescent="0.2">
      <c r="A2669" s="13"/>
      <c r="B2669" s="13"/>
      <c r="C2669" s="13"/>
      <c r="D2669" s="13"/>
      <c r="E2669" s="13"/>
      <c r="F2669" s="13"/>
    </row>
    <row r="2670" spans="1:7" x14ac:dyDescent="0.2">
      <c r="A2670" s="13"/>
      <c r="B2670" s="13"/>
      <c r="C2670" s="13"/>
      <c r="D2670" s="13"/>
      <c r="E2670" s="13"/>
      <c r="F2670" s="13"/>
    </row>
    <row r="2671" spans="1:7" x14ac:dyDescent="0.2">
      <c r="A2671" s="13"/>
      <c r="B2671" s="13"/>
      <c r="C2671" s="13"/>
      <c r="D2671" s="13"/>
      <c r="E2671" s="13"/>
      <c r="F2671" s="13"/>
    </row>
    <row r="2672" spans="1:7" x14ac:dyDescent="0.2">
      <c r="A2672" s="13"/>
      <c r="B2672" s="13"/>
      <c r="C2672" s="13"/>
      <c r="D2672" s="13"/>
      <c r="E2672" s="13"/>
      <c r="F2672" s="13"/>
    </row>
    <row r="2673" spans="1:7" x14ac:dyDescent="0.2">
      <c r="A2673" s="13"/>
      <c r="B2673" s="13"/>
      <c r="C2673" s="13"/>
      <c r="D2673" s="13"/>
      <c r="E2673" s="13"/>
      <c r="F2673" s="13"/>
    </row>
    <row r="2674" spans="1:7" x14ac:dyDescent="0.2">
      <c r="A2674" s="13"/>
      <c r="B2674" s="13"/>
      <c r="C2674" s="13"/>
      <c r="D2674" s="13"/>
      <c r="E2674" s="13"/>
      <c r="F2674" s="13"/>
    </row>
    <row r="2675" spans="1:7" x14ac:dyDescent="0.2">
      <c r="A2675" s="13"/>
      <c r="B2675" s="13"/>
      <c r="C2675" s="13"/>
      <c r="D2675" s="13"/>
      <c r="E2675" s="13"/>
      <c r="G2675" s="13"/>
    </row>
    <row r="2676" spans="1:7" x14ac:dyDescent="0.2">
      <c r="A2676" s="13"/>
      <c r="B2676" s="13"/>
      <c r="C2676" s="13"/>
      <c r="D2676" s="13"/>
      <c r="E2676" s="13"/>
      <c r="G2676" s="13"/>
    </row>
    <row r="2677" spans="1:7" x14ac:dyDescent="0.2">
      <c r="A2677" s="13"/>
      <c r="B2677" s="13"/>
      <c r="C2677" s="13"/>
      <c r="D2677" s="13"/>
      <c r="E2677" s="13"/>
      <c r="G2677" s="13"/>
    </row>
    <row r="2678" spans="1:7" x14ac:dyDescent="0.2">
      <c r="A2678" s="13"/>
      <c r="B2678" s="13"/>
      <c r="C2678" s="13"/>
      <c r="D2678" s="13"/>
      <c r="E2678" s="13"/>
      <c r="G2678" s="13"/>
    </row>
    <row r="2679" spans="1:7" x14ac:dyDescent="0.2">
      <c r="A2679" s="13"/>
      <c r="B2679" s="13"/>
      <c r="C2679" s="13"/>
      <c r="D2679" s="13"/>
      <c r="E2679" s="13"/>
      <c r="G2679" s="13"/>
    </row>
    <row r="2680" spans="1:7" x14ac:dyDescent="0.2">
      <c r="A2680" s="13"/>
      <c r="B2680" s="13"/>
      <c r="C2680" s="13"/>
      <c r="D2680" s="13"/>
      <c r="E2680" s="13"/>
      <c r="G2680" s="13"/>
    </row>
    <row r="2681" spans="1:7" x14ac:dyDescent="0.2">
      <c r="A2681" s="13"/>
      <c r="B2681" s="13"/>
      <c r="C2681" s="13"/>
      <c r="D2681" s="13"/>
      <c r="E2681" s="13"/>
      <c r="G2681" s="13"/>
    </row>
    <row r="2682" spans="1:7" x14ac:dyDescent="0.2">
      <c r="A2682" s="13"/>
      <c r="B2682" s="13"/>
      <c r="C2682" s="13"/>
      <c r="D2682" s="13"/>
      <c r="E2682" s="13"/>
      <c r="G2682" s="13"/>
    </row>
    <row r="2683" spans="1:7" x14ac:dyDescent="0.2">
      <c r="A2683" s="13"/>
      <c r="B2683" s="13"/>
      <c r="C2683" s="13"/>
      <c r="D2683" s="13"/>
      <c r="E2683" s="13"/>
      <c r="G2683" s="13"/>
    </row>
    <row r="2684" spans="1:7" x14ac:dyDescent="0.2">
      <c r="A2684" s="13"/>
      <c r="B2684" s="13"/>
      <c r="C2684" s="13"/>
      <c r="D2684" s="13"/>
      <c r="E2684" s="13"/>
      <c r="G2684" s="13"/>
    </row>
    <row r="2685" spans="1:7" x14ac:dyDescent="0.2">
      <c r="A2685" s="13"/>
      <c r="B2685" s="13"/>
      <c r="C2685" s="13"/>
      <c r="D2685" s="13"/>
      <c r="E2685" s="13"/>
      <c r="G2685" s="13"/>
    </row>
    <row r="2686" spans="1:7" x14ac:dyDescent="0.2">
      <c r="A2686" s="13"/>
      <c r="B2686" s="13"/>
      <c r="C2686" s="13"/>
      <c r="D2686" s="13"/>
      <c r="E2686" s="13"/>
      <c r="G2686" s="13"/>
    </row>
    <row r="2687" spans="1:7" x14ac:dyDescent="0.2">
      <c r="A2687" s="13"/>
      <c r="B2687" s="13"/>
      <c r="C2687" s="13"/>
      <c r="D2687" s="13"/>
      <c r="E2687" s="13"/>
      <c r="G2687" s="13"/>
    </row>
    <row r="2688" spans="1:7" x14ac:dyDescent="0.2">
      <c r="A2688" s="13"/>
      <c r="B2688" s="13"/>
      <c r="C2688" s="13"/>
      <c r="D2688" s="13"/>
      <c r="E2688" s="13"/>
      <c r="G2688" s="13"/>
    </row>
    <row r="2689" spans="1:7" x14ac:dyDescent="0.2">
      <c r="A2689" s="13"/>
      <c r="B2689" s="13"/>
      <c r="C2689" s="13"/>
      <c r="D2689" s="13"/>
      <c r="E2689" s="13"/>
      <c r="G2689" s="13"/>
    </row>
    <row r="2690" spans="1:7" x14ac:dyDescent="0.2">
      <c r="A2690" s="13"/>
      <c r="B2690" s="13"/>
      <c r="C2690" s="13"/>
      <c r="D2690" s="13"/>
      <c r="E2690" s="13"/>
      <c r="G2690" s="13"/>
    </row>
    <row r="2691" spans="1:7" x14ac:dyDescent="0.2">
      <c r="A2691" s="13"/>
      <c r="B2691" s="13"/>
      <c r="C2691" s="13"/>
      <c r="D2691" s="13"/>
      <c r="E2691" s="13"/>
      <c r="F2691" s="13"/>
    </row>
    <row r="2692" spans="1:7" x14ac:dyDescent="0.2">
      <c r="A2692" s="13"/>
      <c r="B2692" s="13"/>
      <c r="C2692" s="13"/>
      <c r="D2692" s="13"/>
      <c r="E2692" s="13"/>
      <c r="F2692" s="13"/>
    </row>
    <row r="2693" spans="1:7" x14ac:dyDescent="0.2">
      <c r="A2693" s="13"/>
      <c r="B2693" s="13"/>
      <c r="C2693" s="13"/>
      <c r="D2693" s="13"/>
      <c r="E2693" s="13"/>
      <c r="F2693" s="13"/>
    </row>
    <row r="2694" spans="1:7" x14ac:dyDescent="0.2">
      <c r="A2694" s="13"/>
      <c r="B2694" s="13"/>
      <c r="C2694" s="13"/>
      <c r="D2694" s="13"/>
      <c r="E2694" s="13"/>
      <c r="F2694" s="13"/>
    </row>
    <row r="2695" spans="1:7" x14ac:dyDescent="0.2">
      <c r="A2695" s="13"/>
      <c r="B2695" s="13"/>
      <c r="C2695" s="13"/>
      <c r="D2695" s="13"/>
      <c r="E2695" s="13"/>
      <c r="F2695" s="13"/>
    </row>
    <row r="2696" spans="1:7" x14ac:dyDescent="0.2">
      <c r="A2696" s="13"/>
      <c r="B2696" s="13"/>
      <c r="C2696" s="13"/>
      <c r="D2696" s="13"/>
      <c r="E2696" s="13"/>
      <c r="F2696" s="13"/>
    </row>
    <row r="2697" spans="1:7" x14ac:dyDescent="0.2">
      <c r="A2697" s="13"/>
      <c r="B2697" s="13"/>
      <c r="C2697" s="13"/>
      <c r="D2697" s="13"/>
      <c r="E2697" s="13"/>
      <c r="F2697" s="13"/>
    </row>
    <row r="2698" spans="1:7" x14ac:dyDescent="0.2">
      <c r="A2698" s="13"/>
      <c r="B2698" s="13"/>
      <c r="C2698" s="13"/>
      <c r="D2698" s="13"/>
      <c r="E2698" s="13"/>
      <c r="F2698" s="13"/>
    </row>
    <row r="2699" spans="1:7" x14ac:dyDescent="0.2">
      <c r="A2699" s="13"/>
      <c r="B2699" s="13"/>
      <c r="C2699" s="13"/>
      <c r="D2699" s="13"/>
      <c r="E2699" s="13"/>
      <c r="F2699" s="13"/>
    </row>
    <row r="2700" spans="1:7" x14ac:dyDescent="0.2">
      <c r="A2700" s="13"/>
      <c r="B2700" s="13"/>
      <c r="C2700" s="13"/>
      <c r="D2700" s="13"/>
      <c r="E2700" s="13"/>
      <c r="F2700" s="13"/>
    </row>
    <row r="2701" spans="1:7" x14ac:dyDescent="0.2">
      <c r="A2701" s="13"/>
      <c r="B2701" s="13"/>
      <c r="C2701" s="13"/>
      <c r="D2701" s="13"/>
      <c r="E2701" s="13"/>
      <c r="F2701" s="13"/>
    </row>
    <row r="2702" spans="1:7" x14ac:dyDescent="0.2">
      <c r="A2702" s="13"/>
      <c r="B2702" s="13"/>
      <c r="C2702" s="13"/>
      <c r="D2702" s="13"/>
      <c r="E2702" s="13"/>
      <c r="F2702" s="13"/>
    </row>
    <row r="2703" spans="1:7" x14ac:dyDescent="0.2">
      <c r="A2703" s="13"/>
      <c r="B2703" s="13"/>
      <c r="C2703" s="13"/>
      <c r="D2703" s="13"/>
      <c r="E2703" s="13"/>
      <c r="G2703" s="13"/>
    </row>
    <row r="2704" spans="1:7" x14ac:dyDescent="0.2">
      <c r="A2704" s="13"/>
      <c r="B2704" s="13"/>
      <c r="C2704" s="13"/>
      <c r="D2704" s="13"/>
      <c r="E2704" s="13"/>
      <c r="G2704" s="13"/>
    </row>
    <row r="2705" spans="1:7" x14ac:dyDescent="0.2">
      <c r="A2705" s="13"/>
      <c r="B2705" s="13"/>
      <c r="C2705" s="13"/>
      <c r="D2705" s="13"/>
      <c r="E2705" s="13"/>
      <c r="G2705" s="13"/>
    </row>
    <row r="2706" spans="1:7" x14ac:dyDescent="0.2">
      <c r="A2706" s="13"/>
      <c r="B2706" s="13"/>
      <c r="C2706" s="13"/>
      <c r="D2706" s="13"/>
      <c r="E2706" s="13"/>
      <c r="G2706" s="13"/>
    </row>
    <row r="2707" spans="1:7" x14ac:dyDescent="0.2">
      <c r="A2707" s="13"/>
      <c r="B2707" s="13"/>
      <c r="C2707" s="13"/>
      <c r="D2707" s="13"/>
      <c r="E2707" s="13"/>
      <c r="G2707" s="13"/>
    </row>
    <row r="2708" spans="1:7" x14ac:dyDescent="0.2">
      <c r="A2708" s="13"/>
      <c r="B2708" s="13"/>
      <c r="C2708" s="13"/>
      <c r="D2708" s="13"/>
      <c r="E2708" s="13"/>
      <c r="G2708" s="13"/>
    </row>
    <row r="2709" spans="1:7" x14ac:dyDescent="0.2">
      <c r="A2709" s="13"/>
      <c r="B2709" s="13"/>
      <c r="C2709" s="13"/>
      <c r="D2709" s="13"/>
      <c r="E2709" s="13"/>
      <c r="G2709" s="13"/>
    </row>
    <row r="2710" spans="1:7" x14ac:dyDescent="0.2">
      <c r="A2710" s="13"/>
      <c r="B2710" s="13"/>
      <c r="C2710" s="13"/>
      <c r="D2710" s="13"/>
      <c r="E2710" s="13"/>
      <c r="G2710" s="13"/>
    </row>
    <row r="2711" spans="1:7" x14ac:dyDescent="0.2">
      <c r="A2711" s="13"/>
      <c r="B2711" s="13"/>
      <c r="C2711" s="13"/>
      <c r="D2711" s="13"/>
      <c r="E2711" s="13"/>
      <c r="G2711" s="13"/>
    </row>
    <row r="2712" spans="1:7" x14ac:dyDescent="0.2">
      <c r="A2712" s="13"/>
      <c r="B2712" s="13"/>
      <c r="C2712" s="13"/>
      <c r="D2712" s="13"/>
      <c r="E2712" s="13"/>
      <c r="G2712" s="13"/>
    </row>
    <row r="2713" spans="1:7" x14ac:dyDescent="0.2">
      <c r="A2713" s="13"/>
      <c r="B2713" s="13"/>
      <c r="C2713" s="13"/>
      <c r="D2713" s="13"/>
      <c r="E2713" s="13"/>
      <c r="G2713" s="13"/>
    </row>
    <row r="2714" spans="1:7" x14ac:dyDescent="0.2">
      <c r="A2714" s="13"/>
      <c r="B2714" s="13"/>
      <c r="C2714" s="13"/>
      <c r="D2714" s="13"/>
      <c r="E2714" s="13"/>
      <c r="G2714" s="13"/>
    </row>
    <row r="2715" spans="1:7" x14ac:dyDescent="0.2">
      <c r="A2715" s="13"/>
      <c r="B2715" s="13"/>
      <c r="C2715" s="13"/>
      <c r="D2715" s="13"/>
      <c r="E2715" s="13"/>
      <c r="G2715" s="13"/>
    </row>
    <row r="2716" spans="1:7" x14ac:dyDescent="0.2">
      <c r="A2716" s="13"/>
      <c r="B2716" s="13"/>
      <c r="C2716" s="13"/>
      <c r="D2716" s="13"/>
      <c r="E2716" s="13"/>
      <c r="G2716" s="13"/>
    </row>
    <row r="2717" spans="1:7" x14ac:dyDescent="0.2">
      <c r="A2717" s="13"/>
      <c r="B2717" s="13"/>
      <c r="C2717" s="13"/>
      <c r="D2717" s="13"/>
      <c r="E2717" s="13"/>
      <c r="G2717" s="13"/>
    </row>
    <row r="2718" spans="1:7" x14ac:dyDescent="0.2">
      <c r="A2718" s="13"/>
      <c r="B2718" s="13"/>
      <c r="C2718" s="13"/>
      <c r="D2718" s="13"/>
      <c r="E2718" s="13"/>
      <c r="G2718" s="13"/>
    </row>
    <row r="2719" spans="1:7" x14ac:dyDescent="0.2">
      <c r="A2719" s="13"/>
      <c r="B2719" s="13"/>
      <c r="C2719" s="13"/>
      <c r="D2719" s="13"/>
      <c r="E2719" s="13"/>
      <c r="G2719" s="13"/>
    </row>
    <row r="2720" spans="1:7" x14ac:dyDescent="0.2">
      <c r="A2720" s="13"/>
      <c r="B2720" s="13"/>
      <c r="C2720" s="13"/>
      <c r="D2720" s="13"/>
      <c r="E2720" s="13"/>
      <c r="G2720" s="13"/>
    </row>
    <row r="2721" spans="1:7" x14ac:dyDescent="0.2">
      <c r="A2721" s="13"/>
      <c r="B2721" s="13"/>
      <c r="C2721" s="13"/>
      <c r="D2721" s="13"/>
      <c r="E2721" s="13"/>
      <c r="F2721" s="13"/>
    </row>
    <row r="2722" spans="1:7" x14ac:dyDescent="0.2">
      <c r="A2722" s="13"/>
      <c r="B2722" s="13"/>
      <c r="C2722" s="13"/>
      <c r="D2722" s="13"/>
      <c r="E2722" s="13"/>
      <c r="F2722" s="13"/>
    </row>
    <row r="2723" spans="1:7" x14ac:dyDescent="0.2">
      <c r="A2723" s="13"/>
      <c r="B2723" s="13"/>
      <c r="C2723" s="13"/>
      <c r="D2723" s="13"/>
      <c r="E2723" s="13"/>
      <c r="F2723" s="13"/>
    </row>
    <row r="2724" spans="1:7" x14ac:dyDescent="0.2">
      <c r="A2724" s="13"/>
      <c r="B2724" s="13"/>
      <c r="C2724" s="13"/>
      <c r="D2724" s="13"/>
      <c r="E2724" s="13"/>
      <c r="F2724" s="13"/>
    </row>
    <row r="2725" spans="1:7" x14ac:dyDescent="0.2">
      <c r="A2725" s="13"/>
      <c r="B2725" s="13"/>
      <c r="C2725" s="13"/>
      <c r="D2725" s="13"/>
      <c r="E2725" s="13"/>
      <c r="F2725" s="13"/>
    </row>
    <row r="2726" spans="1:7" x14ac:dyDescent="0.2">
      <c r="A2726" s="13"/>
      <c r="B2726" s="13"/>
      <c r="C2726" s="13"/>
      <c r="D2726" s="13"/>
      <c r="E2726" s="13"/>
      <c r="F2726" s="13"/>
    </row>
    <row r="2727" spans="1:7" x14ac:dyDescent="0.2">
      <c r="A2727" s="13"/>
      <c r="B2727" s="13"/>
      <c r="C2727" s="13"/>
      <c r="D2727" s="13"/>
      <c r="E2727" s="13"/>
      <c r="F2727" s="13"/>
    </row>
    <row r="2728" spans="1:7" x14ac:dyDescent="0.2">
      <c r="A2728" s="13"/>
      <c r="B2728" s="13"/>
      <c r="C2728" s="13"/>
      <c r="D2728" s="13"/>
      <c r="E2728" s="13"/>
      <c r="F2728" s="13"/>
    </row>
    <row r="2729" spans="1:7" x14ac:dyDescent="0.2">
      <c r="A2729" s="13"/>
      <c r="B2729" s="13"/>
      <c r="C2729" s="13"/>
      <c r="D2729" s="13"/>
      <c r="E2729" s="13"/>
      <c r="F2729" s="13"/>
    </row>
    <row r="2730" spans="1:7" x14ac:dyDescent="0.2">
      <c r="A2730" s="13"/>
      <c r="B2730" s="13"/>
      <c r="C2730" s="13"/>
      <c r="D2730" s="13"/>
      <c r="E2730" s="13"/>
      <c r="F2730" s="13"/>
    </row>
    <row r="2731" spans="1:7" x14ac:dyDescent="0.2">
      <c r="A2731" s="13"/>
      <c r="B2731" s="13"/>
      <c r="C2731" s="13"/>
      <c r="D2731" s="13"/>
      <c r="E2731" s="13"/>
      <c r="F2731" s="13"/>
    </row>
    <row r="2732" spans="1:7" x14ac:dyDescent="0.2">
      <c r="A2732" s="13"/>
      <c r="B2732" s="13"/>
      <c r="C2732" s="13"/>
      <c r="D2732" s="13"/>
      <c r="E2732" s="13"/>
      <c r="F2732" s="13"/>
    </row>
    <row r="2733" spans="1:7" x14ac:dyDescent="0.2">
      <c r="A2733" s="13"/>
      <c r="B2733" s="13"/>
      <c r="C2733" s="13"/>
      <c r="D2733" s="13"/>
      <c r="E2733" s="13"/>
      <c r="F2733" s="13"/>
    </row>
    <row r="2734" spans="1:7" x14ac:dyDescent="0.2">
      <c r="A2734" s="13"/>
      <c r="B2734" s="13"/>
      <c r="C2734" s="13"/>
      <c r="D2734" s="13"/>
      <c r="E2734" s="13"/>
      <c r="F2734" s="13"/>
    </row>
    <row r="2735" spans="1:7" x14ac:dyDescent="0.2">
      <c r="A2735" s="13"/>
      <c r="B2735" s="13"/>
      <c r="C2735" s="13"/>
      <c r="D2735" s="13"/>
      <c r="E2735" s="13"/>
      <c r="F2735" s="13"/>
    </row>
    <row r="2736" spans="1:7" x14ac:dyDescent="0.2">
      <c r="A2736" s="13"/>
      <c r="B2736" s="13"/>
      <c r="C2736" s="13"/>
      <c r="D2736" s="13"/>
      <c r="E2736" s="13"/>
      <c r="G2736" s="13"/>
    </row>
    <row r="2737" spans="1:7" x14ac:dyDescent="0.2">
      <c r="A2737" s="13"/>
      <c r="B2737" s="13"/>
      <c r="C2737" s="13"/>
      <c r="D2737" s="13"/>
      <c r="E2737" s="13"/>
      <c r="G2737" s="13"/>
    </row>
    <row r="2738" spans="1:7" x14ac:dyDescent="0.2">
      <c r="A2738" s="13"/>
      <c r="B2738" s="13"/>
      <c r="C2738" s="13"/>
      <c r="D2738" s="13"/>
      <c r="E2738" s="13"/>
      <c r="G2738" s="13"/>
    </row>
    <row r="2739" spans="1:7" x14ac:dyDescent="0.2">
      <c r="A2739" s="13"/>
      <c r="B2739" s="13"/>
      <c r="C2739" s="13"/>
      <c r="D2739" s="13"/>
      <c r="E2739" s="13"/>
      <c r="G2739" s="13"/>
    </row>
    <row r="2740" spans="1:7" x14ac:dyDescent="0.2">
      <c r="A2740" s="13"/>
      <c r="B2740" s="13"/>
      <c r="C2740" s="13"/>
      <c r="D2740" s="13"/>
      <c r="E2740" s="13"/>
      <c r="G2740" s="13"/>
    </row>
    <row r="2741" spans="1:7" x14ac:dyDescent="0.2">
      <c r="A2741" s="13"/>
      <c r="B2741" s="13"/>
      <c r="C2741" s="13"/>
      <c r="D2741" s="13"/>
      <c r="E2741" s="13"/>
      <c r="G2741" s="13"/>
    </row>
    <row r="2742" spans="1:7" x14ac:dyDescent="0.2">
      <c r="A2742" s="13"/>
      <c r="B2742" s="13"/>
      <c r="C2742" s="13"/>
      <c r="D2742" s="13"/>
      <c r="E2742" s="13"/>
      <c r="G2742" s="13"/>
    </row>
    <row r="2743" spans="1:7" x14ac:dyDescent="0.2">
      <c r="A2743" s="13"/>
      <c r="B2743" s="13"/>
      <c r="C2743" s="13"/>
      <c r="D2743" s="13"/>
      <c r="E2743" s="13"/>
      <c r="G2743" s="13"/>
    </row>
    <row r="2744" spans="1:7" x14ac:dyDescent="0.2">
      <c r="A2744" s="13"/>
      <c r="B2744" s="13"/>
      <c r="C2744" s="13"/>
      <c r="D2744" s="13"/>
      <c r="E2744" s="13"/>
      <c r="G2744" s="13"/>
    </row>
    <row r="2745" spans="1:7" x14ac:dyDescent="0.2">
      <c r="A2745" s="13"/>
      <c r="B2745" s="13"/>
      <c r="C2745" s="13"/>
      <c r="D2745" s="13"/>
      <c r="E2745" s="13"/>
      <c r="G2745" s="13"/>
    </row>
    <row r="2746" spans="1:7" x14ac:dyDescent="0.2">
      <c r="A2746" s="13"/>
      <c r="B2746" s="13"/>
      <c r="C2746" s="13"/>
      <c r="D2746" s="13"/>
      <c r="E2746" s="13"/>
      <c r="G2746" s="13"/>
    </row>
    <row r="2747" spans="1:7" x14ac:dyDescent="0.2">
      <c r="A2747" s="13"/>
      <c r="B2747" s="13"/>
      <c r="C2747" s="13"/>
      <c r="D2747" s="13"/>
      <c r="E2747" s="13"/>
      <c r="G2747" s="13"/>
    </row>
    <row r="2748" spans="1:7" x14ac:dyDescent="0.2">
      <c r="A2748" s="13"/>
      <c r="B2748" s="13"/>
      <c r="C2748" s="13"/>
      <c r="D2748" s="13"/>
      <c r="E2748" s="13"/>
      <c r="G2748" s="13"/>
    </row>
    <row r="2749" spans="1:7" x14ac:dyDescent="0.2">
      <c r="A2749" s="13"/>
      <c r="B2749" s="13"/>
      <c r="C2749" s="13"/>
      <c r="D2749" s="13"/>
      <c r="E2749" s="13"/>
      <c r="G2749" s="13"/>
    </row>
    <row r="2750" spans="1:7" x14ac:dyDescent="0.2">
      <c r="A2750" s="13"/>
      <c r="B2750" s="13"/>
      <c r="C2750" s="13"/>
      <c r="D2750" s="13"/>
      <c r="E2750" s="13"/>
      <c r="G2750" s="13"/>
    </row>
    <row r="2751" spans="1:7" x14ac:dyDescent="0.2">
      <c r="A2751" s="13"/>
      <c r="B2751" s="13"/>
      <c r="C2751" s="13"/>
      <c r="D2751" s="13"/>
      <c r="E2751" s="13"/>
      <c r="F2751" s="13"/>
    </row>
    <row r="2752" spans="1:7" x14ac:dyDescent="0.2">
      <c r="A2752" s="13"/>
      <c r="B2752" s="13"/>
      <c r="C2752" s="13"/>
      <c r="D2752" s="13"/>
      <c r="E2752" s="13"/>
      <c r="F2752" s="13"/>
    </row>
    <row r="2753" spans="1:7" x14ac:dyDescent="0.2">
      <c r="A2753" s="13"/>
      <c r="B2753" s="13"/>
      <c r="C2753" s="13"/>
      <c r="D2753" s="13"/>
      <c r="E2753" s="13"/>
      <c r="F2753" s="13"/>
    </row>
    <row r="2754" spans="1:7" x14ac:dyDescent="0.2">
      <c r="A2754" s="13"/>
      <c r="B2754" s="13"/>
      <c r="C2754" s="13"/>
      <c r="D2754" s="13"/>
      <c r="E2754" s="13"/>
      <c r="F2754" s="13"/>
    </row>
    <row r="2755" spans="1:7" x14ac:dyDescent="0.2">
      <c r="A2755" s="13"/>
      <c r="B2755" s="13"/>
      <c r="C2755" s="13"/>
      <c r="D2755" s="13"/>
      <c r="E2755" s="13"/>
      <c r="F2755" s="13"/>
    </row>
    <row r="2756" spans="1:7" x14ac:dyDescent="0.2">
      <c r="A2756" s="13"/>
      <c r="B2756" s="13"/>
      <c r="C2756" s="13"/>
      <c r="D2756" s="13"/>
      <c r="E2756" s="13"/>
      <c r="F2756" s="13"/>
    </row>
    <row r="2757" spans="1:7" x14ac:dyDescent="0.2">
      <c r="A2757" s="13"/>
      <c r="B2757" s="13"/>
      <c r="C2757" s="13"/>
      <c r="D2757" s="13"/>
      <c r="E2757" s="13"/>
      <c r="F2757" s="13"/>
    </row>
    <row r="2758" spans="1:7" x14ac:dyDescent="0.2">
      <c r="A2758" s="13"/>
      <c r="B2758" s="13"/>
      <c r="C2758" s="13"/>
      <c r="D2758" s="13"/>
      <c r="E2758" s="13"/>
      <c r="F2758" s="13"/>
    </row>
    <row r="2759" spans="1:7" x14ac:dyDescent="0.2">
      <c r="A2759" s="13"/>
      <c r="B2759" s="13"/>
      <c r="C2759" s="13"/>
      <c r="D2759" s="13"/>
      <c r="E2759" s="13"/>
      <c r="F2759" s="13"/>
    </row>
    <row r="2760" spans="1:7" x14ac:dyDescent="0.2">
      <c r="A2760" s="13"/>
      <c r="B2760" s="13"/>
      <c r="C2760" s="13"/>
      <c r="D2760" s="13"/>
      <c r="E2760" s="13"/>
      <c r="F2760" s="13"/>
    </row>
    <row r="2761" spans="1:7" x14ac:dyDescent="0.2">
      <c r="A2761" s="13"/>
      <c r="B2761" s="13"/>
      <c r="C2761" s="13"/>
      <c r="D2761" s="13"/>
      <c r="E2761" s="13"/>
      <c r="F2761" s="13"/>
    </row>
    <row r="2762" spans="1:7" x14ac:dyDescent="0.2">
      <c r="A2762" s="13"/>
      <c r="B2762" s="13"/>
      <c r="C2762" s="13"/>
      <c r="D2762" s="13"/>
      <c r="E2762" s="13"/>
      <c r="F2762" s="13"/>
    </row>
    <row r="2763" spans="1:7" x14ac:dyDescent="0.2">
      <c r="A2763" s="13"/>
      <c r="B2763" s="13"/>
      <c r="C2763" s="13"/>
      <c r="D2763" s="13"/>
      <c r="E2763" s="13"/>
      <c r="F2763" s="13"/>
    </row>
    <row r="2764" spans="1:7" x14ac:dyDescent="0.2">
      <c r="A2764" s="13"/>
      <c r="B2764" s="13"/>
      <c r="C2764" s="13"/>
      <c r="D2764" s="13"/>
      <c r="E2764" s="13"/>
      <c r="F2764" s="13"/>
    </row>
    <row r="2765" spans="1:7" x14ac:dyDescent="0.2">
      <c r="A2765" s="13"/>
      <c r="B2765" s="13"/>
      <c r="C2765" s="13"/>
      <c r="D2765" s="13"/>
      <c r="E2765" s="13"/>
      <c r="F2765" s="13"/>
    </row>
    <row r="2766" spans="1:7" x14ac:dyDescent="0.2">
      <c r="A2766" s="13"/>
      <c r="B2766" s="13"/>
      <c r="C2766" s="13"/>
      <c r="D2766" s="13"/>
      <c r="E2766" s="13"/>
      <c r="G2766" s="13"/>
    </row>
    <row r="2767" spans="1:7" x14ac:dyDescent="0.2">
      <c r="A2767" s="13"/>
      <c r="B2767" s="13"/>
      <c r="C2767" s="13"/>
      <c r="D2767" s="13"/>
      <c r="E2767" s="13"/>
      <c r="G2767" s="13"/>
    </row>
    <row r="2768" spans="1:7" x14ac:dyDescent="0.2">
      <c r="A2768" s="13"/>
      <c r="B2768" s="13"/>
      <c r="C2768" s="13"/>
      <c r="D2768" s="13"/>
      <c r="E2768" s="13"/>
      <c r="G2768" s="13"/>
    </row>
    <row r="2769" spans="1:7" x14ac:dyDescent="0.2">
      <c r="A2769" s="13"/>
      <c r="B2769" s="13"/>
      <c r="C2769" s="13"/>
      <c r="D2769" s="13"/>
      <c r="E2769" s="13"/>
      <c r="G2769" s="13"/>
    </row>
    <row r="2770" spans="1:7" x14ac:dyDescent="0.2">
      <c r="A2770" s="13"/>
      <c r="B2770" s="13"/>
      <c r="C2770" s="13"/>
      <c r="D2770" s="13"/>
      <c r="E2770" s="13"/>
      <c r="G2770" s="13"/>
    </row>
    <row r="2771" spans="1:7" x14ac:dyDescent="0.2">
      <c r="A2771" s="13"/>
      <c r="B2771" s="13"/>
      <c r="C2771" s="13"/>
      <c r="D2771" s="13"/>
      <c r="E2771" s="13"/>
      <c r="G2771" s="13"/>
    </row>
    <row r="2772" spans="1:7" x14ac:dyDescent="0.2">
      <c r="A2772" s="13"/>
      <c r="B2772" s="13"/>
      <c r="C2772" s="13"/>
      <c r="D2772" s="13"/>
      <c r="E2772" s="13"/>
      <c r="G2772" s="13"/>
    </row>
    <row r="2773" spans="1:7" x14ac:dyDescent="0.2">
      <c r="A2773" s="13"/>
      <c r="B2773" s="13"/>
      <c r="C2773" s="13"/>
      <c r="D2773" s="13"/>
      <c r="E2773" s="13"/>
      <c r="G2773" s="13"/>
    </row>
    <row r="2774" spans="1:7" x14ac:dyDescent="0.2">
      <c r="A2774" s="13"/>
      <c r="B2774" s="13"/>
      <c r="C2774" s="13"/>
      <c r="D2774" s="13"/>
      <c r="E2774" s="13"/>
      <c r="G2774" s="13"/>
    </row>
    <row r="2775" spans="1:7" x14ac:dyDescent="0.2">
      <c r="A2775" s="13"/>
      <c r="B2775" s="13"/>
      <c r="C2775" s="13"/>
      <c r="D2775" s="13"/>
      <c r="E2775" s="13"/>
      <c r="G2775" s="13"/>
    </row>
    <row r="2776" spans="1:7" x14ac:dyDescent="0.2">
      <c r="A2776" s="13"/>
      <c r="B2776" s="13"/>
      <c r="C2776" s="13"/>
      <c r="D2776" s="13"/>
      <c r="E2776" s="13"/>
      <c r="G2776" s="13"/>
    </row>
    <row r="2777" spans="1:7" x14ac:dyDescent="0.2">
      <c r="A2777" s="13"/>
      <c r="B2777" s="13"/>
      <c r="C2777" s="13"/>
      <c r="D2777" s="13"/>
      <c r="E2777" s="13"/>
      <c r="G2777" s="13"/>
    </row>
    <row r="2778" spans="1:7" x14ac:dyDescent="0.2">
      <c r="A2778" s="13"/>
      <c r="B2778" s="13"/>
      <c r="C2778" s="13"/>
      <c r="D2778" s="13"/>
      <c r="E2778" s="13"/>
      <c r="G2778" s="13"/>
    </row>
    <row r="2779" spans="1:7" x14ac:dyDescent="0.2">
      <c r="A2779" s="13"/>
      <c r="B2779" s="13"/>
      <c r="C2779" s="13"/>
      <c r="D2779" s="13"/>
      <c r="E2779" s="13"/>
      <c r="G2779" s="13"/>
    </row>
    <row r="2780" spans="1:7" x14ac:dyDescent="0.2">
      <c r="A2780" s="13"/>
      <c r="B2780" s="13"/>
      <c r="C2780" s="13"/>
      <c r="D2780" s="13"/>
      <c r="E2780" s="13"/>
      <c r="F2780" s="13"/>
    </row>
    <row r="2781" spans="1:7" x14ac:dyDescent="0.2">
      <c r="A2781" s="13"/>
      <c r="B2781" s="13"/>
      <c r="C2781" s="13"/>
      <c r="D2781" s="13"/>
      <c r="E2781" s="13"/>
      <c r="F2781" s="13"/>
    </row>
    <row r="2782" spans="1:7" x14ac:dyDescent="0.2">
      <c r="A2782" s="13"/>
      <c r="B2782" s="13"/>
      <c r="C2782" s="13"/>
      <c r="D2782" s="13"/>
      <c r="E2782" s="13"/>
      <c r="F2782" s="13"/>
    </row>
    <row r="2783" spans="1:7" x14ac:dyDescent="0.2">
      <c r="A2783" s="13"/>
      <c r="B2783" s="13"/>
      <c r="C2783" s="13"/>
      <c r="D2783" s="13"/>
      <c r="E2783" s="13"/>
      <c r="F2783" s="13"/>
    </row>
    <row r="2784" spans="1:7" x14ac:dyDescent="0.2">
      <c r="A2784" s="13"/>
      <c r="B2784" s="13"/>
      <c r="C2784" s="13"/>
      <c r="D2784" s="13"/>
      <c r="E2784" s="13"/>
      <c r="F2784" s="13"/>
    </row>
    <row r="2785" spans="1:7" x14ac:dyDescent="0.2">
      <c r="A2785" s="13"/>
      <c r="B2785" s="13"/>
      <c r="C2785" s="13"/>
      <c r="D2785" s="13"/>
      <c r="E2785" s="13"/>
      <c r="F2785" s="13"/>
    </row>
    <row r="2786" spans="1:7" x14ac:dyDescent="0.2">
      <c r="A2786" s="13"/>
      <c r="B2786" s="13"/>
      <c r="C2786" s="13"/>
      <c r="D2786" s="13"/>
      <c r="E2786" s="13"/>
      <c r="F2786" s="13"/>
    </row>
    <row r="2787" spans="1:7" x14ac:dyDescent="0.2">
      <c r="A2787" s="13"/>
      <c r="B2787" s="13"/>
      <c r="C2787" s="13"/>
      <c r="D2787" s="13"/>
      <c r="E2787" s="13"/>
      <c r="F2787" s="13"/>
    </row>
    <row r="2788" spans="1:7" x14ac:dyDescent="0.2">
      <c r="A2788" s="13"/>
      <c r="B2788" s="13"/>
      <c r="C2788" s="13"/>
      <c r="D2788" s="13"/>
      <c r="E2788" s="13"/>
      <c r="F2788" s="13"/>
    </row>
    <row r="2789" spans="1:7" x14ac:dyDescent="0.2">
      <c r="A2789" s="13"/>
      <c r="B2789" s="13"/>
      <c r="C2789" s="13"/>
      <c r="D2789" s="13"/>
      <c r="E2789" s="13"/>
      <c r="F2789" s="13"/>
    </row>
    <row r="2790" spans="1:7" x14ac:dyDescent="0.2">
      <c r="A2790" s="13"/>
      <c r="B2790" s="13"/>
      <c r="C2790" s="13"/>
      <c r="D2790" s="13"/>
      <c r="E2790" s="13"/>
      <c r="F2790" s="13"/>
    </row>
    <row r="2791" spans="1:7" x14ac:dyDescent="0.2">
      <c r="A2791" s="13"/>
      <c r="B2791" s="13"/>
      <c r="C2791" s="13"/>
      <c r="D2791" s="13"/>
      <c r="E2791" s="13"/>
      <c r="F2791" s="13"/>
    </row>
    <row r="2792" spans="1:7" x14ac:dyDescent="0.2">
      <c r="A2792" s="13"/>
      <c r="B2792" s="13"/>
      <c r="C2792" s="13"/>
      <c r="D2792" s="13"/>
      <c r="E2792" s="13"/>
      <c r="F2792" s="13"/>
    </row>
    <row r="2793" spans="1:7" x14ac:dyDescent="0.2">
      <c r="A2793" s="13"/>
      <c r="B2793" s="13"/>
      <c r="C2793" s="13"/>
      <c r="D2793" s="13"/>
      <c r="E2793" s="13"/>
      <c r="F2793" s="13"/>
    </row>
    <row r="2794" spans="1:7" x14ac:dyDescent="0.2">
      <c r="A2794" s="13"/>
      <c r="B2794" s="13"/>
      <c r="C2794" s="13"/>
      <c r="D2794" s="13"/>
      <c r="E2794" s="13"/>
      <c r="F2794" s="13"/>
    </row>
    <row r="2795" spans="1:7" x14ac:dyDescent="0.2">
      <c r="A2795" s="13"/>
      <c r="B2795" s="13"/>
      <c r="C2795" s="13"/>
      <c r="D2795" s="13"/>
      <c r="E2795" s="13"/>
      <c r="F2795" s="13"/>
    </row>
    <row r="2796" spans="1:7" x14ac:dyDescent="0.2">
      <c r="A2796" s="13"/>
      <c r="B2796" s="13"/>
      <c r="C2796" s="13"/>
      <c r="D2796" s="13"/>
      <c r="E2796" s="13"/>
      <c r="G2796" s="13"/>
    </row>
    <row r="2797" spans="1:7" x14ac:dyDescent="0.2">
      <c r="A2797" s="13"/>
      <c r="B2797" s="13"/>
      <c r="C2797" s="13"/>
      <c r="D2797" s="13"/>
      <c r="E2797" s="13"/>
      <c r="G2797" s="13"/>
    </row>
    <row r="2798" spans="1:7" x14ac:dyDescent="0.2">
      <c r="A2798" s="13"/>
      <c r="B2798" s="13"/>
      <c r="C2798" s="13"/>
      <c r="D2798" s="13"/>
      <c r="E2798" s="13"/>
      <c r="G2798" s="13"/>
    </row>
    <row r="2799" spans="1:7" x14ac:dyDescent="0.2">
      <c r="A2799" s="13"/>
      <c r="B2799" s="13"/>
      <c r="C2799" s="13"/>
      <c r="D2799" s="13"/>
      <c r="E2799" s="13"/>
      <c r="G2799" s="13"/>
    </row>
    <row r="2800" spans="1:7" x14ac:dyDescent="0.2">
      <c r="A2800" s="13"/>
      <c r="B2800" s="13"/>
      <c r="C2800" s="13"/>
      <c r="D2800" s="13"/>
      <c r="E2800" s="13"/>
      <c r="G2800" s="13"/>
    </row>
    <row r="2801" spans="1:7" x14ac:dyDescent="0.2">
      <c r="A2801" s="13"/>
      <c r="B2801" s="13"/>
      <c r="C2801" s="13"/>
      <c r="D2801" s="13"/>
      <c r="E2801" s="13"/>
      <c r="G2801" s="13"/>
    </row>
    <row r="2802" spans="1:7" x14ac:dyDescent="0.2">
      <c r="A2802" s="13"/>
      <c r="B2802" s="13"/>
      <c r="C2802" s="13"/>
      <c r="D2802" s="13"/>
      <c r="E2802" s="13"/>
      <c r="G2802" s="13"/>
    </row>
    <row r="2803" spans="1:7" x14ac:dyDescent="0.2">
      <c r="A2803" s="13"/>
      <c r="B2803" s="13"/>
      <c r="C2803" s="13"/>
      <c r="D2803" s="13"/>
      <c r="E2803" s="13"/>
      <c r="G2803" s="13"/>
    </row>
    <row r="2804" spans="1:7" x14ac:dyDescent="0.2">
      <c r="A2804" s="13"/>
      <c r="B2804" s="13"/>
      <c r="C2804" s="13"/>
      <c r="D2804" s="13"/>
      <c r="E2804" s="13"/>
      <c r="G2804" s="13"/>
    </row>
    <row r="2805" spans="1:7" x14ac:dyDescent="0.2">
      <c r="A2805" s="13"/>
      <c r="B2805" s="13"/>
      <c r="C2805" s="13"/>
      <c r="D2805" s="13"/>
      <c r="E2805" s="13"/>
      <c r="G2805" s="13"/>
    </row>
    <row r="2806" spans="1:7" x14ac:dyDescent="0.2">
      <c r="A2806" s="13"/>
      <c r="B2806" s="13"/>
      <c r="D2806" s="13"/>
      <c r="E2806" s="13"/>
      <c r="G2806" s="13"/>
    </row>
    <row r="2807" spans="1:7" x14ac:dyDescent="0.2">
      <c r="A2807" s="13"/>
      <c r="B2807" s="13"/>
      <c r="C2807" s="13"/>
      <c r="D2807" s="13"/>
      <c r="E2807" s="13"/>
      <c r="G2807" s="13"/>
    </row>
    <row r="2808" spans="1:7" x14ac:dyDescent="0.2">
      <c r="A2808" s="13"/>
      <c r="B2808" s="13"/>
      <c r="C2808" s="13"/>
      <c r="D2808" s="13"/>
      <c r="E2808" s="13"/>
      <c r="G2808" s="13"/>
    </row>
    <row r="2809" spans="1:7" x14ac:dyDescent="0.2">
      <c r="A2809" s="13"/>
      <c r="B2809" s="13"/>
      <c r="C2809" s="13"/>
      <c r="D2809" s="13"/>
      <c r="E2809" s="13"/>
      <c r="G2809" s="13"/>
    </row>
    <row r="2810" spans="1:7" x14ac:dyDescent="0.2">
      <c r="A2810" s="13"/>
      <c r="B2810" s="13"/>
      <c r="C2810" s="13"/>
      <c r="D2810" s="13"/>
      <c r="E2810" s="13"/>
      <c r="G2810" s="13"/>
    </row>
    <row r="2811" spans="1:7" x14ac:dyDescent="0.2">
      <c r="A2811" s="13"/>
      <c r="B2811" s="13"/>
      <c r="C2811" s="13"/>
      <c r="D2811" s="13"/>
      <c r="E2811" s="13"/>
      <c r="G2811" s="13"/>
    </row>
    <row r="2812" spans="1:7" x14ac:dyDescent="0.2">
      <c r="A2812" s="13"/>
      <c r="B2812" s="13"/>
      <c r="C2812" s="13"/>
      <c r="D2812" s="13"/>
      <c r="E2812" s="13"/>
      <c r="F2812" s="13"/>
    </row>
    <row r="2813" spans="1:7" x14ac:dyDescent="0.2">
      <c r="A2813" s="13"/>
      <c r="B2813" s="13"/>
      <c r="C2813" s="13"/>
      <c r="D2813" s="13"/>
      <c r="E2813" s="13"/>
      <c r="F2813" s="13"/>
    </row>
    <row r="2814" spans="1:7" x14ac:dyDescent="0.2">
      <c r="A2814" s="13"/>
      <c r="B2814" s="13"/>
      <c r="C2814" s="13"/>
      <c r="D2814" s="13"/>
      <c r="E2814" s="13"/>
      <c r="F2814" s="13"/>
    </row>
    <row r="2815" spans="1:7" x14ac:dyDescent="0.2">
      <c r="A2815" s="13"/>
      <c r="B2815" s="13"/>
      <c r="C2815" s="13"/>
      <c r="D2815" s="13"/>
      <c r="E2815" s="13"/>
      <c r="F2815" s="13"/>
    </row>
    <row r="2816" spans="1:7" x14ac:dyDescent="0.2">
      <c r="A2816" s="13"/>
      <c r="B2816" s="13"/>
      <c r="C2816" s="13"/>
      <c r="D2816" s="13"/>
      <c r="E2816" s="13"/>
      <c r="F2816" s="13"/>
    </row>
    <row r="2817" spans="1:7" x14ac:dyDescent="0.2">
      <c r="A2817" s="13"/>
      <c r="B2817" s="13"/>
      <c r="C2817" s="13"/>
      <c r="D2817" s="13"/>
      <c r="E2817" s="13"/>
      <c r="F2817" s="13"/>
    </row>
    <row r="2818" spans="1:7" x14ac:dyDescent="0.2">
      <c r="A2818" s="13"/>
      <c r="B2818" s="13"/>
      <c r="C2818" s="13"/>
      <c r="D2818" s="13"/>
      <c r="E2818" s="13"/>
      <c r="F2818" s="13"/>
    </row>
    <row r="2819" spans="1:7" x14ac:dyDescent="0.2">
      <c r="A2819" s="13"/>
      <c r="B2819" s="13"/>
      <c r="C2819" s="13"/>
      <c r="D2819" s="13"/>
      <c r="E2819" s="13"/>
      <c r="F2819" s="13"/>
    </row>
    <row r="2820" spans="1:7" x14ac:dyDescent="0.2">
      <c r="A2820" s="13"/>
      <c r="B2820" s="13"/>
      <c r="C2820" s="13"/>
      <c r="D2820" s="13"/>
      <c r="E2820" s="13"/>
      <c r="F2820" s="13"/>
    </row>
    <row r="2821" spans="1:7" x14ac:dyDescent="0.2">
      <c r="A2821" s="13"/>
      <c r="B2821" s="13"/>
      <c r="C2821" s="13"/>
      <c r="D2821" s="13"/>
      <c r="E2821" s="13"/>
      <c r="F2821" s="13"/>
    </row>
    <row r="2822" spans="1:7" x14ac:dyDescent="0.2">
      <c r="A2822" s="13"/>
      <c r="B2822" s="13"/>
      <c r="C2822" s="13"/>
      <c r="D2822" s="13"/>
      <c r="E2822" s="13"/>
      <c r="F2822" s="13"/>
    </row>
    <row r="2823" spans="1:7" x14ac:dyDescent="0.2">
      <c r="A2823" s="13"/>
      <c r="B2823" s="13"/>
      <c r="C2823" s="13"/>
      <c r="D2823" s="13"/>
      <c r="E2823" s="13"/>
      <c r="F2823" s="13"/>
    </row>
    <row r="2824" spans="1:7" x14ac:dyDescent="0.2">
      <c r="A2824" s="13"/>
      <c r="B2824" s="13"/>
      <c r="C2824" s="13"/>
      <c r="D2824" s="13"/>
      <c r="E2824" s="13"/>
      <c r="F2824" s="13"/>
    </row>
    <row r="2825" spans="1:7" x14ac:dyDescent="0.2">
      <c r="A2825" s="13"/>
      <c r="B2825" s="13"/>
      <c r="C2825" s="13"/>
      <c r="D2825" s="13"/>
      <c r="E2825" s="13"/>
      <c r="G2825" s="13"/>
    </row>
    <row r="2826" spans="1:7" x14ac:dyDescent="0.2">
      <c r="A2826" s="13"/>
      <c r="B2826" s="13"/>
      <c r="C2826" s="13"/>
      <c r="D2826" s="13"/>
      <c r="E2826" s="13"/>
      <c r="G2826" s="13"/>
    </row>
    <row r="2827" spans="1:7" x14ac:dyDescent="0.2">
      <c r="A2827" s="13"/>
      <c r="B2827" s="13"/>
      <c r="C2827" s="13"/>
      <c r="D2827" s="13"/>
      <c r="E2827" s="13"/>
      <c r="G2827" s="13"/>
    </row>
    <row r="2828" spans="1:7" x14ac:dyDescent="0.2">
      <c r="A2828" s="13"/>
      <c r="B2828" s="13"/>
      <c r="C2828" s="13"/>
      <c r="D2828" s="13"/>
      <c r="E2828" s="13"/>
      <c r="G2828" s="13"/>
    </row>
    <row r="2829" spans="1:7" x14ac:dyDescent="0.2">
      <c r="A2829" s="13"/>
      <c r="B2829" s="13"/>
      <c r="C2829" s="13"/>
      <c r="D2829" s="13"/>
      <c r="E2829" s="13"/>
      <c r="G2829" s="13"/>
    </row>
    <row r="2830" spans="1:7" x14ac:dyDescent="0.2">
      <c r="A2830" s="13"/>
      <c r="B2830" s="13"/>
      <c r="C2830" s="13"/>
      <c r="D2830" s="13"/>
      <c r="E2830" s="13"/>
      <c r="G2830" s="13"/>
    </row>
    <row r="2831" spans="1:7" x14ac:dyDescent="0.2">
      <c r="A2831" s="13"/>
      <c r="B2831" s="13"/>
      <c r="C2831" s="13"/>
      <c r="D2831" s="13"/>
      <c r="E2831" s="13"/>
      <c r="G2831" s="13"/>
    </row>
    <row r="2832" spans="1:7" x14ac:dyDescent="0.2">
      <c r="A2832" s="13"/>
      <c r="B2832" s="13"/>
      <c r="C2832" s="13"/>
      <c r="D2832" s="13"/>
      <c r="E2832" s="13"/>
      <c r="G2832" s="13"/>
    </row>
    <row r="2833" spans="1:7" x14ac:dyDescent="0.2">
      <c r="A2833" s="13"/>
      <c r="B2833" s="13"/>
      <c r="C2833" s="13"/>
      <c r="D2833" s="13"/>
      <c r="E2833" s="13"/>
      <c r="G2833" s="13"/>
    </row>
    <row r="2834" spans="1:7" x14ac:dyDescent="0.2">
      <c r="A2834" s="13"/>
      <c r="B2834" s="13"/>
      <c r="C2834" s="13"/>
      <c r="D2834" s="13"/>
      <c r="E2834" s="13"/>
      <c r="G2834" s="13"/>
    </row>
    <row r="2835" spans="1:7" x14ac:dyDescent="0.2">
      <c r="A2835" s="13"/>
      <c r="B2835" s="13"/>
      <c r="C2835" s="13"/>
      <c r="D2835" s="13"/>
      <c r="E2835" s="13"/>
      <c r="G2835" s="13"/>
    </row>
    <row r="2836" spans="1:7" x14ac:dyDescent="0.2">
      <c r="A2836" s="13"/>
      <c r="B2836" s="13"/>
      <c r="C2836" s="13"/>
      <c r="D2836" s="13"/>
      <c r="E2836" s="13"/>
      <c r="G2836" s="13"/>
    </row>
    <row r="2837" spans="1:7" x14ac:dyDescent="0.2">
      <c r="A2837" s="13"/>
      <c r="B2837" s="13"/>
      <c r="C2837" s="13"/>
      <c r="D2837" s="13"/>
      <c r="E2837" s="13"/>
      <c r="G2837" s="13"/>
    </row>
    <row r="2838" spans="1:7" x14ac:dyDescent="0.2">
      <c r="A2838" s="13"/>
      <c r="B2838" s="13"/>
      <c r="C2838" s="13"/>
      <c r="D2838" s="13"/>
      <c r="E2838" s="13"/>
      <c r="G2838" s="13"/>
    </row>
    <row r="2839" spans="1:7" x14ac:dyDescent="0.2">
      <c r="A2839" s="13"/>
      <c r="B2839" s="13"/>
      <c r="C2839" s="13"/>
      <c r="D2839" s="13"/>
      <c r="E2839" s="13"/>
      <c r="G2839" s="13"/>
    </row>
    <row r="2840" spans="1:7" x14ac:dyDescent="0.2">
      <c r="A2840" s="13"/>
      <c r="B2840" s="13"/>
      <c r="C2840" s="13"/>
      <c r="D2840" s="13"/>
      <c r="E2840" s="13"/>
      <c r="G2840" s="13"/>
    </row>
    <row r="2841" spans="1:7" x14ac:dyDescent="0.2">
      <c r="A2841" s="13"/>
      <c r="B2841" s="13"/>
      <c r="C2841" s="13"/>
      <c r="D2841" s="13"/>
      <c r="E2841" s="13"/>
      <c r="G2841" s="13"/>
    </row>
    <row r="2842" spans="1:7" x14ac:dyDescent="0.2">
      <c r="A2842" s="13"/>
      <c r="B2842" s="13"/>
      <c r="C2842" s="13"/>
      <c r="D2842" s="13"/>
      <c r="E2842" s="13"/>
      <c r="G2842" s="13"/>
    </row>
    <row r="2843" spans="1:7" x14ac:dyDescent="0.2">
      <c r="A2843" s="13"/>
      <c r="B2843" s="13"/>
      <c r="C2843" s="13"/>
      <c r="D2843" s="13"/>
      <c r="E2843" s="13"/>
      <c r="G2843" s="13"/>
    </row>
    <row r="2844" spans="1:7" x14ac:dyDescent="0.2">
      <c r="A2844" s="13"/>
      <c r="B2844" s="13"/>
      <c r="C2844" s="13"/>
      <c r="D2844" s="13"/>
      <c r="E2844" s="13"/>
      <c r="G2844" s="13"/>
    </row>
    <row r="2845" spans="1:7" x14ac:dyDescent="0.2">
      <c r="A2845" s="13"/>
      <c r="B2845" s="13"/>
      <c r="C2845" s="13"/>
      <c r="D2845" s="13"/>
      <c r="E2845" s="13"/>
      <c r="G2845" s="13"/>
    </row>
    <row r="2846" spans="1:7" x14ac:dyDescent="0.2">
      <c r="A2846" s="13"/>
      <c r="B2846" s="13"/>
      <c r="C2846" s="13"/>
      <c r="D2846" s="13"/>
      <c r="E2846" s="13"/>
      <c r="G2846" s="13"/>
    </row>
    <row r="2847" spans="1:7" x14ac:dyDescent="0.2">
      <c r="A2847" s="13"/>
      <c r="B2847" s="13"/>
      <c r="C2847" s="13"/>
      <c r="D2847" s="13"/>
      <c r="E2847" s="13"/>
      <c r="G2847" s="13"/>
    </row>
    <row r="2848" spans="1:7" x14ac:dyDescent="0.2">
      <c r="A2848" s="13"/>
      <c r="B2848" s="13"/>
      <c r="C2848" s="13"/>
      <c r="D2848" s="13"/>
      <c r="E2848" s="13"/>
      <c r="G2848" s="13"/>
    </row>
    <row r="2849" spans="1:7" x14ac:dyDescent="0.2">
      <c r="A2849" s="13"/>
      <c r="B2849" s="13"/>
      <c r="C2849" s="13"/>
      <c r="D2849" s="13"/>
      <c r="E2849" s="13"/>
      <c r="F2849" s="13"/>
    </row>
    <row r="2850" spans="1:7" x14ac:dyDescent="0.2">
      <c r="A2850" s="13"/>
      <c r="B2850" s="13"/>
      <c r="C2850" s="13"/>
      <c r="D2850" s="13"/>
      <c r="E2850" s="13"/>
      <c r="F2850" s="13"/>
    </row>
    <row r="2851" spans="1:7" x14ac:dyDescent="0.2">
      <c r="A2851" s="13"/>
      <c r="B2851" s="13"/>
      <c r="C2851" s="13"/>
      <c r="D2851" s="13"/>
      <c r="E2851" s="13"/>
      <c r="F2851" s="13"/>
    </row>
    <row r="2852" spans="1:7" x14ac:dyDescent="0.2">
      <c r="A2852" s="13"/>
      <c r="B2852" s="13"/>
      <c r="C2852" s="13"/>
      <c r="D2852" s="13"/>
      <c r="E2852" s="13"/>
      <c r="F2852" s="13"/>
    </row>
    <row r="2853" spans="1:7" x14ac:dyDescent="0.2">
      <c r="A2853" s="13"/>
      <c r="B2853" s="13"/>
      <c r="C2853" s="13"/>
      <c r="D2853" s="13"/>
      <c r="E2853" s="13"/>
      <c r="F2853" s="13"/>
    </row>
    <row r="2854" spans="1:7" x14ac:dyDescent="0.2">
      <c r="A2854" s="13"/>
      <c r="B2854" s="13"/>
      <c r="C2854" s="13"/>
      <c r="D2854" s="13"/>
      <c r="E2854" s="13"/>
      <c r="F2854" s="13"/>
    </row>
    <row r="2855" spans="1:7" x14ac:dyDescent="0.2">
      <c r="A2855" s="13"/>
      <c r="B2855" s="13"/>
      <c r="C2855" s="13"/>
      <c r="D2855" s="13"/>
      <c r="E2855" s="13"/>
      <c r="F2855" s="13"/>
    </row>
    <row r="2856" spans="1:7" x14ac:dyDescent="0.2">
      <c r="A2856" s="13"/>
      <c r="B2856" s="13"/>
      <c r="C2856" s="13"/>
      <c r="D2856" s="13"/>
      <c r="E2856" s="13"/>
      <c r="F2856" s="13"/>
    </row>
    <row r="2857" spans="1:7" x14ac:dyDescent="0.2">
      <c r="A2857" s="13"/>
      <c r="B2857" s="13"/>
      <c r="C2857" s="13"/>
      <c r="D2857" s="13"/>
      <c r="E2857" s="13"/>
      <c r="F2857" s="13"/>
    </row>
    <row r="2858" spans="1:7" x14ac:dyDescent="0.2">
      <c r="A2858" s="13"/>
      <c r="B2858" s="13"/>
      <c r="C2858" s="13"/>
      <c r="D2858" s="13"/>
      <c r="E2858" s="13"/>
      <c r="F2858" s="13"/>
    </row>
    <row r="2859" spans="1:7" x14ac:dyDescent="0.2">
      <c r="A2859" s="13"/>
      <c r="B2859" s="13"/>
      <c r="C2859" s="13"/>
      <c r="D2859" s="13"/>
      <c r="E2859" s="13"/>
      <c r="F2859" s="13"/>
    </row>
    <row r="2860" spans="1:7" x14ac:dyDescent="0.2">
      <c r="A2860" s="13"/>
      <c r="B2860" s="13"/>
      <c r="C2860" s="13"/>
      <c r="D2860" s="13"/>
      <c r="E2860" s="13"/>
      <c r="G2860" s="13"/>
    </row>
    <row r="2861" spans="1:7" x14ac:dyDescent="0.2">
      <c r="A2861" s="13"/>
      <c r="B2861" s="13"/>
      <c r="C2861" s="13"/>
      <c r="D2861" s="13"/>
      <c r="E2861" s="13"/>
      <c r="G2861" s="13"/>
    </row>
    <row r="2862" spans="1:7" x14ac:dyDescent="0.2">
      <c r="A2862" s="13"/>
      <c r="B2862" s="13"/>
      <c r="C2862" s="13"/>
      <c r="D2862" s="13"/>
      <c r="E2862" s="13"/>
      <c r="F2862" s="13"/>
    </row>
    <row r="2863" spans="1:7" x14ac:dyDescent="0.2">
      <c r="A2863" s="13"/>
      <c r="B2863" s="13"/>
      <c r="C2863" s="13"/>
      <c r="D2863" s="13"/>
      <c r="E2863" s="13"/>
      <c r="F2863" s="13"/>
    </row>
    <row r="2864" spans="1:7" x14ac:dyDescent="0.2">
      <c r="A2864" s="13"/>
      <c r="B2864" s="13"/>
      <c r="C2864" s="13"/>
      <c r="D2864" s="13"/>
      <c r="E2864" s="13"/>
      <c r="F2864" s="13"/>
    </row>
    <row r="2865" spans="1:7" x14ac:dyDescent="0.2">
      <c r="A2865" s="13"/>
      <c r="B2865" s="13"/>
      <c r="C2865" s="13"/>
      <c r="D2865" s="13"/>
      <c r="E2865" s="13"/>
      <c r="F2865" s="13"/>
    </row>
    <row r="2866" spans="1:7" x14ac:dyDescent="0.2">
      <c r="A2866" s="13"/>
      <c r="B2866" s="13"/>
      <c r="C2866" s="13"/>
      <c r="D2866" s="13"/>
      <c r="E2866" s="13"/>
      <c r="F2866" s="13"/>
    </row>
    <row r="2867" spans="1:7" x14ac:dyDescent="0.2">
      <c r="A2867" s="13"/>
      <c r="B2867" s="13"/>
      <c r="C2867" s="13"/>
      <c r="D2867" s="13"/>
      <c r="E2867" s="13"/>
      <c r="F2867" s="13"/>
    </row>
    <row r="2868" spans="1:7" x14ac:dyDescent="0.2">
      <c r="A2868" s="13"/>
      <c r="B2868" s="13"/>
      <c r="C2868" s="13"/>
      <c r="D2868" s="13"/>
      <c r="E2868" s="13"/>
      <c r="G2868" s="13"/>
    </row>
    <row r="2869" spans="1:7" x14ac:dyDescent="0.2">
      <c r="A2869" s="13"/>
      <c r="B2869" s="13"/>
      <c r="C2869" s="13"/>
      <c r="D2869" s="13"/>
      <c r="E2869" s="13"/>
      <c r="G2869" s="13"/>
    </row>
    <row r="2870" spans="1:7" x14ac:dyDescent="0.2">
      <c r="A2870" s="13"/>
      <c r="B2870" s="13"/>
      <c r="C2870" s="13"/>
      <c r="D2870" s="13"/>
      <c r="E2870" s="13"/>
      <c r="F2870" s="13"/>
    </row>
    <row r="2871" spans="1:7" x14ac:dyDescent="0.2">
      <c r="A2871" s="13"/>
      <c r="B2871" s="13"/>
      <c r="C2871" s="13"/>
      <c r="D2871" s="13"/>
      <c r="E2871" s="13"/>
      <c r="G2871" s="13"/>
    </row>
    <row r="2872" spans="1:7" x14ac:dyDescent="0.2">
      <c r="A2872" s="13"/>
      <c r="B2872" s="13"/>
      <c r="C2872" s="13"/>
      <c r="D2872" s="13"/>
      <c r="E2872" s="13"/>
      <c r="G2872" s="13"/>
    </row>
    <row r="2873" spans="1:7" x14ac:dyDescent="0.2">
      <c r="A2873" s="13"/>
      <c r="B2873" s="13"/>
      <c r="C2873" s="13"/>
      <c r="D2873" s="13"/>
      <c r="E2873" s="13"/>
      <c r="G2873" s="13"/>
    </row>
    <row r="2874" spans="1:7" x14ac:dyDescent="0.2">
      <c r="A2874" s="13"/>
      <c r="B2874" s="13"/>
      <c r="C2874" s="13"/>
      <c r="D2874" s="13"/>
      <c r="E2874" s="13"/>
      <c r="G2874" s="13"/>
    </row>
    <row r="2875" spans="1:7" x14ac:dyDescent="0.2">
      <c r="A2875" s="13"/>
      <c r="B2875" s="13"/>
      <c r="C2875" s="13"/>
      <c r="D2875" s="13"/>
      <c r="E2875" s="13"/>
      <c r="G2875" s="13"/>
    </row>
    <row r="2876" spans="1:7" x14ac:dyDescent="0.2">
      <c r="A2876" s="13"/>
      <c r="B2876" s="13"/>
      <c r="C2876" s="13"/>
      <c r="D2876" s="13"/>
      <c r="E2876" s="13"/>
      <c r="G2876" s="13"/>
    </row>
    <row r="2877" spans="1:7" x14ac:dyDescent="0.2">
      <c r="A2877" s="13"/>
      <c r="B2877" s="13"/>
      <c r="C2877" s="13"/>
      <c r="D2877" s="13"/>
      <c r="E2877" s="13"/>
      <c r="G2877" s="13"/>
    </row>
    <row r="2878" spans="1:7" x14ac:dyDescent="0.2">
      <c r="A2878" s="13"/>
      <c r="B2878" s="13"/>
      <c r="C2878" s="13"/>
      <c r="D2878" s="13"/>
      <c r="E2878" s="13"/>
      <c r="G2878" s="13"/>
    </row>
    <row r="2879" spans="1:7" x14ac:dyDescent="0.2">
      <c r="A2879" s="13"/>
      <c r="B2879" s="13"/>
      <c r="C2879" s="13"/>
      <c r="D2879" s="13"/>
      <c r="E2879" s="13"/>
      <c r="G2879" s="13"/>
    </row>
    <row r="2880" spans="1:7" x14ac:dyDescent="0.2">
      <c r="A2880" s="13"/>
      <c r="B2880" s="13"/>
      <c r="C2880" s="13"/>
      <c r="D2880" s="13"/>
      <c r="E2880" s="13"/>
      <c r="G2880" s="13"/>
    </row>
    <row r="2881" spans="1:10" x14ac:dyDescent="0.2">
      <c r="A2881" s="13"/>
      <c r="B2881" s="13"/>
      <c r="C2881" s="13"/>
      <c r="D2881" s="13"/>
      <c r="E2881" s="13"/>
      <c r="G2881" s="13"/>
      <c r="J2881" s="51"/>
    </row>
    <row r="2882" spans="1:10" x14ac:dyDescent="0.2">
      <c r="A2882" s="13"/>
      <c r="B2882" s="13"/>
      <c r="C2882" s="13"/>
      <c r="D2882" s="13"/>
      <c r="E2882" s="13"/>
      <c r="G2882" s="13"/>
    </row>
    <row r="2883" spans="1:10" x14ac:dyDescent="0.2">
      <c r="A2883" s="13"/>
    </row>
    <row r="2884" spans="1:10" x14ac:dyDescent="0.2">
      <c r="A2884" s="13"/>
    </row>
    <row r="2885" spans="1:10" x14ac:dyDescent="0.2">
      <c r="A2885" s="13"/>
    </row>
    <row r="2886" spans="1:10" x14ac:dyDescent="0.2">
      <c r="A2886" s="13"/>
      <c r="B2886" s="13"/>
      <c r="D2886" s="13"/>
      <c r="E2886" s="13"/>
      <c r="G2886" s="13"/>
    </row>
    <row r="2887" spans="1:10" x14ac:dyDescent="0.2">
      <c r="A2887" s="13"/>
    </row>
    <row r="2888" spans="1:10" x14ac:dyDescent="0.2">
      <c r="A2888" s="13"/>
    </row>
    <row r="2889" spans="1:10" x14ac:dyDescent="0.2">
      <c r="A2889" s="13"/>
      <c r="B2889" s="13"/>
    </row>
    <row r="2890" spans="1:10" x14ac:dyDescent="0.2">
      <c r="A2890" s="13"/>
      <c r="B2890" s="13"/>
    </row>
  </sheetData>
  <pageMargins left="0.7" right="0.7" top="0.75" bottom="0.75" header="0.3" footer="0.3"/>
  <pageSetup scale="72"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55</vt:i4>
      </vt:variant>
    </vt:vector>
  </HeadingPairs>
  <TitlesOfParts>
    <vt:vector size="86" baseType="lpstr">
      <vt:lpstr>Instructions</vt:lpstr>
      <vt:lpstr>FS</vt:lpstr>
      <vt:lpstr>SARS</vt:lpstr>
      <vt:lpstr>FS2</vt:lpstr>
      <vt:lpstr>Criteria</vt:lpstr>
      <vt:lpstr>TrialBalance</vt:lpstr>
      <vt:lpstr>Journals</vt:lpstr>
      <vt:lpstr>TBClient</vt:lpstr>
      <vt:lpstr>GLClient</vt:lpstr>
      <vt:lpstr>FARegister</vt:lpstr>
      <vt:lpstr>TARegister</vt:lpstr>
      <vt:lpstr>VAT</vt:lpstr>
      <vt:lpstr>ILoans</vt:lpstr>
      <vt:lpstr>IFree</vt:lpstr>
      <vt:lpstr>DTax</vt:lpstr>
      <vt:lpstr>NC Receivables</vt:lpstr>
      <vt:lpstr>Stock</vt:lpstr>
      <vt:lpstr>Debtors</vt:lpstr>
      <vt:lpstr>Bank</vt:lpstr>
      <vt:lpstr>Creditors</vt:lpstr>
      <vt:lpstr>Expenses</vt:lpstr>
      <vt:lpstr>Open</vt:lpstr>
      <vt:lpstr>Loan 1</vt:lpstr>
      <vt:lpstr>FLease1</vt:lpstr>
      <vt:lpstr>TrialBalanceA</vt:lpstr>
      <vt:lpstr>JournalsA</vt:lpstr>
      <vt:lpstr>TrialBalanceB</vt:lpstr>
      <vt:lpstr>JournalsB</vt:lpstr>
      <vt:lpstr>TrialBalanceC</vt:lpstr>
      <vt:lpstr>JournalsC</vt:lpstr>
      <vt:lpstr>Analytical</vt:lpstr>
      <vt:lpstr>BalanceSheet</vt:lpstr>
      <vt:lpstr>BalanceSheet2</vt:lpstr>
      <vt:lpstr>TrialBalanceC!BalanceSheet3</vt:lpstr>
      <vt:lpstr>BalanceSheet3</vt:lpstr>
      <vt:lpstr>BalanceSheet4</vt:lpstr>
      <vt:lpstr>TrialBalanceB!BalanceSheetA</vt:lpstr>
      <vt:lpstr>TrialBalanceC!BalanceSheetA</vt:lpstr>
      <vt:lpstr>BalanceSheetA</vt:lpstr>
      <vt:lpstr>'FS2'!DELETE</vt:lpstr>
      <vt:lpstr>DELETE</vt:lpstr>
      <vt:lpstr>TrialBalanceA!df</vt:lpstr>
      <vt:lpstr>TrialBalanceB!df</vt:lpstr>
      <vt:lpstr>TrialBalanceC!df</vt:lpstr>
      <vt:lpstr>df</vt:lpstr>
      <vt:lpstr>JournalsA!JOURNALS</vt:lpstr>
      <vt:lpstr>JournalsB!JOURNALS</vt:lpstr>
      <vt:lpstr>JournalsC!JOURNALS</vt:lpstr>
      <vt:lpstr>JOURNALS</vt:lpstr>
      <vt:lpstr>Debtors!Print_Area</vt:lpstr>
      <vt:lpstr>Expenses!Print_Area</vt:lpstr>
      <vt:lpstr>FLease1!Print_Area</vt:lpstr>
      <vt:lpstr>FS!Print_Area</vt:lpstr>
      <vt:lpstr>'FS2'!Print_Area</vt:lpstr>
      <vt:lpstr>GLClient!Print_Area</vt:lpstr>
      <vt:lpstr>Journals!Print_Area</vt:lpstr>
      <vt:lpstr>JournalsA!Print_Area</vt:lpstr>
      <vt:lpstr>JournalsB!Print_Area</vt:lpstr>
      <vt:lpstr>JournalsC!Print_Area</vt:lpstr>
      <vt:lpstr>'Loan 1'!Print_Area</vt:lpstr>
      <vt:lpstr>'NC Receivables'!Print_Area</vt:lpstr>
      <vt:lpstr>Open!Print_Area</vt:lpstr>
      <vt:lpstr>Stock!Print_Area</vt:lpstr>
      <vt:lpstr>VAT!Print_Area</vt:lpstr>
      <vt:lpstr>TrialBalanceA!Profit</vt:lpstr>
      <vt:lpstr>TrialBalanceB!Profit</vt:lpstr>
      <vt:lpstr>TrialBalanceC!Profit</vt:lpstr>
      <vt:lpstr>Profit</vt:lpstr>
      <vt:lpstr>TrialBalanceA!ProfitLoss</vt:lpstr>
      <vt:lpstr>TrialBalanceB!ProfitLoss</vt:lpstr>
      <vt:lpstr>TrialBalanceC!ProfitLoss</vt:lpstr>
      <vt:lpstr>ProfitLoss</vt:lpstr>
      <vt:lpstr>TrialBalanceB!ProfitLoss2</vt:lpstr>
      <vt:lpstr>TrialBalanceC!ProfitLoss2</vt:lpstr>
      <vt:lpstr>ProfitLoss2</vt:lpstr>
      <vt:lpstr>TrialBalanceC!ProfitLoss3</vt:lpstr>
      <vt:lpstr>ProfitLoss3</vt:lpstr>
      <vt:lpstr>ProfitLoss4</vt:lpstr>
      <vt:lpstr>TrialBalanceB!ProfitLossA</vt:lpstr>
      <vt:lpstr>TrialBalanceC!ProfitLossA</vt:lpstr>
      <vt:lpstr>ProfitLossA</vt:lpstr>
      <vt:lpstr>TrialBalanceC!ProfitLossB</vt:lpstr>
      <vt:lpstr>ProfitLossB</vt:lpstr>
      <vt:lpstr>sd</vt:lpstr>
      <vt:lpstr>'FS2'!STATE</vt:lpstr>
      <vt:lpstr>STATE</vt:lpstr>
    </vt:vector>
  </TitlesOfParts>
  <Company>BMS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Gerhard</dc:creator>
  <cp:lastModifiedBy>Gerhard Mouton</cp:lastModifiedBy>
  <cp:lastPrinted>2024-09-07T06:56:51Z</cp:lastPrinted>
  <dcterms:created xsi:type="dcterms:W3CDTF">2005-04-27T11:29:52Z</dcterms:created>
  <dcterms:modified xsi:type="dcterms:W3CDTF">2026-03-19T05:54:18Z</dcterms:modified>
</cp:coreProperties>
</file>